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externalLinks/externalLink5.xml" ContentType="application/vnd.openxmlformats-officedocument.spreadsheetml.externalLink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externalLinks/externalLink8.xml" ContentType="application/vnd.openxmlformats-officedocument.spreadsheetml.externalLink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6.xml" ContentType="application/vnd.openxmlformats-officedocument.spreadsheetml.externalLink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585" yWindow="-15" windowWidth="12660" windowHeight="12285" tabRatio="890" firstSheet="19" activeTab="26"/>
  </bookViews>
  <sheets>
    <sheet name="1. 총괄수요량" sheetId="30" r:id="rId1"/>
    <sheet name="1.행정구역별 수요량" sheetId="29" r:id="rId2"/>
    <sheet name="1.급수구역별 수요량" sheetId="53" r:id="rId3"/>
    <sheet name="1.배수지별 수요량" sheetId="55" r:id="rId4"/>
    <sheet name="1.배수지용수배분" sheetId="57" r:id="rId5"/>
    <sheet name="2.생활용수(보고서)" sheetId="40" r:id="rId6"/>
    <sheet name="2.생활용수(행정구역)" sheetId="26" r:id="rId7"/>
    <sheet name="2.생활용수(급수구역)" sheetId="54" r:id="rId8"/>
    <sheet name="2.생활용수(광석)" sheetId="58" r:id="rId9"/>
    <sheet name="2.생활용수(성동)" sheetId="59" r:id="rId10"/>
    <sheet name="2.생활용수(봉화)" sheetId="60" r:id="rId11"/>
    <sheet name="2.생활용수(논산)" sheetId="61" r:id="rId12"/>
    <sheet name="2.생활용수(연무)" sheetId="70" r:id="rId13"/>
    <sheet name="2.생활용수(마산)" sheetId="62" r:id="rId14"/>
    <sheet name="2.생활용수(부적)" sheetId="63" r:id="rId15"/>
    <sheet name="2.생활용수(연산)" sheetId="64" r:id="rId16"/>
    <sheet name="2.생활용수(채운)" sheetId="65" r:id="rId17"/>
    <sheet name="2.생활용수(강경)" sheetId="66" r:id="rId18"/>
    <sheet name="2.생활용수(노성)" sheetId="67" r:id="rId19"/>
    <sheet name="3.공업용수" sheetId="34" r:id="rId20"/>
    <sheet name="3.계획산단용수량" sheetId="32" r:id="rId21"/>
    <sheet name="3.기존공장용수량" sheetId="37" r:id="rId22"/>
    <sheet name="3.전용공업용수(침전수)" sheetId="43" r:id="rId23"/>
    <sheet name="4.관광원단위" sheetId="39" r:id="rId24"/>
    <sheet name="4.관광용수" sheetId="35" r:id="rId25"/>
    <sheet name="5.기타용수(훈련소)" sheetId="31" r:id="rId26"/>
    <sheet name="5.기타용수(금강대,육군항공학교)" sheetId="74" r:id="rId27"/>
    <sheet name="참조-&gt;" sheetId="24" r:id="rId28"/>
    <sheet name="확장용량" sheetId="41" r:id="rId29"/>
    <sheet name="1.총괄" sheetId="13" state="hidden" r:id="rId30"/>
    <sheet name="2.계통별" sheetId="14" state="hidden" r:id="rId31"/>
    <sheet name="생활용수량" sheetId="10" state="hidden" r:id="rId32"/>
    <sheet name="공업용수" sheetId="2" state="hidden" r:id="rId33"/>
    <sheet name="관광용수" sheetId="15" state="hidden" r:id="rId34"/>
    <sheet name="군대용수(국방부)" sheetId="7" state="hidden" r:id="rId35"/>
    <sheet name="급수분배" sheetId="20" state="hidden" r:id="rId36"/>
    <sheet name="Sheet3" sheetId="23" state="hidden" r:id="rId37"/>
    <sheet name="보고용" sheetId="18" state="hidden" r:id="rId38"/>
    <sheet name="Sheet2" sheetId="21" state="hidden" r:id="rId39"/>
    <sheet name="급수분배 (2)" sheetId="22" state="hidden" r:id="rId40"/>
    <sheet name="행정구역별 장래인구" sheetId="19" state="hidden" r:id="rId41"/>
    <sheet name="Sheet1" sheetId="1" state="hidden" r:id="rId42"/>
    <sheet name="비교표" sheetId="12" state="hidden" r:id="rId43"/>
    <sheet name="개발계획유입인구" sheetId="17" state="hidden" r:id="rId44"/>
    <sheet name="관광용수-1" sheetId="6" state="hidden" r:id="rId45"/>
    <sheet name="군대용수(실사용량)" sheetId="8" state="hidden" r:id="rId46"/>
    <sheet name="군대용수(실사용량) (2)" sheetId="9" state="hidden" r:id="rId47"/>
    <sheet name="읍ㆍ면구분" sheetId="3" state="hidden" r:id="rId48"/>
    <sheet name="용도별 소비량" sheetId="4" state="hidden" r:id="rId49"/>
    <sheet name="전체 소비량(군부대제외)" sheetId="5" state="hidden" r:id="rId50"/>
    <sheet name="인구규모별 표준원단위" sheetId="11" state="hidden" r:id="rId51"/>
    <sheet name="군인구추정" sheetId="16" state="hidden" r:id="rId52"/>
    <sheet name="Sheet4" sheetId="38" r:id="rId53"/>
    <sheet name="2013 행정구역 생활용수량" sheetId="69" r:id="rId54"/>
    <sheet name="2013년도 용수량 비율" sheetId="44" r:id="rId55"/>
    <sheet name="2013실사용량 정리" sheetId="71" r:id="rId56"/>
    <sheet name="Sheet5" sheetId="72" r:id="rId57"/>
    <sheet name="Sheet6" sheetId="73" r:id="rId58"/>
    <sheet name="배수지" sheetId="75" r:id="rId59"/>
  </sheets>
  <externalReferences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</externalReferences>
  <definedNames>
    <definedName name="_xlnm._FilterDatabase" localSheetId="17" hidden="1">'2.생활용수(강경)'!$A$4:$AA$60</definedName>
    <definedName name="_xlnm._FilterDatabase" localSheetId="8" hidden="1">'2.생활용수(광석)'!$A$4:$AS$56</definedName>
    <definedName name="_xlnm._FilterDatabase" localSheetId="18" hidden="1">'2.생활용수(노성)'!$A$4:$AS$99</definedName>
    <definedName name="_xlnm._FilterDatabase" localSheetId="11" hidden="1">'2.생활용수(논산)'!$A$4:$AI$28</definedName>
    <definedName name="_xlnm._FilterDatabase" localSheetId="13" hidden="1">'2.생활용수(마산)'!$A$4:$AS$115</definedName>
    <definedName name="_xlnm._FilterDatabase" localSheetId="10" hidden="1">'2.생활용수(봉화)'!$A$4:$AE$18</definedName>
    <definedName name="_xlnm._FilterDatabase" localSheetId="14" hidden="1">'2.생활용수(부적)'!$A$4:$AS$75</definedName>
    <definedName name="_xlnm._FilterDatabase" localSheetId="9" hidden="1">'2.생활용수(성동)'!$A$4:$AS$60</definedName>
    <definedName name="_xlnm._FilterDatabase" localSheetId="12" hidden="1">'2.생활용수(연무)'!$A$4:$BB$123</definedName>
    <definedName name="_xlnm._FilterDatabase" localSheetId="15" hidden="1">'2.생활용수(연산)'!$A$4:$AS$220</definedName>
    <definedName name="_xlnm._FilterDatabase" localSheetId="16" hidden="1">'2.생활용수(채운)'!$A$4:$Z$63</definedName>
    <definedName name="_xlnm._FilterDatabase" localSheetId="53" hidden="1">'2013 행정구역 생활용수량'!$A$2:$O$484</definedName>
    <definedName name="_xlnm.Print_Area" localSheetId="0">'1. 총괄수요량'!$A$1:$J$23</definedName>
    <definedName name="_xlnm.Print_Area" localSheetId="2">'1.급수구역별 수요량'!$A$1:$K$214</definedName>
    <definedName name="_xlnm.Print_Area" localSheetId="3">'1.배수지별 수요량'!$A$1:$K$238</definedName>
    <definedName name="_xlnm.Print_Area" localSheetId="4">'1.배수지용수배분'!$A$1:$J$49</definedName>
    <definedName name="_xlnm.Print_Area" localSheetId="29">'1.총괄'!$A$1:$I$23</definedName>
    <definedName name="_xlnm.Print_Area" localSheetId="1">'1.행정구역별 수요량'!$A$1:$J$100</definedName>
    <definedName name="_xlnm.Print_Area" localSheetId="30">'2.계통별'!$A$1:$G$83</definedName>
    <definedName name="_xlnm.Print_Area" localSheetId="17">'2.생활용수(강경)'!$A$1:$U$61</definedName>
    <definedName name="_xlnm.Print_Area" localSheetId="8">'2.생활용수(광석)'!$A$1:$U$57</definedName>
    <definedName name="_xlnm.Print_Area" localSheetId="7">'2.생활용수(급수구역)'!$A$1:$M$70</definedName>
    <definedName name="_xlnm.Print_Area" localSheetId="18">'2.생활용수(노성)'!$A$1:$U$100</definedName>
    <definedName name="_xlnm.Print_Area" localSheetId="11">'2.생활용수(논산)'!$A$1:$U$29</definedName>
    <definedName name="_xlnm.Print_Area" localSheetId="13">'2.생활용수(마산)'!$A$1:$U$116</definedName>
    <definedName name="_xlnm.Print_Area" localSheetId="10">'2.생활용수(봉화)'!$A$1:$U$18</definedName>
    <definedName name="_xlnm.Print_Area" localSheetId="14">'2.생활용수(부적)'!$A$1:$U$76</definedName>
    <definedName name="_xlnm.Print_Area" localSheetId="9">'2.생활용수(성동)'!$A$1:$U$61</definedName>
    <definedName name="_xlnm.Print_Area" localSheetId="12">'2.생활용수(연무)'!$A$1:$U$123</definedName>
    <definedName name="_xlnm.Print_Area" localSheetId="15">'2.생활용수(연산)'!$A$1:$U$221</definedName>
    <definedName name="_xlnm.Print_Area" localSheetId="16">'2.생활용수(채운)'!$A$1:$U$64</definedName>
    <definedName name="_xlnm.Print_Area" localSheetId="6">'2.생활용수(행정구역)'!$A$1:$N$219</definedName>
    <definedName name="_xlnm.Print_Area" localSheetId="20">'3.계획산단용수량'!$A$1:$J$41</definedName>
    <definedName name="_xlnm.Print_Area" localSheetId="19">'3.공업용수'!$A$1:$L$104</definedName>
    <definedName name="_xlnm.Print_Area" localSheetId="21">'3.기존공장용수량'!$A$1:$N$42</definedName>
    <definedName name="_xlnm.Print_Area" localSheetId="24">'4.관광용수'!$A$1:$G$22</definedName>
    <definedName name="_xlnm.Print_Area" localSheetId="25">'5.기타용수(훈련소)'!$A$1:$G$31</definedName>
    <definedName name="_xlnm.Print_Area" localSheetId="33">관광용수!$A$1:$U$50</definedName>
    <definedName name="_xlnm.Print_Area" localSheetId="34">'군대용수(국방부)'!$A$1:$G$18</definedName>
    <definedName name="_xlnm.Print_Area" localSheetId="35">급수분배!$A$1:$Z$104,급수분배!$Q$105:$Z$237,급수분배!$A$105:$P$122,급수분배!$A$123:$I$137</definedName>
    <definedName name="_xlnm.Print_Area" localSheetId="31">생활용수량!$A$1:$U$106</definedName>
    <definedName name="_xlnm.Print_Titles" localSheetId="2">'1.급수구역별 수요량'!$1:$4</definedName>
    <definedName name="_xlnm.Print_Titles" localSheetId="3">'1.배수지별 수요량'!$1:$4</definedName>
    <definedName name="_xlnm.Print_Titles" localSheetId="1">'1.행정구역별 수요량'!$1:$4</definedName>
    <definedName name="_xlnm.Print_Titles" localSheetId="30">'2.계통별'!$2:$3</definedName>
    <definedName name="_xlnm.Print_Titles" localSheetId="17">'2.생활용수(강경)'!$1:$4</definedName>
    <definedName name="_xlnm.Print_Titles" localSheetId="8">'2.생활용수(광석)'!$1:$4</definedName>
    <definedName name="_xlnm.Print_Titles" localSheetId="7">'2.생활용수(급수구역)'!$1:$4</definedName>
    <definedName name="_xlnm.Print_Titles" localSheetId="18">'2.생활용수(노성)'!$1:$4</definedName>
    <definedName name="_xlnm.Print_Titles" localSheetId="11">'2.생활용수(논산)'!$1:$6</definedName>
    <definedName name="_xlnm.Print_Titles" localSheetId="13">'2.생활용수(마산)'!$1:$4</definedName>
    <definedName name="_xlnm.Print_Titles" localSheetId="14">'2.생활용수(부적)'!$1:$4</definedName>
    <definedName name="_xlnm.Print_Titles" localSheetId="9">'2.생활용수(성동)'!$1:$4</definedName>
    <definedName name="_xlnm.Print_Titles" localSheetId="12">'2.생활용수(연무)'!$1:$5</definedName>
    <definedName name="_xlnm.Print_Titles" localSheetId="15">'2.생활용수(연산)'!$1:$4</definedName>
    <definedName name="_xlnm.Print_Titles" localSheetId="16">'2.생활용수(채운)'!$1:$4</definedName>
    <definedName name="_xlnm.Print_Titles" localSheetId="6">'2.생활용수(행정구역)'!$1:$4</definedName>
    <definedName name="_xlnm.Print_Titles" localSheetId="20">'3.계획산단용수량'!$1:$4</definedName>
    <definedName name="_xlnm.Print_Titles" localSheetId="33">관광용수!$2:$2</definedName>
    <definedName name="_xlnm.Print_Titles" localSheetId="35">급수분배!$2:$3</definedName>
  </definedNames>
  <calcPr calcId="125725"/>
</workbook>
</file>

<file path=xl/calcChain.xml><?xml version="1.0" encoding="utf-8"?>
<calcChain xmlns="http://schemas.openxmlformats.org/spreadsheetml/2006/main">
  <c r="T45" i="57"/>
  <c r="T46" s="1"/>
  <c r="S45"/>
  <c r="S46" s="1"/>
  <c r="R45"/>
  <c r="R46" s="1"/>
  <c r="Q45"/>
  <c r="Q46" s="1"/>
  <c r="Q32" i="75" l="1"/>
  <c r="Q29"/>
  <c r="Q26"/>
  <c r="Q23"/>
  <c r="Q20"/>
  <c r="Q17"/>
  <c r="Q14"/>
  <c r="Q11"/>
  <c r="Q8"/>
  <c r="Q5"/>
  <c r="Q2"/>
  <c r="C14" i="74" l="1"/>
  <c r="C15" s="1"/>
  <c r="C12"/>
  <c r="C13" s="1"/>
  <c r="J159" i="55" l="1"/>
  <c r="O15" i="74" l="1"/>
  <c r="N15"/>
  <c r="M15"/>
  <c r="L15"/>
  <c r="K15"/>
  <c r="J15"/>
  <c r="I15"/>
  <c r="H15"/>
  <c r="G15"/>
  <c r="F15"/>
  <c r="E15"/>
  <c r="D15"/>
  <c r="O13"/>
  <c r="N13"/>
  <c r="M13"/>
  <c r="L13"/>
  <c r="K13"/>
  <c r="J13"/>
  <c r="I13"/>
  <c r="H13"/>
  <c r="G13"/>
  <c r="F13"/>
  <c r="E13"/>
  <c r="D13"/>
  <c r="O6"/>
  <c r="N6"/>
  <c r="M6"/>
  <c r="L6"/>
  <c r="K6"/>
  <c r="J6"/>
  <c r="I6"/>
  <c r="H6"/>
  <c r="G6"/>
  <c r="F6"/>
  <c r="E6"/>
  <c r="D6"/>
  <c r="C5"/>
  <c r="C3"/>
  <c r="N4"/>
  <c r="L4"/>
  <c r="I4"/>
  <c r="G4"/>
  <c r="E4"/>
  <c r="O4"/>
  <c r="M4"/>
  <c r="K4"/>
  <c r="J4"/>
  <c r="H4"/>
  <c r="F4"/>
  <c r="D4"/>
  <c r="C6" l="1"/>
  <c r="C4"/>
  <c r="C16" l="1"/>
  <c r="F25" i="31" s="1"/>
  <c r="G25" s="1"/>
  <c r="C8" i="74"/>
  <c r="F21" i="31" s="1"/>
  <c r="G21" s="1"/>
  <c r="D37" i="32" l="1"/>
  <c r="D36"/>
  <c r="D35"/>
  <c r="D34"/>
  <c r="D33"/>
  <c r="D32"/>
  <c r="E37"/>
  <c r="G37" s="1"/>
  <c r="I37" s="1"/>
  <c r="E36"/>
  <c r="G36" s="1"/>
  <c r="I36" s="1"/>
  <c r="E35"/>
  <c r="G35" s="1"/>
  <c r="I35" s="1"/>
  <c r="E34"/>
  <c r="G34" s="1"/>
  <c r="I34" s="1"/>
  <c r="E33"/>
  <c r="G33" s="1"/>
  <c r="I33" s="1"/>
  <c r="E32"/>
  <c r="G32" s="1"/>
  <c r="I32" s="1"/>
  <c r="F37"/>
  <c r="F36"/>
  <c r="F35"/>
  <c r="F34"/>
  <c r="F33"/>
  <c r="F32"/>
  <c r="J64" i="55" l="1"/>
  <c r="I64"/>
  <c r="H64"/>
  <c r="G64"/>
  <c r="J63"/>
  <c r="I63"/>
  <c r="H63"/>
  <c r="G63"/>
  <c r="J62"/>
  <c r="I62"/>
  <c r="H62"/>
  <c r="G62"/>
  <c r="J61"/>
  <c r="I61"/>
  <c r="H61"/>
  <c r="G61"/>
  <c r="F64"/>
  <c r="F63"/>
  <c r="F62"/>
  <c r="F61"/>
  <c r="F146" i="53"/>
  <c r="F60" i="55" s="1"/>
  <c r="F52" i="54"/>
  <c r="F162" i="26" s="1"/>
  <c r="E52" i="54"/>
  <c r="E162" i="26" s="1"/>
  <c r="F59" i="55" l="1"/>
  <c r="E13" i="57" s="1"/>
  <c r="K52" i="54"/>
  <c r="H146" i="53" s="1"/>
  <c r="J52" i="54"/>
  <c r="G146" i="53" s="1"/>
  <c r="F145"/>
  <c r="G60" i="55" l="1"/>
  <c r="G59" s="1"/>
  <c r="F13" i="57" s="1"/>
  <c r="G145" i="53"/>
  <c r="H60" i="55"/>
  <c r="H59" s="1"/>
  <c r="G13" i="57" s="1"/>
  <c r="H145" i="53"/>
  <c r="I29" i="57"/>
  <c r="J7" i="75" s="1"/>
  <c r="H29" i="57"/>
  <c r="H7" i="75" s="1"/>
  <c r="I484" i="69" l="1"/>
  <c r="I483"/>
  <c r="I482"/>
  <c r="I481"/>
  <c r="I480"/>
  <c r="I479"/>
  <c r="I478"/>
  <c r="I477"/>
  <c r="I476"/>
  <c r="I475"/>
  <c r="I474"/>
  <c r="I473"/>
  <c r="I472"/>
  <c r="I471"/>
  <c r="I470"/>
  <c r="I469"/>
  <c r="I468"/>
  <c r="I467"/>
  <c r="I466"/>
  <c r="I465"/>
  <c r="I464"/>
  <c r="I463"/>
  <c r="I462"/>
  <c r="I461"/>
  <c r="I460"/>
  <c r="I458"/>
  <c r="I457"/>
  <c r="I456"/>
  <c r="I455"/>
  <c r="I454"/>
  <c r="I453"/>
  <c r="I452"/>
  <c r="I451"/>
  <c r="I449"/>
  <c r="I447"/>
  <c r="I446"/>
  <c r="I444"/>
  <c r="I443"/>
  <c r="I442"/>
  <c r="I441"/>
  <c r="I440"/>
  <c r="I439"/>
  <c r="I438"/>
  <c r="I437"/>
  <c r="I436"/>
  <c r="I435"/>
  <c r="I434"/>
  <c r="I432"/>
  <c r="I431"/>
  <c r="I429"/>
  <c r="I428"/>
  <c r="I427"/>
  <c r="I426"/>
  <c r="I424"/>
  <c r="I423"/>
  <c r="I422"/>
  <c r="I421"/>
  <c r="I420"/>
  <c r="I419"/>
  <c r="I418"/>
  <c r="I417"/>
  <c r="I416"/>
  <c r="I415"/>
  <c r="I414"/>
  <c r="I413"/>
  <c r="I412"/>
  <c r="I411"/>
  <c r="I410"/>
  <c r="I409"/>
  <c r="I408"/>
  <c r="I407"/>
  <c r="I406"/>
  <c r="I405"/>
  <c r="I404"/>
  <c r="I403"/>
  <c r="I402"/>
  <c r="I401"/>
  <c r="I400"/>
  <c r="I399"/>
  <c r="I371"/>
  <c r="I355"/>
  <c r="I354"/>
  <c r="I343"/>
  <c r="I342"/>
  <c r="I341"/>
  <c r="I340"/>
  <c r="I339"/>
  <c r="I338"/>
  <c r="I337"/>
  <c r="I336"/>
  <c r="I335"/>
  <c r="I334"/>
  <c r="I333"/>
  <c r="I332"/>
  <c r="I331"/>
  <c r="I330"/>
  <c r="I329"/>
  <c r="I328"/>
  <c r="I327"/>
  <c r="I326"/>
  <c r="I325"/>
  <c r="I324"/>
  <c r="I323"/>
  <c r="I322"/>
  <c r="I321"/>
  <c r="I320"/>
  <c r="I319"/>
  <c r="I318"/>
  <c r="I317"/>
  <c r="I316"/>
  <c r="I315"/>
  <c r="I314"/>
  <c r="I313"/>
  <c r="I312"/>
  <c r="I311"/>
  <c r="I310"/>
  <c r="I309"/>
  <c r="I308"/>
  <c r="I307"/>
  <c r="I306"/>
  <c r="I305"/>
  <c r="I304"/>
  <c r="I303"/>
  <c r="I302"/>
  <c r="I301"/>
  <c r="I300"/>
  <c r="I299"/>
  <c r="I298"/>
  <c r="I297"/>
  <c r="I296"/>
  <c r="I295"/>
  <c r="I294"/>
  <c r="I293"/>
  <c r="I292"/>
  <c r="I291"/>
  <c r="I290"/>
  <c r="I289"/>
  <c r="I288"/>
  <c r="I287"/>
  <c r="I286"/>
  <c r="I285"/>
  <c r="I284"/>
  <c r="I283"/>
  <c r="I282"/>
  <c r="I281"/>
  <c r="I280"/>
  <c r="I279"/>
  <c r="I278"/>
  <c r="I277"/>
  <c r="I276"/>
  <c r="I275"/>
  <c r="I274"/>
  <c r="I273"/>
  <c r="I272"/>
  <c r="I271"/>
  <c r="I270"/>
  <c r="I269"/>
  <c r="I268"/>
  <c r="I267"/>
  <c r="I266"/>
  <c r="I265"/>
  <c r="I264"/>
  <c r="I263"/>
  <c r="I262"/>
  <c r="I261"/>
  <c r="I260"/>
  <c r="I259"/>
  <c r="I258"/>
  <c r="I257"/>
  <c r="I256"/>
  <c r="I255"/>
  <c r="I254"/>
  <c r="I253"/>
  <c r="I252"/>
  <c r="I251"/>
  <c r="I250"/>
  <c r="I249"/>
  <c r="I248"/>
  <c r="I247"/>
  <c r="I246"/>
  <c r="I245"/>
  <c r="I244"/>
  <c r="I243"/>
  <c r="I242"/>
  <c r="I241"/>
  <c r="I240"/>
  <c r="I239"/>
  <c r="I238"/>
  <c r="I237"/>
  <c r="I236"/>
  <c r="I235"/>
  <c r="I234"/>
  <c r="I233"/>
  <c r="I232"/>
  <c r="I231"/>
  <c r="I230"/>
  <c r="I229"/>
  <c r="I228"/>
  <c r="I227"/>
  <c r="I226"/>
  <c r="I225"/>
  <c r="I224"/>
  <c r="I223"/>
  <c r="I222"/>
  <c r="I221"/>
  <c r="I220"/>
  <c r="I219"/>
  <c r="I218"/>
  <c r="I217"/>
  <c r="I216"/>
  <c r="I215"/>
  <c r="I214"/>
  <c r="I213"/>
  <c r="I212"/>
  <c r="I211"/>
  <c r="I210"/>
  <c r="I209"/>
  <c r="I208"/>
  <c r="I207"/>
  <c r="I206"/>
  <c r="I205"/>
  <c r="I204"/>
  <c r="I203"/>
  <c r="I202"/>
  <c r="I201"/>
  <c r="I200"/>
  <c r="I199"/>
  <c r="I198"/>
  <c r="I197"/>
  <c r="I196"/>
  <c r="I195"/>
  <c r="I194"/>
  <c r="I193"/>
  <c r="I192"/>
  <c r="I191"/>
  <c r="I190"/>
  <c r="I189"/>
  <c r="I188"/>
  <c r="I187"/>
  <c r="I186"/>
  <c r="I185"/>
  <c r="I184"/>
  <c r="I183"/>
  <c r="I182"/>
  <c r="I181"/>
  <c r="I180"/>
  <c r="I179"/>
  <c r="I178"/>
  <c r="I177"/>
  <c r="I176"/>
  <c r="I175"/>
  <c r="I174"/>
  <c r="I173"/>
  <c r="I172"/>
  <c r="I171"/>
  <c r="I170"/>
  <c r="I169"/>
  <c r="I168"/>
  <c r="I167"/>
  <c r="I166"/>
  <c r="I165"/>
  <c r="I164"/>
  <c r="I163"/>
  <c r="I162"/>
  <c r="I161"/>
  <c r="I160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3"/>
  <c r="I82"/>
  <c r="I81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M10" i="37" l="1"/>
  <c r="L10"/>
  <c r="K10"/>
  <c r="J10"/>
  <c r="I10"/>
  <c r="H10"/>
  <c r="G10"/>
  <c r="F10"/>
  <c r="E10"/>
  <c r="M9"/>
  <c r="L9"/>
  <c r="K9"/>
  <c r="J9"/>
  <c r="I9"/>
  <c r="H9"/>
  <c r="G9"/>
  <c r="F9"/>
  <c r="E9"/>
  <c r="M8"/>
  <c r="L8"/>
  <c r="K8"/>
  <c r="J8"/>
  <c r="I8"/>
  <c r="H8"/>
  <c r="G8"/>
  <c r="F8"/>
  <c r="E8"/>
  <c r="M7"/>
  <c r="L7"/>
  <c r="K7"/>
  <c r="J7"/>
  <c r="I7"/>
  <c r="H7"/>
  <c r="G7"/>
  <c r="F7"/>
  <c r="E7"/>
  <c r="M6"/>
  <c r="L6"/>
  <c r="K6"/>
  <c r="J6"/>
  <c r="I6"/>
  <c r="H6"/>
  <c r="G6"/>
  <c r="F6"/>
  <c r="E6"/>
  <c r="M5"/>
  <c r="L5"/>
  <c r="K5"/>
  <c r="J5"/>
  <c r="I5"/>
  <c r="H5"/>
  <c r="G5"/>
  <c r="F5"/>
  <c r="E5"/>
  <c r="D9"/>
  <c r="D8"/>
  <c r="D7"/>
  <c r="D6"/>
  <c r="D5"/>
  <c r="D10"/>
  <c r="C38" i="32"/>
  <c r="F40"/>
  <c r="E40"/>
  <c r="D40"/>
  <c r="G40" l="1"/>
  <c r="I40" s="1"/>
  <c r="J138" i="64" l="1"/>
  <c r="K138" l="1"/>
  <c r="H52" i="54" s="1"/>
  <c r="G52"/>
  <c r="Q211" i="64"/>
  <c r="Q138"/>
  <c r="Q102"/>
  <c r="Q101"/>
  <c r="Q100"/>
  <c r="Q99"/>
  <c r="Q98"/>
  <c r="Q97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115" i="62"/>
  <c r="Q114"/>
  <c r="Q113"/>
  <c r="Q112"/>
  <c r="Q111"/>
  <c r="Q110"/>
  <c r="Q109"/>
  <c r="Q108"/>
  <c r="Q107"/>
  <c r="Q106"/>
  <c r="Q105"/>
  <c r="Q104"/>
  <c r="Q103"/>
  <c r="Q102"/>
  <c r="Q101"/>
  <c r="Q100"/>
  <c r="Q99"/>
  <c r="Q98"/>
  <c r="Q97"/>
  <c r="Q96"/>
  <c r="Q95"/>
  <c r="Q94"/>
  <c r="Q93"/>
  <c r="Q92"/>
  <c r="Q91"/>
  <c r="Q123" i="70"/>
  <c r="I459" i="69" s="1"/>
  <c r="Q121" i="70"/>
  <c r="I448" i="69" s="1"/>
  <c r="Q120" i="70"/>
  <c r="I445" i="69" s="1"/>
  <c r="Q119" i="70"/>
  <c r="I433" i="69" s="1"/>
  <c r="Q118" i="70"/>
  <c r="I430" i="69" s="1"/>
  <c r="Q117" i="70"/>
  <c r="I425" i="69" s="1"/>
  <c r="W3" i="59"/>
  <c r="W3" i="58"/>
  <c r="H162" i="26" l="1"/>
  <c r="M52" i="54"/>
  <c r="G162" i="26"/>
  <c r="L52" i="54"/>
  <c r="F75" i="71"/>
  <c r="Q8" i="60" s="1"/>
  <c r="F25" i="71"/>
  <c r="F328"/>
  <c r="F376"/>
  <c r="F374"/>
  <c r="F370"/>
  <c r="F366"/>
  <c r="F362"/>
  <c r="F356"/>
  <c r="F350"/>
  <c r="F346"/>
  <c r="F344"/>
  <c r="F342"/>
  <c r="F339"/>
  <c r="F337"/>
  <c r="F335"/>
  <c r="F333"/>
  <c r="F330"/>
  <c r="F322"/>
  <c r="F321" s="1"/>
  <c r="F319"/>
  <c r="F317"/>
  <c r="F312"/>
  <c r="F308"/>
  <c r="F304"/>
  <c r="F301"/>
  <c r="F299"/>
  <c r="F295"/>
  <c r="F290"/>
  <c r="F286"/>
  <c r="F282"/>
  <c r="F281" s="1"/>
  <c r="F279"/>
  <c r="F277"/>
  <c r="F274"/>
  <c r="F270"/>
  <c r="F267"/>
  <c r="F265"/>
  <c r="F261"/>
  <c r="F253"/>
  <c r="F242"/>
  <c r="F239"/>
  <c r="F212"/>
  <c r="F235" s="1"/>
  <c r="F231"/>
  <c r="F228"/>
  <c r="F224"/>
  <c r="F220"/>
  <c r="F216"/>
  <c r="F208"/>
  <c r="F204"/>
  <c r="F198"/>
  <c r="F192"/>
  <c r="F191" s="1"/>
  <c r="F185"/>
  <c r="F179"/>
  <c r="F174"/>
  <c r="F172"/>
  <c r="F168"/>
  <c r="F166"/>
  <c r="F161"/>
  <c r="F156"/>
  <c r="F154"/>
  <c r="F152"/>
  <c r="F144"/>
  <c r="F121"/>
  <c r="F140"/>
  <c r="F137"/>
  <c r="F136" s="1"/>
  <c r="F133"/>
  <c r="F126"/>
  <c r="F124"/>
  <c r="F119"/>
  <c r="F115"/>
  <c r="F111"/>
  <c r="F108"/>
  <c r="F106"/>
  <c r="F103"/>
  <c r="Q25" i="61" s="1"/>
  <c r="F102" i="71"/>
  <c r="Q24" i="61" s="1"/>
  <c r="F14" i="71"/>
  <c r="F98"/>
  <c r="F97" s="1"/>
  <c r="F96"/>
  <c r="Q19" i="61" s="1"/>
  <c r="F95" i="71"/>
  <c r="Q18" i="61" s="1"/>
  <c r="F94" i="71"/>
  <c r="Q17" i="61" s="1"/>
  <c r="F93" i="71"/>
  <c r="Q16" i="61" s="1"/>
  <c r="F91" i="71"/>
  <c r="Q14" i="61" s="1"/>
  <c r="F90" i="71"/>
  <c r="Q13" i="61" s="1"/>
  <c r="F89" i="71"/>
  <c r="Q12" i="61" s="1"/>
  <c r="F88" i="71"/>
  <c r="Q11" i="61" s="1"/>
  <c r="F87" i="71"/>
  <c r="Q10" i="61" s="1"/>
  <c r="F86" i="71"/>
  <c r="Q9" i="61" s="1"/>
  <c r="F85" i="71"/>
  <c r="Q8" i="61" s="1"/>
  <c r="F81" i="71"/>
  <c r="Q18" i="60" s="1"/>
  <c r="F80" i="71"/>
  <c r="Q17" i="60" s="1"/>
  <c r="F79" i="71"/>
  <c r="Q16" i="60" s="1"/>
  <c r="F78" i="71"/>
  <c r="Q15" i="60" s="1"/>
  <c r="F76" i="71"/>
  <c r="Q9" i="60" s="1"/>
  <c r="F74" i="71"/>
  <c r="Q7" i="60" s="1"/>
  <c r="F70" i="71"/>
  <c r="F68"/>
  <c r="F65"/>
  <c r="F63"/>
  <c r="F58"/>
  <c r="F53"/>
  <c r="F49"/>
  <c r="F45"/>
  <c r="F40"/>
  <c r="F36"/>
  <c r="F34"/>
  <c r="F32"/>
  <c r="F29"/>
  <c r="F22"/>
  <c r="F20"/>
  <c r="F17"/>
  <c r="F11"/>
  <c r="F7"/>
  <c r="W3" i="61"/>
  <c r="X3"/>
  <c r="Y3" l="1"/>
  <c r="I146" i="53"/>
  <c r="J146"/>
  <c r="F139" i="71"/>
  <c r="Q122" i="70"/>
  <c r="I450" i="69" s="1"/>
  <c r="F369" i="71"/>
  <c r="F234"/>
  <c r="F233" s="1"/>
  <c r="F327"/>
  <c r="F105"/>
  <c r="F273"/>
  <c r="F272" s="1"/>
  <c r="F67"/>
  <c r="F92"/>
  <c r="F285"/>
  <c r="F307"/>
  <c r="F197"/>
  <c r="F196" s="1"/>
  <c r="F195" s="1"/>
  <c r="F143"/>
  <c r="F142" s="1"/>
  <c r="F141" s="1"/>
  <c r="G141" s="1"/>
  <c r="F123"/>
  <c r="F101"/>
  <c r="F100" s="1"/>
  <c r="F263"/>
  <c r="F258"/>
  <c r="F248"/>
  <c r="I145" i="53" l="1"/>
  <c r="I60" i="55"/>
  <c r="J145" i="53"/>
  <c r="J60" i="55"/>
  <c r="J59" s="1"/>
  <c r="I13" i="57" s="1"/>
  <c r="F104" i="71"/>
  <c r="G104" s="1"/>
  <c r="F326"/>
  <c r="G326" s="1"/>
  <c r="F284"/>
  <c r="G284" s="1"/>
  <c r="F247"/>
  <c r="F246" s="1"/>
  <c r="G195"/>
  <c r="F28"/>
  <c r="F27" s="1"/>
  <c r="G27" s="1"/>
  <c r="F6"/>
  <c r="F5" s="1"/>
  <c r="G5" s="1"/>
  <c r="I59" i="55" l="1"/>
  <c r="H13" i="57" s="1"/>
  <c r="F84" i="71"/>
  <c r="F83" s="1"/>
  <c r="F82" s="1"/>
  <c r="G82" s="1"/>
  <c r="F77"/>
  <c r="F73"/>
  <c r="F72" l="1"/>
  <c r="G72" s="1"/>
  <c r="E25" i="61" l="1"/>
  <c r="E122" i="70"/>
  <c r="E24" i="61"/>
  <c r="E19"/>
  <c r="E18"/>
  <c r="E17"/>
  <c r="E16"/>
  <c r="E14"/>
  <c r="E28" i="60" s="1"/>
  <c r="E13" i="61"/>
  <c r="E12"/>
  <c r="E26" i="60" s="1"/>
  <c r="E11" i="61"/>
  <c r="E25" i="60" s="1"/>
  <c r="E10" i="61"/>
  <c r="E9"/>
  <c r="E8"/>
  <c r="E27" i="60" l="1"/>
  <c r="E88" i="62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7" i="60" l="1"/>
  <c r="E22" s="1"/>
  <c r="E8"/>
  <c r="E23" s="1"/>
  <c r="E9"/>
  <c r="E24" s="1"/>
  <c r="E15"/>
  <c r="E30" s="1"/>
  <c r="E16"/>
  <c r="E31" s="1"/>
  <c r="E17"/>
  <c r="E32" s="1"/>
  <c r="E18"/>
  <c r="E33" s="1"/>
  <c r="E77" i="64" l="1"/>
  <c r="E78"/>
  <c r="E79"/>
  <c r="E80"/>
  <c r="E81"/>
  <c r="E82"/>
  <c r="E83"/>
  <c r="E84"/>
  <c r="J182" i="53"/>
  <c r="I182"/>
  <c r="H182"/>
  <c r="J74" i="67"/>
  <c r="G182" i="53"/>
  <c r="F182"/>
  <c r="G132"/>
  <c r="G180" i="55" s="1"/>
  <c r="F132" i="53"/>
  <c r="F180" i="55" s="1"/>
  <c r="F46" i="29"/>
  <c r="D46"/>
  <c r="F40"/>
  <c r="D40"/>
  <c r="G176" i="53"/>
  <c r="F176"/>
  <c r="D31" i="31"/>
  <c r="E31" s="1"/>
  <c r="F31" s="1"/>
  <c r="J132" i="53" s="1"/>
  <c r="D30" i="31"/>
  <c r="H176" i="53" s="1"/>
  <c r="W3" i="67"/>
  <c r="H46" s="1"/>
  <c r="K57"/>
  <c r="K54"/>
  <c r="G47"/>
  <c r="Q47" s="1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74"/>
  <c r="V45"/>
  <c r="V76" i="64"/>
  <c r="J179" i="55"/>
  <c r="I179"/>
  <c r="H179"/>
  <c r="G179"/>
  <c r="J178"/>
  <c r="I178"/>
  <c r="H178"/>
  <c r="G178"/>
  <c r="J177"/>
  <c r="I177"/>
  <c r="H177"/>
  <c r="G177"/>
  <c r="F179"/>
  <c r="F178"/>
  <c r="F177"/>
  <c r="H44" i="57"/>
  <c r="H13" i="75" s="1"/>
  <c r="I44" i="57"/>
  <c r="J13" i="75" s="1"/>
  <c r="J80" i="67" l="1"/>
  <c r="J78"/>
  <c r="J76"/>
  <c r="I71"/>
  <c r="I79"/>
  <c r="I77"/>
  <c r="I81"/>
  <c r="I76"/>
  <c r="I80"/>
  <c r="I75"/>
  <c r="I74"/>
  <c r="I78"/>
  <c r="K75"/>
  <c r="K77"/>
  <c r="K79"/>
  <c r="K81"/>
  <c r="G51"/>
  <c r="Q51" s="1"/>
  <c r="H62"/>
  <c r="J75"/>
  <c r="J77"/>
  <c r="J79"/>
  <c r="J81"/>
  <c r="G49"/>
  <c r="Q49" s="1"/>
  <c r="G59"/>
  <c r="Q59" s="1"/>
  <c r="K74"/>
  <c r="K76"/>
  <c r="K78"/>
  <c r="K80"/>
  <c r="J180" i="55"/>
  <c r="H46" i="29"/>
  <c r="G46"/>
  <c r="H132" i="53"/>
  <c r="I132"/>
  <c r="I46" i="29"/>
  <c r="E30" i="31"/>
  <c r="G40" i="29"/>
  <c r="H64" i="67"/>
  <c r="H50"/>
  <c r="G57"/>
  <c r="Q57" s="1"/>
  <c r="H60"/>
  <c r="K66"/>
  <c r="G46"/>
  <c r="Q46" s="1"/>
  <c r="H48"/>
  <c r="G50"/>
  <c r="Q50" s="1"/>
  <c r="K55"/>
  <c r="K59"/>
  <c r="I64"/>
  <c r="H49"/>
  <c r="J55"/>
  <c r="G58"/>
  <c r="Q58" s="1"/>
  <c r="G62"/>
  <c r="Q62" s="1"/>
  <c r="H66"/>
  <c r="H61"/>
  <c r="I63"/>
  <c r="I65"/>
  <c r="H69"/>
  <c r="J54"/>
  <c r="J56"/>
  <c r="K58"/>
  <c r="G61"/>
  <c r="Q61" s="1"/>
  <c r="G63"/>
  <c r="Q63" s="1"/>
  <c r="H65"/>
  <c r="I68"/>
  <c r="H52"/>
  <c r="H53"/>
  <c r="H54"/>
  <c r="I55"/>
  <c r="I56"/>
  <c r="I57"/>
  <c r="J58"/>
  <c r="J59"/>
  <c r="J60"/>
  <c r="K61"/>
  <c r="K62"/>
  <c r="K63"/>
  <c r="G65"/>
  <c r="Q65" s="1"/>
  <c r="G66"/>
  <c r="Q66" s="1"/>
  <c r="J67"/>
  <c r="J71"/>
  <c r="G53"/>
  <c r="Q53" s="1"/>
  <c r="G54"/>
  <c r="Q54" s="1"/>
  <c r="G55"/>
  <c r="Q55" s="1"/>
  <c r="H56"/>
  <c r="H57"/>
  <c r="H58"/>
  <c r="I59"/>
  <c r="I60"/>
  <c r="I61"/>
  <c r="J62"/>
  <c r="J63"/>
  <c r="J64"/>
  <c r="K65"/>
  <c r="G67"/>
  <c r="Q67" s="1"/>
  <c r="G70"/>
  <c r="Q70" s="1"/>
  <c r="K70"/>
  <c r="H47"/>
  <c r="G48"/>
  <c r="Q48" s="1"/>
  <c r="H51"/>
  <c r="G52"/>
  <c r="Q52" s="1"/>
  <c r="I54"/>
  <c r="H55"/>
  <c r="G56"/>
  <c r="Q56" s="1"/>
  <c r="K56"/>
  <c r="J57"/>
  <c r="I58"/>
  <c r="H59"/>
  <c r="G60"/>
  <c r="Q60" s="1"/>
  <c r="K60"/>
  <c r="J61"/>
  <c r="I62"/>
  <c r="H63"/>
  <c r="G64"/>
  <c r="Q64" s="1"/>
  <c r="K64"/>
  <c r="J65"/>
  <c r="I66"/>
  <c r="H67"/>
  <c r="G68"/>
  <c r="Q68" s="1"/>
  <c r="K68"/>
  <c r="J69"/>
  <c r="I70"/>
  <c r="H71"/>
  <c r="K67"/>
  <c r="J68"/>
  <c r="I69"/>
  <c r="H70"/>
  <c r="G71"/>
  <c r="Q71" s="1"/>
  <c r="K71"/>
  <c r="J66"/>
  <c r="I67"/>
  <c r="H68"/>
  <c r="G69"/>
  <c r="Q69" s="1"/>
  <c r="K69"/>
  <c r="J70"/>
  <c r="H180" i="55" l="1"/>
  <c r="I180"/>
  <c r="F30" i="31"/>
  <c r="I176" i="53"/>
  <c r="H40" i="29"/>
  <c r="G45" i="67"/>
  <c r="H45"/>
  <c r="J176" i="53" l="1"/>
  <c r="I40" i="29"/>
  <c r="D64" i="54"/>
  <c r="E64"/>
  <c r="I47" i="57" l="1"/>
  <c r="J14" i="75" s="1"/>
  <c r="H47" i="57"/>
  <c r="H14" i="75" s="1"/>
  <c r="G47" i="57"/>
  <c r="F47"/>
  <c r="E47"/>
  <c r="J20" i="55"/>
  <c r="I20"/>
  <c r="H20"/>
  <c r="G20"/>
  <c r="J26"/>
  <c r="I26"/>
  <c r="H26"/>
  <c r="G26"/>
  <c r="J32"/>
  <c r="I32"/>
  <c r="H32"/>
  <c r="G32"/>
  <c r="J38"/>
  <c r="I38"/>
  <c r="H38"/>
  <c r="G38"/>
  <c r="F38"/>
  <c r="F32"/>
  <c r="F26"/>
  <c r="F20"/>
  <c r="J231"/>
  <c r="I231"/>
  <c r="H231"/>
  <c r="G231"/>
  <c r="J230"/>
  <c r="I230"/>
  <c r="H230"/>
  <c r="G230"/>
  <c r="J229"/>
  <c r="I229"/>
  <c r="H229"/>
  <c r="G229"/>
  <c r="J228"/>
  <c r="I228"/>
  <c r="H228"/>
  <c r="G228"/>
  <c r="F231"/>
  <c r="F230"/>
  <c r="F229"/>
  <c r="F228"/>
  <c r="J212"/>
  <c r="I212"/>
  <c r="H212"/>
  <c r="G212"/>
  <c r="J211"/>
  <c r="I211"/>
  <c r="H211"/>
  <c r="G211"/>
  <c r="F212"/>
  <c r="F211"/>
  <c r="F63" i="57" l="1"/>
  <c r="E59" i="65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62" i="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X3" i="70"/>
  <c r="W3"/>
  <c r="Y3" l="1"/>
  <c r="E17" i="43"/>
  <c r="D17"/>
  <c r="E16"/>
  <c r="D16"/>
  <c r="E15"/>
  <c r="D15"/>
  <c r="E14"/>
  <c r="D14"/>
  <c r="E13"/>
  <c r="D13"/>
  <c r="E12"/>
  <c r="D12"/>
  <c r="E11"/>
  <c r="D11"/>
  <c r="E9"/>
  <c r="D9"/>
  <c r="E8"/>
  <c r="D8"/>
  <c r="E7"/>
  <c r="D7"/>
  <c r="E6" l="1"/>
  <c r="D6"/>
  <c r="C17"/>
  <c r="E29" i="35" l="1"/>
  <c r="H8" i="32"/>
  <c r="F20"/>
  <c r="F19"/>
  <c r="F18"/>
  <c r="F17"/>
  <c r="F16"/>
  <c r="F15"/>
  <c r="F14"/>
  <c r="F13"/>
  <c r="F12"/>
  <c r="E22"/>
  <c r="E21"/>
  <c r="E20"/>
  <c r="E19"/>
  <c r="E18"/>
  <c r="E17"/>
  <c r="E16"/>
  <c r="E15"/>
  <c r="E14"/>
  <c r="E13"/>
  <c r="E12"/>
  <c r="E11"/>
  <c r="C22"/>
  <c r="D22" s="1"/>
  <c r="C21"/>
  <c r="D21" s="1"/>
  <c r="C20"/>
  <c r="D20" s="1"/>
  <c r="C19"/>
  <c r="C18"/>
  <c r="D18" s="1"/>
  <c r="C17"/>
  <c r="D17" s="1"/>
  <c r="C16"/>
  <c r="D16" s="1"/>
  <c r="C15"/>
  <c r="C14"/>
  <c r="D14" s="1"/>
  <c r="C13"/>
  <c r="D13" s="1"/>
  <c r="C12"/>
  <c r="D12" s="1"/>
  <c r="C11"/>
  <c r="C10"/>
  <c r="D10" s="1"/>
  <c r="C9"/>
  <c r="Z12" i="67"/>
  <c r="X3" i="63"/>
  <c r="AB3"/>
  <c r="I162" i="26"/>
  <c r="K484" i="69"/>
  <c r="K483"/>
  <c r="K482"/>
  <c r="K481"/>
  <c r="K480"/>
  <c r="K479"/>
  <c r="K478"/>
  <c r="K477"/>
  <c r="K476"/>
  <c r="K475"/>
  <c r="K474"/>
  <c r="K473"/>
  <c r="K472"/>
  <c r="K471"/>
  <c r="K470"/>
  <c r="K469"/>
  <c r="K468"/>
  <c r="K467"/>
  <c r="K466"/>
  <c r="K465"/>
  <c r="K464"/>
  <c r="K463"/>
  <c r="K462"/>
  <c r="K461"/>
  <c r="K460"/>
  <c r="K459"/>
  <c r="K458"/>
  <c r="K457"/>
  <c r="K456"/>
  <c r="K455"/>
  <c r="K454"/>
  <c r="K453"/>
  <c r="K452"/>
  <c r="K451"/>
  <c r="K450"/>
  <c r="K449"/>
  <c r="K448"/>
  <c r="K447"/>
  <c r="K446"/>
  <c r="K445"/>
  <c r="K444"/>
  <c r="K443"/>
  <c r="K442"/>
  <c r="K441"/>
  <c r="K440"/>
  <c r="K439"/>
  <c r="K438"/>
  <c r="K437"/>
  <c r="K436"/>
  <c r="K435"/>
  <c r="K434"/>
  <c r="K433"/>
  <c r="K432"/>
  <c r="K431"/>
  <c r="K430"/>
  <c r="K429"/>
  <c r="K428"/>
  <c r="K427"/>
  <c r="K426"/>
  <c r="K425"/>
  <c r="K424"/>
  <c r="K423"/>
  <c r="K422"/>
  <c r="K421"/>
  <c r="K420"/>
  <c r="K419"/>
  <c r="K418"/>
  <c r="K417"/>
  <c r="K416"/>
  <c r="K415"/>
  <c r="K414"/>
  <c r="K413"/>
  <c r="K412"/>
  <c r="K411"/>
  <c r="K410"/>
  <c r="K409"/>
  <c r="K408"/>
  <c r="K407"/>
  <c r="K406"/>
  <c r="K405"/>
  <c r="K404"/>
  <c r="K403"/>
  <c r="K402"/>
  <c r="K401"/>
  <c r="K400"/>
  <c r="K399"/>
  <c r="K398"/>
  <c r="K397"/>
  <c r="K396"/>
  <c r="K395"/>
  <c r="K394"/>
  <c r="K393"/>
  <c r="K392"/>
  <c r="K391"/>
  <c r="K390"/>
  <c r="K389"/>
  <c r="K388"/>
  <c r="K387"/>
  <c r="K386"/>
  <c r="K385"/>
  <c r="K384"/>
  <c r="K383"/>
  <c r="K382"/>
  <c r="K381"/>
  <c r="K380"/>
  <c r="K379"/>
  <c r="K378"/>
  <c r="K377"/>
  <c r="K376"/>
  <c r="K375"/>
  <c r="K374"/>
  <c r="K373"/>
  <c r="K372"/>
  <c r="K371"/>
  <c r="K370"/>
  <c r="K369"/>
  <c r="K368"/>
  <c r="K367"/>
  <c r="K366"/>
  <c r="K365"/>
  <c r="K364"/>
  <c r="K363"/>
  <c r="K362"/>
  <c r="K361"/>
  <c r="K360"/>
  <c r="K359"/>
  <c r="K358"/>
  <c r="K357"/>
  <c r="K356"/>
  <c r="K355"/>
  <c r="K354"/>
  <c r="K353"/>
  <c r="K352"/>
  <c r="K351"/>
  <c r="K350"/>
  <c r="K349"/>
  <c r="K348"/>
  <c r="K347"/>
  <c r="K346"/>
  <c r="K345"/>
  <c r="K344"/>
  <c r="K343"/>
  <c r="K342"/>
  <c r="K341"/>
  <c r="K340"/>
  <c r="K339"/>
  <c r="K338"/>
  <c r="K337"/>
  <c r="K336"/>
  <c r="K335"/>
  <c r="K334"/>
  <c r="K333"/>
  <c r="K332"/>
  <c r="K331"/>
  <c r="K330"/>
  <c r="K329"/>
  <c r="K328"/>
  <c r="K327"/>
  <c r="K326"/>
  <c r="K325"/>
  <c r="K324"/>
  <c r="K323"/>
  <c r="K322"/>
  <c r="K321"/>
  <c r="K320"/>
  <c r="K319"/>
  <c r="K318"/>
  <c r="K317"/>
  <c r="K316"/>
  <c r="K315"/>
  <c r="K314"/>
  <c r="K313"/>
  <c r="K312"/>
  <c r="K311"/>
  <c r="K310"/>
  <c r="K309"/>
  <c r="K308"/>
  <c r="K307"/>
  <c r="K306"/>
  <c r="K305"/>
  <c r="K304"/>
  <c r="K303"/>
  <c r="K302"/>
  <c r="K301"/>
  <c r="K300"/>
  <c r="K299"/>
  <c r="K298"/>
  <c r="K297"/>
  <c r="K296"/>
  <c r="K295"/>
  <c r="K294"/>
  <c r="K293"/>
  <c r="K292"/>
  <c r="K291"/>
  <c r="K290"/>
  <c r="K289"/>
  <c r="K288"/>
  <c r="K287"/>
  <c r="K286"/>
  <c r="K285"/>
  <c r="K284"/>
  <c r="K283"/>
  <c r="K282"/>
  <c r="K281"/>
  <c r="K280"/>
  <c r="K279"/>
  <c r="K278"/>
  <c r="K277"/>
  <c r="K276"/>
  <c r="K275"/>
  <c r="K274"/>
  <c r="K273"/>
  <c r="K272"/>
  <c r="K271"/>
  <c r="K270"/>
  <c r="K269"/>
  <c r="K268"/>
  <c r="K267"/>
  <c r="K266"/>
  <c r="K265"/>
  <c r="K264"/>
  <c r="K263"/>
  <c r="K262"/>
  <c r="K261"/>
  <c r="K260"/>
  <c r="K259"/>
  <c r="K258"/>
  <c r="K257"/>
  <c r="K256"/>
  <c r="K255"/>
  <c r="K254"/>
  <c r="K253"/>
  <c r="K252"/>
  <c r="K251"/>
  <c r="K250"/>
  <c r="K249"/>
  <c r="K248"/>
  <c r="K247"/>
  <c r="K246"/>
  <c r="K245"/>
  <c r="K244"/>
  <c r="K243"/>
  <c r="K242"/>
  <c r="K241"/>
  <c r="K240"/>
  <c r="K239"/>
  <c r="K205"/>
  <c r="K204"/>
  <c r="K203"/>
  <c r="K202"/>
  <c r="K201"/>
  <c r="K200"/>
  <c r="K199"/>
  <c r="K198"/>
  <c r="K197"/>
  <c r="K196"/>
  <c r="K195"/>
  <c r="K194"/>
  <c r="K193"/>
  <c r="K192"/>
  <c r="K191"/>
  <c r="K190"/>
  <c r="K189"/>
  <c r="K188"/>
  <c r="K187"/>
  <c r="K186"/>
  <c r="K185"/>
  <c r="K184"/>
  <c r="K183"/>
  <c r="K182"/>
  <c r="K181"/>
  <c r="K180"/>
  <c r="K179"/>
  <c r="K178"/>
  <c r="K177"/>
  <c r="K176"/>
  <c r="K175"/>
  <c r="K174"/>
  <c r="K173"/>
  <c r="K172"/>
  <c r="K171"/>
  <c r="K170"/>
  <c r="K169"/>
  <c r="K168"/>
  <c r="K167"/>
  <c r="K166"/>
  <c r="K165"/>
  <c r="K164"/>
  <c r="K163"/>
  <c r="K162"/>
  <c r="K161"/>
  <c r="K160"/>
  <c r="K159"/>
  <c r="K158"/>
  <c r="K157"/>
  <c r="K156"/>
  <c r="K155"/>
  <c r="K154"/>
  <c r="K153"/>
  <c r="K152"/>
  <c r="K151"/>
  <c r="K150"/>
  <c r="K149"/>
  <c r="K148"/>
  <c r="K147"/>
  <c r="K146"/>
  <c r="K145"/>
  <c r="K144"/>
  <c r="K143"/>
  <c r="K142"/>
  <c r="K141"/>
  <c r="K140"/>
  <c r="K139"/>
  <c r="K138"/>
  <c r="K137"/>
  <c r="K136"/>
  <c r="K135"/>
  <c r="K134"/>
  <c r="K133"/>
  <c r="K132"/>
  <c r="K131"/>
  <c r="K130"/>
  <c r="K129"/>
  <c r="K128"/>
  <c r="K127"/>
  <c r="K126"/>
  <c r="K125"/>
  <c r="K124"/>
  <c r="K123"/>
  <c r="K122"/>
  <c r="K121"/>
  <c r="K120"/>
  <c r="K119"/>
  <c r="K118"/>
  <c r="K117"/>
  <c r="K116"/>
  <c r="K115"/>
  <c r="K114"/>
  <c r="K113"/>
  <c r="K112"/>
  <c r="K111"/>
  <c r="K110"/>
  <c r="K109"/>
  <c r="K108"/>
  <c r="K107"/>
  <c r="K106"/>
  <c r="K105"/>
  <c r="K104"/>
  <c r="K103"/>
  <c r="K102"/>
  <c r="K101"/>
  <c r="K100"/>
  <c r="K99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L484"/>
  <c r="L483"/>
  <c r="L482"/>
  <c r="L481"/>
  <c r="L480"/>
  <c r="L479"/>
  <c r="L478"/>
  <c r="L477"/>
  <c r="L476"/>
  <c r="L475"/>
  <c r="L474"/>
  <c r="L473"/>
  <c r="L472"/>
  <c r="L471"/>
  <c r="L470"/>
  <c r="L469"/>
  <c r="L468"/>
  <c r="L467"/>
  <c r="L466"/>
  <c r="L465"/>
  <c r="L464"/>
  <c r="L463"/>
  <c r="L462"/>
  <c r="L461"/>
  <c r="L460"/>
  <c r="L459"/>
  <c r="L458"/>
  <c r="L457"/>
  <c r="L456"/>
  <c r="L455"/>
  <c r="L454"/>
  <c r="L453"/>
  <c r="L452"/>
  <c r="L451"/>
  <c r="L450"/>
  <c r="L449"/>
  <c r="L448"/>
  <c r="L447"/>
  <c r="L446"/>
  <c r="L445"/>
  <c r="L444"/>
  <c r="L443"/>
  <c r="L442"/>
  <c r="L441"/>
  <c r="L440"/>
  <c r="L439"/>
  <c r="L438"/>
  <c r="L437"/>
  <c r="L436"/>
  <c r="L435"/>
  <c r="L434"/>
  <c r="L433"/>
  <c r="L432"/>
  <c r="L431"/>
  <c r="L430"/>
  <c r="L429"/>
  <c r="L428"/>
  <c r="L427"/>
  <c r="L426"/>
  <c r="L425"/>
  <c r="L424"/>
  <c r="L423"/>
  <c r="L422"/>
  <c r="L421"/>
  <c r="L420"/>
  <c r="L419"/>
  <c r="L418"/>
  <c r="L417"/>
  <c r="L416"/>
  <c r="L415"/>
  <c r="L414"/>
  <c r="L413"/>
  <c r="L412"/>
  <c r="L411"/>
  <c r="L410"/>
  <c r="L409"/>
  <c r="L408"/>
  <c r="L407"/>
  <c r="L406"/>
  <c r="L405"/>
  <c r="L404"/>
  <c r="L403"/>
  <c r="L402"/>
  <c r="L401"/>
  <c r="L400"/>
  <c r="L399"/>
  <c r="L398"/>
  <c r="L397"/>
  <c r="L396"/>
  <c r="L395"/>
  <c r="L394"/>
  <c r="L393"/>
  <c r="L392"/>
  <c r="L391"/>
  <c r="L390"/>
  <c r="L389"/>
  <c r="L388"/>
  <c r="L387"/>
  <c r="L386"/>
  <c r="L385"/>
  <c r="L384"/>
  <c r="L383"/>
  <c r="L382"/>
  <c r="L381"/>
  <c r="L380"/>
  <c r="L379"/>
  <c r="L378"/>
  <c r="L377"/>
  <c r="L376"/>
  <c r="L375"/>
  <c r="L374"/>
  <c r="L373"/>
  <c r="L372"/>
  <c r="L370"/>
  <c r="L369"/>
  <c r="L368"/>
  <c r="L367"/>
  <c r="L366"/>
  <c r="L365"/>
  <c r="L364"/>
  <c r="L363"/>
  <c r="L362"/>
  <c r="L361"/>
  <c r="L360"/>
  <c r="L359"/>
  <c r="L358"/>
  <c r="L357"/>
  <c r="L356"/>
  <c r="L353"/>
  <c r="L352"/>
  <c r="L351"/>
  <c r="L350"/>
  <c r="L349"/>
  <c r="L348"/>
  <c r="L347"/>
  <c r="L346"/>
  <c r="L345"/>
  <c r="L344"/>
  <c r="L238"/>
  <c r="L237"/>
  <c r="L236"/>
  <c r="L235"/>
  <c r="L234"/>
  <c r="L233"/>
  <c r="L232"/>
  <c r="L231"/>
  <c r="L230"/>
  <c r="L229"/>
  <c r="L228"/>
  <c r="L227"/>
  <c r="L226"/>
  <c r="L225"/>
  <c r="L224"/>
  <c r="L223"/>
  <c r="L222"/>
  <c r="L221"/>
  <c r="L220"/>
  <c r="L219"/>
  <c r="L218"/>
  <c r="L217"/>
  <c r="L216"/>
  <c r="L215"/>
  <c r="L214"/>
  <c r="L213"/>
  <c r="L212"/>
  <c r="L211"/>
  <c r="L210"/>
  <c r="L209"/>
  <c r="L208"/>
  <c r="L207"/>
  <c r="L206"/>
  <c r="L179"/>
  <c r="L178"/>
  <c r="L177"/>
  <c r="L176"/>
  <c r="L175"/>
  <c r="L174"/>
  <c r="L173"/>
  <c r="L172"/>
  <c r="L171"/>
  <c r="L170"/>
  <c r="L169"/>
  <c r="L168"/>
  <c r="L167"/>
  <c r="L166"/>
  <c r="L165"/>
  <c r="L164"/>
  <c r="L163"/>
  <c r="L162"/>
  <c r="L161"/>
  <c r="L160"/>
  <c r="L159"/>
  <c r="L158"/>
  <c r="L157"/>
  <c r="L156"/>
  <c r="L155"/>
  <c r="L154"/>
  <c r="L153"/>
  <c r="L152"/>
  <c r="L151"/>
  <c r="L150"/>
  <c r="L149"/>
  <c r="L148"/>
  <c r="L147"/>
  <c r="L146"/>
  <c r="L145"/>
  <c r="L144"/>
  <c r="L143"/>
  <c r="L142"/>
  <c r="L141"/>
  <c r="L140"/>
  <c r="L139"/>
  <c r="L138"/>
  <c r="L137"/>
  <c r="L136"/>
  <c r="L135"/>
  <c r="L134"/>
  <c r="L133"/>
  <c r="L132"/>
  <c r="L131"/>
  <c r="L130"/>
  <c r="L129"/>
  <c r="L128"/>
  <c r="L127"/>
  <c r="L126"/>
  <c r="L125"/>
  <c r="L124"/>
  <c r="L123"/>
  <c r="L122"/>
  <c r="L121"/>
  <c r="L120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Y3" i="66"/>
  <c r="X3" i="62"/>
  <c r="O3" i="69"/>
  <c r="N484"/>
  <c r="N483"/>
  <c r="N482"/>
  <c r="N481"/>
  <c r="N480"/>
  <c r="N479"/>
  <c r="N478"/>
  <c r="N477"/>
  <c r="N476"/>
  <c r="N475"/>
  <c r="N474"/>
  <c r="N473"/>
  <c r="N472"/>
  <c r="N471"/>
  <c r="N470"/>
  <c r="N469"/>
  <c r="N468"/>
  <c r="N467"/>
  <c r="N466"/>
  <c r="N465"/>
  <c r="N464"/>
  <c r="N463"/>
  <c r="N462"/>
  <c r="N461"/>
  <c r="N460"/>
  <c r="N459"/>
  <c r="N458"/>
  <c r="N457"/>
  <c r="N456"/>
  <c r="N455"/>
  <c r="N454"/>
  <c r="N453"/>
  <c r="N452"/>
  <c r="N451"/>
  <c r="N450"/>
  <c r="N449"/>
  <c r="N448"/>
  <c r="N447"/>
  <c r="N446"/>
  <c r="N445"/>
  <c r="N444"/>
  <c r="N443"/>
  <c r="N442"/>
  <c r="N441"/>
  <c r="N440"/>
  <c r="N439"/>
  <c r="N438"/>
  <c r="N437"/>
  <c r="N436"/>
  <c r="N435"/>
  <c r="N434"/>
  <c r="N433"/>
  <c r="N432"/>
  <c r="N431"/>
  <c r="N430"/>
  <c r="N429"/>
  <c r="N428"/>
  <c r="N427"/>
  <c r="N426"/>
  <c r="N425"/>
  <c r="N399"/>
  <c r="N398"/>
  <c r="N397"/>
  <c r="N396"/>
  <c r="N395"/>
  <c r="N394"/>
  <c r="N393"/>
  <c r="N392"/>
  <c r="N391"/>
  <c r="N390"/>
  <c r="N389"/>
  <c r="N388"/>
  <c r="N387"/>
  <c r="N386"/>
  <c r="N385"/>
  <c r="N384"/>
  <c r="N383"/>
  <c r="N382"/>
  <c r="N381"/>
  <c r="N380"/>
  <c r="N379"/>
  <c r="N378"/>
  <c r="N377"/>
  <c r="N376"/>
  <c r="N375"/>
  <c r="N374"/>
  <c r="N373"/>
  <c r="N372"/>
  <c r="N371"/>
  <c r="N370"/>
  <c r="N369"/>
  <c r="N368"/>
  <c r="N367"/>
  <c r="N366"/>
  <c r="N365"/>
  <c r="N364"/>
  <c r="N363"/>
  <c r="N362"/>
  <c r="N361"/>
  <c r="N360"/>
  <c r="N359"/>
  <c r="N358"/>
  <c r="N357"/>
  <c r="N356"/>
  <c r="N355"/>
  <c r="N354"/>
  <c r="N353"/>
  <c r="N352"/>
  <c r="N351"/>
  <c r="N350"/>
  <c r="N349"/>
  <c r="N348"/>
  <c r="N347"/>
  <c r="N346"/>
  <c r="N345"/>
  <c r="N344"/>
  <c r="N343"/>
  <c r="N342"/>
  <c r="N341"/>
  <c r="N340"/>
  <c r="N339"/>
  <c r="N338"/>
  <c r="N337"/>
  <c r="N336"/>
  <c r="N335"/>
  <c r="N334"/>
  <c r="N333"/>
  <c r="N332"/>
  <c r="N331"/>
  <c r="N330"/>
  <c r="N329"/>
  <c r="N328"/>
  <c r="N327"/>
  <c r="N326"/>
  <c r="N325"/>
  <c r="N324"/>
  <c r="N323"/>
  <c r="N322"/>
  <c r="N321"/>
  <c r="N320"/>
  <c r="N319"/>
  <c r="N318"/>
  <c r="N317"/>
  <c r="N316"/>
  <c r="N315"/>
  <c r="N314"/>
  <c r="N313"/>
  <c r="N312"/>
  <c r="N311"/>
  <c r="N310"/>
  <c r="N309"/>
  <c r="N308"/>
  <c r="N307"/>
  <c r="N306"/>
  <c r="N305"/>
  <c r="N304"/>
  <c r="N303"/>
  <c r="N302"/>
  <c r="N301"/>
  <c r="N300"/>
  <c r="N299"/>
  <c r="N298"/>
  <c r="N297"/>
  <c r="N296"/>
  <c r="N295"/>
  <c r="N294"/>
  <c r="N293"/>
  <c r="N292"/>
  <c r="N291"/>
  <c r="N290"/>
  <c r="N289"/>
  <c r="N288"/>
  <c r="N287"/>
  <c r="N286"/>
  <c r="N285"/>
  <c r="N284"/>
  <c r="N283"/>
  <c r="N282"/>
  <c r="N281"/>
  <c r="N280"/>
  <c r="N279"/>
  <c r="N278"/>
  <c r="N277"/>
  <c r="N276"/>
  <c r="N275"/>
  <c r="N274"/>
  <c r="N273"/>
  <c r="N272"/>
  <c r="N271"/>
  <c r="N270"/>
  <c r="N269"/>
  <c r="N268"/>
  <c r="N267"/>
  <c r="N266"/>
  <c r="N265"/>
  <c r="N264"/>
  <c r="N263"/>
  <c r="N262"/>
  <c r="N261"/>
  <c r="N260"/>
  <c r="N259"/>
  <c r="N258"/>
  <c r="N257"/>
  <c r="N256"/>
  <c r="N255"/>
  <c r="N254"/>
  <c r="N253"/>
  <c r="N252"/>
  <c r="N251"/>
  <c r="N250"/>
  <c r="N249"/>
  <c r="N248"/>
  <c r="N247"/>
  <c r="N246"/>
  <c r="N245"/>
  <c r="N244"/>
  <c r="N243"/>
  <c r="N242"/>
  <c r="N241"/>
  <c r="N240"/>
  <c r="N239"/>
  <c r="N238"/>
  <c r="N237"/>
  <c r="N236"/>
  <c r="N235"/>
  <c r="N234"/>
  <c r="N233"/>
  <c r="N232"/>
  <c r="N231"/>
  <c r="N230"/>
  <c r="N229"/>
  <c r="N228"/>
  <c r="N227"/>
  <c r="N226"/>
  <c r="N225"/>
  <c r="N224"/>
  <c r="N223"/>
  <c r="N222"/>
  <c r="N221"/>
  <c r="N220"/>
  <c r="N219"/>
  <c r="N218"/>
  <c r="N217"/>
  <c r="N216"/>
  <c r="N215"/>
  <c r="N214"/>
  <c r="N213"/>
  <c r="N212"/>
  <c r="N211"/>
  <c r="N210"/>
  <c r="N209"/>
  <c r="N208"/>
  <c r="N207"/>
  <c r="N206"/>
  <c r="N205"/>
  <c r="N204"/>
  <c r="N203"/>
  <c r="N202"/>
  <c r="N201"/>
  <c r="N200"/>
  <c r="N199"/>
  <c r="N198"/>
  <c r="N197"/>
  <c r="N196"/>
  <c r="N195"/>
  <c r="N194"/>
  <c r="N193"/>
  <c r="N192"/>
  <c r="N191"/>
  <c r="N190"/>
  <c r="N189"/>
  <c r="N188"/>
  <c r="N187"/>
  <c r="N186"/>
  <c r="N185"/>
  <c r="N184"/>
  <c r="N183"/>
  <c r="N182"/>
  <c r="N181"/>
  <c r="N180"/>
  <c r="N179"/>
  <c r="N178"/>
  <c r="N177"/>
  <c r="N176"/>
  <c r="N175"/>
  <c r="N174"/>
  <c r="N173"/>
  <c r="N172"/>
  <c r="N171"/>
  <c r="N170"/>
  <c r="N169"/>
  <c r="N168"/>
  <c r="N167"/>
  <c r="N166"/>
  <c r="N165"/>
  <c r="N164"/>
  <c r="N163"/>
  <c r="N162"/>
  <c r="N161"/>
  <c r="N160"/>
  <c r="N159"/>
  <c r="N158"/>
  <c r="N157"/>
  <c r="N156"/>
  <c r="N155"/>
  <c r="N154"/>
  <c r="N153"/>
  <c r="N152"/>
  <c r="N151"/>
  <c r="N150"/>
  <c r="N149"/>
  <c r="N148"/>
  <c r="N147"/>
  <c r="N146"/>
  <c r="N145"/>
  <c r="N144"/>
  <c r="N143"/>
  <c r="N142"/>
  <c r="N141"/>
  <c r="N140"/>
  <c r="N139"/>
  <c r="N138"/>
  <c r="N137"/>
  <c r="N136"/>
  <c r="N135"/>
  <c r="N134"/>
  <c r="N133"/>
  <c r="N132"/>
  <c r="N131"/>
  <c r="N130"/>
  <c r="N129"/>
  <c r="N128"/>
  <c r="N127"/>
  <c r="N126"/>
  <c r="N125"/>
  <c r="N124"/>
  <c r="N123"/>
  <c r="N122"/>
  <c r="N121"/>
  <c r="N120"/>
  <c r="N119"/>
  <c r="N118"/>
  <c r="N117"/>
  <c r="N116"/>
  <c r="N115"/>
  <c r="N114"/>
  <c r="N113"/>
  <c r="N112"/>
  <c r="N111"/>
  <c r="N110"/>
  <c r="N109"/>
  <c r="N108"/>
  <c r="N107"/>
  <c r="N106"/>
  <c r="N105"/>
  <c r="N104"/>
  <c r="N103"/>
  <c r="N102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M484"/>
  <c r="M483"/>
  <c r="M482"/>
  <c r="M481"/>
  <c r="M480"/>
  <c r="M479"/>
  <c r="M478"/>
  <c r="M477"/>
  <c r="M476"/>
  <c r="M475"/>
  <c r="M474"/>
  <c r="M473"/>
  <c r="M472"/>
  <c r="M471"/>
  <c r="M470"/>
  <c r="M469"/>
  <c r="M468"/>
  <c r="M467"/>
  <c r="M466"/>
  <c r="M465"/>
  <c r="M464"/>
  <c r="M463"/>
  <c r="M462"/>
  <c r="M461"/>
  <c r="M460"/>
  <c r="M459"/>
  <c r="M458"/>
  <c r="M457"/>
  <c r="M456"/>
  <c r="M455"/>
  <c r="M454"/>
  <c r="M453"/>
  <c r="M452"/>
  <c r="M451"/>
  <c r="M450"/>
  <c r="M449"/>
  <c r="M448"/>
  <c r="M447"/>
  <c r="M446"/>
  <c r="M445"/>
  <c r="M444"/>
  <c r="M443"/>
  <c r="M442"/>
  <c r="M441"/>
  <c r="M440"/>
  <c r="M439"/>
  <c r="M438"/>
  <c r="M437"/>
  <c r="M436"/>
  <c r="M435"/>
  <c r="M434"/>
  <c r="M433"/>
  <c r="M432"/>
  <c r="M431"/>
  <c r="M430"/>
  <c r="M429"/>
  <c r="M428"/>
  <c r="M427"/>
  <c r="M426"/>
  <c r="M425"/>
  <c r="M399"/>
  <c r="M371"/>
  <c r="M370"/>
  <c r="M369"/>
  <c r="M368"/>
  <c r="M367"/>
  <c r="M366"/>
  <c r="M365"/>
  <c r="M364"/>
  <c r="M363"/>
  <c r="M362"/>
  <c r="M361"/>
  <c r="M360"/>
  <c r="M359"/>
  <c r="M358"/>
  <c r="M357"/>
  <c r="M356"/>
  <c r="M355"/>
  <c r="M354"/>
  <c r="M353"/>
  <c r="M352"/>
  <c r="M351"/>
  <c r="M350"/>
  <c r="M349"/>
  <c r="M348"/>
  <c r="M347"/>
  <c r="M346"/>
  <c r="M345"/>
  <c r="M344"/>
  <c r="M343"/>
  <c r="M342"/>
  <c r="M341"/>
  <c r="M340"/>
  <c r="M339"/>
  <c r="M338"/>
  <c r="M337"/>
  <c r="M336"/>
  <c r="M335"/>
  <c r="M334"/>
  <c r="M333"/>
  <c r="M332"/>
  <c r="M331"/>
  <c r="M330"/>
  <c r="M329"/>
  <c r="M328"/>
  <c r="M327"/>
  <c r="M326"/>
  <c r="M325"/>
  <c r="M324"/>
  <c r="M323"/>
  <c r="M322"/>
  <c r="M321"/>
  <c r="M320"/>
  <c r="M319"/>
  <c r="M318"/>
  <c r="M317"/>
  <c r="M316"/>
  <c r="M315"/>
  <c r="M314"/>
  <c r="M313"/>
  <c r="M312"/>
  <c r="M311"/>
  <c r="M310"/>
  <c r="M309"/>
  <c r="M308"/>
  <c r="M307"/>
  <c r="M306"/>
  <c r="M305"/>
  <c r="M304"/>
  <c r="M303"/>
  <c r="M302"/>
  <c r="M301"/>
  <c r="M300"/>
  <c r="M299"/>
  <c r="M298"/>
  <c r="M297"/>
  <c r="M296"/>
  <c r="M295"/>
  <c r="M294"/>
  <c r="M293"/>
  <c r="M292"/>
  <c r="M291"/>
  <c r="M290"/>
  <c r="M289"/>
  <c r="M288"/>
  <c r="M287"/>
  <c r="M286"/>
  <c r="M285"/>
  <c r="M284"/>
  <c r="M283"/>
  <c r="M282"/>
  <c r="M281"/>
  <c r="M280"/>
  <c r="M279"/>
  <c r="M278"/>
  <c r="M277"/>
  <c r="M276"/>
  <c r="M275"/>
  <c r="M274"/>
  <c r="M273"/>
  <c r="M272"/>
  <c r="M271"/>
  <c r="M270"/>
  <c r="M269"/>
  <c r="M268"/>
  <c r="M267"/>
  <c r="M266"/>
  <c r="M265"/>
  <c r="M264"/>
  <c r="M263"/>
  <c r="M262"/>
  <c r="M261"/>
  <c r="M260"/>
  <c r="M259"/>
  <c r="M258"/>
  <c r="M257"/>
  <c r="M256"/>
  <c r="M255"/>
  <c r="M254"/>
  <c r="M253"/>
  <c r="M252"/>
  <c r="M251"/>
  <c r="M250"/>
  <c r="M249"/>
  <c r="M248"/>
  <c r="M247"/>
  <c r="M246"/>
  <c r="M245"/>
  <c r="M244"/>
  <c r="M243"/>
  <c r="M242"/>
  <c r="M241"/>
  <c r="M240"/>
  <c r="M239"/>
  <c r="M238"/>
  <c r="M237"/>
  <c r="M236"/>
  <c r="M235"/>
  <c r="M234"/>
  <c r="M233"/>
  <c r="M232"/>
  <c r="M231"/>
  <c r="M230"/>
  <c r="M229"/>
  <c r="M228"/>
  <c r="M227"/>
  <c r="M226"/>
  <c r="M225"/>
  <c r="M224"/>
  <c r="M223"/>
  <c r="M222"/>
  <c r="M221"/>
  <c r="M220"/>
  <c r="M219"/>
  <c r="M218"/>
  <c r="M217"/>
  <c r="M216"/>
  <c r="M215"/>
  <c r="M214"/>
  <c r="M213"/>
  <c r="M212"/>
  <c r="M211"/>
  <c r="M210"/>
  <c r="M209"/>
  <c r="M208"/>
  <c r="M207"/>
  <c r="M206"/>
  <c r="M205"/>
  <c r="M204"/>
  <c r="M203"/>
  <c r="M202"/>
  <c r="M201"/>
  <c r="M200"/>
  <c r="M199"/>
  <c r="M198"/>
  <c r="M197"/>
  <c r="M196"/>
  <c r="M195"/>
  <c r="M194"/>
  <c r="M193"/>
  <c r="M192"/>
  <c r="M191"/>
  <c r="M190"/>
  <c r="M189"/>
  <c r="M188"/>
  <c r="M187"/>
  <c r="M186"/>
  <c r="M185"/>
  <c r="M184"/>
  <c r="M183"/>
  <c r="M182"/>
  <c r="M181"/>
  <c r="M180"/>
  <c r="M179"/>
  <c r="M178"/>
  <c r="M177"/>
  <c r="M176"/>
  <c r="M175"/>
  <c r="M174"/>
  <c r="M173"/>
  <c r="M172"/>
  <c r="M171"/>
  <c r="M170"/>
  <c r="M169"/>
  <c r="M168"/>
  <c r="M167"/>
  <c r="M166"/>
  <c r="M165"/>
  <c r="M164"/>
  <c r="M163"/>
  <c r="M162"/>
  <c r="M161"/>
  <c r="M160"/>
  <c r="M159"/>
  <c r="M158"/>
  <c r="M157"/>
  <c r="M156"/>
  <c r="M155"/>
  <c r="M154"/>
  <c r="M153"/>
  <c r="M152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M120"/>
  <c r="M119"/>
  <c r="M118"/>
  <c r="M117"/>
  <c r="M116"/>
  <c r="M115"/>
  <c r="M114"/>
  <c r="M113"/>
  <c r="M112"/>
  <c r="M111"/>
  <c r="M110"/>
  <c r="M109"/>
  <c r="M108"/>
  <c r="M107"/>
  <c r="M106"/>
  <c r="M105"/>
  <c r="M104"/>
  <c r="M103"/>
  <c r="M102"/>
  <c r="M101"/>
  <c r="M100"/>
  <c r="M99"/>
  <c r="M98"/>
  <c r="M97"/>
  <c r="M96"/>
  <c r="M95"/>
  <c r="M94"/>
  <c r="M93"/>
  <c r="M92"/>
  <c r="M91"/>
  <c r="M90"/>
  <c r="M89"/>
  <c r="M88"/>
  <c r="M87"/>
  <c r="M86"/>
  <c r="M85"/>
  <c r="M84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J484"/>
  <c r="J483"/>
  <c r="J482"/>
  <c r="J481"/>
  <c r="J480"/>
  <c r="J479"/>
  <c r="J478"/>
  <c r="J477"/>
  <c r="J476"/>
  <c r="J475"/>
  <c r="J474"/>
  <c r="J473"/>
  <c r="J472"/>
  <c r="J471"/>
  <c r="J470"/>
  <c r="J469"/>
  <c r="J468"/>
  <c r="J467"/>
  <c r="J466"/>
  <c r="J465"/>
  <c r="J464"/>
  <c r="J463"/>
  <c r="J462"/>
  <c r="J461"/>
  <c r="J460"/>
  <c r="J459"/>
  <c r="J458"/>
  <c r="J457"/>
  <c r="J456"/>
  <c r="J455"/>
  <c r="J454"/>
  <c r="J453"/>
  <c r="J452"/>
  <c r="J451"/>
  <c r="J450"/>
  <c r="J449"/>
  <c r="J448"/>
  <c r="J447"/>
  <c r="J446"/>
  <c r="J445"/>
  <c r="J444"/>
  <c r="J443"/>
  <c r="J442"/>
  <c r="J441"/>
  <c r="J440"/>
  <c r="J439"/>
  <c r="J438"/>
  <c r="J437"/>
  <c r="J436"/>
  <c r="J435"/>
  <c r="J434"/>
  <c r="J433"/>
  <c r="J432"/>
  <c r="J431"/>
  <c r="J430"/>
  <c r="J429"/>
  <c r="J428"/>
  <c r="J427"/>
  <c r="J426"/>
  <c r="J425"/>
  <c r="J424"/>
  <c r="J423"/>
  <c r="J422"/>
  <c r="J421"/>
  <c r="J420"/>
  <c r="J419"/>
  <c r="J418"/>
  <c r="J417"/>
  <c r="J416"/>
  <c r="J415"/>
  <c r="J414"/>
  <c r="J413"/>
  <c r="J412"/>
  <c r="J411"/>
  <c r="J410"/>
  <c r="J409"/>
  <c r="J408"/>
  <c r="J407"/>
  <c r="J406"/>
  <c r="J405"/>
  <c r="J404"/>
  <c r="J403"/>
  <c r="J402"/>
  <c r="J401"/>
  <c r="J400"/>
  <c r="J399"/>
  <c r="J398"/>
  <c r="J397"/>
  <c r="J396"/>
  <c r="J395"/>
  <c r="J394"/>
  <c r="J393"/>
  <c r="J392"/>
  <c r="J391"/>
  <c r="J390"/>
  <c r="J389"/>
  <c r="J388"/>
  <c r="J387"/>
  <c r="J386"/>
  <c r="J385"/>
  <c r="J384"/>
  <c r="J383"/>
  <c r="J382"/>
  <c r="J381"/>
  <c r="J380"/>
  <c r="J379"/>
  <c r="J378"/>
  <c r="J377"/>
  <c r="J376"/>
  <c r="J375"/>
  <c r="J374"/>
  <c r="J373"/>
  <c r="J372"/>
  <c r="J371"/>
  <c r="J355"/>
  <c r="J354"/>
  <c r="J343"/>
  <c r="J342"/>
  <c r="J341"/>
  <c r="J340"/>
  <c r="J339"/>
  <c r="J338"/>
  <c r="J337"/>
  <c r="J336"/>
  <c r="J335"/>
  <c r="J334"/>
  <c r="J333"/>
  <c r="J332"/>
  <c r="J331"/>
  <c r="J330"/>
  <c r="J329"/>
  <c r="J328"/>
  <c r="J327"/>
  <c r="J326"/>
  <c r="J325"/>
  <c r="J324"/>
  <c r="J323"/>
  <c r="J322"/>
  <c r="J321"/>
  <c r="J320"/>
  <c r="J319"/>
  <c r="J318"/>
  <c r="J317"/>
  <c r="J316"/>
  <c r="J315"/>
  <c r="J314"/>
  <c r="J313"/>
  <c r="J312"/>
  <c r="J311"/>
  <c r="J310"/>
  <c r="J309"/>
  <c r="J308"/>
  <c r="J307"/>
  <c r="J306"/>
  <c r="J305"/>
  <c r="J304"/>
  <c r="J303"/>
  <c r="J302"/>
  <c r="J301"/>
  <c r="J300"/>
  <c r="J299"/>
  <c r="J298"/>
  <c r="J297"/>
  <c r="J296"/>
  <c r="J295"/>
  <c r="J294"/>
  <c r="J293"/>
  <c r="J292"/>
  <c r="J291"/>
  <c r="J290"/>
  <c r="J289"/>
  <c r="J288"/>
  <c r="J287"/>
  <c r="J286"/>
  <c r="J285"/>
  <c r="J284"/>
  <c r="J283"/>
  <c r="J282"/>
  <c r="J281"/>
  <c r="J280"/>
  <c r="J279"/>
  <c r="J278"/>
  <c r="J277"/>
  <c r="J276"/>
  <c r="J275"/>
  <c r="J274"/>
  <c r="J273"/>
  <c r="J272"/>
  <c r="J271"/>
  <c r="J270"/>
  <c r="J269"/>
  <c r="J268"/>
  <c r="J267"/>
  <c r="J266"/>
  <c r="J265"/>
  <c r="J264"/>
  <c r="J263"/>
  <c r="J262"/>
  <c r="J261"/>
  <c r="J260"/>
  <c r="J259"/>
  <c r="J258"/>
  <c r="J257"/>
  <c r="J256"/>
  <c r="J255"/>
  <c r="J254"/>
  <c r="J253"/>
  <c r="J252"/>
  <c r="J251"/>
  <c r="J250"/>
  <c r="J249"/>
  <c r="J248"/>
  <c r="J247"/>
  <c r="J246"/>
  <c r="J245"/>
  <c r="J244"/>
  <c r="J243"/>
  <c r="J242"/>
  <c r="J241"/>
  <c r="J240"/>
  <c r="J239"/>
  <c r="J238"/>
  <c r="J237"/>
  <c r="J236"/>
  <c r="J235"/>
  <c r="J234"/>
  <c r="J233"/>
  <c r="J232"/>
  <c r="J231"/>
  <c r="J230"/>
  <c r="J229"/>
  <c r="J228"/>
  <c r="J227"/>
  <c r="J226"/>
  <c r="J225"/>
  <c r="J224"/>
  <c r="J223"/>
  <c r="J222"/>
  <c r="J221"/>
  <c r="J220"/>
  <c r="J219"/>
  <c r="J218"/>
  <c r="J217"/>
  <c r="J216"/>
  <c r="J215"/>
  <c r="J214"/>
  <c r="J213"/>
  <c r="J212"/>
  <c r="J211"/>
  <c r="J210"/>
  <c r="J209"/>
  <c r="J208"/>
  <c r="J207"/>
  <c r="J206"/>
  <c r="J205"/>
  <c r="J204"/>
  <c r="J203"/>
  <c r="J202"/>
  <c r="J201"/>
  <c r="J200"/>
  <c r="J199"/>
  <c r="J198"/>
  <c r="J197"/>
  <c r="J196"/>
  <c r="J195"/>
  <c r="J194"/>
  <c r="J193"/>
  <c r="J192"/>
  <c r="J191"/>
  <c r="J190"/>
  <c r="J189"/>
  <c r="J188"/>
  <c r="J187"/>
  <c r="J186"/>
  <c r="J185"/>
  <c r="J184"/>
  <c r="J183"/>
  <c r="J182"/>
  <c r="J181"/>
  <c r="J180"/>
  <c r="J179"/>
  <c r="J178"/>
  <c r="J177"/>
  <c r="J176"/>
  <c r="J175"/>
  <c r="J174"/>
  <c r="J173"/>
  <c r="J172"/>
  <c r="J171"/>
  <c r="J170"/>
  <c r="J169"/>
  <c r="J168"/>
  <c r="J167"/>
  <c r="J166"/>
  <c r="J165"/>
  <c r="J164"/>
  <c r="J163"/>
  <c r="J162"/>
  <c r="J161"/>
  <c r="J160"/>
  <c r="J159"/>
  <c r="J158"/>
  <c r="J157"/>
  <c r="J156"/>
  <c r="J155"/>
  <c r="J154"/>
  <c r="J153"/>
  <c r="J152"/>
  <c r="J151"/>
  <c r="J150"/>
  <c r="J149"/>
  <c r="J148"/>
  <c r="J147"/>
  <c r="J146"/>
  <c r="J145"/>
  <c r="J144"/>
  <c r="J143"/>
  <c r="J142"/>
  <c r="J141"/>
  <c r="J140"/>
  <c r="J139"/>
  <c r="J138"/>
  <c r="J137"/>
  <c r="J136"/>
  <c r="J135"/>
  <c r="J134"/>
  <c r="J133"/>
  <c r="J132"/>
  <c r="J131"/>
  <c r="J130"/>
  <c r="J129"/>
  <c r="J128"/>
  <c r="J127"/>
  <c r="J126"/>
  <c r="J125"/>
  <c r="J124"/>
  <c r="J123"/>
  <c r="J122"/>
  <c r="J121"/>
  <c r="J120"/>
  <c r="J119"/>
  <c r="J118"/>
  <c r="J117"/>
  <c r="J116"/>
  <c r="J115"/>
  <c r="J114"/>
  <c r="J113"/>
  <c r="J112"/>
  <c r="J111"/>
  <c r="J110"/>
  <c r="J109"/>
  <c r="J108"/>
  <c r="J107"/>
  <c r="J106"/>
  <c r="J105"/>
  <c r="J104"/>
  <c r="J103"/>
  <c r="J102"/>
  <c r="J101"/>
  <c r="J100"/>
  <c r="J99"/>
  <c r="J98"/>
  <c r="J97"/>
  <c r="J96"/>
  <c r="J95"/>
  <c r="J94"/>
  <c r="J93"/>
  <c r="J92"/>
  <c r="J91"/>
  <c r="J90"/>
  <c r="J83"/>
  <c r="J82"/>
  <c r="J81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H484"/>
  <c r="H483"/>
  <c r="H482"/>
  <c r="H481"/>
  <c r="H480"/>
  <c r="H479"/>
  <c r="H478"/>
  <c r="H476"/>
  <c r="H474"/>
  <c r="H473"/>
  <c r="H472"/>
  <c r="H471"/>
  <c r="H470"/>
  <c r="H469"/>
  <c r="H468"/>
  <c r="H466"/>
  <c r="H465"/>
  <c r="H464"/>
  <c r="H463"/>
  <c r="H462"/>
  <c r="H460"/>
  <c r="H458"/>
  <c r="H457"/>
  <c r="H456"/>
  <c r="H455"/>
  <c r="H454"/>
  <c r="H453"/>
  <c r="H452"/>
  <c r="H451"/>
  <c r="H449"/>
  <c r="H447"/>
  <c r="H446"/>
  <c r="H444"/>
  <c r="H443"/>
  <c r="H442"/>
  <c r="H441"/>
  <c r="H440"/>
  <c r="H439"/>
  <c r="H438"/>
  <c r="H437"/>
  <c r="H436"/>
  <c r="H435"/>
  <c r="H434"/>
  <c r="H432"/>
  <c r="H431"/>
  <c r="H429"/>
  <c r="H428"/>
  <c r="H427"/>
  <c r="H426"/>
  <c r="H424"/>
  <c r="H423"/>
  <c r="H422"/>
  <c r="H421"/>
  <c r="H420"/>
  <c r="H419"/>
  <c r="H418"/>
  <c r="H417"/>
  <c r="H416"/>
  <c r="H415"/>
  <c r="H414"/>
  <c r="H413"/>
  <c r="H412"/>
  <c r="H411"/>
  <c r="H410"/>
  <c r="H409"/>
  <c r="H408"/>
  <c r="H407"/>
  <c r="H406"/>
  <c r="H405"/>
  <c r="H404"/>
  <c r="H403"/>
  <c r="H402"/>
  <c r="H401"/>
  <c r="H400"/>
  <c r="H371"/>
  <c r="H355"/>
  <c r="H354"/>
  <c r="H343"/>
  <c r="H342"/>
  <c r="H341"/>
  <c r="H340"/>
  <c r="H339"/>
  <c r="H338"/>
  <c r="H337"/>
  <c r="H336"/>
  <c r="H335"/>
  <c r="H334"/>
  <c r="H333"/>
  <c r="H332"/>
  <c r="H331"/>
  <c r="H330"/>
  <c r="H329"/>
  <c r="H328"/>
  <c r="H327"/>
  <c r="H326"/>
  <c r="H325"/>
  <c r="H324"/>
  <c r="H323"/>
  <c r="H322"/>
  <c r="H321"/>
  <c r="H320"/>
  <c r="H319"/>
  <c r="H318"/>
  <c r="H317"/>
  <c r="H316"/>
  <c r="H315"/>
  <c r="H314"/>
  <c r="H313"/>
  <c r="H312"/>
  <c r="H311"/>
  <c r="H310"/>
  <c r="H309"/>
  <c r="H308"/>
  <c r="H307"/>
  <c r="H306"/>
  <c r="H305"/>
  <c r="H304"/>
  <c r="H303"/>
  <c r="H302"/>
  <c r="H301"/>
  <c r="H300"/>
  <c r="H299"/>
  <c r="H298"/>
  <c r="H297"/>
  <c r="H296"/>
  <c r="H295"/>
  <c r="H294"/>
  <c r="H293"/>
  <c r="H292"/>
  <c r="H291"/>
  <c r="H290"/>
  <c r="H289"/>
  <c r="H288"/>
  <c r="H287"/>
  <c r="H286"/>
  <c r="H285"/>
  <c r="H284"/>
  <c r="H283"/>
  <c r="H282"/>
  <c r="H281"/>
  <c r="H280"/>
  <c r="H279"/>
  <c r="H278"/>
  <c r="H277"/>
  <c r="H276"/>
  <c r="H275"/>
  <c r="H274"/>
  <c r="H273"/>
  <c r="H272"/>
  <c r="H271"/>
  <c r="H270"/>
  <c r="H269"/>
  <c r="H268"/>
  <c r="H267"/>
  <c r="H266"/>
  <c r="H265"/>
  <c r="H264"/>
  <c r="H263"/>
  <c r="H262"/>
  <c r="H261"/>
  <c r="H260"/>
  <c r="H259"/>
  <c r="H258"/>
  <c r="H257"/>
  <c r="H256"/>
  <c r="H255"/>
  <c r="H254"/>
  <c r="H253"/>
  <c r="H252"/>
  <c r="H251"/>
  <c r="H250"/>
  <c r="H249"/>
  <c r="H248"/>
  <c r="H247"/>
  <c r="H246"/>
  <c r="H245"/>
  <c r="H244"/>
  <c r="H243"/>
  <c r="H242"/>
  <c r="H241"/>
  <c r="H240"/>
  <c r="H239"/>
  <c r="H238"/>
  <c r="H237"/>
  <c r="H236"/>
  <c r="H235"/>
  <c r="H234"/>
  <c r="H233"/>
  <c r="H232"/>
  <c r="H231"/>
  <c r="H230"/>
  <c r="H229"/>
  <c r="H228"/>
  <c r="H227"/>
  <c r="H226"/>
  <c r="H225"/>
  <c r="H224"/>
  <c r="H223"/>
  <c r="H222"/>
  <c r="H221"/>
  <c r="H220"/>
  <c r="H219"/>
  <c r="H218"/>
  <c r="H217"/>
  <c r="H216"/>
  <c r="H215"/>
  <c r="H214"/>
  <c r="H213"/>
  <c r="H212"/>
  <c r="H211"/>
  <c r="H210"/>
  <c r="H209"/>
  <c r="H208"/>
  <c r="H207"/>
  <c r="H206"/>
  <c r="H205"/>
  <c r="H204"/>
  <c r="H203"/>
  <c r="H202"/>
  <c r="H201"/>
  <c r="H200"/>
  <c r="H199"/>
  <c r="H198"/>
  <c r="H197"/>
  <c r="H196"/>
  <c r="H195"/>
  <c r="H194"/>
  <c r="H193"/>
  <c r="H192"/>
  <c r="H191"/>
  <c r="H190"/>
  <c r="H189"/>
  <c r="H188"/>
  <c r="H187"/>
  <c r="H186"/>
  <c r="H185"/>
  <c r="H184"/>
  <c r="H183"/>
  <c r="H182"/>
  <c r="H181"/>
  <c r="H180"/>
  <c r="H179"/>
  <c r="H178"/>
  <c r="H177"/>
  <c r="H176"/>
  <c r="H175"/>
  <c r="H174"/>
  <c r="H173"/>
  <c r="H172"/>
  <c r="H171"/>
  <c r="H170"/>
  <c r="H169"/>
  <c r="H168"/>
  <c r="H167"/>
  <c r="H166"/>
  <c r="H165"/>
  <c r="H164"/>
  <c r="H163"/>
  <c r="H162"/>
  <c r="H161"/>
  <c r="H160"/>
  <c r="H159"/>
  <c r="H158"/>
  <c r="H157"/>
  <c r="H156"/>
  <c r="H155"/>
  <c r="H154"/>
  <c r="H153"/>
  <c r="H152"/>
  <c r="H151"/>
  <c r="H150"/>
  <c r="H149"/>
  <c r="H148"/>
  <c r="H147"/>
  <c r="H146"/>
  <c r="H145"/>
  <c r="H144"/>
  <c r="H143"/>
  <c r="H142"/>
  <c r="H141"/>
  <c r="H140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H108"/>
  <c r="H107"/>
  <c r="H106"/>
  <c r="H105"/>
  <c r="H104"/>
  <c r="H103"/>
  <c r="H102"/>
  <c r="H101"/>
  <c r="H100"/>
  <c r="H99"/>
  <c r="H98"/>
  <c r="H97"/>
  <c r="H96"/>
  <c r="H95"/>
  <c r="H94"/>
  <c r="H93"/>
  <c r="H92"/>
  <c r="H91"/>
  <c r="H90"/>
  <c r="H83"/>
  <c r="H82"/>
  <c r="H81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G484"/>
  <c r="G483"/>
  <c r="G482"/>
  <c r="G481"/>
  <c r="G480"/>
  <c r="G479"/>
  <c r="G478"/>
  <c r="G476"/>
  <c r="G474"/>
  <c r="G473"/>
  <c r="G472"/>
  <c r="G471"/>
  <c r="G470"/>
  <c r="G469"/>
  <c r="G468"/>
  <c r="G466"/>
  <c r="G465"/>
  <c r="G464"/>
  <c r="G463"/>
  <c r="G462"/>
  <c r="G460"/>
  <c r="G458"/>
  <c r="G457"/>
  <c r="G456"/>
  <c r="G455"/>
  <c r="G454"/>
  <c r="G453"/>
  <c r="G452"/>
  <c r="G451"/>
  <c r="G449"/>
  <c r="G447"/>
  <c r="G446"/>
  <c r="G444"/>
  <c r="G443"/>
  <c r="G442"/>
  <c r="G441"/>
  <c r="G440"/>
  <c r="G439"/>
  <c r="G438"/>
  <c r="G437"/>
  <c r="G436"/>
  <c r="G435"/>
  <c r="G434"/>
  <c r="G432"/>
  <c r="G431"/>
  <c r="G429"/>
  <c r="G428"/>
  <c r="G427"/>
  <c r="G426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F484"/>
  <c r="F483"/>
  <c r="F482"/>
  <c r="F481"/>
  <c r="F480"/>
  <c r="F479"/>
  <c r="F478"/>
  <c r="F477"/>
  <c r="F476"/>
  <c r="F475"/>
  <c r="F474"/>
  <c r="F473"/>
  <c r="F472"/>
  <c r="F471"/>
  <c r="F470"/>
  <c r="F469"/>
  <c r="F468"/>
  <c r="F467"/>
  <c r="F466"/>
  <c r="F465"/>
  <c r="F464"/>
  <c r="F463"/>
  <c r="F462"/>
  <c r="F461"/>
  <c r="F460"/>
  <c r="F459"/>
  <c r="F458"/>
  <c r="F457"/>
  <c r="F456"/>
  <c r="F455"/>
  <c r="F454"/>
  <c r="F453"/>
  <c r="F452"/>
  <c r="F451"/>
  <c r="F450"/>
  <c r="F449"/>
  <c r="F448"/>
  <c r="F447"/>
  <c r="F446"/>
  <c r="F445"/>
  <c r="F444"/>
  <c r="F443"/>
  <c r="F442"/>
  <c r="F441"/>
  <c r="F440"/>
  <c r="F439"/>
  <c r="F438"/>
  <c r="F437"/>
  <c r="F436"/>
  <c r="F435"/>
  <c r="F434"/>
  <c r="F433"/>
  <c r="F432"/>
  <c r="F431"/>
  <c r="F430"/>
  <c r="F429"/>
  <c r="F428"/>
  <c r="F427"/>
  <c r="F426"/>
  <c r="F425"/>
  <c r="F424"/>
  <c r="F423"/>
  <c r="F422"/>
  <c r="F421"/>
  <c r="F420"/>
  <c r="F419"/>
  <c r="F418"/>
  <c r="F417"/>
  <c r="F416"/>
  <c r="F415"/>
  <c r="F414"/>
  <c r="F413"/>
  <c r="F412"/>
  <c r="F411"/>
  <c r="F410"/>
  <c r="F409"/>
  <c r="F408"/>
  <c r="F407"/>
  <c r="F406"/>
  <c r="F405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F382"/>
  <c r="F381"/>
  <c r="F380"/>
  <c r="F379"/>
  <c r="F378"/>
  <c r="F377"/>
  <c r="F376"/>
  <c r="F375"/>
  <c r="F374"/>
  <c r="F373"/>
  <c r="F372"/>
  <c r="F371"/>
  <c r="F370"/>
  <c r="F369"/>
  <c r="F368"/>
  <c r="F367"/>
  <c r="F366"/>
  <c r="F365"/>
  <c r="F364"/>
  <c r="F363"/>
  <c r="F362"/>
  <c r="F361"/>
  <c r="F360"/>
  <c r="F359"/>
  <c r="F358"/>
  <c r="F357"/>
  <c r="F356"/>
  <c r="F355"/>
  <c r="F354"/>
  <c r="F353"/>
  <c r="F352"/>
  <c r="F351"/>
  <c r="F350"/>
  <c r="F349"/>
  <c r="F348"/>
  <c r="F347"/>
  <c r="F346"/>
  <c r="F345"/>
  <c r="F344"/>
  <c r="F343"/>
  <c r="F342"/>
  <c r="F341"/>
  <c r="F340"/>
  <c r="F339"/>
  <c r="F338"/>
  <c r="F337"/>
  <c r="F336"/>
  <c r="F335"/>
  <c r="F334"/>
  <c r="F333"/>
  <c r="F332"/>
  <c r="F331"/>
  <c r="F330"/>
  <c r="F329"/>
  <c r="F328"/>
  <c r="F327"/>
  <c r="F326"/>
  <c r="F325"/>
  <c r="F324"/>
  <c r="F323"/>
  <c r="F322"/>
  <c r="F321"/>
  <c r="F320"/>
  <c r="F319"/>
  <c r="F318"/>
  <c r="F317"/>
  <c r="F316"/>
  <c r="F315"/>
  <c r="F314"/>
  <c r="F313"/>
  <c r="F312"/>
  <c r="F311"/>
  <c r="F310"/>
  <c r="F309"/>
  <c r="F308"/>
  <c r="F307"/>
  <c r="F306"/>
  <c r="F305"/>
  <c r="F304"/>
  <c r="F303"/>
  <c r="F302"/>
  <c r="F301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48"/>
  <c r="F147"/>
  <c r="F145"/>
  <c r="F144"/>
  <c r="F143"/>
  <c r="F142"/>
  <c r="F141"/>
  <c r="F139"/>
  <c r="F137"/>
  <c r="F136"/>
  <c r="F135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E4"/>
  <c r="E484"/>
  <c r="E483"/>
  <c r="E482"/>
  <c r="E481"/>
  <c r="E480"/>
  <c r="E479"/>
  <c r="E478"/>
  <c r="E477"/>
  <c r="E476"/>
  <c r="E475"/>
  <c r="E474"/>
  <c r="E473"/>
  <c r="E472"/>
  <c r="E471"/>
  <c r="E470"/>
  <c r="E469"/>
  <c r="E468"/>
  <c r="E467"/>
  <c r="E466"/>
  <c r="E465"/>
  <c r="E464"/>
  <c r="E463"/>
  <c r="E462"/>
  <c r="E461"/>
  <c r="E460"/>
  <c r="E459"/>
  <c r="E458"/>
  <c r="E457"/>
  <c r="E456"/>
  <c r="E455"/>
  <c r="E454"/>
  <c r="E453"/>
  <c r="E452"/>
  <c r="E451"/>
  <c r="E450"/>
  <c r="E449"/>
  <c r="E448"/>
  <c r="E447"/>
  <c r="E446"/>
  <c r="E445"/>
  <c r="E444"/>
  <c r="E443"/>
  <c r="E442"/>
  <c r="E441"/>
  <c r="E440"/>
  <c r="E439"/>
  <c r="E438"/>
  <c r="E437"/>
  <c r="E436"/>
  <c r="E435"/>
  <c r="E434"/>
  <c r="E433"/>
  <c r="E432"/>
  <c r="E431"/>
  <c r="E430"/>
  <c r="E429"/>
  <c r="E428"/>
  <c r="E427"/>
  <c r="E426"/>
  <c r="E425"/>
  <c r="E424"/>
  <c r="E423"/>
  <c r="E422"/>
  <c r="E421"/>
  <c r="E420"/>
  <c r="E419"/>
  <c r="E418"/>
  <c r="E417"/>
  <c r="E416"/>
  <c r="E415"/>
  <c r="E414"/>
  <c r="E413"/>
  <c r="E412"/>
  <c r="E411"/>
  <c r="E410"/>
  <c r="E409"/>
  <c r="E408"/>
  <c r="E407"/>
  <c r="E406"/>
  <c r="E405"/>
  <c r="E404"/>
  <c r="E403"/>
  <c r="E402"/>
  <c r="E401"/>
  <c r="E400"/>
  <c r="E399"/>
  <c r="E398"/>
  <c r="E397"/>
  <c r="E396"/>
  <c r="E395"/>
  <c r="E394"/>
  <c r="E393"/>
  <c r="E392"/>
  <c r="E391"/>
  <c r="E390"/>
  <c r="E389"/>
  <c r="E388"/>
  <c r="E387"/>
  <c r="E386"/>
  <c r="E385"/>
  <c r="E384"/>
  <c r="E383"/>
  <c r="E382"/>
  <c r="E381"/>
  <c r="E380"/>
  <c r="E379"/>
  <c r="E378"/>
  <c r="E377"/>
  <c r="E376"/>
  <c r="E375"/>
  <c r="E374"/>
  <c r="E373"/>
  <c r="E372"/>
  <c r="E371"/>
  <c r="E370"/>
  <c r="E369"/>
  <c r="E368"/>
  <c r="E367"/>
  <c r="E366"/>
  <c r="E365"/>
  <c r="E364"/>
  <c r="E363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1"/>
  <c r="E340"/>
  <c r="E339"/>
  <c r="E338"/>
  <c r="E337"/>
  <c r="E336"/>
  <c r="E335"/>
  <c r="E334"/>
  <c r="E333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48"/>
  <c r="E145"/>
  <c r="E144"/>
  <c r="E143"/>
  <c r="E142"/>
  <c r="E141"/>
  <c r="E139"/>
  <c r="E137"/>
  <c r="E136"/>
  <c r="E135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C8" i="32" l="1"/>
  <c r="G11"/>
  <c r="I11" s="1"/>
  <c r="G15"/>
  <c r="I15" s="1"/>
  <c r="G19"/>
  <c r="I19" s="1"/>
  <c r="G12"/>
  <c r="I12" s="1"/>
  <c r="G16"/>
  <c r="I16" s="1"/>
  <c r="G20"/>
  <c r="I20" s="1"/>
  <c r="G14"/>
  <c r="I14" s="1"/>
  <c r="G18"/>
  <c r="I18" s="1"/>
  <c r="G22"/>
  <c r="G13"/>
  <c r="I13" s="1"/>
  <c r="G17"/>
  <c r="I17" s="1"/>
  <c r="G21"/>
  <c r="D11"/>
  <c r="D15"/>
  <c r="D19"/>
  <c r="D139" i="69"/>
  <c r="D452"/>
  <c r="D460"/>
  <c r="D468"/>
  <c r="D472"/>
  <c r="D476"/>
  <c r="D480"/>
  <c r="D484"/>
  <c r="D456"/>
  <c r="D464"/>
  <c r="D427"/>
  <c r="D431"/>
  <c r="D435"/>
  <c r="D439"/>
  <c r="D443"/>
  <c r="D447"/>
  <c r="D451"/>
  <c r="D455"/>
  <c r="D463"/>
  <c r="D471"/>
  <c r="D143"/>
  <c r="D479"/>
  <c r="D483"/>
  <c r="D135"/>
  <c r="D474"/>
  <c r="D478"/>
  <c r="D482"/>
  <c r="D426"/>
  <c r="D434"/>
  <c r="D442"/>
  <c r="D454"/>
  <c r="D462"/>
  <c r="D466"/>
  <c r="D470"/>
  <c r="D438"/>
  <c r="D446"/>
  <c r="D458"/>
  <c r="D137"/>
  <c r="D141"/>
  <c r="D145"/>
  <c r="D429"/>
  <c r="D437"/>
  <c r="D441"/>
  <c r="D449"/>
  <c r="D453"/>
  <c r="D457"/>
  <c r="D465"/>
  <c r="D469"/>
  <c r="D473"/>
  <c r="D481"/>
  <c r="D142"/>
  <c r="D136"/>
  <c r="D144"/>
  <c r="D148"/>
  <c r="D428"/>
  <c r="D432"/>
  <c r="D436"/>
  <c r="D440"/>
  <c r="D444"/>
  <c r="I60" i="26" l="1"/>
  <c r="Y3" i="59" l="1"/>
  <c r="Y3" i="58"/>
  <c r="O36" i="55" l="1"/>
  <c r="G38" i="57" l="1"/>
  <c r="F12" i="75" s="1"/>
  <c r="H38" i="57"/>
  <c r="H12" i="75" s="1"/>
  <c r="I38" i="57"/>
  <c r="J12" i="75" s="1"/>
  <c r="G44" i="57"/>
  <c r="F13" i="75" s="1"/>
  <c r="F44" i="57"/>
  <c r="D13" i="75" s="1"/>
  <c r="E44" i="57"/>
  <c r="I41"/>
  <c r="J8" i="75" s="1"/>
  <c r="H41" i="57"/>
  <c r="H8" i="75" s="1"/>
  <c r="G41" i="57"/>
  <c r="F8" i="75" s="1"/>
  <c r="F41" i="57"/>
  <c r="D8" i="75" s="1"/>
  <c r="E41" i="57"/>
  <c r="B8" i="75" s="1"/>
  <c r="F38" i="57"/>
  <c r="E38"/>
  <c r="I35"/>
  <c r="J9" i="75" s="1"/>
  <c r="H35" i="57"/>
  <c r="H9" i="75" s="1"/>
  <c r="G35" i="57"/>
  <c r="F9" i="75" s="1"/>
  <c r="F35" i="57"/>
  <c r="D9" i="75" s="1"/>
  <c r="E35" i="57"/>
  <c r="B9" i="75" s="1"/>
  <c r="I32" i="57"/>
  <c r="H32"/>
  <c r="G32"/>
  <c r="F32"/>
  <c r="E32"/>
  <c r="G29"/>
  <c r="F7" i="75" s="1"/>
  <c r="F29" i="57"/>
  <c r="D7" i="75" s="1"/>
  <c r="E29" i="57"/>
  <c r="B7" i="75" s="1"/>
  <c r="I26" i="57"/>
  <c r="J5" i="75" s="1"/>
  <c r="H26" i="57"/>
  <c r="H5" i="75" s="1"/>
  <c r="G26" i="57"/>
  <c r="F5" i="75" s="1"/>
  <c r="F26" i="57"/>
  <c r="D5" i="75" s="1"/>
  <c r="E26" i="57"/>
  <c r="I23"/>
  <c r="J4" i="75" s="1"/>
  <c r="H23" i="57"/>
  <c r="H4" i="75" s="1"/>
  <c r="G23" i="57"/>
  <c r="F4" i="75" s="1"/>
  <c r="F23" i="57"/>
  <c r="D4" i="75" s="1"/>
  <c r="E23" i="57"/>
  <c r="B4" i="75" s="1"/>
  <c r="I20" i="57"/>
  <c r="J3" i="75" s="1"/>
  <c r="H20" i="57"/>
  <c r="H3" i="75" s="1"/>
  <c r="G20" i="57"/>
  <c r="F3" i="75" s="1"/>
  <c r="F20" i="57"/>
  <c r="D3" i="75" s="1"/>
  <c r="E20" i="57"/>
  <c r="B3" i="75" s="1"/>
  <c r="I17" i="57"/>
  <c r="J6" i="75" s="1"/>
  <c r="H17" i="57"/>
  <c r="H6" i="75" s="1"/>
  <c r="G17" i="57"/>
  <c r="F6" i="75" s="1"/>
  <c r="F17" i="57"/>
  <c r="D6" i="75" s="1"/>
  <c r="E17" i="57"/>
  <c r="B6" i="75" s="1"/>
  <c r="I14" i="57"/>
  <c r="J10" i="75" s="1"/>
  <c r="H14" i="57"/>
  <c r="H10" i="75" s="1"/>
  <c r="G14" i="57"/>
  <c r="F10" i="75" s="1"/>
  <c r="F14" i="57"/>
  <c r="D10" i="75" s="1"/>
  <c r="E14" i="57"/>
  <c r="B10" i="75" s="1"/>
  <c r="J120" i="55"/>
  <c r="J114" s="1"/>
  <c r="I120"/>
  <c r="I114" s="1"/>
  <c r="H120"/>
  <c r="H114" s="1"/>
  <c r="G120"/>
  <c r="G114" s="1"/>
  <c r="J133"/>
  <c r="J127" s="1"/>
  <c r="I133"/>
  <c r="I127" s="1"/>
  <c r="H133"/>
  <c r="H127" s="1"/>
  <c r="G133"/>
  <c r="G127" s="1"/>
  <c r="I159"/>
  <c r="H159"/>
  <c r="G159"/>
  <c r="J172"/>
  <c r="I172"/>
  <c r="H172"/>
  <c r="G172"/>
  <c r="J184"/>
  <c r="I184"/>
  <c r="H184"/>
  <c r="G184"/>
  <c r="J197"/>
  <c r="J191" s="1"/>
  <c r="I197"/>
  <c r="I191" s="1"/>
  <c r="H197"/>
  <c r="H191" s="1"/>
  <c r="G197"/>
  <c r="G191" s="1"/>
  <c r="J223"/>
  <c r="J217" s="1"/>
  <c r="I223"/>
  <c r="I217" s="1"/>
  <c r="H223"/>
  <c r="H217" s="1"/>
  <c r="G223"/>
  <c r="G217" s="1"/>
  <c r="F223"/>
  <c r="F217" s="1"/>
  <c r="F197"/>
  <c r="F191" s="1"/>
  <c r="F184"/>
  <c r="F172"/>
  <c r="F159"/>
  <c r="F133"/>
  <c r="F127" s="1"/>
  <c r="F120"/>
  <c r="F114" s="1"/>
  <c r="J101"/>
  <c r="I101"/>
  <c r="H101"/>
  <c r="G101"/>
  <c r="F101"/>
  <c r="J225"/>
  <c r="J219" s="1"/>
  <c r="I225"/>
  <c r="I219" s="1"/>
  <c r="H225"/>
  <c r="H219" s="1"/>
  <c r="G225"/>
  <c r="G219" s="1"/>
  <c r="J224"/>
  <c r="J218" s="1"/>
  <c r="I224"/>
  <c r="I218" s="1"/>
  <c r="H224"/>
  <c r="H218" s="1"/>
  <c r="G224"/>
  <c r="G218" s="1"/>
  <c r="J222"/>
  <c r="J216" s="1"/>
  <c r="I222"/>
  <c r="I216" s="1"/>
  <c r="H222"/>
  <c r="H216" s="1"/>
  <c r="G222"/>
  <c r="G216" s="1"/>
  <c r="F225"/>
  <c r="F219" s="1"/>
  <c r="F224"/>
  <c r="F218" s="1"/>
  <c r="F222"/>
  <c r="J186"/>
  <c r="I186"/>
  <c r="H186"/>
  <c r="G186"/>
  <c r="J185"/>
  <c r="I185"/>
  <c r="H185"/>
  <c r="G185"/>
  <c r="J183"/>
  <c r="I183"/>
  <c r="H183"/>
  <c r="G183"/>
  <c r="J174"/>
  <c r="J168" s="1"/>
  <c r="I174"/>
  <c r="I168" s="1"/>
  <c r="H174"/>
  <c r="H168" s="1"/>
  <c r="G174"/>
  <c r="G168" s="1"/>
  <c r="J173"/>
  <c r="J167" s="1"/>
  <c r="I173"/>
  <c r="I167" s="1"/>
  <c r="H173"/>
  <c r="H167" s="1"/>
  <c r="G173"/>
  <c r="G167" s="1"/>
  <c r="J171"/>
  <c r="J165" s="1"/>
  <c r="I171"/>
  <c r="I165" s="1"/>
  <c r="H171"/>
  <c r="H165" s="1"/>
  <c r="G171"/>
  <c r="G165" s="1"/>
  <c r="J199"/>
  <c r="J193" s="1"/>
  <c r="I199"/>
  <c r="I193" s="1"/>
  <c r="H199"/>
  <c r="H193" s="1"/>
  <c r="G199"/>
  <c r="G193" s="1"/>
  <c r="J198"/>
  <c r="J192" s="1"/>
  <c r="I198"/>
  <c r="I192" s="1"/>
  <c r="H198"/>
  <c r="H192" s="1"/>
  <c r="G198"/>
  <c r="G192" s="1"/>
  <c r="J196"/>
  <c r="J190" s="1"/>
  <c r="I196"/>
  <c r="I190" s="1"/>
  <c r="H196"/>
  <c r="H190" s="1"/>
  <c r="G196"/>
  <c r="G190" s="1"/>
  <c r="F199"/>
  <c r="F193" s="1"/>
  <c r="F198"/>
  <c r="F192" s="1"/>
  <c r="F196"/>
  <c r="F190" s="1"/>
  <c r="F186"/>
  <c r="F185"/>
  <c r="F183"/>
  <c r="F174"/>
  <c r="F173"/>
  <c r="F171"/>
  <c r="J161"/>
  <c r="I161"/>
  <c r="H161"/>
  <c r="G161"/>
  <c r="J160"/>
  <c r="I160"/>
  <c r="H160"/>
  <c r="G160"/>
  <c r="J158"/>
  <c r="I158"/>
  <c r="H158"/>
  <c r="G158"/>
  <c r="F161"/>
  <c r="F160"/>
  <c r="F158"/>
  <c r="J147"/>
  <c r="I147"/>
  <c r="H147"/>
  <c r="H141" s="1"/>
  <c r="G147"/>
  <c r="F147"/>
  <c r="J135"/>
  <c r="J129" s="1"/>
  <c r="I135"/>
  <c r="I129" s="1"/>
  <c r="H135"/>
  <c r="H129" s="1"/>
  <c r="G135"/>
  <c r="G129" s="1"/>
  <c r="J134"/>
  <c r="J128" s="1"/>
  <c r="I134"/>
  <c r="I128" s="1"/>
  <c r="H134"/>
  <c r="H128" s="1"/>
  <c r="G134"/>
  <c r="G128" s="1"/>
  <c r="J132"/>
  <c r="J126" s="1"/>
  <c r="I132"/>
  <c r="I126" s="1"/>
  <c r="H132"/>
  <c r="H126" s="1"/>
  <c r="G132"/>
  <c r="G126" s="1"/>
  <c r="F135"/>
  <c r="F129" s="1"/>
  <c r="F134"/>
  <c r="F128" s="1"/>
  <c r="F132"/>
  <c r="F126" s="1"/>
  <c r="J122"/>
  <c r="J116" s="1"/>
  <c r="I122"/>
  <c r="I116" s="1"/>
  <c r="H122"/>
  <c r="H116" s="1"/>
  <c r="G122"/>
  <c r="G116" s="1"/>
  <c r="J121"/>
  <c r="J115" s="1"/>
  <c r="I121"/>
  <c r="I115" s="1"/>
  <c r="H121"/>
  <c r="H115" s="1"/>
  <c r="G121"/>
  <c r="G115" s="1"/>
  <c r="J119"/>
  <c r="J113" s="1"/>
  <c r="I119"/>
  <c r="I113" s="1"/>
  <c r="H119"/>
  <c r="H113" s="1"/>
  <c r="G119"/>
  <c r="G113" s="1"/>
  <c r="F122"/>
  <c r="F116" s="1"/>
  <c r="F121"/>
  <c r="F115" s="1"/>
  <c r="F119"/>
  <c r="F113" s="1"/>
  <c r="J103"/>
  <c r="I103"/>
  <c r="H103"/>
  <c r="G103"/>
  <c r="J100"/>
  <c r="I100"/>
  <c r="H100"/>
  <c r="G100"/>
  <c r="J109"/>
  <c r="I109"/>
  <c r="H109"/>
  <c r="G109"/>
  <c r="F109"/>
  <c r="F108"/>
  <c r="F103"/>
  <c r="F102"/>
  <c r="F100"/>
  <c r="J88"/>
  <c r="J82" s="1"/>
  <c r="I88"/>
  <c r="I82" s="1"/>
  <c r="H88"/>
  <c r="H82" s="1"/>
  <c r="G88"/>
  <c r="G82" s="1"/>
  <c r="F88"/>
  <c r="F82" s="1"/>
  <c r="J75"/>
  <c r="J69" s="1"/>
  <c r="I75"/>
  <c r="I69" s="1"/>
  <c r="H75"/>
  <c r="H69" s="1"/>
  <c r="G75"/>
  <c r="G69" s="1"/>
  <c r="F75"/>
  <c r="F69" s="1"/>
  <c r="J90"/>
  <c r="J84" s="1"/>
  <c r="I90"/>
  <c r="I84" s="1"/>
  <c r="H90"/>
  <c r="H84" s="1"/>
  <c r="G90"/>
  <c r="G84" s="1"/>
  <c r="J89"/>
  <c r="J83" s="1"/>
  <c r="I89"/>
  <c r="I83" s="1"/>
  <c r="H89"/>
  <c r="H83" s="1"/>
  <c r="G89"/>
  <c r="G83" s="1"/>
  <c r="J87"/>
  <c r="J81" s="1"/>
  <c r="I87"/>
  <c r="I81" s="1"/>
  <c r="H87"/>
  <c r="H81" s="1"/>
  <c r="G87"/>
  <c r="G81" s="1"/>
  <c r="F90"/>
  <c r="F84" s="1"/>
  <c r="F89"/>
  <c r="F83" s="1"/>
  <c r="F87"/>
  <c r="F81" s="1"/>
  <c r="J77"/>
  <c r="J71" s="1"/>
  <c r="J76"/>
  <c r="J70" s="1"/>
  <c r="J74"/>
  <c r="J68" s="1"/>
  <c r="I77"/>
  <c r="I71" s="1"/>
  <c r="I76"/>
  <c r="I70" s="1"/>
  <c r="I74"/>
  <c r="H77"/>
  <c r="H71" s="1"/>
  <c r="H76"/>
  <c r="H70" s="1"/>
  <c r="H74"/>
  <c r="H68" s="1"/>
  <c r="G77"/>
  <c r="G71" s="1"/>
  <c r="G76"/>
  <c r="G70" s="1"/>
  <c r="G74"/>
  <c r="G68" s="1"/>
  <c r="F77"/>
  <c r="F71" s="1"/>
  <c r="F76"/>
  <c r="F70" s="1"/>
  <c r="F74"/>
  <c r="F68" s="1"/>
  <c r="J22"/>
  <c r="I22"/>
  <c r="H22"/>
  <c r="G22"/>
  <c r="J21"/>
  <c r="I21"/>
  <c r="H21"/>
  <c r="G21"/>
  <c r="J19"/>
  <c r="I19"/>
  <c r="H19"/>
  <c r="G19"/>
  <c r="J28"/>
  <c r="I28"/>
  <c r="H28"/>
  <c r="G28"/>
  <c r="J25"/>
  <c r="I25"/>
  <c r="H25"/>
  <c r="G25"/>
  <c r="J34"/>
  <c r="I34"/>
  <c r="H34"/>
  <c r="G34"/>
  <c r="J33"/>
  <c r="I33"/>
  <c r="H33"/>
  <c r="G33"/>
  <c r="J31"/>
  <c r="I31"/>
  <c r="H31"/>
  <c r="G31"/>
  <c r="J40"/>
  <c r="I40"/>
  <c r="H40"/>
  <c r="G40"/>
  <c r="J39"/>
  <c r="I39"/>
  <c r="H39"/>
  <c r="G39"/>
  <c r="J37"/>
  <c r="I37"/>
  <c r="H37"/>
  <c r="G37"/>
  <c r="J46"/>
  <c r="I46"/>
  <c r="H46"/>
  <c r="G46"/>
  <c r="J45"/>
  <c r="I45"/>
  <c r="H45"/>
  <c r="G45"/>
  <c r="J42"/>
  <c r="I42"/>
  <c r="H42"/>
  <c r="G42"/>
  <c r="J52"/>
  <c r="I52"/>
  <c r="H52"/>
  <c r="G52"/>
  <c r="J51"/>
  <c r="I51"/>
  <c r="H51"/>
  <c r="G51"/>
  <c r="J48"/>
  <c r="I48"/>
  <c r="H48"/>
  <c r="G48"/>
  <c r="J58"/>
  <c r="I58"/>
  <c r="H58"/>
  <c r="G58"/>
  <c r="J57"/>
  <c r="I57"/>
  <c r="H57"/>
  <c r="G57"/>
  <c r="J54"/>
  <c r="I54"/>
  <c r="H54"/>
  <c r="G54"/>
  <c r="F58"/>
  <c r="F57"/>
  <c r="F54"/>
  <c r="F52"/>
  <c r="F51"/>
  <c r="F48"/>
  <c r="F46"/>
  <c r="F45"/>
  <c r="F42"/>
  <c r="F40"/>
  <c r="F39"/>
  <c r="F37"/>
  <c r="F34"/>
  <c r="F33"/>
  <c r="F31"/>
  <c r="F28"/>
  <c r="F27"/>
  <c r="F25"/>
  <c r="F22"/>
  <c r="F21"/>
  <c r="F19"/>
  <c r="J39" i="53"/>
  <c r="J102" i="55" s="1"/>
  <c r="I39" i="53"/>
  <c r="I102" i="55" s="1"/>
  <c r="H39" i="53"/>
  <c r="H102" i="55" s="1"/>
  <c r="G39" i="53"/>
  <c r="G102" i="55" s="1"/>
  <c r="M68" i="54"/>
  <c r="L68"/>
  <c r="K68"/>
  <c r="J68"/>
  <c r="I68"/>
  <c r="H68"/>
  <c r="G68"/>
  <c r="F68"/>
  <c r="E68"/>
  <c r="D68"/>
  <c r="E99" i="67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V73"/>
  <c r="V7"/>
  <c r="E60" i="66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F141" i="55" l="1"/>
  <c r="J141"/>
  <c r="F165"/>
  <c r="J16"/>
  <c r="F15"/>
  <c r="G16"/>
  <c r="G141"/>
  <c r="I16"/>
  <c r="I141"/>
  <c r="F16"/>
  <c r="H16"/>
  <c r="E61" i="57"/>
  <c r="F62"/>
  <c r="F167" i="55"/>
  <c r="H166"/>
  <c r="F216"/>
  <c r="E53" i="57"/>
  <c r="F168" i="55"/>
  <c r="I166"/>
  <c r="F166"/>
  <c r="G166"/>
  <c r="J166"/>
  <c r="F60" i="57"/>
  <c r="F59"/>
  <c r="F58"/>
  <c r="G76" i="64"/>
  <c r="F97" i="55"/>
  <c r="G97"/>
  <c r="F96"/>
  <c r="H97"/>
  <c r="J97"/>
  <c r="I97"/>
  <c r="I68"/>
  <c r="E220" i="64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P211"/>
  <c r="U211" s="1"/>
  <c r="O211"/>
  <c r="T211" s="1"/>
  <c r="N211"/>
  <c r="S211" s="1"/>
  <c r="M211"/>
  <c r="R211" s="1"/>
  <c r="L211"/>
  <c r="V153"/>
  <c r="P138"/>
  <c r="O138"/>
  <c r="N138"/>
  <c r="M138"/>
  <c r="R138" s="1"/>
  <c r="L138"/>
  <c r="V48"/>
  <c r="E75" i="63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H28" i="61"/>
  <c r="E60" i="59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G75" i="64" l="1"/>
  <c r="D45" i="54"/>
  <c r="D44" s="1"/>
  <c r="H76" i="64"/>
  <c r="H27" i="61"/>
  <c r="G27"/>
  <c r="V30" i="58"/>
  <c r="H75" i="64" l="1"/>
  <c r="E45" i="54"/>
  <c r="E44" s="1"/>
  <c r="G26" i="61"/>
  <c r="D23" i="54"/>
  <c r="D22" s="1"/>
  <c r="H26" i="61"/>
  <c r="E23" i="54"/>
  <c r="E22" s="1"/>
  <c r="O132" i="26"/>
  <c r="O81"/>
  <c r="O65"/>
  <c r="M162"/>
  <c r="L162"/>
  <c r="K162"/>
  <c r="J162"/>
  <c r="N162"/>
  <c r="B6" i="44"/>
  <c r="C6" s="1"/>
  <c r="F6" s="1"/>
  <c r="V34" i="70" s="1"/>
  <c r="E4" i="44"/>
  <c r="B20"/>
  <c r="C20" s="1"/>
  <c r="B19"/>
  <c r="C19" s="1"/>
  <c r="F19" s="1"/>
  <c r="B18"/>
  <c r="C18" s="1"/>
  <c r="F18" s="1"/>
  <c r="V116" i="70" s="1"/>
  <c r="B17" i="44"/>
  <c r="C17" s="1"/>
  <c r="F17" s="1"/>
  <c r="B16"/>
  <c r="C16" s="1"/>
  <c r="F16" s="1"/>
  <c r="V6" i="70" s="1"/>
  <c r="B15" i="44"/>
  <c r="C15" s="1"/>
  <c r="F15" s="1"/>
  <c r="V90" i="70" s="1"/>
  <c r="B14" i="44"/>
  <c r="C14" s="1"/>
  <c r="F14" s="1"/>
  <c r="B13"/>
  <c r="C13" s="1"/>
  <c r="B12"/>
  <c r="C12" s="1"/>
  <c r="F12" s="1"/>
  <c r="V7" i="64" s="1"/>
  <c r="B11" i="44"/>
  <c r="C11" s="1"/>
  <c r="F11" s="1"/>
  <c r="B10"/>
  <c r="C10" s="1"/>
  <c r="B9"/>
  <c r="C9" s="1"/>
  <c r="B8"/>
  <c r="C8" s="1"/>
  <c r="F8" s="1"/>
  <c r="B7"/>
  <c r="C7" s="1"/>
  <c r="F7" s="1"/>
  <c r="V6" i="59" s="1"/>
  <c r="B5" i="44"/>
  <c r="B4" l="1"/>
  <c r="V34" i="67"/>
  <c r="V38" i="59"/>
  <c r="V6" i="58"/>
  <c r="V32" i="65"/>
  <c r="V20" i="61"/>
  <c r="V7" i="62"/>
  <c r="V60" i="65"/>
  <c r="V7" i="63"/>
  <c r="V42"/>
  <c r="V148" i="64"/>
  <c r="V90" i="62"/>
  <c r="V63"/>
  <c r="V15" i="61"/>
  <c r="V14" i="60"/>
  <c r="V177" i="64"/>
  <c r="V104"/>
  <c r="V23" i="61"/>
  <c r="V6" i="60"/>
  <c r="V27" i="61"/>
  <c r="V7"/>
  <c r="C5" i="44"/>
  <c r="F5" s="1"/>
  <c r="V6" i="66" s="1"/>
  <c r="V35"/>
  <c r="V6" i="65"/>
  <c r="O37" i="26"/>
  <c r="O96"/>
  <c r="O168"/>
  <c r="O215"/>
  <c r="O184"/>
  <c r="O148"/>
  <c r="O206"/>
  <c r="O196"/>
  <c r="O50"/>
  <c r="O110"/>
  <c r="E23" i="43"/>
  <c r="E22"/>
  <c r="E21"/>
  <c r="E20"/>
  <c r="E19"/>
  <c r="F19" s="1"/>
  <c r="D23"/>
  <c r="D22"/>
  <c r="D21"/>
  <c r="D20"/>
  <c r="D19"/>
  <c r="O7" i="26" l="1"/>
  <c r="C4" i="44"/>
  <c r="O22" i="26"/>
  <c r="M68" i="37"/>
  <c r="L68"/>
  <c r="K68"/>
  <c r="M55"/>
  <c r="L55"/>
  <c r="L54" s="1"/>
  <c r="K55"/>
  <c r="I68"/>
  <c r="H68"/>
  <c r="G68"/>
  <c r="I55"/>
  <c r="I54" s="1"/>
  <c r="H55"/>
  <c r="G55"/>
  <c r="G54" s="1"/>
  <c r="T31"/>
  <c r="S31"/>
  <c r="R31"/>
  <c r="F5" i="41"/>
  <c r="E5"/>
  <c r="D5"/>
  <c r="C5"/>
  <c r="K54" i="37" l="1"/>
  <c r="H54"/>
  <c r="M54"/>
  <c r="E8" i="29"/>
  <c r="G40" i="34" l="1"/>
  <c r="I42"/>
  <c r="G86" i="53" s="1"/>
  <c r="G42" i="34"/>
  <c r="F86" i="53" s="1"/>
  <c r="I54" i="34"/>
  <c r="G188" i="53" s="1"/>
  <c r="G187" s="1"/>
  <c r="G56" i="55" s="1"/>
  <c r="G54" i="34"/>
  <c r="F188" i="53" s="1"/>
  <c r="F187" s="1"/>
  <c r="F56" i="55" s="1"/>
  <c r="G52" i="34"/>
  <c r="H52" s="1"/>
  <c r="I51"/>
  <c r="G88" i="53" s="1"/>
  <c r="G51" i="34"/>
  <c r="I49"/>
  <c r="G49"/>
  <c r="I48"/>
  <c r="G162" i="53" s="1"/>
  <c r="G161" s="1"/>
  <c r="G210" i="55" s="1"/>
  <c r="G48" i="34"/>
  <c r="F162" i="53" s="1"/>
  <c r="F161" s="1"/>
  <c r="F210" i="55" s="1"/>
  <c r="G46" i="34"/>
  <c r="H46" s="1"/>
  <c r="I45"/>
  <c r="G87" i="53" s="1"/>
  <c r="G45" i="34"/>
  <c r="F87" i="53" s="1"/>
  <c r="G43" i="34"/>
  <c r="H43" s="1"/>
  <c r="I33"/>
  <c r="G204" i="53" s="1"/>
  <c r="G33" i="34"/>
  <c r="F204" i="53" s="1"/>
  <c r="I30" i="34"/>
  <c r="G203" i="53" s="1"/>
  <c r="G30" i="34"/>
  <c r="I27"/>
  <c r="G84" i="53" s="1"/>
  <c r="G27" i="34"/>
  <c r="F84" i="53" s="1"/>
  <c r="I24" i="34"/>
  <c r="G60" i="53" s="1"/>
  <c r="G24" i="34"/>
  <c r="F60" i="53" s="1"/>
  <c r="I21" i="34"/>
  <c r="G59" i="53" s="1"/>
  <c r="G21" i="34"/>
  <c r="F59" i="53" s="1"/>
  <c r="I18" i="34"/>
  <c r="G83" i="53" s="1"/>
  <c r="G18" i="34"/>
  <c r="F83" i="53" s="1"/>
  <c r="I15" i="34"/>
  <c r="G82" i="53" s="1"/>
  <c r="G15" i="34"/>
  <c r="F82" i="53" s="1"/>
  <c r="I12" i="34"/>
  <c r="G81" i="53" s="1"/>
  <c r="G12" i="34"/>
  <c r="F81" i="53" s="1"/>
  <c r="I36" i="34"/>
  <c r="G212" i="53" s="1"/>
  <c r="G211" s="1"/>
  <c r="G50" i="55" s="1"/>
  <c r="G36" i="34"/>
  <c r="F212" i="53" s="1"/>
  <c r="F211" s="1"/>
  <c r="F50" i="55" s="1"/>
  <c r="I39" i="34"/>
  <c r="P39" s="1"/>
  <c r="G39"/>
  <c r="N39" s="1"/>
  <c r="E54"/>
  <c r="E48"/>
  <c r="E36"/>
  <c r="E27"/>
  <c r="E24"/>
  <c r="E21"/>
  <c r="E18"/>
  <c r="E15"/>
  <c r="E12"/>
  <c r="F20" i="43"/>
  <c r="F22"/>
  <c r="C23"/>
  <c r="C22"/>
  <c r="C20"/>
  <c r="F14"/>
  <c r="F13"/>
  <c r="C7"/>
  <c r="K21" i="34" l="1"/>
  <c r="I59" i="53" s="1"/>
  <c r="L21" i="34"/>
  <c r="J59" i="53" s="1"/>
  <c r="J18" i="34"/>
  <c r="H83" i="53" s="1"/>
  <c r="L18" i="34"/>
  <c r="J36"/>
  <c r="H212" i="53" s="1"/>
  <c r="H211" s="1"/>
  <c r="H50" i="55" s="1"/>
  <c r="L36" i="34"/>
  <c r="J15"/>
  <c r="H82" i="53" s="1"/>
  <c r="L15" i="34"/>
  <c r="J27"/>
  <c r="H84" i="53" s="1"/>
  <c r="L27" i="34"/>
  <c r="J84" i="53" s="1"/>
  <c r="K12" i="34"/>
  <c r="I81" i="53" s="1"/>
  <c r="L12" i="34"/>
  <c r="K24"/>
  <c r="I60" i="53" s="1"/>
  <c r="L24" i="34"/>
  <c r="J60" i="53" s="1"/>
  <c r="K54" i="34"/>
  <c r="I188" i="53" s="1"/>
  <c r="I187" s="1"/>
  <c r="I56" i="55" s="1"/>
  <c r="L54" i="34"/>
  <c r="K48"/>
  <c r="I162" i="53" s="1"/>
  <c r="I161" s="1"/>
  <c r="I210" i="55" s="1"/>
  <c r="L48" i="34"/>
  <c r="J162" i="53" s="1"/>
  <c r="J161" s="1"/>
  <c r="J210" i="55" s="1"/>
  <c r="F6" i="43"/>
  <c r="E33" i="34"/>
  <c r="E51"/>
  <c r="L51" s="1"/>
  <c r="J88" i="53" s="1"/>
  <c r="E45" i="34"/>
  <c r="K45" s="1"/>
  <c r="I87" i="53" s="1"/>
  <c r="G58"/>
  <c r="G107" i="55" s="1"/>
  <c r="G95" s="1"/>
  <c r="J81" i="53"/>
  <c r="I58"/>
  <c r="I107" i="55" s="1"/>
  <c r="I95" s="1"/>
  <c r="J12" i="34"/>
  <c r="H81" i="53" s="1"/>
  <c r="J82"/>
  <c r="F58"/>
  <c r="F107" i="55" s="1"/>
  <c r="F95" s="1"/>
  <c r="J24" i="34"/>
  <c r="H60" i="53" s="1"/>
  <c r="J83"/>
  <c r="J54" i="34"/>
  <c r="H188" i="53" s="1"/>
  <c r="H187" s="1"/>
  <c r="H56" i="55" s="1"/>
  <c r="G202" i="53"/>
  <c r="J48" i="34"/>
  <c r="H162" i="53" s="1"/>
  <c r="H161" s="1"/>
  <c r="H210" i="55" s="1"/>
  <c r="E30" i="34"/>
  <c r="H51"/>
  <c r="F88" i="53"/>
  <c r="F80" s="1"/>
  <c r="C9" i="43"/>
  <c r="G80" i="53"/>
  <c r="H30" i="34"/>
  <c r="F203" i="53"/>
  <c r="F202" s="1"/>
  <c r="C10" i="43"/>
  <c r="C14"/>
  <c r="K18" i="34"/>
  <c r="I83" i="53" s="1"/>
  <c r="J21" i="34"/>
  <c r="H59" i="53" s="1"/>
  <c r="K15" i="34"/>
  <c r="I82" i="53" s="1"/>
  <c r="K27" i="34"/>
  <c r="I84" i="53" s="1"/>
  <c r="J188"/>
  <c r="J187" s="1"/>
  <c r="J56" i="55" s="1"/>
  <c r="J212" i="53"/>
  <c r="J211" s="1"/>
  <c r="J50" i="55" s="1"/>
  <c r="K36" i="34"/>
  <c r="I212" i="53" s="1"/>
  <c r="I211" s="1"/>
  <c r="I50" i="55" s="1"/>
  <c r="J51" i="34"/>
  <c r="H88" i="53" s="1"/>
  <c r="J33" i="34"/>
  <c r="H204" i="53" s="1"/>
  <c r="J45" i="34"/>
  <c r="H87" i="53" s="1"/>
  <c r="C11" i="43"/>
  <c r="C15"/>
  <c r="E18"/>
  <c r="E5" s="1"/>
  <c r="I50" i="34"/>
  <c r="G79" i="53" s="1"/>
  <c r="C8" i="43"/>
  <c r="C12"/>
  <c r="C16"/>
  <c r="C21"/>
  <c r="G50" i="34"/>
  <c r="F79" i="53" s="1"/>
  <c r="G44" i="34"/>
  <c r="F78" i="53" s="1"/>
  <c r="H49" i="34"/>
  <c r="H54"/>
  <c r="H53" s="1"/>
  <c r="G53"/>
  <c r="H48"/>
  <c r="H47" s="1"/>
  <c r="G47"/>
  <c r="H45"/>
  <c r="H44" s="1"/>
  <c r="H42"/>
  <c r="G41"/>
  <c r="F77" i="53" s="1"/>
  <c r="H36" i="34"/>
  <c r="I9"/>
  <c r="H33"/>
  <c r="H27"/>
  <c r="H24"/>
  <c r="H21"/>
  <c r="H18"/>
  <c r="H15"/>
  <c r="H12"/>
  <c r="G9"/>
  <c r="C6" i="43"/>
  <c r="C13"/>
  <c r="D18"/>
  <c r="C19"/>
  <c r="J30" i="34" l="1"/>
  <c r="H203" i="53" s="1"/>
  <c r="L30" i="34"/>
  <c r="J203" i="53" s="1"/>
  <c r="K33" i="34"/>
  <c r="I204" i="53" s="1"/>
  <c r="L33" i="34"/>
  <c r="J204" i="53" s="1"/>
  <c r="K51" i="34"/>
  <c r="I88" i="53" s="1"/>
  <c r="L45" i="34"/>
  <c r="J87" i="53" s="1"/>
  <c r="J58"/>
  <c r="J107" i="55" s="1"/>
  <c r="J95" s="1"/>
  <c r="E9" i="34"/>
  <c r="F44" i="55"/>
  <c r="F14" s="1"/>
  <c r="F146"/>
  <c r="F140" s="1"/>
  <c r="F236"/>
  <c r="F233" s="1"/>
  <c r="E48" i="57" s="1"/>
  <c r="G146" i="55"/>
  <c r="G140" s="1"/>
  <c r="G236"/>
  <c r="G233" s="1"/>
  <c r="F48" i="57" s="1"/>
  <c r="G44" i="55"/>
  <c r="G14" s="1"/>
  <c r="H58" i="53"/>
  <c r="H107" i="55" s="1"/>
  <c r="H95" s="1"/>
  <c r="K30" i="34"/>
  <c r="I203" i="53" s="1"/>
  <c r="I202" s="1"/>
  <c r="H50" i="34"/>
  <c r="J9"/>
  <c r="Q9" s="1"/>
  <c r="K9"/>
  <c r="R9" s="1"/>
  <c r="H202" i="53"/>
  <c r="F186"/>
  <c r="F185" s="1"/>
  <c r="F160"/>
  <c r="F159" s="1"/>
  <c r="F209" i="55" s="1"/>
  <c r="C18" i="43"/>
  <c r="C5" s="1"/>
  <c r="D5"/>
  <c r="G6" i="34"/>
  <c r="N6" s="1"/>
  <c r="N9"/>
  <c r="H39"/>
  <c r="O39" s="1"/>
  <c r="I6"/>
  <c r="P6" s="1"/>
  <c r="P9"/>
  <c r="G38"/>
  <c r="H9"/>
  <c r="J202" i="53" l="1"/>
  <c r="J44" i="55" s="1"/>
  <c r="J14" s="1"/>
  <c r="L9" i="34"/>
  <c r="S9" s="1"/>
  <c r="I44" i="55"/>
  <c r="I14" s="1"/>
  <c r="H44"/>
  <c r="H14" s="1"/>
  <c r="F55"/>
  <c r="F53" s="1"/>
  <c r="E12" i="57" s="1"/>
  <c r="F183" i="53"/>
  <c r="G37" i="34"/>
  <c r="N37" s="1"/>
  <c r="N38"/>
  <c r="H6"/>
  <c r="O6" s="1"/>
  <c r="O9"/>
  <c r="J42"/>
  <c r="G41" i="37"/>
  <c r="G40"/>
  <c r="G39"/>
  <c r="G37"/>
  <c r="G36"/>
  <c r="G35"/>
  <c r="G34"/>
  <c r="G33"/>
  <c r="G32"/>
  <c r="L27"/>
  <c r="I28"/>
  <c r="I27" s="1"/>
  <c r="J27"/>
  <c r="J39" i="34" l="1"/>
  <c r="J6" s="1"/>
  <c r="Q6" s="1"/>
  <c r="H86" i="53"/>
  <c r="H80" s="1"/>
  <c r="K28" i="37"/>
  <c r="H146" i="55" l="1"/>
  <c r="H140" s="1"/>
  <c r="H236"/>
  <c r="H233" s="1"/>
  <c r="Q39" i="34"/>
  <c r="M28" i="37"/>
  <c r="K27"/>
  <c r="M27" l="1"/>
  <c r="H76" i="53"/>
  <c r="I76"/>
  <c r="F76"/>
  <c r="J76"/>
  <c r="G76"/>
  <c r="O232" i="55"/>
  <c r="G48" i="57"/>
  <c r="K20" i="41"/>
  <c r="K21" s="1"/>
  <c r="K22" s="1"/>
  <c r="J20"/>
  <c r="J21" s="1"/>
  <c r="J22" s="1"/>
  <c r="I20"/>
  <c r="I21" s="1"/>
  <c r="I22" s="1"/>
  <c r="H20"/>
  <c r="H21" s="1"/>
  <c r="H22" s="1"/>
  <c r="S8" i="40"/>
  <c r="R8"/>
  <c r="Q8"/>
  <c r="P8"/>
  <c r="D22" i="41" l="1"/>
  <c r="D21"/>
  <c r="D38" i="37"/>
  <c r="J38" s="1"/>
  <c r="M20"/>
  <c r="N20" s="1"/>
  <c r="D37" s="1"/>
  <c r="L20"/>
  <c r="K20"/>
  <c r="J20"/>
  <c r="I20"/>
  <c r="H20"/>
  <c r="G20"/>
  <c r="F20"/>
  <c r="E20"/>
  <c r="M19"/>
  <c r="N19" s="1"/>
  <c r="D36" s="1"/>
  <c r="L19"/>
  <c r="K19"/>
  <c r="J19"/>
  <c r="I19"/>
  <c r="H19"/>
  <c r="G19"/>
  <c r="F19"/>
  <c r="E19"/>
  <c r="M18"/>
  <c r="N18" s="1"/>
  <c r="D35" s="1"/>
  <c r="L18"/>
  <c r="K18"/>
  <c r="J18"/>
  <c r="I18"/>
  <c r="H18"/>
  <c r="G18"/>
  <c r="F18"/>
  <c r="E18"/>
  <c r="M17"/>
  <c r="N17" s="1"/>
  <c r="D34" s="1"/>
  <c r="L17"/>
  <c r="K17"/>
  <c r="J17"/>
  <c r="I17"/>
  <c r="H17"/>
  <c r="G17"/>
  <c r="F17"/>
  <c r="E17"/>
  <c r="M16"/>
  <c r="N16" s="1"/>
  <c r="D33" s="1"/>
  <c r="L16"/>
  <c r="K16"/>
  <c r="J16"/>
  <c r="I16"/>
  <c r="H16"/>
  <c r="G16"/>
  <c r="F16"/>
  <c r="E16"/>
  <c r="J15"/>
  <c r="F15"/>
  <c r="D20"/>
  <c r="D19"/>
  <c r="D18"/>
  <c r="D17"/>
  <c r="D16"/>
  <c r="J35" l="1"/>
  <c r="E19" i="34" s="1"/>
  <c r="L19" s="1"/>
  <c r="L20" s="1"/>
  <c r="J34" i="37"/>
  <c r="E16" i="34" s="1"/>
  <c r="L16" s="1"/>
  <c r="L17" s="1"/>
  <c r="J33" i="37"/>
  <c r="E13" i="34" s="1"/>
  <c r="L13" s="1"/>
  <c r="L14" s="1"/>
  <c r="J36" i="37"/>
  <c r="E22" i="34" s="1"/>
  <c r="L22" s="1"/>
  <c r="L23" s="1"/>
  <c r="H4" i="37"/>
  <c r="L4"/>
  <c r="E4"/>
  <c r="I4"/>
  <c r="D4"/>
  <c r="M4"/>
  <c r="K4"/>
  <c r="G4"/>
  <c r="E15"/>
  <c r="I15"/>
  <c r="M15"/>
  <c r="F4"/>
  <c r="J4"/>
  <c r="H15"/>
  <c r="L15"/>
  <c r="D15"/>
  <c r="G15"/>
  <c r="K15"/>
  <c r="J74" i="53" l="1"/>
  <c r="G16" i="34"/>
  <c r="K16"/>
  <c r="K17" s="1"/>
  <c r="I74" i="53" s="1"/>
  <c r="J16" i="34"/>
  <c r="J17" s="1"/>
  <c r="H74" i="53" s="1"/>
  <c r="I16" i="34"/>
  <c r="I17" s="1"/>
  <c r="G74" i="53" s="1"/>
  <c r="E17" i="34"/>
  <c r="I13"/>
  <c r="I14" s="1"/>
  <c r="G73" i="53" s="1"/>
  <c r="J13" i="34"/>
  <c r="J14" s="1"/>
  <c r="H73" i="53" s="1"/>
  <c r="K13" i="34"/>
  <c r="K14" s="1"/>
  <c r="I73" i="53" s="1"/>
  <c r="J73"/>
  <c r="G13" i="34"/>
  <c r="E14"/>
  <c r="J57" i="53"/>
  <c r="G22" i="34"/>
  <c r="I22"/>
  <c r="I23" s="1"/>
  <c r="G57" i="53" s="1"/>
  <c r="J22" i="34"/>
  <c r="J23" s="1"/>
  <c r="H57" i="53" s="1"/>
  <c r="E23" i="34"/>
  <c r="K22"/>
  <c r="K23" s="1"/>
  <c r="I57" i="53" s="1"/>
  <c r="J19" i="34"/>
  <c r="J20" s="1"/>
  <c r="H56" i="53" s="1"/>
  <c r="E20" i="34"/>
  <c r="K19"/>
  <c r="K20" s="1"/>
  <c r="I56" i="53" s="1"/>
  <c r="J56"/>
  <c r="G19" i="34"/>
  <c r="I19"/>
  <c r="I20" s="1"/>
  <c r="G56" i="53" s="1"/>
  <c r="N15" i="37"/>
  <c r="D32" s="1"/>
  <c r="J32" s="1"/>
  <c r="E10" i="34" s="1"/>
  <c r="L10" s="1"/>
  <c r="H55" i="53" l="1"/>
  <c r="H106" i="55" s="1"/>
  <c r="H94" s="1"/>
  <c r="J55" i="53"/>
  <c r="J106" i="55" s="1"/>
  <c r="J94" s="1"/>
  <c r="I55" i="53"/>
  <c r="I106" i="55" s="1"/>
  <c r="I94" s="1"/>
  <c r="G55" i="53"/>
  <c r="G106" i="55" s="1"/>
  <c r="G94" s="1"/>
  <c r="K10" i="34"/>
  <c r="K11" s="1"/>
  <c r="I72" i="53" s="1"/>
  <c r="L11" i="34"/>
  <c r="J72" i="53" s="1"/>
  <c r="G10" i="34"/>
  <c r="I10"/>
  <c r="I11" s="1"/>
  <c r="G72" i="53" s="1"/>
  <c r="J10" i="34"/>
  <c r="J11" s="1"/>
  <c r="H72" i="53" s="1"/>
  <c r="E11" i="34"/>
  <c r="H22"/>
  <c r="H23" s="1"/>
  <c r="G23"/>
  <c r="F57" i="53" s="1"/>
  <c r="H16" i="34"/>
  <c r="H17" s="1"/>
  <c r="G17"/>
  <c r="F74" i="53" s="1"/>
  <c r="H19" i="34"/>
  <c r="H20" s="1"/>
  <c r="G20"/>
  <c r="F56" i="53" s="1"/>
  <c r="H13" i="34"/>
  <c r="H14" s="1"/>
  <c r="G14"/>
  <c r="F73" i="53" s="1"/>
  <c r="E19" i="30"/>
  <c r="E9" i="29"/>
  <c r="F55" i="53" l="1"/>
  <c r="F106" i="55" s="1"/>
  <c r="F94" s="1"/>
  <c r="H10" i="34"/>
  <c r="H11" s="1"/>
  <c r="G11"/>
  <c r="F72" i="53" s="1"/>
  <c r="D23" i="32"/>
  <c r="M24"/>
  <c r="G24"/>
  <c r="G23"/>
  <c r="F24"/>
  <c r="I23" l="1"/>
  <c r="C5" i="38" l="1"/>
  <c r="C10"/>
  <c r="J10"/>
  <c r="J4" s="1"/>
  <c r="I10"/>
  <c r="J5"/>
  <c r="I5"/>
  <c r="P53" i="10"/>
  <c r="O53"/>
  <c r="N53"/>
  <c r="M53"/>
  <c r="P50"/>
  <c r="O50"/>
  <c r="N50"/>
  <c r="M50"/>
  <c r="P47"/>
  <c r="O47"/>
  <c r="N47"/>
  <c r="M47"/>
  <c r="P44"/>
  <c r="O44"/>
  <c r="N44"/>
  <c r="M44"/>
  <c r="P41"/>
  <c r="O41"/>
  <c r="N41"/>
  <c r="M41"/>
  <c r="P38"/>
  <c r="O38"/>
  <c r="N38"/>
  <c r="M38"/>
  <c r="P35"/>
  <c r="O35"/>
  <c r="N35"/>
  <c r="M35"/>
  <c r="P32"/>
  <c r="O32"/>
  <c r="N32"/>
  <c r="M32"/>
  <c r="P29"/>
  <c r="O29"/>
  <c r="N29"/>
  <c r="M29"/>
  <c r="P26"/>
  <c r="O26"/>
  <c r="N26"/>
  <c r="M26"/>
  <c r="P23"/>
  <c r="O23"/>
  <c r="N23"/>
  <c r="M23"/>
  <c r="P20"/>
  <c r="O20"/>
  <c r="N20"/>
  <c r="M20"/>
  <c r="P17"/>
  <c r="O17"/>
  <c r="N17"/>
  <c r="M17"/>
  <c r="P14"/>
  <c r="O14"/>
  <c r="N14"/>
  <c r="M14"/>
  <c r="P11"/>
  <c r="O11"/>
  <c r="N11"/>
  <c r="M11"/>
  <c r="H17" i="13"/>
  <c r="G17"/>
  <c r="F17"/>
  <c r="E17"/>
  <c r="H16"/>
  <c r="G16"/>
  <c r="F16"/>
  <c r="E16"/>
  <c r="H15"/>
  <c r="G15"/>
  <c r="F15"/>
  <c r="E15"/>
  <c r="P106" i="10"/>
  <c r="O106"/>
  <c r="N106"/>
  <c r="M106"/>
  <c r="P103"/>
  <c r="O103"/>
  <c r="N103"/>
  <c r="M103"/>
  <c r="P100"/>
  <c r="O100"/>
  <c r="N100"/>
  <c r="M100"/>
  <c r="P97"/>
  <c r="O97"/>
  <c r="N97"/>
  <c r="M97"/>
  <c r="P94"/>
  <c r="O94"/>
  <c r="N94"/>
  <c r="M94"/>
  <c r="P91"/>
  <c r="O91"/>
  <c r="N91"/>
  <c r="M91"/>
  <c r="P88"/>
  <c r="O88"/>
  <c r="N88"/>
  <c r="M88"/>
  <c r="P85"/>
  <c r="O85"/>
  <c r="N85"/>
  <c r="M85"/>
  <c r="P82"/>
  <c r="O82"/>
  <c r="N82"/>
  <c r="M82"/>
  <c r="P79"/>
  <c r="O79"/>
  <c r="N79"/>
  <c r="M79"/>
  <c r="P76"/>
  <c r="O76"/>
  <c r="N76"/>
  <c r="M76"/>
  <c r="P73"/>
  <c r="O73"/>
  <c r="N73"/>
  <c r="M73"/>
  <c r="P70"/>
  <c r="O70"/>
  <c r="N70"/>
  <c r="M70"/>
  <c r="P67"/>
  <c r="O67"/>
  <c r="N67"/>
  <c r="M67"/>
  <c r="P64"/>
  <c r="O64"/>
  <c r="N64"/>
  <c r="M64"/>
  <c r="H14" i="13"/>
  <c r="G14"/>
  <c r="F14"/>
  <c r="E14"/>
  <c r="H13"/>
  <c r="G13"/>
  <c r="F13"/>
  <c r="E13"/>
  <c r="H12"/>
  <c r="G12"/>
  <c r="F12"/>
  <c r="E12"/>
  <c r="O91" i="29"/>
  <c r="N91"/>
  <c r="M91"/>
  <c r="F93"/>
  <c r="G93" s="1"/>
  <c r="H93" s="1"/>
  <c r="I93" s="1"/>
  <c r="B21" i="35"/>
  <c r="D16" s="1"/>
  <c r="D15" s="1"/>
  <c r="D3" s="1"/>
  <c r="D7"/>
  <c r="D4"/>
  <c r="C4" i="37"/>
  <c r="M23"/>
  <c r="N23" s="1"/>
  <c r="D41" s="1"/>
  <c r="L23"/>
  <c r="K23"/>
  <c r="J23"/>
  <c r="I23"/>
  <c r="H23"/>
  <c r="G23"/>
  <c r="F23"/>
  <c r="E23"/>
  <c r="D23"/>
  <c r="C23"/>
  <c r="M22"/>
  <c r="N22" s="1"/>
  <c r="D40" s="1"/>
  <c r="L22"/>
  <c r="K22"/>
  <c r="J22"/>
  <c r="I22"/>
  <c r="H22"/>
  <c r="G22"/>
  <c r="F22"/>
  <c r="E22"/>
  <c r="D22"/>
  <c r="C22"/>
  <c r="M21"/>
  <c r="L21"/>
  <c r="K21"/>
  <c r="J21"/>
  <c r="I21"/>
  <c r="H21"/>
  <c r="G21"/>
  <c r="F21"/>
  <c r="E21"/>
  <c r="D21"/>
  <c r="C21"/>
  <c r="E39" i="32"/>
  <c r="E31"/>
  <c r="E30"/>
  <c r="E29"/>
  <c r="E28"/>
  <c r="E26"/>
  <c r="E10"/>
  <c r="G10" s="1"/>
  <c r="I10" s="1"/>
  <c r="E9"/>
  <c r="E7"/>
  <c r="D39"/>
  <c r="D38" s="1"/>
  <c r="D30"/>
  <c r="D29"/>
  <c r="C26"/>
  <c r="D26" s="1"/>
  <c r="C7"/>
  <c r="C6" s="1"/>
  <c r="F39"/>
  <c r="F31"/>
  <c r="F30"/>
  <c r="F29"/>
  <c r="F28"/>
  <c r="F26"/>
  <c r="F22"/>
  <c r="F21"/>
  <c r="F11"/>
  <c r="F10"/>
  <c r="F9"/>
  <c r="F7"/>
  <c r="F11" i="31"/>
  <c r="F14"/>
  <c r="F15"/>
  <c r="F13"/>
  <c r="F12"/>
  <c r="F10"/>
  <c r="F9"/>
  <c r="F8"/>
  <c r="F7"/>
  <c r="F6"/>
  <c r="F5"/>
  <c r="F4"/>
  <c r="E16"/>
  <c r="E17"/>
  <c r="D16"/>
  <c r="D17" s="1"/>
  <c r="C16"/>
  <c r="C17"/>
  <c r="B16"/>
  <c r="B17" s="1"/>
  <c r="D9" i="29"/>
  <c r="L9" s="1"/>
  <c r="E16" i="2"/>
  <c r="E14"/>
  <c r="E13"/>
  <c r="E12"/>
  <c r="E11"/>
  <c r="E10"/>
  <c r="E9"/>
  <c r="E8"/>
  <c r="E6"/>
  <c r="C18" i="7"/>
  <c r="D18"/>
  <c r="E18"/>
  <c r="F18"/>
  <c r="N51" i="23" s="1"/>
  <c r="B18" i="7"/>
  <c r="C17"/>
  <c r="D17"/>
  <c r="E17"/>
  <c r="F17"/>
  <c r="B17"/>
  <c r="C16"/>
  <c r="D16"/>
  <c r="E16"/>
  <c r="F16"/>
  <c r="B16"/>
  <c r="C5" i="14"/>
  <c r="C6"/>
  <c r="C7"/>
  <c r="D7"/>
  <c r="E7"/>
  <c r="F7"/>
  <c r="K69" i="15"/>
  <c r="L69"/>
  <c r="M69"/>
  <c r="N69"/>
  <c r="K70"/>
  <c r="L70"/>
  <c r="M70"/>
  <c r="N70"/>
  <c r="L68"/>
  <c r="M68"/>
  <c r="N68"/>
  <c r="K68"/>
  <c r="L65"/>
  <c r="M65"/>
  <c r="N65"/>
  <c r="L64"/>
  <c r="M64"/>
  <c r="N64"/>
  <c r="L63"/>
  <c r="M63"/>
  <c r="N63"/>
  <c r="K64"/>
  <c r="K65"/>
  <c r="K63"/>
  <c r="G79"/>
  <c r="F42" s="1"/>
  <c r="F79"/>
  <c r="E42" s="1"/>
  <c r="E44" s="1"/>
  <c r="S42" s="1"/>
  <c r="E79"/>
  <c r="D42" s="1"/>
  <c r="G69"/>
  <c r="F27" s="1"/>
  <c r="F29" s="1"/>
  <c r="T27" s="1"/>
  <c r="C83"/>
  <c r="F83"/>
  <c r="E48" s="1"/>
  <c r="E50" s="1"/>
  <c r="S48" s="1"/>
  <c r="C81"/>
  <c r="E81" s="1"/>
  <c r="D45" s="1"/>
  <c r="C77"/>
  <c r="G77" s="1"/>
  <c r="F39" s="1"/>
  <c r="C75"/>
  <c r="C73"/>
  <c r="C71"/>
  <c r="F71" s="1"/>
  <c r="E30" s="1"/>
  <c r="E32" s="1"/>
  <c r="S30" s="1"/>
  <c r="C69"/>
  <c r="F70" s="1"/>
  <c r="L27" s="1"/>
  <c r="L29" s="1"/>
  <c r="S28" s="1"/>
  <c r="C67"/>
  <c r="C65"/>
  <c r="C61"/>
  <c r="C59"/>
  <c r="C57"/>
  <c r="C55"/>
  <c r="G54"/>
  <c r="G80" s="1"/>
  <c r="M42" s="1"/>
  <c r="F54"/>
  <c r="E54"/>
  <c r="E80" s="1"/>
  <c r="K42" s="1"/>
  <c r="H7" i="13"/>
  <c r="I105" i="10"/>
  <c r="I102"/>
  <c r="K99"/>
  <c r="J96"/>
  <c r="K93"/>
  <c r="H92"/>
  <c r="I90"/>
  <c r="K87"/>
  <c r="J84"/>
  <c r="K81"/>
  <c r="H80"/>
  <c r="I78"/>
  <c r="K75"/>
  <c r="J72"/>
  <c r="K69"/>
  <c r="H68"/>
  <c r="I66"/>
  <c r="K63"/>
  <c r="AH106"/>
  <c r="AL105"/>
  <c r="AK105"/>
  <c r="AK106" s="1"/>
  <c r="AJ105"/>
  <c r="AI105"/>
  <c r="AH105"/>
  <c r="H105"/>
  <c r="L105"/>
  <c r="K105"/>
  <c r="J105"/>
  <c r="AL104"/>
  <c r="AK104"/>
  <c r="AJ104"/>
  <c r="AI104"/>
  <c r="AH104"/>
  <c r="AH103"/>
  <c r="AL102"/>
  <c r="AK102"/>
  <c r="AJ102"/>
  <c r="AJ103" s="1"/>
  <c r="AI102"/>
  <c r="AH102"/>
  <c r="H102"/>
  <c r="L102"/>
  <c r="K102"/>
  <c r="J102"/>
  <c r="AL101"/>
  <c r="AL103" s="1"/>
  <c r="AK101"/>
  <c r="AJ101"/>
  <c r="AI101"/>
  <c r="AI103" s="1"/>
  <c r="AH101"/>
  <c r="H101"/>
  <c r="AH100"/>
  <c r="AL99"/>
  <c r="AK99"/>
  <c r="AJ99"/>
  <c r="AI99"/>
  <c r="AH99"/>
  <c r="L99"/>
  <c r="H99"/>
  <c r="I99"/>
  <c r="AL98"/>
  <c r="AL100" s="1"/>
  <c r="AK98"/>
  <c r="AK100" s="1"/>
  <c r="AJ98"/>
  <c r="AJ100" s="1"/>
  <c r="AI98"/>
  <c r="AI100" s="1"/>
  <c r="AH98"/>
  <c r="AH97"/>
  <c r="AL96"/>
  <c r="AL97" s="1"/>
  <c r="AK96"/>
  <c r="AJ96"/>
  <c r="AI96"/>
  <c r="AI97" s="1"/>
  <c r="AH96"/>
  <c r="L96"/>
  <c r="H96"/>
  <c r="K96"/>
  <c r="I96"/>
  <c r="AL95"/>
  <c r="AK95"/>
  <c r="AK97"/>
  <c r="AJ95"/>
  <c r="AJ97" s="1"/>
  <c r="AI95"/>
  <c r="AH95"/>
  <c r="H95"/>
  <c r="AH94"/>
  <c r="AL93"/>
  <c r="AK93"/>
  <c r="AJ93"/>
  <c r="AI93"/>
  <c r="AH93"/>
  <c r="H93"/>
  <c r="H94" s="1"/>
  <c r="J93"/>
  <c r="I93"/>
  <c r="AL92"/>
  <c r="AL94"/>
  <c r="AK92"/>
  <c r="AJ92"/>
  <c r="AI92"/>
  <c r="AH92"/>
  <c r="AH91"/>
  <c r="AL90"/>
  <c r="AK90"/>
  <c r="AJ90"/>
  <c r="AI90"/>
  <c r="AH90"/>
  <c r="H90"/>
  <c r="L90"/>
  <c r="K90"/>
  <c r="AL89"/>
  <c r="AL91" s="1"/>
  <c r="AK89"/>
  <c r="AJ89"/>
  <c r="AJ91" s="1"/>
  <c r="AI89"/>
  <c r="AI91" s="1"/>
  <c r="AH89"/>
  <c r="H89"/>
  <c r="H91" s="1"/>
  <c r="AH88"/>
  <c r="AL87"/>
  <c r="AK87"/>
  <c r="AJ87"/>
  <c r="AI87"/>
  <c r="AH87"/>
  <c r="L87"/>
  <c r="H87"/>
  <c r="I87"/>
  <c r="AL86"/>
  <c r="AL88" s="1"/>
  <c r="AK86"/>
  <c r="AK88" s="1"/>
  <c r="AJ86"/>
  <c r="AI86"/>
  <c r="AI88" s="1"/>
  <c r="AH86"/>
  <c r="AH85"/>
  <c r="AL84"/>
  <c r="AK84"/>
  <c r="AK85" s="1"/>
  <c r="AJ84"/>
  <c r="AJ85" s="1"/>
  <c r="AI84"/>
  <c r="AH84"/>
  <c r="L84"/>
  <c r="H84"/>
  <c r="K84"/>
  <c r="I84"/>
  <c r="AL83"/>
  <c r="AK83"/>
  <c r="AJ83"/>
  <c r="AI83"/>
  <c r="AI85" s="1"/>
  <c r="AH83"/>
  <c r="H83"/>
  <c r="AH82"/>
  <c r="AL81"/>
  <c r="AK81"/>
  <c r="AJ81"/>
  <c r="AI81"/>
  <c r="AH81"/>
  <c r="H81"/>
  <c r="J81"/>
  <c r="I81"/>
  <c r="AL80"/>
  <c r="AL82" s="1"/>
  <c r="AK80"/>
  <c r="AK82" s="1"/>
  <c r="AJ80"/>
  <c r="AJ82" s="1"/>
  <c r="AI80"/>
  <c r="AI82" s="1"/>
  <c r="AH80"/>
  <c r="AH79"/>
  <c r="AL78"/>
  <c r="AK78"/>
  <c r="AJ78"/>
  <c r="AI78"/>
  <c r="AH78"/>
  <c r="H78"/>
  <c r="L78"/>
  <c r="K78"/>
  <c r="AL77"/>
  <c r="AL79" s="1"/>
  <c r="AK77"/>
  <c r="AK79" s="1"/>
  <c r="AJ77"/>
  <c r="AJ79" s="1"/>
  <c r="AI77"/>
  <c r="AI79" s="1"/>
  <c r="AH77"/>
  <c r="H77"/>
  <c r="H79" s="1"/>
  <c r="AH76"/>
  <c r="AL75"/>
  <c r="AK75"/>
  <c r="AJ75"/>
  <c r="AI75"/>
  <c r="AH75"/>
  <c r="L75"/>
  <c r="H75"/>
  <c r="I75"/>
  <c r="AL74"/>
  <c r="AL76" s="1"/>
  <c r="AK74"/>
  <c r="AK76" s="1"/>
  <c r="AJ74"/>
  <c r="AJ76" s="1"/>
  <c r="AI74"/>
  <c r="AI76" s="1"/>
  <c r="AH74"/>
  <c r="AH73"/>
  <c r="AL72"/>
  <c r="AK72"/>
  <c r="AJ72"/>
  <c r="AI72"/>
  <c r="AH72"/>
  <c r="L72"/>
  <c r="H72"/>
  <c r="K72"/>
  <c r="I72"/>
  <c r="AL71"/>
  <c r="AL73" s="1"/>
  <c r="AK71"/>
  <c r="AJ71"/>
  <c r="AI71"/>
  <c r="AH71"/>
  <c r="H71"/>
  <c r="AH70"/>
  <c r="AL69"/>
  <c r="AK69"/>
  <c r="AJ69"/>
  <c r="AI69"/>
  <c r="AH69"/>
  <c r="H69"/>
  <c r="H70" s="1"/>
  <c r="J69"/>
  <c r="I69"/>
  <c r="AL68"/>
  <c r="AL70" s="1"/>
  <c r="AK68"/>
  <c r="AK70" s="1"/>
  <c r="AJ68"/>
  <c r="AJ70" s="1"/>
  <c r="AI68"/>
  <c r="AI70" s="1"/>
  <c r="AH68"/>
  <c r="AH67"/>
  <c r="AL66"/>
  <c r="AK66"/>
  <c r="AJ66"/>
  <c r="AI66"/>
  <c r="AH66"/>
  <c r="H66"/>
  <c r="L66"/>
  <c r="K66"/>
  <c r="AL65"/>
  <c r="AL67" s="1"/>
  <c r="AK65"/>
  <c r="AK67" s="1"/>
  <c r="AJ65"/>
  <c r="AJ67" s="1"/>
  <c r="AI65"/>
  <c r="AI67" s="1"/>
  <c r="AH65"/>
  <c r="H65"/>
  <c r="H67" s="1"/>
  <c r="AH64"/>
  <c r="AL63"/>
  <c r="AK63"/>
  <c r="AJ63"/>
  <c r="AI63"/>
  <c r="AH63"/>
  <c r="H63"/>
  <c r="L63"/>
  <c r="J63"/>
  <c r="I63"/>
  <c r="I60" s="1"/>
  <c r="AL62"/>
  <c r="AK62"/>
  <c r="AK64" s="1"/>
  <c r="AJ62"/>
  <c r="AJ64" s="1"/>
  <c r="AI62"/>
  <c r="AH62"/>
  <c r="AH61"/>
  <c r="AL60"/>
  <c r="AL61" s="1"/>
  <c r="AK60"/>
  <c r="AJ60"/>
  <c r="AI60"/>
  <c r="AH60"/>
  <c r="AL59"/>
  <c r="AK59"/>
  <c r="AJ59"/>
  <c r="AJ61" s="1"/>
  <c r="AI59"/>
  <c r="AI61" s="1"/>
  <c r="AH59"/>
  <c r="L56"/>
  <c r="K56"/>
  <c r="J56"/>
  <c r="I56"/>
  <c r="G7" i="13"/>
  <c r="J101" i="10"/>
  <c r="J103" s="1"/>
  <c r="E7" i="13"/>
  <c r="E84" i="15"/>
  <c r="K48" s="1"/>
  <c r="K50" s="1"/>
  <c r="R49" s="1"/>
  <c r="G84"/>
  <c r="M48" s="1"/>
  <c r="M50" s="1"/>
  <c r="T49" s="1"/>
  <c r="E71"/>
  <c r="D30" s="1"/>
  <c r="D32" s="1"/>
  <c r="R30" s="1"/>
  <c r="G71"/>
  <c r="F30" s="1"/>
  <c r="F32" s="1"/>
  <c r="T30" s="1"/>
  <c r="E75"/>
  <c r="D36" s="1"/>
  <c r="D38" s="1"/>
  <c r="G75"/>
  <c r="F36" s="1"/>
  <c r="F38" s="1"/>
  <c r="T36" s="1"/>
  <c r="E83"/>
  <c r="D48" s="1"/>
  <c r="D50" s="1"/>
  <c r="R48" s="1"/>
  <c r="G83"/>
  <c r="F48" s="1"/>
  <c r="F50" s="1"/>
  <c r="T48" s="1"/>
  <c r="E70"/>
  <c r="K27" s="1"/>
  <c r="K29" s="1"/>
  <c r="R28" s="1"/>
  <c r="E74"/>
  <c r="K33" s="1"/>
  <c r="K35" s="1"/>
  <c r="R34" s="1"/>
  <c r="E78"/>
  <c r="K39" s="1"/>
  <c r="G82"/>
  <c r="M45" s="1"/>
  <c r="M47" s="1"/>
  <c r="E82"/>
  <c r="K45" s="1"/>
  <c r="F81"/>
  <c r="E45" s="1"/>
  <c r="E47" s="1"/>
  <c r="AK73" i="10"/>
  <c r="F7" i="13"/>
  <c r="H103" i="10"/>
  <c r="H97"/>
  <c r="L104"/>
  <c r="L106" s="1"/>
  <c r="H62"/>
  <c r="J65"/>
  <c r="J67"/>
  <c r="J66"/>
  <c r="H74"/>
  <c r="H76" s="1"/>
  <c r="J78"/>
  <c r="H86"/>
  <c r="H88" s="1"/>
  <c r="J90"/>
  <c r="H98"/>
  <c r="H100" s="1"/>
  <c r="H104"/>
  <c r="J75"/>
  <c r="J87"/>
  <c r="J99"/>
  <c r="L62"/>
  <c r="L64" s="1"/>
  <c r="L69"/>
  <c r="H82"/>
  <c r="L81"/>
  <c r="L93"/>
  <c r="AI106"/>
  <c r="AK61"/>
  <c r="J62"/>
  <c r="L65"/>
  <c r="L67" s="1"/>
  <c r="J68"/>
  <c r="J70" s="1"/>
  <c r="J71"/>
  <c r="J73" s="1"/>
  <c r="J74"/>
  <c r="J77"/>
  <c r="J80"/>
  <c r="J82" s="1"/>
  <c r="J83"/>
  <c r="J86"/>
  <c r="J89"/>
  <c r="J91" s="1"/>
  <c r="J92"/>
  <c r="J94" s="1"/>
  <c r="J95"/>
  <c r="J98"/>
  <c r="J100" s="1"/>
  <c r="J104"/>
  <c r="J106"/>
  <c r="I62"/>
  <c r="H64"/>
  <c r="I65"/>
  <c r="I68"/>
  <c r="I71"/>
  <c r="I73" s="1"/>
  <c r="I74"/>
  <c r="I76" s="1"/>
  <c r="I77"/>
  <c r="I80"/>
  <c r="I82" s="1"/>
  <c r="I83"/>
  <c r="I85" s="1"/>
  <c r="I86"/>
  <c r="I89"/>
  <c r="I91" s="1"/>
  <c r="I92"/>
  <c r="I94" s="1"/>
  <c r="I95"/>
  <c r="I98"/>
  <c r="I100" s="1"/>
  <c r="I101"/>
  <c r="I103" s="1"/>
  <c r="I104"/>
  <c r="I106" s="1"/>
  <c r="L68"/>
  <c r="L71"/>
  <c r="L73" s="1"/>
  <c r="L74"/>
  <c r="L77"/>
  <c r="L79" s="1"/>
  <c r="L80"/>
  <c r="L82" s="1"/>
  <c r="L83"/>
  <c r="L86"/>
  <c r="L88" s="1"/>
  <c r="L89"/>
  <c r="L91" s="1"/>
  <c r="L92"/>
  <c r="L94" s="1"/>
  <c r="L95"/>
  <c r="L98"/>
  <c r="L101"/>
  <c r="L103" s="1"/>
  <c r="K62"/>
  <c r="K64" s="1"/>
  <c r="K65"/>
  <c r="K68"/>
  <c r="K70" s="1"/>
  <c r="K71"/>
  <c r="K73" s="1"/>
  <c r="S73" s="1"/>
  <c r="K74"/>
  <c r="K77"/>
  <c r="K79" s="1"/>
  <c r="K80"/>
  <c r="K83"/>
  <c r="K85" s="1"/>
  <c r="K86"/>
  <c r="K88" s="1"/>
  <c r="K89"/>
  <c r="K91" s="1"/>
  <c r="K92"/>
  <c r="K95"/>
  <c r="K97" s="1"/>
  <c r="K98"/>
  <c r="K100" s="1"/>
  <c r="K101"/>
  <c r="K103" s="1"/>
  <c r="K104"/>
  <c r="K106" s="1"/>
  <c r="I64"/>
  <c r="J88"/>
  <c r="L97"/>
  <c r="L85"/>
  <c r="I79"/>
  <c r="L76"/>
  <c r="I97"/>
  <c r="J97"/>
  <c r="L70"/>
  <c r="I88"/>
  <c r="K82"/>
  <c r="AL52"/>
  <c r="AK52"/>
  <c r="AJ52"/>
  <c r="AI52"/>
  <c r="AL51"/>
  <c r="AL53" s="1"/>
  <c r="AK51"/>
  <c r="AK53" s="1"/>
  <c r="AJ51"/>
  <c r="AJ53" s="1"/>
  <c r="AI51"/>
  <c r="AI53" s="1"/>
  <c r="AL49"/>
  <c r="AK49"/>
  <c r="AJ49"/>
  <c r="AI49"/>
  <c r="AL48"/>
  <c r="AL50" s="1"/>
  <c r="AK48"/>
  <c r="AK50" s="1"/>
  <c r="AJ48"/>
  <c r="AJ50" s="1"/>
  <c r="AI48"/>
  <c r="AI50" s="1"/>
  <c r="AL46"/>
  <c r="AK46"/>
  <c r="AJ46"/>
  <c r="AI46"/>
  <c r="AL45"/>
  <c r="AL47" s="1"/>
  <c r="AK45"/>
  <c r="AK47" s="1"/>
  <c r="AJ45"/>
  <c r="AJ47" s="1"/>
  <c r="AI45"/>
  <c r="AI47" s="1"/>
  <c r="AL43"/>
  <c r="AK43"/>
  <c r="AJ43"/>
  <c r="AI43"/>
  <c r="AL42"/>
  <c r="AL44" s="1"/>
  <c r="AK42"/>
  <c r="AK44" s="1"/>
  <c r="AJ42"/>
  <c r="AJ44" s="1"/>
  <c r="AI42"/>
  <c r="AI44" s="1"/>
  <c r="AL40"/>
  <c r="AK40"/>
  <c r="AJ40"/>
  <c r="AI40"/>
  <c r="AL39"/>
  <c r="AL41" s="1"/>
  <c r="AK39"/>
  <c r="AK41" s="1"/>
  <c r="AJ39"/>
  <c r="AJ41" s="1"/>
  <c r="AI39"/>
  <c r="AI41" s="1"/>
  <c r="AL37"/>
  <c r="AK37"/>
  <c r="AJ37"/>
  <c r="AI37"/>
  <c r="AL36"/>
  <c r="AL38" s="1"/>
  <c r="AK36"/>
  <c r="AK38" s="1"/>
  <c r="AJ36"/>
  <c r="AJ38" s="1"/>
  <c r="AI36"/>
  <c r="AI38" s="1"/>
  <c r="AL34"/>
  <c r="AK34"/>
  <c r="AJ34"/>
  <c r="AI34"/>
  <c r="AL33"/>
  <c r="AL35" s="1"/>
  <c r="AK33"/>
  <c r="AK35" s="1"/>
  <c r="AJ33"/>
  <c r="AJ35" s="1"/>
  <c r="AI33"/>
  <c r="AI35" s="1"/>
  <c r="AL31"/>
  <c r="AK31"/>
  <c r="AJ31"/>
  <c r="AI31"/>
  <c r="AL30"/>
  <c r="AL32" s="1"/>
  <c r="AK30"/>
  <c r="AK32" s="1"/>
  <c r="AJ30"/>
  <c r="AJ32" s="1"/>
  <c r="AI30"/>
  <c r="AI32" s="1"/>
  <c r="AL28"/>
  <c r="AK28"/>
  <c r="AJ28"/>
  <c r="AI28"/>
  <c r="AL27"/>
  <c r="AL29" s="1"/>
  <c r="AK27"/>
  <c r="AK29" s="1"/>
  <c r="AJ27"/>
  <c r="AJ29" s="1"/>
  <c r="AI27"/>
  <c r="AI29" s="1"/>
  <c r="AL25"/>
  <c r="AK25"/>
  <c r="AJ25"/>
  <c r="AI25"/>
  <c r="AL24"/>
  <c r="AL26" s="1"/>
  <c r="AK24"/>
  <c r="AK26" s="1"/>
  <c r="AJ24"/>
  <c r="AJ26" s="1"/>
  <c r="AI24"/>
  <c r="AI26" s="1"/>
  <c r="AL22"/>
  <c r="AK22"/>
  <c r="AJ22"/>
  <c r="AI22"/>
  <c r="AL21"/>
  <c r="AL23" s="1"/>
  <c r="AK21"/>
  <c r="AK23" s="1"/>
  <c r="AJ21"/>
  <c r="AJ23" s="1"/>
  <c r="AI21"/>
  <c r="AI23" s="1"/>
  <c r="AL19"/>
  <c r="AK19"/>
  <c r="AJ19"/>
  <c r="AI19"/>
  <c r="AL18"/>
  <c r="AL20" s="1"/>
  <c r="AK18"/>
  <c r="AK20" s="1"/>
  <c r="AJ18"/>
  <c r="AJ20" s="1"/>
  <c r="AI18"/>
  <c r="AI20" s="1"/>
  <c r="AL16"/>
  <c r="AK16"/>
  <c r="AJ16"/>
  <c r="AI16"/>
  <c r="AL15"/>
  <c r="AL17" s="1"/>
  <c r="AK15"/>
  <c r="AK17" s="1"/>
  <c r="AJ15"/>
  <c r="AJ17" s="1"/>
  <c r="AI15"/>
  <c r="AI17" s="1"/>
  <c r="AL13"/>
  <c r="AK13"/>
  <c r="AJ13"/>
  <c r="AI13"/>
  <c r="AL12"/>
  <c r="AL14" s="1"/>
  <c r="AK12"/>
  <c r="AK14" s="1"/>
  <c r="AJ12"/>
  <c r="AJ14" s="1"/>
  <c r="AI12"/>
  <c r="AI14" s="1"/>
  <c r="AL10"/>
  <c r="AK10"/>
  <c r="AJ10"/>
  <c r="AI10"/>
  <c r="AL9"/>
  <c r="AL11" s="1"/>
  <c r="AK9"/>
  <c r="AK11" s="1"/>
  <c r="AJ9"/>
  <c r="AJ11" s="1"/>
  <c r="AI9"/>
  <c r="AI11" s="1"/>
  <c r="AL7"/>
  <c r="AK7"/>
  <c r="AJ7"/>
  <c r="AL6"/>
  <c r="AL8"/>
  <c r="AK6"/>
  <c r="AK8" s="1"/>
  <c r="AJ6"/>
  <c r="AJ8" s="1"/>
  <c r="AI7"/>
  <c r="AI6"/>
  <c r="AI8" s="1"/>
  <c r="AH53"/>
  <c r="AH52"/>
  <c r="AH51"/>
  <c r="AH50"/>
  <c r="AH49"/>
  <c r="AH48"/>
  <c r="AH47"/>
  <c r="AH46"/>
  <c r="AH45"/>
  <c r="AH44"/>
  <c r="AH43"/>
  <c r="AH42"/>
  <c r="AH41"/>
  <c r="AH40"/>
  <c r="AH39"/>
  <c r="AH38"/>
  <c r="AH37"/>
  <c r="AH36"/>
  <c r="AH35"/>
  <c r="AH34"/>
  <c r="AH33"/>
  <c r="AH32"/>
  <c r="AH31"/>
  <c r="AH30"/>
  <c r="AH29"/>
  <c r="AH28"/>
  <c r="AH27"/>
  <c r="AH26"/>
  <c r="AH25"/>
  <c r="AH24"/>
  <c r="AH23"/>
  <c r="AH22"/>
  <c r="AH21"/>
  <c r="AH20"/>
  <c r="AH19"/>
  <c r="AH18"/>
  <c r="AH17"/>
  <c r="AH16"/>
  <c r="AH15"/>
  <c r="AH14"/>
  <c r="AH13"/>
  <c r="AH12"/>
  <c r="AH11"/>
  <c r="AH10"/>
  <c r="AH9"/>
  <c r="AH8"/>
  <c r="AH7"/>
  <c r="AH6"/>
  <c r="H52"/>
  <c r="H49"/>
  <c r="H46"/>
  <c r="H43"/>
  <c r="H40"/>
  <c r="H37"/>
  <c r="H34"/>
  <c r="H31"/>
  <c r="H28"/>
  <c r="H25"/>
  <c r="H22"/>
  <c r="H19"/>
  <c r="H16"/>
  <c r="H13"/>
  <c r="H10"/>
  <c r="C7"/>
  <c r="L46"/>
  <c r="K46"/>
  <c r="J46"/>
  <c r="I46"/>
  <c r="L43"/>
  <c r="K43"/>
  <c r="J43"/>
  <c r="I43"/>
  <c r="L40"/>
  <c r="K40"/>
  <c r="J40"/>
  <c r="I40"/>
  <c r="L37"/>
  <c r="K37"/>
  <c r="J37"/>
  <c r="I37"/>
  <c r="L34"/>
  <c r="K34"/>
  <c r="J34"/>
  <c r="I34"/>
  <c r="L31"/>
  <c r="K31"/>
  <c r="J31"/>
  <c r="I31"/>
  <c r="L28"/>
  <c r="K28"/>
  <c r="J28"/>
  <c r="I28"/>
  <c r="K25"/>
  <c r="J25"/>
  <c r="I25"/>
  <c r="L22"/>
  <c r="K22"/>
  <c r="J22"/>
  <c r="I22"/>
  <c r="L19"/>
  <c r="K19"/>
  <c r="J19"/>
  <c r="I19"/>
  <c r="L16"/>
  <c r="K16"/>
  <c r="J16"/>
  <c r="I16"/>
  <c r="L13"/>
  <c r="K13"/>
  <c r="J13"/>
  <c r="I13"/>
  <c r="L10"/>
  <c r="K10"/>
  <c r="J10"/>
  <c r="I10"/>
  <c r="L52"/>
  <c r="K52"/>
  <c r="J52"/>
  <c r="L49"/>
  <c r="K49"/>
  <c r="J49"/>
  <c r="I49"/>
  <c r="I52"/>
  <c r="S108" i="20"/>
  <c r="T108"/>
  <c r="U108"/>
  <c r="V108"/>
  <c r="W108"/>
  <c r="X108"/>
  <c r="Y108"/>
  <c r="Z108"/>
  <c r="F137"/>
  <c r="G137" s="1"/>
  <c r="F136"/>
  <c r="F135"/>
  <c r="G135" s="1"/>
  <c r="F133"/>
  <c r="W198" s="1"/>
  <c r="W214" s="1"/>
  <c r="F132"/>
  <c r="W197" s="1"/>
  <c r="W213" s="1"/>
  <c r="F131"/>
  <c r="E137"/>
  <c r="U202" s="1"/>
  <c r="D137"/>
  <c r="E136"/>
  <c r="U201" s="1"/>
  <c r="D136"/>
  <c r="T201" s="1"/>
  <c r="E135"/>
  <c r="U200" s="1"/>
  <c r="D135"/>
  <c r="T200" s="1"/>
  <c r="V198"/>
  <c r="E133"/>
  <c r="U198" s="1"/>
  <c r="D133"/>
  <c r="T198" s="1"/>
  <c r="E132"/>
  <c r="U197" s="1"/>
  <c r="D132"/>
  <c r="T197" s="1"/>
  <c r="E131"/>
  <c r="U196" s="1"/>
  <c r="D131"/>
  <c r="T196" s="1"/>
  <c r="E130"/>
  <c r="U195" s="1"/>
  <c r="U194" s="1"/>
  <c r="D130"/>
  <c r="T195" s="1"/>
  <c r="T194" s="1"/>
  <c r="C137"/>
  <c r="S202" s="1"/>
  <c r="C136"/>
  <c r="S201" s="1"/>
  <c r="C135"/>
  <c r="C134" s="1"/>
  <c r="C133"/>
  <c r="S198" s="1"/>
  <c r="C132"/>
  <c r="S197"/>
  <c r="C131"/>
  <c r="S196" s="1"/>
  <c r="M51" i="23"/>
  <c r="L51"/>
  <c r="K51"/>
  <c r="N46"/>
  <c r="M46"/>
  <c r="L46"/>
  <c r="K46"/>
  <c r="F158"/>
  <c r="F163" s="1"/>
  <c r="E158"/>
  <c r="D158"/>
  <c r="C158"/>
  <c r="C163" s="1"/>
  <c r="F141"/>
  <c r="F146" s="1"/>
  <c r="E141"/>
  <c r="D141"/>
  <c r="D146"/>
  <c r="C141"/>
  <c r="C146" s="1"/>
  <c r="F124"/>
  <c r="F129"/>
  <c r="E124"/>
  <c r="D124"/>
  <c r="D129" s="1"/>
  <c r="C124"/>
  <c r="C129" s="1"/>
  <c r="F167"/>
  <c r="E167"/>
  <c r="D167"/>
  <c r="C167"/>
  <c r="E163"/>
  <c r="D163"/>
  <c r="F150"/>
  <c r="E150"/>
  <c r="D150"/>
  <c r="C150"/>
  <c r="E146"/>
  <c r="F90"/>
  <c r="F95"/>
  <c r="E90"/>
  <c r="E95"/>
  <c r="D90"/>
  <c r="D95"/>
  <c r="C90"/>
  <c r="C95"/>
  <c r="F73"/>
  <c r="F78"/>
  <c r="E73"/>
  <c r="E78"/>
  <c r="D73"/>
  <c r="D78"/>
  <c r="C73"/>
  <c r="C78"/>
  <c r="F133"/>
  <c r="E133"/>
  <c r="D133"/>
  <c r="C133"/>
  <c r="F116"/>
  <c r="E116"/>
  <c r="D116"/>
  <c r="C116"/>
  <c r="F99"/>
  <c r="E99"/>
  <c r="D99"/>
  <c r="C99"/>
  <c r="F82"/>
  <c r="E82"/>
  <c r="D82"/>
  <c r="C82"/>
  <c r="F65"/>
  <c r="E65"/>
  <c r="D65"/>
  <c r="C65"/>
  <c r="F56"/>
  <c r="F61" s="1"/>
  <c r="E56"/>
  <c r="E61" s="1"/>
  <c r="D56"/>
  <c r="D61" s="1"/>
  <c r="C56"/>
  <c r="C61" s="1"/>
  <c r="F39"/>
  <c r="F44" s="1"/>
  <c r="E39"/>
  <c r="E44" s="1"/>
  <c r="D39"/>
  <c r="D44" s="1"/>
  <c r="C39"/>
  <c r="C44" s="1"/>
  <c r="F22"/>
  <c r="F27" s="1"/>
  <c r="E22"/>
  <c r="E27" s="1"/>
  <c r="D22"/>
  <c r="D27" s="1"/>
  <c r="C22"/>
  <c r="C27" s="1"/>
  <c r="E129"/>
  <c r="F112"/>
  <c r="E112"/>
  <c r="D112"/>
  <c r="C112"/>
  <c r="F48"/>
  <c r="E48"/>
  <c r="D48"/>
  <c r="C48"/>
  <c r="F31"/>
  <c r="E31"/>
  <c r="D31"/>
  <c r="C31"/>
  <c r="F14"/>
  <c r="E14"/>
  <c r="D14"/>
  <c r="C14"/>
  <c r="F5"/>
  <c r="F10" s="1"/>
  <c r="E5"/>
  <c r="E10" s="1"/>
  <c r="D5"/>
  <c r="D10" s="1"/>
  <c r="C5"/>
  <c r="C10" s="1"/>
  <c r="V197" i="20"/>
  <c r="F130"/>
  <c r="W195" s="1"/>
  <c r="W211" s="1"/>
  <c r="W210" s="1"/>
  <c r="C130"/>
  <c r="S195" s="1"/>
  <c r="S194" s="1"/>
  <c r="F128"/>
  <c r="W193"/>
  <c r="W209" s="1"/>
  <c r="C128"/>
  <c r="S193" s="1"/>
  <c r="F127"/>
  <c r="C127"/>
  <c r="D127"/>
  <c r="F126"/>
  <c r="W191" s="1"/>
  <c r="C126"/>
  <c r="S191" s="1"/>
  <c r="S190" s="1"/>
  <c r="Z168"/>
  <c r="Z183" s="1"/>
  <c r="Y168"/>
  <c r="Y183" s="1"/>
  <c r="X168"/>
  <c r="X183" s="1"/>
  <c r="W168"/>
  <c r="W183" s="1"/>
  <c r="Z136"/>
  <c r="Z151" s="1"/>
  <c r="Y136"/>
  <c r="Y151" s="1"/>
  <c r="X136"/>
  <c r="X151" s="1"/>
  <c r="W136"/>
  <c r="W151" s="1"/>
  <c r="C5" i="22"/>
  <c r="D8" s="1"/>
  <c r="D23"/>
  <c r="C26"/>
  <c r="D35" s="1"/>
  <c r="U36"/>
  <c r="V36"/>
  <c r="W36"/>
  <c r="X36"/>
  <c r="Y36"/>
  <c r="Z36"/>
  <c r="AA36"/>
  <c r="AB36"/>
  <c r="U40"/>
  <c r="V40"/>
  <c r="W40"/>
  <c r="X40"/>
  <c r="Y40"/>
  <c r="Z40"/>
  <c r="AA40"/>
  <c r="AB40"/>
  <c r="C42"/>
  <c r="U44"/>
  <c r="V44"/>
  <c r="W44"/>
  <c r="X44"/>
  <c r="Y44"/>
  <c r="Z44"/>
  <c r="AA44"/>
  <c r="AB44"/>
  <c r="D48"/>
  <c r="D52"/>
  <c r="Y52"/>
  <c r="Z52"/>
  <c r="AA52"/>
  <c r="AB52"/>
  <c r="Y53"/>
  <c r="Z53"/>
  <c r="AA53"/>
  <c r="AB53"/>
  <c r="Y54"/>
  <c r="Z54"/>
  <c r="AA54"/>
  <c r="AB54"/>
  <c r="D56"/>
  <c r="Y56"/>
  <c r="Z56"/>
  <c r="AA56"/>
  <c r="AB56"/>
  <c r="Y57"/>
  <c r="Z57"/>
  <c r="AA57"/>
  <c r="AB57"/>
  <c r="Y58"/>
  <c r="Y55" s="1"/>
  <c r="Z58"/>
  <c r="AA58"/>
  <c r="AB58"/>
  <c r="C60"/>
  <c r="Y60"/>
  <c r="Z60"/>
  <c r="AA60"/>
  <c r="AB60"/>
  <c r="Y61"/>
  <c r="Z61"/>
  <c r="Z59" s="1"/>
  <c r="AA61"/>
  <c r="AB61"/>
  <c r="Y62"/>
  <c r="Z62"/>
  <c r="AA62"/>
  <c r="AB62"/>
  <c r="D67"/>
  <c r="U68"/>
  <c r="V68"/>
  <c r="W68"/>
  <c r="X68"/>
  <c r="Y68"/>
  <c r="Z68"/>
  <c r="AA68"/>
  <c r="AB68"/>
  <c r="U72"/>
  <c r="V72"/>
  <c r="W72"/>
  <c r="X72"/>
  <c r="Y72"/>
  <c r="Z72"/>
  <c r="AA72"/>
  <c r="AB72"/>
  <c r="D75"/>
  <c r="C76"/>
  <c r="D78" s="1"/>
  <c r="U76"/>
  <c r="V76"/>
  <c r="W76"/>
  <c r="X76"/>
  <c r="Y76"/>
  <c r="Z76"/>
  <c r="Z80" s="1"/>
  <c r="AA76"/>
  <c r="AB76"/>
  <c r="D79"/>
  <c r="D81"/>
  <c r="D82"/>
  <c r="D83"/>
  <c r="D84"/>
  <c r="Y84"/>
  <c r="Z84"/>
  <c r="AA84"/>
  <c r="AB84"/>
  <c r="C85"/>
  <c r="Y85"/>
  <c r="Z85"/>
  <c r="AA85"/>
  <c r="AB85"/>
  <c r="D86"/>
  <c r="Y86"/>
  <c r="Y83" s="1"/>
  <c r="Z86"/>
  <c r="AA86"/>
  <c r="AB86"/>
  <c r="D87"/>
  <c r="D88"/>
  <c r="Y88"/>
  <c r="Z88"/>
  <c r="AA88"/>
  <c r="AB88"/>
  <c r="D89"/>
  <c r="Y89"/>
  <c r="Z89"/>
  <c r="AA89"/>
  <c r="AB89"/>
  <c r="D90"/>
  <c r="Y90"/>
  <c r="Z90"/>
  <c r="AA90"/>
  <c r="AB90"/>
  <c r="AB87" s="1"/>
  <c r="D91"/>
  <c r="D92"/>
  <c r="Y92"/>
  <c r="Z92"/>
  <c r="Z91" s="1"/>
  <c r="AA92"/>
  <c r="AB92"/>
  <c r="D93"/>
  <c r="Y93"/>
  <c r="Z93"/>
  <c r="AA93"/>
  <c r="AB93"/>
  <c r="AB91" s="1"/>
  <c r="D94"/>
  <c r="Y94"/>
  <c r="Z94"/>
  <c r="AA94"/>
  <c r="AB94"/>
  <c r="U100"/>
  <c r="V100"/>
  <c r="W100"/>
  <c r="X100"/>
  <c r="Y100"/>
  <c r="Z100"/>
  <c r="AA100"/>
  <c r="AB100"/>
  <c r="Y114"/>
  <c r="Z114"/>
  <c r="Z129" s="1"/>
  <c r="AA114"/>
  <c r="AA129" s="1"/>
  <c r="AB114"/>
  <c r="Y117"/>
  <c r="Z117"/>
  <c r="Z132" s="1"/>
  <c r="AA117"/>
  <c r="AA132" s="1"/>
  <c r="AB117"/>
  <c r="Y129"/>
  <c r="AB129"/>
  <c r="Y132"/>
  <c r="AB132"/>
  <c r="Y146"/>
  <c r="Z146"/>
  <c r="AA146"/>
  <c r="AB146"/>
  <c r="Y149"/>
  <c r="Z149"/>
  <c r="AA149"/>
  <c r="AB149"/>
  <c r="Y161"/>
  <c r="Z161"/>
  <c r="AA161"/>
  <c r="AB161"/>
  <c r="Y164"/>
  <c r="Z164"/>
  <c r="AA164"/>
  <c r="AB164"/>
  <c r="U172"/>
  <c r="V172"/>
  <c r="W172"/>
  <c r="X172"/>
  <c r="Y172"/>
  <c r="Z172"/>
  <c r="AA172"/>
  <c r="AB172"/>
  <c r="U176"/>
  <c r="V176"/>
  <c r="W176"/>
  <c r="X176"/>
  <c r="Y178"/>
  <c r="Y176" s="1"/>
  <c r="Y184" s="1"/>
  <c r="Z178"/>
  <c r="AA178"/>
  <c r="AB178"/>
  <c r="Z179"/>
  <c r="Z194"/>
  <c r="AA179"/>
  <c r="AA194" s="1"/>
  <c r="AB179"/>
  <c r="AB176" s="1"/>
  <c r="U180"/>
  <c r="V180"/>
  <c r="V184" s="1"/>
  <c r="W180"/>
  <c r="W184" s="1"/>
  <c r="X180"/>
  <c r="Z181"/>
  <c r="AA181"/>
  <c r="AB181"/>
  <c r="Y182"/>
  <c r="Y180" s="1"/>
  <c r="Z182"/>
  <c r="AA182"/>
  <c r="AA180" s="1"/>
  <c r="AB182"/>
  <c r="U184"/>
  <c r="Y188"/>
  <c r="Z188"/>
  <c r="AA188"/>
  <c r="AB188"/>
  <c r="Y189"/>
  <c r="Z189"/>
  <c r="AA189"/>
  <c r="AB189"/>
  <c r="Y190"/>
  <c r="Z190"/>
  <c r="AA190"/>
  <c r="AB190"/>
  <c r="Y192"/>
  <c r="Z192"/>
  <c r="AA192"/>
  <c r="AB192"/>
  <c r="Y193"/>
  <c r="Z193"/>
  <c r="AB193"/>
  <c r="Y194"/>
  <c r="Y196"/>
  <c r="Z196"/>
  <c r="AA196"/>
  <c r="AB196"/>
  <c r="Y197"/>
  <c r="Z197"/>
  <c r="AA197"/>
  <c r="AB197"/>
  <c r="Y198"/>
  <c r="Z198"/>
  <c r="AA198"/>
  <c r="AB198"/>
  <c r="K12" i="23"/>
  <c r="K61" s="1"/>
  <c r="D8" i="21"/>
  <c r="C8"/>
  <c r="B8"/>
  <c r="E7"/>
  <c r="E6"/>
  <c r="E5"/>
  <c r="E4"/>
  <c r="S159" i="20"/>
  <c r="W164"/>
  <c r="W179" s="1"/>
  <c r="W132"/>
  <c r="W147" s="1"/>
  <c r="Z164"/>
  <c r="Z179"/>
  <c r="Z132"/>
  <c r="Z147" s="1"/>
  <c r="Y164"/>
  <c r="Y179" s="1"/>
  <c r="Y132"/>
  <c r="Y147" s="1"/>
  <c r="X164"/>
  <c r="X179"/>
  <c r="X132"/>
  <c r="X147" s="1"/>
  <c r="Z70"/>
  <c r="Z74"/>
  <c r="Z78"/>
  <c r="Y70"/>
  <c r="Y74"/>
  <c r="Y82" s="1"/>
  <c r="Y78"/>
  <c r="X70"/>
  <c r="X74"/>
  <c r="X78"/>
  <c r="X82" s="1"/>
  <c r="W70"/>
  <c r="W74"/>
  <c r="W78"/>
  <c r="V78"/>
  <c r="U78"/>
  <c r="T78"/>
  <c r="S78"/>
  <c r="V74"/>
  <c r="U74"/>
  <c r="T74"/>
  <c r="S74"/>
  <c r="V70"/>
  <c r="V82" s="1"/>
  <c r="U70"/>
  <c r="U82" s="1"/>
  <c r="T70"/>
  <c r="S70"/>
  <c r="S82" s="1"/>
  <c r="Z86"/>
  <c r="Z87"/>
  <c r="Z88"/>
  <c r="Z90"/>
  <c r="Z91"/>
  <c r="Z92"/>
  <c r="Z94"/>
  <c r="Z95"/>
  <c r="Z93" s="1"/>
  <c r="Z96"/>
  <c r="Y86"/>
  <c r="Y87"/>
  <c r="Y88"/>
  <c r="Y85" s="1"/>
  <c r="Y90"/>
  <c r="Y91"/>
  <c r="Y92"/>
  <c r="Y94"/>
  <c r="Y95"/>
  <c r="Y96"/>
  <c r="X86"/>
  <c r="X87"/>
  <c r="X88"/>
  <c r="X90"/>
  <c r="X91"/>
  <c r="X92"/>
  <c r="X94"/>
  <c r="X95"/>
  <c r="X96"/>
  <c r="W86"/>
  <c r="W85" s="1"/>
  <c r="W87"/>
  <c r="W88"/>
  <c r="W90"/>
  <c r="W91"/>
  <c r="W89" s="1"/>
  <c r="W92"/>
  <c r="W94"/>
  <c r="W95"/>
  <c r="W96"/>
  <c r="Z54"/>
  <c r="Z55"/>
  <c r="Z56"/>
  <c r="Z58"/>
  <c r="Z59"/>
  <c r="Z60"/>
  <c r="Z62"/>
  <c r="Z63"/>
  <c r="Z64"/>
  <c r="Y54"/>
  <c r="Y55"/>
  <c r="Y56"/>
  <c r="Y53" s="1"/>
  <c r="Y58"/>
  <c r="Y59"/>
  <c r="Y60"/>
  <c r="Y62"/>
  <c r="Y61" s="1"/>
  <c r="Y63"/>
  <c r="Y64"/>
  <c r="X54"/>
  <c r="X55"/>
  <c r="X53" s="1"/>
  <c r="X56"/>
  <c r="X58"/>
  <c r="X59"/>
  <c r="X60"/>
  <c r="X62"/>
  <c r="X63"/>
  <c r="X64"/>
  <c r="W54"/>
  <c r="W55"/>
  <c r="W56"/>
  <c r="W58"/>
  <c r="W59"/>
  <c r="W57" s="1"/>
  <c r="W60"/>
  <c r="W62"/>
  <c r="W63"/>
  <c r="W64"/>
  <c r="Z38"/>
  <c r="Z42"/>
  <c r="Z46"/>
  <c r="Y38"/>
  <c r="Y50" s="1"/>
  <c r="Y42"/>
  <c r="Y46"/>
  <c r="X38"/>
  <c r="X42"/>
  <c r="X50" s="1"/>
  <c r="X46"/>
  <c r="W38"/>
  <c r="W42"/>
  <c r="W46"/>
  <c r="W50" s="1"/>
  <c r="V46"/>
  <c r="U46"/>
  <c r="T46"/>
  <c r="S46"/>
  <c r="V42"/>
  <c r="U42"/>
  <c r="T42"/>
  <c r="S42"/>
  <c r="V38"/>
  <c r="V50" s="1"/>
  <c r="U38"/>
  <c r="U50" s="1"/>
  <c r="T38"/>
  <c r="T50"/>
  <c r="S38"/>
  <c r="C5"/>
  <c r="B99" s="1"/>
  <c r="C42"/>
  <c r="D44" s="1"/>
  <c r="C26"/>
  <c r="D33" s="1"/>
  <c r="C60"/>
  <c r="D66" s="1"/>
  <c r="C85"/>
  <c r="D90" s="1"/>
  <c r="C76"/>
  <c r="D84" s="1"/>
  <c r="B3" i="19"/>
  <c r="B12"/>
  <c r="M25" i="18"/>
  <c r="L25"/>
  <c r="K25"/>
  <c r="J25"/>
  <c r="M21"/>
  <c r="L21"/>
  <c r="K21"/>
  <c r="J21"/>
  <c r="H21"/>
  <c r="G21"/>
  <c r="F21"/>
  <c r="E21"/>
  <c r="N63"/>
  <c r="N64"/>
  <c r="M63"/>
  <c r="M68" s="1"/>
  <c r="M64"/>
  <c r="L63"/>
  <c r="L64"/>
  <c r="K63"/>
  <c r="K64"/>
  <c r="J68"/>
  <c r="I68"/>
  <c r="H68"/>
  <c r="G68"/>
  <c r="G44"/>
  <c r="H44"/>
  <c r="I44"/>
  <c r="J44"/>
  <c r="K45"/>
  <c r="K52" s="1"/>
  <c r="K51" s="1"/>
  <c r="K46"/>
  <c r="L45"/>
  <c r="L44" s="1"/>
  <c r="L46"/>
  <c r="L53" s="1"/>
  <c r="M45"/>
  <c r="M52" s="1"/>
  <c r="M51" s="1"/>
  <c r="M46"/>
  <c r="M53" s="1"/>
  <c r="N45"/>
  <c r="N46"/>
  <c r="N53" s="1"/>
  <c r="G51"/>
  <c r="H51"/>
  <c r="I51"/>
  <c r="J51"/>
  <c r="K53"/>
  <c r="K59"/>
  <c r="L59"/>
  <c r="M59"/>
  <c r="N59"/>
  <c r="L60"/>
  <c r="M60"/>
  <c r="N60"/>
  <c r="K61"/>
  <c r="L61"/>
  <c r="M61"/>
  <c r="N61"/>
  <c r="K62"/>
  <c r="L62"/>
  <c r="M62"/>
  <c r="N62"/>
  <c r="S70"/>
  <c r="T70"/>
  <c r="U70"/>
  <c r="V70"/>
  <c r="S71"/>
  <c r="T71"/>
  <c r="U71"/>
  <c r="V71"/>
  <c r="S74"/>
  <c r="T74"/>
  <c r="U74"/>
  <c r="V74"/>
  <c r="S75"/>
  <c r="T75"/>
  <c r="U75"/>
  <c r="V75"/>
  <c r="F6" i="16"/>
  <c r="E6"/>
  <c r="E7" s="1"/>
  <c r="E9" s="1"/>
  <c r="D6"/>
  <c r="C6"/>
  <c r="F5"/>
  <c r="E5"/>
  <c r="D5"/>
  <c r="C5"/>
  <c r="G4"/>
  <c r="C66" i="17"/>
  <c r="C65"/>
  <c r="C62"/>
  <c r="C58"/>
  <c r="D58" s="1"/>
  <c r="C57"/>
  <c r="C17" i="19" s="1"/>
  <c r="C33" s="1"/>
  <c r="C54" i="17"/>
  <c r="E48"/>
  <c r="F48"/>
  <c r="F30"/>
  <c r="F31" s="1"/>
  <c r="E30"/>
  <c r="E31" s="1"/>
  <c r="D30"/>
  <c r="D31" s="1"/>
  <c r="D32" s="1"/>
  <c r="C30"/>
  <c r="C31" s="1"/>
  <c r="F21"/>
  <c r="F22" s="1"/>
  <c r="F23" s="1"/>
  <c r="E21"/>
  <c r="E22" s="1"/>
  <c r="E23" s="1"/>
  <c r="D21"/>
  <c r="D22" s="1"/>
  <c r="D23" s="1"/>
  <c r="C21"/>
  <c r="C22" s="1"/>
  <c r="F13"/>
  <c r="F14" s="1"/>
  <c r="E13"/>
  <c r="E14" s="1"/>
  <c r="E15" s="1"/>
  <c r="D13"/>
  <c r="D14" s="1"/>
  <c r="D15" s="1"/>
  <c r="C13"/>
  <c r="C14" s="1"/>
  <c r="F5"/>
  <c r="F6" s="1"/>
  <c r="E5"/>
  <c r="E6" s="1"/>
  <c r="E7" s="1"/>
  <c r="D5"/>
  <c r="D6" s="1"/>
  <c r="D7" s="1"/>
  <c r="D8" s="1"/>
  <c r="D59" s="1"/>
  <c r="C5"/>
  <c r="C6" s="1"/>
  <c r="F7" i="16"/>
  <c r="F9" s="1"/>
  <c r="D7"/>
  <c r="D9" s="1"/>
  <c r="D10" s="1"/>
  <c r="C7"/>
  <c r="C9" s="1"/>
  <c r="C11" s="1"/>
  <c r="E112" i="6"/>
  <c r="G112" s="1"/>
  <c r="E111"/>
  <c r="G111" s="1"/>
  <c r="E110"/>
  <c r="G110" s="1"/>
  <c r="F13" i="12"/>
  <c r="E13"/>
  <c r="D13"/>
  <c r="C13"/>
  <c r="F10"/>
  <c r="E10"/>
  <c r="D10"/>
  <c r="C10"/>
  <c r="F7"/>
  <c r="E7"/>
  <c r="D7"/>
  <c r="C7"/>
  <c r="F4"/>
  <c r="E4"/>
  <c r="D4"/>
  <c r="C4"/>
  <c r="D4" i="11"/>
  <c r="E4"/>
  <c r="F4"/>
  <c r="G4"/>
  <c r="K10"/>
  <c r="L10"/>
  <c r="M10"/>
  <c r="M12" s="1"/>
  <c r="N10"/>
  <c r="D12"/>
  <c r="D11" s="1"/>
  <c r="D17" s="1"/>
  <c r="E12"/>
  <c r="F12"/>
  <c r="G12"/>
  <c r="K12"/>
  <c r="L12"/>
  <c r="N12"/>
  <c r="D13"/>
  <c r="E13"/>
  <c r="F13"/>
  <c r="F11" s="1"/>
  <c r="F18" s="1"/>
  <c r="G13"/>
  <c r="G11" s="1"/>
  <c r="G18" s="1"/>
  <c r="C20" i="9"/>
  <c r="B4"/>
  <c r="C30"/>
  <c r="B5" s="1"/>
  <c r="C40"/>
  <c r="B6" s="1"/>
  <c r="C50"/>
  <c r="B7" s="1"/>
  <c r="C60"/>
  <c r="B8" s="1"/>
  <c r="C70"/>
  <c r="B9" s="1"/>
  <c r="C80"/>
  <c r="B10" s="1"/>
  <c r="D20"/>
  <c r="C4" s="1"/>
  <c r="D30"/>
  <c r="C5" s="1"/>
  <c r="D40"/>
  <c r="C6" s="1"/>
  <c r="D50"/>
  <c r="C7" s="1"/>
  <c r="D60"/>
  <c r="C8" s="1"/>
  <c r="D70"/>
  <c r="C9" s="1"/>
  <c r="D80"/>
  <c r="C10" s="1"/>
  <c r="E20"/>
  <c r="D4" s="1"/>
  <c r="E30"/>
  <c r="D5"/>
  <c r="E40"/>
  <c r="D6" s="1"/>
  <c r="E50"/>
  <c r="D7"/>
  <c r="E60"/>
  <c r="D8" s="1"/>
  <c r="E70"/>
  <c r="D9"/>
  <c r="E80"/>
  <c r="D10" s="1"/>
  <c r="F20"/>
  <c r="E4"/>
  <c r="F30"/>
  <c r="E5" s="1"/>
  <c r="F40"/>
  <c r="E6" s="1"/>
  <c r="F50"/>
  <c r="E7" s="1"/>
  <c r="F60"/>
  <c r="E8" s="1"/>
  <c r="F70"/>
  <c r="E9" s="1"/>
  <c r="F80"/>
  <c r="E10" s="1"/>
  <c r="L7"/>
  <c r="L9" s="1"/>
  <c r="M7"/>
  <c r="N7" s="1"/>
  <c r="N9" s="1"/>
  <c r="K9"/>
  <c r="C19"/>
  <c r="D19"/>
  <c r="E19"/>
  <c r="F19"/>
  <c r="C29"/>
  <c r="D29"/>
  <c r="E29"/>
  <c r="F29"/>
  <c r="C39"/>
  <c r="D39"/>
  <c r="E39"/>
  <c r="F39"/>
  <c r="C49"/>
  <c r="D49"/>
  <c r="E49"/>
  <c r="F49"/>
  <c r="C59"/>
  <c r="D59"/>
  <c r="E59"/>
  <c r="F59"/>
  <c r="C69"/>
  <c r="D69"/>
  <c r="E69"/>
  <c r="F69"/>
  <c r="C79"/>
  <c r="D79"/>
  <c r="E79"/>
  <c r="F79"/>
  <c r="G23" i="3"/>
  <c r="F23"/>
  <c r="E23"/>
  <c r="D23"/>
  <c r="K48"/>
  <c r="K49"/>
  <c r="J48"/>
  <c r="J50" s="1"/>
  <c r="R50" s="1"/>
  <c r="J49"/>
  <c r="I48"/>
  <c r="I49"/>
  <c r="H48"/>
  <c r="H50" s="1"/>
  <c r="P50" s="1"/>
  <c r="H49"/>
  <c r="K45"/>
  <c r="K46"/>
  <c r="J45"/>
  <c r="J47" s="1"/>
  <c r="R47" s="1"/>
  <c r="J46"/>
  <c r="I45"/>
  <c r="I46"/>
  <c r="H45"/>
  <c r="H47" s="1"/>
  <c r="P47" s="1"/>
  <c r="H46"/>
  <c r="K42"/>
  <c r="K44" s="1"/>
  <c r="S44" s="1"/>
  <c r="K43"/>
  <c r="J42"/>
  <c r="J44" s="1"/>
  <c r="R44" s="1"/>
  <c r="J43"/>
  <c r="I42"/>
  <c r="I44" s="1"/>
  <c r="Q44" s="1"/>
  <c r="I43"/>
  <c r="H42"/>
  <c r="H44" s="1"/>
  <c r="P44" s="1"/>
  <c r="H43"/>
  <c r="K39"/>
  <c r="K41" s="1"/>
  <c r="S41" s="1"/>
  <c r="K40"/>
  <c r="J39"/>
  <c r="J41" s="1"/>
  <c r="R41" s="1"/>
  <c r="J40"/>
  <c r="I39"/>
  <c r="I41" s="1"/>
  <c r="Q41" s="1"/>
  <c r="I40"/>
  <c r="H39"/>
  <c r="H41" s="1"/>
  <c r="P41" s="1"/>
  <c r="H40"/>
  <c r="K36"/>
  <c r="K38" s="1"/>
  <c r="S38" s="1"/>
  <c r="K37"/>
  <c r="J36"/>
  <c r="J38" s="1"/>
  <c r="R38" s="1"/>
  <c r="J37"/>
  <c r="I36"/>
  <c r="I37"/>
  <c r="H36"/>
  <c r="H38" s="1"/>
  <c r="P38" s="1"/>
  <c r="H37"/>
  <c r="K33"/>
  <c r="K35" s="1"/>
  <c r="S35" s="1"/>
  <c r="K34"/>
  <c r="J33"/>
  <c r="J34"/>
  <c r="I33"/>
  <c r="I34"/>
  <c r="H33"/>
  <c r="H34"/>
  <c r="K31"/>
  <c r="J31"/>
  <c r="J28" s="1"/>
  <c r="I31"/>
  <c r="I28" s="1"/>
  <c r="H31"/>
  <c r="K30"/>
  <c r="J30"/>
  <c r="J27"/>
  <c r="I30"/>
  <c r="H30"/>
  <c r="G50"/>
  <c r="F50"/>
  <c r="E50"/>
  <c r="D50"/>
  <c r="G47"/>
  <c r="F47"/>
  <c r="E47"/>
  <c r="D47"/>
  <c r="G44"/>
  <c r="F44"/>
  <c r="E44"/>
  <c r="D44"/>
  <c r="G41"/>
  <c r="F41"/>
  <c r="E41"/>
  <c r="D41"/>
  <c r="G38"/>
  <c r="F38"/>
  <c r="E38"/>
  <c r="D38"/>
  <c r="G35"/>
  <c r="F35"/>
  <c r="E35"/>
  <c r="D35"/>
  <c r="G32"/>
  <c r="F32"/>
  <c r="E32"/>
  <c r="D32"/>
  <c r="G27"/>
  <c r="G28"/>
  <c r="F27"/>
  <c r="F28"/>
  <c r="F29" s="1"/>
  <c r="E27"/>
  <c r="E28"/>
  <c r="D27"/>
  <c r="D28"/>
  <c r="G13" i="5"/>
  <c r="F13"/>
  <c r="E13"/>
  <c r="D13"/>
  <c r="G12"/>
  <c r="F12"/>
  <c r="E12"/>
  <c r="E11" s="1"/>
  <c r="E18" s="1"/>
  <c r="E23" s="1"/>
  <c r="D12"/>
  <c r="G11"/>
  <c r="G18" s="1"/>
  <c r="G23" s="1"/>
  <c r="F11"/>
  <c r="F18" s="1"/>
  <c r="F23" s="1"/>
  <c r="D11"/>
  <c r="D18" s="1"/>
  <c r="D23" s="1"/>
  <c r="G4"/>
  <c r="F4"/>
  <c r="E4"/>
  <c r="D4"/>
  <c r="G13" i="4"/>
  <c r="F13"/>
  <c r="E13"/>
  <c r="D13"/>
  <c r="G12"/>
  <c r="F12"/>
  <c r="E12"/>
  <c r="E11" s="1"/>
  <c r="E18" s="1"/>
  <c r="E23" s="1"/>
  <c r="D12"/>
  <c r="G11"/>
  <c r="F11"/>
  <c r="F18" s="1"/>
  <c r="F23" s="1"/>
  <c r="D11"/>
  <c r="D18" s="1"/>
  <c r="D23" s="1"/>
  <c r="G4"/>
  <c r="F4"/>
  <c r="E4"/>
  <c r="D4"/>
  <c r="G13" i="3"/>
  <c r="G12"/>
  <c r="F13"/>
  <c r="F12"/>
  <c r="E13"/>
  <c r="E12"/>
  <c r="E11" s="1"/>
  <c r="D13"/>
  <c r="D12"/>
  <c r="G4"/>
  <c r="F4"/>
  <c r="E4"/>
  <c r="D4"/>
  <c r="K9" i="8"/>
  <c r="L7"/>
  <c r="C20"/>
  <c r="B4" s="1"/>
  <c r="C30"/>
  <c r="B5" s="1"/>
  <c r="C40"/>
  <c r="B6" s="1"/>
  <c r="C50"/>
  <c r="B7" s="1"/>
  <c r="C60"/>
  <c r="B8" s="1"/>
  <c r="C70"/>
  <c r="B9" s="1"/>
  <c r="C80"/>
  <c r="B10" s="1"/>
  <c r="D20"/>
  <c r="C4" s="1"/>
  <c r="D30"/>
  <c r="C5" s="1"/>
  <c r="D40"/>
  <c r="C6" s="1"/>
  <c r="D50"/>
  <c r="C7" s="1"/>
  <c r="D60"/>
  <c r="C8" s="1"/>
  <c r="D70"/>
  <c r="C9" s="1"/>
  <c r="D80"/>
  <c r="C10" s="1"/>
  <c r="E20"/>
  <c r="D4" s="1"/>
  <c r="E30"/>
  <c r="D5" s="1"/>
  <c r="E40"/>
  <c r="D6" s="1"/>
  <c r="E50"/>
  <c r="D7" s="1"/>
  <c r="E60"/>
  <c r="D8" s="1"/>
  <c r="E70"/>
  <c r="D9" s="1"/>
  <c r="E80"/>
  <c r="D10" s="1"/>
  <c r="F20"/>
  <c r="E4" s="1"/>
  <c r="F30"/>
  <c r="E5" s="1"/>
  <c r="F40"/>
  <c r="E6" s="1"/>
  <c r="F50"/>
  <c r="E7" s="1"/>
  <c r="F60"/>
  <c r="E8" s="1"/>
  <c r="F70"/>
  <c r="E9" s="1"/>
  <c r="F80"/>
  <c r="E10" s="1"/>
  <c r="C19"/>
  <c r="D19"/>
  <c r="E19"/>
  <c r="F19"/>
  <c r="C29"/>
  <c r="D29"/>
  <c r="E29"/>
  <c r="F29"/>
  <c r="C39"/>
  <c r="D39"/>
  <c r="E39"/>
  <c r="F39"/>
  <c r="C49"/>
  <c r="D49"/>
  <c r="E49"/>
  <c r="F49"/>
  <c r="C59"/>
  <c r="D59"/>
  <c r="E59"/>
  <c r="F59"/>
  <c r="C69"/>
  <c r="D69"/>
  <c r="E69"/>
  <c r="F69"/>
  <c r="C79"/>
  <c r="D79"/>
  <c r="E79"/>
  <c r="F79"/>
  <c r="N99" i="6"/>
  <c r="V98" s="1"/>
  <c r="M99"/>
  <c r="U98" s="1"/>
  <c r="L99"/>
  <c r="T98" s="1"/>
  <c r="K99"/>
  <c r="S98" s="1"/>
  <c r="N96"/>
  <c r="V95" s="1"/>
  <c r="M96"/>
  <c r="U95" s="1"/>
  <c r="L96"/>
  <c r="T95" s="1"/>
  <c r="K96"/>
  <c r="S95" s="1"/>
  <c r="N93"/>
  <c r="V92" s="1"/>
  <c r="M93"/>
  <c r="U92" s="1"/>
  <c r="L93"/>
  <c r="T92" s="1"/>
  <c r="K93"/>
  <c r="S92" s="1"/>
  <c r="N90"/>
  <c r="V89" s="1"/>
  <c r="M90"/>
  <c r="U89" s="1"/>
  <c r="L90"/>
  <c r="T89" s="1"/>
  <c r="K90"/>
  <c r="S89"/>
  <c r="N87"/>
  <c r="V86" s="1"/>
  <c r="M87"/>
  <c r="L87"/>
  <c r="T86" s="1"/>
  <c r="K87"/>
  <c r="S86" s="1"/>
  <c r="N84"/>
  <c r="M84"/>
  <c r="U83" s="1"/>
  <c r="L84"/>
  <c r="T83" s="1"/>
  <c r="K84"/>
  <c r="S83" s="1"/>
  <c r="N81"/>
  <c r="V80" s="1"/>
  <c r="M81"/>
  <c r="U80" s="1"/>
  <c r="L81"/>
  <c r="T80" s="1"/>
  <c r="K81"/>
  <c r="N72"/>
  <c r="V71" s="1"/>
  <c r="M72"/>
  <c r="U71" s="1"/>
  <c r="L72"/>
  <c r="T71" s="1"/>
  <c r="K72"/>
  <c r="S71" s="1"/>
  <c r="N69"/>
  <c r="V68" s="1"/>
  <c r="M69"/>
  <c r="U68"/>
  <c r="L69"/>
  <c r="T68" s="1"/>
  <c r="K69"/>
  <c r="S68" s="1"/>
  <c r="N66"/>
  <c r="V65" s="1"/>
  <c r="M66"/>
  <c r="U65" s="1"/>
  <c r="L66"/>
  <c r="T65" s="1"/>
  <c r="K66"/>
  <c r="S65" s="1"/>
  <c r="N63"/>
  <c r="V62" s="1"/>
  <c r="M63"/>
  <c r="U62" s="1"/>
  <c r="L63"/>
  <c r="T62" s="1"/>
  <c r="K63"/>
  <c r="S62"/>
  <c r="N60"/>
  <c r="V59" s="1"/>
  <c r="M60"/>
  <c r="U59" s="1"/>
  <c r="L60"/>
  <c r="T59" s="1"/>
  <c r="K60"/>
  <c r="S59" s="1"/>
  <c r="N57"/>
  <c r="V56" s="1"/>
  <c r="M57"/>
  <c r="U56" s="1"/>
  <c r="L57"/>
  <c r="T56" s="1"/>
  <c r="K57"/>
  <c r="S56" s="1"/>
  <c r="N54"/>
  <c r="V53" s="1"/>
  <c r="V50" s="1"/>
  <c r="M54"/>
  <c r="U53" s="1"/>
  <c r="L54"/>
  <c r="T53" s="1"/>
  <c r="K54"/>
  <c r="N51"/>
  <c r="N45"/>
  <c r="V44" s="1"/>
  <c r="M45"/>
  <c r="U44" s="1"/>
  <c r="L45"/>
  <c r="T44" s="1"/>
  <c r="K45"/>
  <c r="S44" s="1"/>
  <c r="N42"/>
  <c r="V41" s="1"/>
  <c r="M42"/>
  <c r="U41" s="1"/>
  <c r="L42"/>
  <c r="T41" s="1"/>
  <c r="K42"/>
  <c r="S41" s="1"/>
  <c r="N39"/>
  <c r="V38" s="1"/>
  <c r="M39"/>
  <c r="U38" s="1"/>
  <c r="L39"/>
  <c r="T38" s="1"/>
  <c r="K39"/>
  <c r="S38" s="1"/>
  <c r="N36"/>
  <c r="V35" s="1"/>
  <c r="M36"/>
  <c r="U35" s="1"/>
  <c r="L36"/>
  <c r="T35" s="1"/>
  <c r="K36"/>
  <c r="S35" s="1"/>
  <c r="N33"/>
  <c r="V32" s="1"/>
  <c r="M33"/>
  <c r="U32" s="1"/>
  <c r="L33"/>
  <c r="T32" s="1"/>
  <c r="K33"/>
  <c r="S32" s="1"/>
  <c r="N30"/>
  <c r="V29" s="1"/>
  <c r="M30"/>
  <c r="L30"/>
  <c r="T29" s="1"/>
  <c r="K30"/>
  <c r="S29" s="1"/>
  <c r="N27"/>
  <c r="V26" s="1"/>
  <c r="M27"/>
  <c r="U26" s="1"/>
  <c r="L27"/>
  <c r="T26" s="1"/>
  <c r="K27"/>
  <c r="S26" s="1"/>
  <c r="L24"/>
  <c r="F99"/>
  <c r="V97" s="1"/>
  <c r="V99" s="1"/>
  <c r="E99"/>
  <c r="U97" s="1"/>
  <c r="D99"/>
  <c r="T97" s="1"/>
  <c r="C99"/>
  <c r="S97" s="1"/>
  <c r="S99" s="1"/>
  <c r="F96"/>
  <c r="V94" s="1"/>
  <c r="E96"/>
  <c r="U94" s="1"/>
  <c r="D96"/>
  <c r="T94" s="1"/>
  <c r="T96" s="1"/>
  <c r="C96"/>
  <c r="S94"/>
  <c r="F93"/>
  <c r="V91" s="1"/>
  <c r="E93"/>
  <c r="U91" s="1"/>
  <c r="U93" s="1"/>
  <c r="D93"/>
  <c r="T91" s="1"/>
  <c r="C93"/>
  <c r="S91"/>
  <c r="S93" s="1"/>
  <c r="F90"/>
  <c r="V88" s="1"/>
  <c r="V90" s="1"/>
  <c r="E90"/>
  <c r="U88" s="1"/>
  <c r="U90" s="1"/>
  <c r="D90"/>
  <c r="T88" s="1"/>
  <c r="T90" s="1"/>
  <c r="C90"/>
  <c r="S88"/>
  <c r="S90" s="1"/>
  <c r="F87"/>
  <c r="V85" s="1"/>
  <c r="V87" s="1"/>
  <c r="E87"/>
  <c r="U85" s="1"/>
  <c r="D87"/>
  <c r="T85" s="1"/>
  <c r="C87"/>
  <c r="S85" s="1"/>
  <c r="F84"/>
  <c r="V82" s="1"/>
  <c r="E84"/>
  <c r="U82" s="1"/>
  <c r="U84" s="1"/>
  <c r="D84"/>
  <c r="T82" s="1"/>
  <c r="T84" s="1"/>
  <c r="C84"/>
  <c r="S82"/>
  <c r="F81"/>
  <c r="V79" s="1"/>
  <c r="V81" s="1"/>
  <c r="E81"/>
  <c r="E78" s="1"/>
  <c r="D81"/>
  <c r="T79" s="1"/>
  <c r="C81"/>
  <c r="S79" s="1"/>
  <c r="F78"/>
  <c r="AD27"/>
  <c r="AD29" s="1"/>
  <c r="AC27"/>
  <c r="AC28" s="1"/>
  <c r="AB27"/>
  <c r="AB29" s="1"/>
  <c r="AA27"/>
  <c r="AA29" s="1"/>
  <c r="AD28"/>
  <c r="F72"/>
  <c r="V70" s="1"/>
  <c r="E72"/>
  <c r="U70" s="1"/>
  <c r="D72"/>
  <c r="T70" s="1"/>
  <c r="T72" s="1"/>
  <c r="C72"/>
  <c r="S70" s="1"/>
  <c r="F69"/>
  <c r="V67" s="1"/>
  <c r="E69"/>
  <c r="U67" s="1"/>
  <c r="U69" s="1"/>
  <c r="D69"/>
  <c r="T67" s="1"/>
  <c r="C69"/>
  <c r="S67"/>
  <c r="S69" s="1"/>
  <c r="F66"/>
  <c r="V64" s="1"/>
  <c r="V66" s="1"/>
  <c r="E66"/>
  <c r="U64" s="1"/>
  <c r="U66" s="1"/>
  <c r="D66"/>
  <c r="T64" s="1"/>
  <c r="T66" s="1"/>
  <c r="C66"/>
  <c r="S64"/>
  <c r="F63"/>
  <c r="V61" s="1"/>
  <c r="V63" s="1"/>
  <c r="E63"/>
  <c r="U61" s="1"/>
  <c r="U63" s="1"/>
  <c r="D63"/>
  <c r="T61" s="1"/>
  <c r="T63" s="1"/>
  <c r="C63"/>
  <c r="S61"/>
  <c r="S63" s="1"/>
  <c r="F60"/>
  <c r="V58" s="1"/>
  <c r="V60" s="1"/>
  <c r="E60"/>
  <c r="U58" s="1"/>
  <c r="U60" s="1"/>
  <c r="D60"/>
  <c r="T58" s="1"/>
  <c r="T60" s="1"/>
  <c r="C60"/>
  <c r="S58" s="1"/>
  <c r="S49" s="1"/>
  <c r="F57"/>
  <c r="V55" s="1"/>
  <c r="V57" s="1"/>
  <c r="E57"/>
  <c r="U55" s="1"/>
  <c r="D57"/>
  <c r="T55" s="1"/>
  <c r="C57"/>
  <c r="S55"/>
  <c r="F54"/>
  <c r="V52" s="1"/>
  <c r="E54"/>
  <c r="D54"/>
  <c r="T52" s="1"/>
  <c r="C54"/>
  <c r="S52" s="1"/>
  <c r="F27"/>
  <c r="V25" s="1"/>
  <c r="F30"/>
  <c r="V28" s="1"/>
  <c r="V30" s="1"/>
  <c r="F33"/>
  <c r="V31" s="1"/>
  <c r="F36"/>
  <c r="V34" s="1"/>
  <c r="F39"/>
  <c r="V37" s="1"/>
  <c r="V39" s="1"/>
  <c r="F42"/>
  <c r="V40" s="1"/>
  <c r="F45"/>
  <c r="V43" s="1"/>
  <c r="E27"/>
  <c r="U25" s="1"/>
  <c r="E30"/>
  <c r="U28"/>
  <c r="E33"/>
  <c r="U31" s="1"/>
  <c r="E36"/>
  <c r="U34" s="1"/>
  <c r="E39"/>
  <c r="U37" s="1"/>
  <c r="E42"/>
  <c r="U40" s="1"/>
  <c r="E45"/>
  <c r="U43" s="1"/>
  <c r="D27"/>
  <c r="T25" s="1"/>
  <c r="D30"/>
  <c r="T28" s="1"/>
  <c r="T30" s="1"/>
  <c r="D33"/>
  <c r="T31" s="1"/>
  <c r="D36"/>
  <c r="T34" s="1"/>
  <c r="D39"/>
  <c r="T37" s="1"/>
  <c r="T39" s="1"/>
  <c r="D42"/>
  <c r="T40" s="1"/>
  <c r="T42" s="1"/>
  <c r="D45"/>
  <c r="T43" s="1"/>
  <c r="C27"/>
  <c r="S25" s="1"/>
  <c r="C30"/>
  <c r="S28" s="1"/>
  <c r="S30" s="1"/>
  <c r="C33"/>
  <c r="S31" s="1"/>
  <c r="C36"/>
  <c r="S34"/>
  <c r="S36" s="1"/>
  <c r="C39"/>
  <c r="S37" s="1"/>
  <c r="C42"/>
  <c r="S40" s="1"/>
  <c r="S42" s="1"/>
  <c r="C45"/>
  <c r="S43"/>
  <c r="AD21"/>
  <c r="AC21"/>
  <c r="AB21"/>
  <c r="AD20"/>
  <c r="AC20"/>
  <c r="AB20"/>
  <c r="AA21"/>
  <c r="AA20"/>
  <c r="AD8"/>
  <c r="AD12" s="1"/>
  <c r="AC8"/>
  <c r="AC12" s="1"/>
  <c r="AB8"/>
  <c r="AB12" s="1"/>
  <c r="AA8"/>
  <c r="AA12" s="1"/>
  <c r="AD11"/>
  <c r="AB11"/>
  <c r="AD7"/>
  <c r="AD10" s="1"/>
  <c r="AC7"/>
  <c r="AC10" s="1"/>
  <c r="AB7"/>
  <c r="AB10" s="1"/>
  <c r="AA7"/>
  <c r="AA10" s="1"/>
  <c r="AD9"/>
  <c r="AB9"/>
  <c r="K10" i="5"/>
  <c r="L10"/>
  <c r="M10"/>
  <c r="N10"/>
  <c r="K12"/>
  <c r="L12"/>
  <c r="M12"/>
  <c r="N12"/>
  <c r="N10" i="4"/>
  <c r="N12" s="1"/>
  <c r="M10"/>
  <c r="M12" s="1"/>
  <c r="L10"/>
  <c r="L12" s="1"/>
  <c r="K10"/>
  <c r="K12" s="1"/>
  <c r="O11" i="3"/>
  <c r="O15" s="1"/>
  <c r="N11"/>
  <c r="N15" s="1"/>
  <c r="M11"/>
  <c r="M15" s="1"/>
  <c r="O10"/>
  <c r="O14" s="1"/>
  <c r="N10"/>
  <c r="N14" s="1"/>
  <c r="M10"/>
  <c r="M14" s="1"/>
  <c r="L11"/>
  <c r="L15" s="1"/>
  <c r="L10"/>
  <c r="L14" s="1"/>
  <c r="J44" i="1"/>
  <c r="J43"/>
  <c r="J42"/>
  <c r="J41"/>
  <c r="J40"/>
  <c r="J39"/>
  <c r="J38"/>
  <c r="J37"/>
  <c r="J36"/>
  <c r="J35"/>
  <c r="J34"/>
  <c r="E39"/>
  <c r="G39" s="1"/>
  <c r="K39" s="1"/>
  <c r="D39"/>
  <c r="H39" s="1"/>
  <c r="E44"/>
  <c r="I44" s="1"/>
  <c r="E43"/>
  <c r="I43" s="1"/>
  <c r="E42"/>
  <c r="I42" s="1"/>
  <c r="E41"/>
  <c r="I41" s="1"/>
  <c r="E40"/>
  <c r="I40" s="1"/>
  <c r="E38"/>
  <c r="I38"/>
  <c r="E37"/>
  <c r="G37" s="1"/>
  <c r="K37" s="1"/>
  <c r="E36"/>
  <c r="I36"/>
  <c r="E35"/>
  <c r="G35" s="1"/>
  <c r="K35" s="1"/>
  <c r="N35" s="1"/>
  <c r="E34"/>
  <c r="I34" s="1"/>
  <c r="G42"/>
  <c r="K42" s="1"/>
  <c r="N42" s="1"/>
  <c r="G38"/>
  <c r="K38" s="1"/>
  <c r="N38" s="1"/>
  <c r="G36"/>
  <c r="K36" s="1"/>
  <c r="G34"/>
  <c r="K34" s="1"/>
  <c r="C44"/>
  <c r="C43"/>
  <c r="C42"/>
  <c r="C41"/>
  <c r="C40"/>
  <c r="C39"/>
  <c r="C38"/>
  <c r="C37"/>
  <c r="C36"/>
  <c r="C35"/>
  <c r="C34"/>
  <c r="D44"/>
  <c r="H44" s="1"/>
  <c r="D43"/>
  <c r="H43" s="1"/>
  <c r="D42"/>
  <c r="H42" s="1"/>
  <c r="M42" s="1"/>
  <c r="L42" s="1"/>
  <c r="D41"/>
  <c r="H41" s="1"/>
  <c r="D40"/>
  <c r="H40"/>
  <c r="M40" s="1"/>
  <c r="D38"/>
  <c r="H38" s="1"/>
  <c r="M38" s="1"/>
  <c r="D37"/>
  <c r="H37" s="1"/>
  <c r="D36"/>
  <c r="H36"/>
  <c r="M36" s="1"/>
  <c r="D35"/>
  <c r="H35" s="1"/>
  <c r="M35" s="1"/>
  <c r="D34"/>
  <c r="H34" s="1"/>
  <c r="M34" s="1"/>
  <c r="L24"/>
  <c r="M24"/>
  <c r="N24"/>
  <c r="Q24"/>
  <c r="P24"/>
  <c r="O24"/>
  <c r="K24"/>
  <c r="S24" s="1"/>
  <c r="B28"/>
  <c r="B27"/>
  <c r="B26"/>
  <c r="B25"/>
  <c r="B24"/>
  <c r="B23"/>
  <c r="B22"/>
  <c r="B21"/>
  <c r="B20"/>
  <c r="B19"/>
  <c r="B29"/>
  <c r="K29"/>
  <c r="S29" s="1"/>
  <c r="Q29"/>
  <c r="P29"/>
  <c r="O29"/>
  <c r="N29"/>
  <c r="M29"/>
  <c r="L29"/>
  <c r="Q28"/>
  <c r="P28"/>
  <c r="O28"/>
  <c r="N28"/>
  <c r="M28"/>
  <c r="L28"/>
  <c r="K28"/>
  <c r="S28" s="1"/>
  <c r="Q27"/>
  <c r="P27"/>
  <c r="O27"/>
  <c r="N27"/>
  <c r="M27"/>
  <c r="L27"/>
  <c r="K27"/>
  <c r="S27" s="1"/>
  <c r="Q26"/>
  <c r="P26"/>
  <c r="O26"/>
  <c r="N26"/>
  <c r="M26"/>
  <c r="L26"/>
  <c r="K26"/>
  <c r="S26" s="1"/>
  <c r="Q25"/>
  <c r="P25"/>
  <c r="O25"/>
  <c r="N25"/>
  <c r="M25"/>
  <c r="L25"/>
  <c r="K25"/>
  <c r="S25" s="1"/>
  <c r="Q23"/>
  <c r="P23"/>
  <c r="O23"/>
  <c r="N23"/>
  <c r="M23"/>
  <c r="L23"/>
  <c r="K23"/>
  <c r="S23"/>
  <c r="Q22"/>
  <c r="P22"/>
  <c r="O22"/>
  <c r="N22"/>
  <c r="M22"/>
  <c r="L22"/>
  <c r="K22"/>
  <c r="Q21"/>
  <c r="P21"/>
  <c r="O21"/>
  <c r="N21"/>
  <c r="M21"/>
  <c r="L21"/>
  <c r="K21"/>
  <c r="S21" s="1"/>
  <c r="Q20"/>
  <c r="P20"/>
  <c r="O20"/>
  <c r="N20"/>
  <c r="M20"/>
  <c r="L20"/>
  <c r="K20"/>
  <c r="S20" s="1"/>
  <c r="Q19"/>
  <c r="P19"/>
  <c r="O19"/>
  <c r="N19"/>
  <c r="M19"/>
  <c r="L19"/>
  <c r="K19"/>
  <c r="S19" s="1"/>
  <c r="F12"/>
  <c r="R14"/>
  <c r="Q14"/>
  <c r="O14"/>
  <c r="N14"/>
  <c r="W14" s="1"/>
  <c r="R13"/>
  <c r="Q13"/>
  <c r="O13"/>
  <c r="N13"/>
  <c r="W13" s="1"/>
  <c r="R12"/>
  <c r="Q12"/>
  <c r="P12" s="1"/>
  <c r="O12"/>
  <c r="N12"/>
  <c r="R11"/>
  <c r="Q11"/>
  <c r="O11"/>
  <c r="N11"/>
  <c r="W11" s="1"/>
  <c r="R10"/>
  <c r="Q10"/>
  <c r="O10"/>
  <c r="N10"/>
  <c r="W10" s="1"/>
  <c r="R9"/>
  <c r="P9"/>
  <c r="Q9"/>
  <c r="O9"/>
  <c r="N9"/>
  <c r="W9" s="1"/>
  <c r="R8"/>
  <c r="Q8"/>
  <c r="O8"/>
  <c r="N8"/>
  <c r="R7"/>
  <c r="Q7"/>
  <c r="O7"/>
  <c r="N7"/>
  <c r="R6"/>
  <c r="Q6"/>
  <c r="O6"/>
  <c r="N6"/>
  <c r="W6" s="1"/>
  <c r="R5"/>
  <c r="Q5"/>
  <c r="P5" s="1"/>
  <c r="O5"/>
  <c r="N5"/>
  <c r="W5" s="1"/>
  <c r="I14"/>
  <c r="I13"/>
  <c r="I12"/>
  <c r="I11"/>
  <c r="I10"/>
  <c r="I9"/>
  <c r="I8"/>
  <c r="I7"/>
  <c r="I6"/>
  <c r="I5"/>
  <c r="E5"/>
  <c r="F14"/>
  <c r="D14"/>
  <c r="F13"/>
  <c r="D13"/>
  <c r="D12"/>
  <c r="F11"/>
  <c r="E11" s="1"/>
  <c r="D11"/>
  <c r="F10"/>
  <c r="D10"/>
  <c r="F9"/>
  <c r="D9"/>
  <c r="F8"/>
  <c r="E8" s="1"/>
  <c r="D8"/>
  <c r="F7"/>
  <c r="D7"/>
  <c r="F6"/>
  <c r="D6"/>
  <c r="F5"/>
  <c r="D5"/>
  <c r="D15"/>
  <c r="R15"/>
  <c r="Q15"/>
  <c r="N15"/>
  <c r="O15"/>
  <c r="I15"/>
  <c r="F15"/>
  <c r="E15"/>
  <c r="M9"/>
  <c r="E13"/>
  <c r="M13"/>
  <c r="J25"/>
  <c r="J28"/>
  <c r="K60" i="18"/>
  <c r="K65" s="1"/>
  <c r="V200" i="20"/>
  <c r="T54" i="6"/>
  <c r="V49"/>
  <c r="T81"/>
  <c r="V76"/>
  <c r="G17" i="11"/>
  <c r="G23"/>
  <c r="C10" i="16"/>
  <c r="C12"/>
  <c r="C13" s="1"/>
  <c r="C7" i="17"/>
  <c r="E8"/>
  <c r="E59" s="1"/>
  <c r="C15"/>
  <c r="E16"/>
  <c r="E55" s="1"/>
  <c r="C23"/>
  <c r="E24"/>
  <c r="E63" s="1"/>
  <c r="C32"/>
  <c r="E32"/>
  <c r="S39" i="6"/>
  <c r="O7" i="9"/>
  <c r="O9" s="1"/>
  <c r="F17" i="11"/>
  <c r="F23"/>
  <c r="D18"/>
  <c r="D23" s="1"/>
  <c r="F10" i="16"/>
  <c r="F11"/>
  <c r="F12" s="1"/>
  <c r="D16" i="17"/>
  <c r="D55" s="1"/>
  <c r="F24"/>
  <c r="F63" s="1"/>
  <c r="F32"/>
  <c r="W7" i="1"/>
  <c r="P11"/>
  <c r="M11"/>
  <c r="J26"/>
  <c r="G41"/>
  <c r="K41" s="1"/>
  <c r="N41" s="1"/>
  <c r="G43"/>
  <c r="K43" s="1"/>
  <c r="N43" s="1"/>
  <c r="I39"/>
  <c r="J32" i="3"/>
  <c r="R32" s="1"/>
  <c r="H35"/>
  <c r="P35" s="1"/>
  <c r="J35"/>
  <c r="R35" s="1"/>
  <c r="F17" i="4"/>
  <c r="D17" i="5"/>
  <c r="F17"/>
  <c r="C8" i="16"/>
  <c r="E8"/>
  <c r="D54" i="17"/>
  <c r="D57"/>
  <c r="D62"/>
  <c r="I32" i="3"/>
  <c r="Q32"/>
  <c r="E17" i="4"/>
  <c r="E17" i="5"/>
  <c r="G17"/>
  <c r="G55" i="15"/>
  <c r="G57"/>
  <c r="F9" s="1"/>
  <c r="G59"/>
  <c r="V128" i="20" s="1"/>
  <c r="G61" i="15"/>
  <c r="V137" i="20" s="1"/>
  <c r="Z137" s="1"/>
  <c r="Z152" s="1"/>
  <c r="G63" i="15"/>
  <c r="G65"/>
  <c r="F55"/>
  <c r="W109" i="22" s="1"/>
  <c r="F57" i="15"/>
  <c r="E9" s="1"/>
  <c r="E11" s="1"/>
  <c r="S9" s="1"/>
  <c r="F61"/>
  <c r="F63"/>
  <c r="E18" s="1"/>
  <c r="F65"/>
  <c r="U134" i="20" s="1"/>
  <c r="Y134" s="1"/>
  <c r="Y150" s="1"/>
  <c r="Y149" s="1"/>
  <c r="F67" i="15"/>
  <c r="E24" s="1"/>
  <c r="E26" s="1"/>
  <c r="S24" s="1"/>
  <c r="E55"/>
  <c r="E57"/>
  <c r="E59"/>
  <c r="V110" i="22" s="1"/>
  <c r="Z110" s="1"/>
  <c r="E61" i="15"/>
  <c r="E63"/>
  <c r="T131" i="20" s="1"/>
  <c r="E65" i="15"/>
  <c r="D21" s="1"/>
  <c r="D23" s="1"/>
  <c r="R21" s="1"/>
  <c r="E67"/>
  <c r="D24" s="1"/>
  <c r="D94" i="20"/>
  <c r="D89"/>
  <c r="D87"/>
  <c r="D73"/>
  <c r="D71"/>
  <c r="D65"/>
  <c r="D55"/>
  <c r="D49"/>
  <c r="D47"/>
  <c r="G67" i="15"/>
  <c r="Z191" i="22"/>
  <c r="F68" i="15"/>
  <c r="F62"/>
  <c r="L12" i="23"/>
  <c r="L61" s="1"/>
  <c r="D74" i="22"/>
  <c r="D70"/>
  <c r="D66"/>
  <c r="D62"/>
  <c r="D38"/>
  <c r="D34"/>
  <c r="D30"/>
  <c r="C4"/>
  <c r="D60" s="1"/>
  <c r="D42"/>
  <c r="E56" i="15"/>
  <c r="T159" i="20" s="1"/>
  <c r="E58" i="15"/>
  <c r="E60"/>
  <c r="E62"/>
  <c r="K15" s="1"/>
  <c r="K17" s="1"/>
  <c r="R16" s="1"/>
  <c r="E64"/>
  <c r="E66"/>
  <c r="E68"/>
  <c r="K24"/>
  <c r="U143" i="22"/>
  <c r="Y143" s="1"/>
  <c r="S161" i="20"/>
  <c r="W161" s="1"/>
  <c r="W176" s="1"/>
  <c r="U142" i="22"/>
  <c r="S160" i="20"/>
  <c r="W160" s="1"/>
  <c r="W175" s="1"/>
  <c r="U151" i="22"/>
  <c r="Y151" s="1"/>
  <c r="Y166" s="1"/>
  <c r="S169" i="20"/>
  <c r="W169"/>
  <c r="W184" s="1"/>
  <c r="U145" i="22"/>
  <c r="S163" i="20"/>
  <c r="W163" s="1"/>
  <c r="S167"/>
  <c r="W167" s="1"/>
  <c r="W182" s="1"/>
  <c r="W181" s="1"/>
  <c r="U118" i="22"/>
  <c r="Y118" s="1"/>
  <c r="Y133" s="1"/>
  <c r="Y131" s="1"/>
  <c r="U150"/>
  <c r="U148" s="1"/>
  <c r="Y148" s="1"/>
  <c r="S135" i="20"/>
  <c r="W135" s="1"/>
  <c r="U147" i="22"/>
  <c r="Y147" s="1"/>
  <c r="S165" i="20"/>
  <c r="W165" s="1"/>
  <c r="W180" s="1"/>
  <c r="V116" i="22"/>
  <c r="Z116" s="1"/>
  <c r="S134" i="20"/>
  <c r="W134" s="1"/>
  <c r="W150" s="1"/>
  <c r="W149" s="1"/>
  <c r="U116" i="22"/>
  <c r="Y116" s="1"/>
  <c r="U119"/>
  <c r="Y119" s="1"/>
  <c r="Y134" s="1"/>
  <c r="S137" i="20"/>
  <c r="W137" s="1"/>
  <c r="W152" s="1"/>
  <c r="U111" i="22"/>
  <c r="Y111"/>
  <c r="Y126" s="1"/>
  <c r="S129" i="20"/>
  <c r="W129" s="1"/>
  <c r="W144" s="1"/>
  <c r="V134"/>
  <c r="Z134" s="1"/>
  <c r="Z150" s="1"/>
  <c r="Z149" s="1"/>
  <c r="X119" i="22"/>
  <c r="AB119"/>
  <c r="AB134" s="1"/>
  <c r="V129" i="20"/>
  <c r="Z129" s="1"/>
  <c r="Z144" s="1"/>
  <c r="E54" i="17"/>
  <c r="F54" s="1"/>
  <c r="L11" i="1"/>
  <c r="U11" s="1"/>
  <c r="G56" i="15"/>
  <c r="X141" i="22" s="1"/>
  <c r="G58" i="15"/>
  <c r="G60"/>
  <c r="X142" i="22" s="1"/>
  <c r="AB142" s="1"/>
  <c r="AB157" s="1"/>
  <c r="G62" i="15"/>
  <c r="G64"/>
  <c r="V163" i="20" s="1"/>
  <c r="Z163" s="1"/>
  <c r="Z178" s="1"/>
  <c r="G66" i="15"/>
  <c r="G68"/>
  <c r="V115" i="22"/>
  <c r="Z115" s="1"/>
  <c r="T133" i="20"/>
  <c r="X133" s="1"/>
  <c r="T128"/>
  <c r="T127"/>
  <c r="V109" i="22"/>
  <c r="W119"/>
  <c r="AA119" s="1"/>
  <c r="AA134" s="1"/>
  <c r="W111"/>
  <c r="AA111" s="1"/>
  <c r="AA126" s="1"/>
  <c r="U129" i="20"/>
  <c r="Y129" s="1"/>
  <c r="Y144" s="1"/>
  <c r="U115" i="22"/>
  <c r="Y115" s="1"/>
  <c r="S133" i="20"/>
  <c r="U113" i="22"/>
  <c r="S131" i="20"/>
  <c r="W131" s="1"/>
  <c r="U110" i="22"/>
  <c r="Y110" s="1"/>
  <c r="S128" i="20"/>
  <c r="W128" s="1"/>
  <c r="W143" s="1"/>
  <c r="U109" i="22"/>
  <c r="Y109" s="1"/>
  <c r="Y124" s="1"/>
  <c r="S127" i="20"/>
  <c r="V131"/>
  <c r="Z131" s="1"/>
  <c r="E62" i="17"/>
  <c r="E64" s="1"/>
  <c r="E20" i="19" s="1"/>
  <c r="E42" s="1"/>
  <c r="V201" i="20"/>
  <c r="X145" i="22"/>
  <c r="V118"/>
  <c r="Z118" s="1"/>
  <c r="Z133" s="1"/>
  <c r="T169" i="20"/>
  <c r="X169" s="1"/>
  <c r="X184" s="1"/>
  <c r="T161"/>
  <c r="X161" s="1"/>
  <c r="X176" s="1"/>
  <c r="V143" i="22"/>
  <c r="Z143" s="1"/>
  <c r="Z158" s="1"/>
  <c r="V167" i="20"/>
  <c r="Z167" s="1"/>
  <c r="Z182" s="1"/>
  <c r="Z181" s="1"/>
  <c r="X150" i="22"/>
  <c r="AB150" s="1"/>
  <c r="AB165" s="1"/>
  <c r="AB163" s="1"/>
  <c r="V135" i="20"/>
  <c r="Z135" s="1"/>
  <c r="V161"/>
  <c r="Z161" s="1"/>
  <c r="Z176" s="1"/>
  <c r="X143" i="22"/>
  <c r="AB143"/>
  <c r="AB158" s="1"/>
  <c r="E56" i="17"/>
  <c r="K26" i="15"/>
  <c r="R25" s="1"/>
  <c r="V145" i="22"/>
  <c r="Z145" s="1"/>
  <c r="T163" i="20"/>
  <c r="X163" s="1"/>
  <c r="X178" s="1"/>
  <c r="V141" i="22"/>
  <c r="V196" i="20"/>
  <c r="D91"/>
  <c r="D72"/>
  <c r="D68"/>
  <c r="D64"/>
  <c r="D61"/>
  <c r="D41"/>
  <c r="D37"/>
  <c r="D56"/>
  <c r="D50"/>
  <c r="D46"/>
  <c r="D43"/>
  <c r="B104"/>
  <c r="D81"/>
  <c r="D79"/>
  <c r="D77"/>
  <c r="D83"/>
  <c r="D93"/>
  <c r="D86"/>
  <c r="D24"/>
  <c r="D22"/>
  <c r="D20"/>
  <c r="D18"/>
  <c r="D16"/>
  <c r="D14"/>
  <c r="D12"/>
  <c r="D10"/>
  <c r="D8"/>
  <c r="D6"/>
  <c r="G130"/>
  <c r="X195" s="1"/>
  <c r="T202"/>
  <c r="V202"/>
  <c r="V195"/>
  <c r="D45"/>
  <c r="D63"/>
  <c r="D75"/>
  <c r="D57"/>
  <c r="D51"/>
  <c r="D67"/>
  <c r="D59"/>
  <c r="X85"/>
  <c r="D80"/>
  <c r="D36"/>
  <c r="Z50"/>
  <c r="W61"/>
  <c r="X57"/>
  <c r="X89"/>
  <c r="D17"/>
  <c r="S50"/>
  <c r="X61"/>
  <c r="Z53"/>
  <c r="Y89"/>
  <c r="Z85"/>
  <c r="D70"/>
  <c r="D15"/>
  <c r="W53"/>
  <c r="W65" s="1"/>
  <c r="Z57"/>
  <c r="D69"/>
  <c r="D92"/>
  <c r="D53"/>
  <c r="D74"/>
  <c r="B102"/>
  <c r="D19"/>
  <c r="D9"/>
  <c r="Y57"/>
  <c r="W82"/>
  <c r="D23"/>
  <c r="D62"/>
  <c r="D25"/>
  <c r="D11"/>
  <c r="Z61"/>
  <c r="Z65" s="1"/>
  <c r="X93"/>
  <c r="W93"/>
  <c r="Z89"/>
  <c r="D88"/>
  <c r="D54"/>
  <c r="D7"/>
  <c r="D58"/>
  <c r="D78"/>
  <c r="D48"/>
  <c r="D82"/>
  <c r="B103"/>
  <c r="B101"/>
  <c r="D52"/>
  <c r="D34"/>
  <c r="D21"/>
  <c r="D13"/>
  <c r="W200"/>
  <c r="W216" s="1"/>
  <c r="W215" s="1"/>
  <c r="V194"/>
  <c r="V199"/>
  <c r="C129"/>
  <c r="G133"/>
  <c r="X198" s="1"/>
  <c r="X214" s="1"/>
  <c r="L40" i="23"/>
  <c r="K40"/>
  <c r="G132" i="20"/>
  <c r="X197" s="1"/>
  <c r="X213" s="1"/>
  <c r="F134"/>
  <c r="S200"/>
  <c r="S199" s="1"/>
  <c r="L19" i="23"/>
  <c r="N19"/>
  <c r="L57"/>
  <c r="N57"/>
  <c r="K35"/>
  <c r="L25"/>
  <c r="M25"/>
  <c r="N25"/>
  <c r="L30"/>
  <c r="N30"/>
  <c r="M40"/>
  <c r="K19"/>
  <c r="L9"/>
  <c r="M9"/>
  <c r="V193" i="20"/>
  <c r="K9" i="23"/>
  <c r="M19"/>
  <c r="K57"/>
  <c r="M57"/>
  <c r="K25"/>
  <c r="L35"/>
  <c r="M35"/>
  <c r="N35"/>
  <c r="K30"/>
  <c r="M30"/>
  <c r="K14"/>
  <c r="N9"/>
  <c r="L14"/>
  <c r="M14"/>
  <c r="N14"/>
  <c r="N40"/>
  <c r="V191" i="20"/>
  <c r="V190"/>
  <c r="V192"/>
  <c r="X127"/>
  <c r="X142" s="1"/>
  <c r="L52" i="18"/>
  <c r="L51" s="1"/>
  <c r="K68"/>
  <c r="M44"/>
  <c r="M65"/>
  <c r="G7" i="10"/>
  <c r="H6" i="13" s="1"/>
  <c r="H11" s="1"/>
  <c r="F7" i="10"/>
  <c r="G6" i="13"/>
  <c r="G11" s="1"/>
  <c r="E7" i="10"/>
  <c r="F6" i="13" s="1"/>
  <c r="F11" s="1"/>
  <c r="D7" i="10"/>
  <c r="D15" i="15"/>
  <c r="F12"/>
  <c r="F14" s="1"/>
  <c r="T12" s="1"/>
  <c r="R36"/>
  <c r="K9"/>
  <c r="K11" s="1"/>
  <c r="L24"/>
  <c r="L26" s="1"/>
  <c r="S25" s="1"/>
  <c r="D12"/>
  <c r="D14" s="1"/>
  <c r="M44"/>
  <c r="T43" s="1"/>
  <c r="F21"/>
  <c r="T165" i="20"/>
  <c r="X165" s="1"/>
  <c r="Z128"/>
  <c r="Z143" s="1"/>
  <c r="M15" i="15"/>
  <c r="M17" s="1"/>
  <c r="T16" s="1"/>
  <c r="V133" i="20"/>
  <c r="Z133" s="1"/>
  <c r="Z148" s="1"/>
  <c r="F24" i="15"/>
  <c r="F44"/>
  <c r="T42" s="1"/>
  <c r="M18"/>
  <c r="M20" s="1"/>
  <c r="T19" s="1"/>
  <c r="M6"/>
  <c r="M8" s="1"/>
  <c r="K41"/>
  <c r="R40" s="1"/>
  <c r="D6"/>
  <c r="D8" s="1"/>
  <c r="F41"/>
  <c r="T39" s="1"/>
  <c r="F15"/>
  <c r="F17"/>
  <c r="T15" s="1"/>
  <c r="T160" i="20"/>
  <c r="X160" s="1"/>
  <c r="X115" i="22"/>
  <c r="AB115" s="1"/>
  <c r="W115"/>
  <c r="AA115"/>
  <c r="AA130" s="1"/>
  <c r="V119"/>
  <c r="Z119" s="1"/>
  <c r="Z134" s="1"/>
  <c r="M9" i="15"/>
  <c r="M11" s="1"/>
  <c r="D44"/>
  <c r="R42" s="1"/>
  <c r="K18"/>
  <c r="K20" s="1"/>
  <c r="R19" s="1"/>
  <c r="K6"/>
  <c r="K8" s="1"/>
  <c r="R7" s="1"/>
  <c r="K44"/>
  <c r="R43" s="1"/>
  <c r="E6"/>
  <c r="V147" i="22"/>
  <c r="Z147" s="1"/>
  <c r="Z162" s="1"/>
  <c r="X110"/>
  <c r="AB110" s="1"/>
  <c r="T137" i="20"/>
  <c r="X137" s="1"/>
  <c r="X152" s="1"/>
  <c r="D126"/>
  <c r="H130"/>
  <c r="I130" s="1"/>
  <c r="Z195" s="1"/>
  <c r="W199"/>
  <c r="H133"/>
  <c r="Y198" s="1"/>
  <c r="Y214" s="1"/>
  <c r="G126"/>
  <c r="E129"/>
  <c r="F129"/>
  <c r="H132"/>
  <c r="I132" s="1"/>
  <c r="Z197" s="1"/>
  <c r="Z213" s="1"/>
  <c r="W202"/>
  <c r="W218" s="1"/>
  <c r="D134"/>
  <c r="F125"/>
  <c r="E134"/>
  <c r="D128"/>
  <c r="D129"/>
  <c r="U199"/>
  <c r="T199"/>
  <c r="C125"/>
  <c r="G128"/>
  <c r="H128" s="1"/>
  <c r="I128" s="1"/>
  <c r="Z193" s="1"/>
  <c r="Z209" s="1"/>
  <c r="S192"/>
  <c r="G129"/>
  <c r="F26" i="15"/>
  <c r="T24" s="1"/>
  <c r="U133" i="20"/>
  <c r="Y133" s="1"/>
  <c r="Y148" s="1"/>
  <c r="V151" i="22"/>
  <c r="Z151" s="1"/>
  <c r="Z166" s="1"/>
  <c r="X159" i="20"/>
  <c r="X174" s="1"/>
  <c r="X116" i="22"/>
  <c r="AB116" s="1"/>
  <c r="V130" i="20"/>
  <c r="F23" i="15"/>
  <c r="T21" s="1"/>
  <c r="X111" i="22"/>
  <c r="AB111" s="1"/>
  <c r="AB126" s="1"/>
  <c r="W113"/>
  <c r="AA113" s="1"/>
  <c r="AA128" s="1"/>
  <c r="T46" i="15"/>
  <c r="K47"/>
  <c r="R46" s="1"/>
  <c r="D47"/>
  <c r="R45" s="1"/>
  <c r="R47" s="1"/>
  <c r="D76" i="14" s="1"/>
  <c r="S45" i="15"/>
  <c r="Y150" i="22"/>
  <c r="Y165" s="1"/>
  <c r="Y163" s="1"/>
  <c r="U141"/>
  <c r="K13" i="23"/>
  <c r="K24"/>
  <c r="K56"/>
  <c r="T162" i="20"/>
  <c r="V144" i="22"/>
  <c r="S162" i="20"/>
  <c r="S166"/>
  <c r="W166" s="1"/>
  <c r="R6" i="15"/>
  <c r="T7"/>
  <c r="Y195" i="20"/>
  <c r="I133"/>
  <c r="Z198" s="1"/>
  <c r="Z214" s="1"/>
  <c r="X191"/>
  <c r="X207" s="1"/>
  <c r="H126"/>
  <c r="E128"/>
  <c r="U193" s="1"/>
  <c r="T193"/>
  <c r="X193"/>
  <c r="X209" s="1"/>
  <c r="G125"/>
  <c r="K18" i="23"/>
  <c r="K45"/>
  <c r="W112" i="22"/>
  <c r="D17" i="15"/>
  <c r="R15" s="1"/>
  <c r="E8"/>
  <c r="Q4"/>
  <c r="K34" i="23"/>
  <c r="Y141" i="22"/>
  <c r="Y156" s="1"/>
  <c r="Q3" i="15"/>
  <c r="M12" i="23"/>
  <c r="M61" s="1"/>
  <c r="S6" i="15"/>
  <c r="I126" i="20"/>
  <c r="Z191" s="1"/>
  <c r="Y191"/>
  <c r="Y190" s="1"/>
  <c r="H129"/>
  <c r="Y193"/>
  <c r="Y209" s="1"/>
  <c r="H125"/>
  <c r="K8" i="23"/>
  <c r="N12"/>
  <c r="N61" s="1"/>
  <c r="J79" i="10"/>
  <c r="T192" i="20"/>
  <c r="E127"/>
  <c r="U192" s="1"/>
  <c r="W194"/>
  <c r="J7" i="10"/>
  <c r="I7"/>
  <c r="K7"/>
  <c r="E6" i="13"/>
  <c r="E11" s="1"/>
  <c r="L25" i="10"/>
  <c r="L7" s="1"/>
  <c r="T97"/>
  <c r="T73"/>
  <c r="S23" i="6" l="1"/>
  <c r="S27"/>
  <c r="W207" i="20"/>
  <c r="W190"/>
  <c r="W203" s="1"/>
  <c r="T21" i="1"/>
  <c r="J24"/>
  <c r="N37"/>
  <c r="U27" i="6"/>
  <c r="U33"/>
  <c r="U39"/>
  <c r="U45"/>
  <c r="H27" i="3"/>
  <c r="I47"/>
  <c r="Q47" s="1"/>
  <c r="K47"/>
  <c r="S47" s="1"/>
  <c r="I50"/>
  <c r="Q50" s="1"/>
  <c r="K50"/>
  <c r="S50" s="1"/>
  <c r="E3" i="9"/>
  <c r="C3"/>
  <c r="F14" i="12"/>
  <c r="Z82" i="20"/>
  <c r="AB51" i="22"/>
  <c r="D15"/>
  <c r="J76" i="10"/>
  <c r="R50" i="15"/>
  <c r="D81" i="14" s="1"/>
  <c r="H85" i="10"/>
  <c r="AK91"/>
  <c r="AI94"/>
  <c r="G70" i="15"/>
  <c r="M27" s="1"/>
  <c r="M29" s="1"/>
  <c r="T28" s="1"/>
  <c r="T44"/>
  <c r="F71" i="14" s="1"/>
  <c r="T158" i="20"/>
  <c r="D56" i="17"/>
  <c r="D16" i="19" s="1"/>
  <c r="D30" s="1"/>
  <c r="T22" i="1"/>
  <c r="J23"/>
  <c r="T26"/>
  <c r="I35"/>
  <c r="I37"/>
  <c r="K78" i="6"/>
  <c r="D11" i="3"/>
  <c r="G11"/>
  <c r="E29"/>
  <c r="V80" i="22"/>
  <c r="AB55"/>
  <c r="AB48"/>
  <c r="X48"/>
  <c r="D19"/>
  <c r="AL85" i="10"/>
  <c r="AK94"/>
  <c r="Q5" i="15"/>
  <c r="E21" i="13" s="1"/>
  <c r="L63" i="23"/>
  <c r="V159" i="20"/>
  <c r="Z159" s="1"/>
  <c r="T11" i="1"/>
  <c r="E9"/>
  <c r="E6"/>
  <c r="E14"/>
  <c r="P7"/>
  <c r="P8"/>
  <c r="P10"/>
  <c r="P14"/>
  <c r="T20"/>
  <c r="J22"/>
  <c r="M37"/>
  <c r="M41"/>
  <c r="L41" s="1"/>
  <c r="D14" i="12"/>
  <c r="L68" i="18"/>
  <c r="T82" i="20"/>
  <c r="L100" i="10"/>
  <c r="T85"/>
  <c r="T88"/>
  <c r="T106"/>
  <c r="K63" i="23"/>
  <c r="Z131" i="22"/>
  <c r="M6" i="1"/>
  <c r="J27"/>
  <c r="T28"/>
  <c r="S22"/>
  <c r="R22" s="1"/>
  <c r="N39"/>
  <c r="U57" i="6"/>
  <c r="S66"/>
  <c r="D29" i="3"/>
  <c r="F8" i="16"/>
  <c r="X65" i="20"/>
  <c r="Y65"/>
  <c r="W97"/>
  <c r="Y93"/>
  <c r="AA195" i="22"/>
  <c r="AA83"/>
  <c r="D80"/>
  <c r="AB80"/>
  <c r="X80"/>
  <c r="Z48"/>
  <c r="V48"/>
  <c r="D25"/>
  <c r="D11"/>
  <c r="AL64" i="10"/>
  <c r="AJ94"/>
  <c r="AK103"/>
  <c r="AL106"/>
  <c r="I67"/>
  <c r="Q67" s="1"/>
  <c r="K76"/>
  <c r="J85"/>
  <c r="F69" i="15"/>
  <c r="E27" s="1"/>
  <c r="E29" s="1"/>
  <c r="S27" s="1"/>
  <c r="I4" i="38"/>
  <c r="AA109" i="22"/>
  <c r="AA124" s="1"/>
  <c r="X131" i="20"/>
  <c r="X146" s="1"/>
  <c r="T130"/>
  <c r="Y211"/>
  <c r="Y210" s="1"/>
  <c r="Y194"/>
  <c r="AB145" i="22"/>
  <c r="T129" i="20"/>
  <c r="X129" s="1"/>
  <c r="D9" i="15"/>
  <c r="D11" s="1"/>
  <c r="R9" s="1"/>
  <c r="W8" i="1"/>
  <c r="M8"/>
  <c r="L8" s="1"/>
  <c r="S87" i="6"/>
  <c r="S76"/>
  <c r="V83"/>
  <c r="N78"/>
  <c r="N68" i="18"/>
  <c r="N65"/>
  <c r="C6" i="19"/>
  <c r="C7"/>
  <c r="C10"/>
  <c r="C9"/>
  <c r="K60" i="10"/>
  <c r="K67"/>
  <c r="X211" i="20"/>
  <c r="X210" s="1"/>
  <c r="X194"/>
  <c r="S130"/>
  <c r="W133"/>
  <c r="W148" s="1"/>
  <c r="Z109" i="22"/>
  <c r="Z124" s="1"/>
  <c r="AB141"/>
  <c r="X140"/>
  <c r="K21" i="15"/>
  <c r="K23" s="1"/>
  <c r="R22" s="1"/>
  <c r="R23" s="1"/>
  <c r="V150" i="22"/>
  <c r="T167" i="20"/>
  <c r="T135"/>
  <c r="X135" s="1"/>
  <c r="L15" i="15"/>
  <c r="L17" s="1"/>
  <c r="W151" i="22"/>
  <c r="AA151" s="1"/>
  <c r="AA166" s="1"/>
  <c r="U169" i="20"/>
  <c r="Y169" s="1"/>
  <c r="Y184" s="1"/>
  <c r="W12" i="1"/>
  <c r="M12"/>
  <c r="L12" s="1"/>
  <c r="U86" i="6"/>
  <c r="M78"/>
  <c r="C22" i="19"/>
  <c r="C49" s="1"/>
  <c r="D66" i="17"/>
  <c r="E10" i="16"/>
  <c r="E11"/>
  <c r="E12" s="1"/>
  <c r="D44" i="22"/>
  <c r="D45"/>
  <c r="D49"/>
  <c r="D53"/>
  <c r="D57"/>
  <c r="D47"/>
  <c r="D51"/>
  <c r="D55"/>
  <c r="D59"/>
  <c r="D46"/>
  <c r="D50"/>
  <c r="D54"/>
  <c r="D58"/>
  <c r="F80" i="15"/>
  <c r="L42" s="1"/>
  <c r="L44" s="1"/>
  <c r="S43" s="1"/>
  <c r="F82"/>
  <c r="L45" s="1"/>
  <c r="L47" s="1"/>
  <c r="S46" s="1"/>
  <c r="S47" s="1"/>
  <c r="E76" i="14" s="1"/>
  <c r="F84" i="15"/>
  <c r="L48" s="1"/>
  <c r="L50" s="1"/>
  <c r="S49" s="1"/>
  <c r="F64"/>
  <c r="F58"/>
  <c r="F72"/>
  <c r="L30" s="1"/>
  <c r="L32" s="1"/>
  <c r="S31" s="1"/>
  <c r="F56"/>
  <c r="F66"/>
  <c r="F76"/>
  <c r="L36" s="1"/>
  <c r="L38" s="1"/>
  <c r="S37" s="1"/>
  <c r="F59"/>
  <c r="F60"/>
  <c r="I59" i="10"/>
  <c r="I61" s="1"/>
  <c r="H60"/>
  <c r="X190" i="20"/>
  <c r="R17" i="15"/>
  <c r="T134" i="20"/>
  <c r="X134" s="1"/>
  <c r="X150" s="1"/>
  <c r="X149" s="1"/>
  <c r="S44" i="15"/>
  <c r="E71" i="14" s="1"/>
  <c r="K44" i="18"/>
  <c r="V203" i="20"/>
  <c r="D28"/>
  <c r="D30"/>
  <c r="D32"/>
  <c r="F62" i="17"/>
  <c r="F64" s="1"/>
  <c r="F20" i="19" s="1"/>
  <c r="F42" s="1"/>
  <c r="D85" i="22"/>
  <c r="L65" i="18"/>
  <c r="H32" i="3"/>
  <c r="P32" s="1"/>
  <c r="P29" s="1"/>
  <c r="D11" i="16"/>
  <c r="D12" s="1"/>
  <c r="R21" i="1"/>
  <c r="R28"/>
  <c r="T29"/>
  <c r="L35"/>
  <c r="L38"/>
  <c r="V45" i="6"/>
  <c r="S57"/>
  <c r="C11" i="19"/>
  <c r="E8" i="21"/>
  <c r="N63" i="23"/>
  <c r="D125" i="20"/>
  <c r="T191"/>
  <c r="T190" s="1"/>
  <c r="T203" s="1"/>
  <c r="X151" i="22"/>
  <c r="AB151" s="1"/>
  <c r="AB166" s="1"/>
  <c r="V169" i="20"/>
  <c r="Z169" s="1"/>
  <c r="Z184" s="1"/>
  <c r="G18" i="4"/>
  <c r="G23" s="1"/>
  <c r="G17"/>
  <c r="B100" i="20"/>
  <c r="B98" s="1"/>
  <c r="D35"/>
  <c r="D27"/>
  <c r="D40"/>
  <c r="D39"/>
  <c r="D31"/>
  <c r="D38"/>
  <c r="Y113" i="22"/>
  <c r="Y128" s="1"/>
  <c r="U112"/>
  <c r="X118"/>
  <c r="AB118" s="1"/>
  <c r="AB133" s="1"/>
  <c r="AB131" s="1"/>
  <c r="M21" i="15"/>
  <c r="M23" s="1"/>
  <c r="T22" s="1"/>
  <c r="Y142" i="22"/>
  <c r="Y157" s="1"/>
  <c r="U140"/>
  <c r="K12" i="15"/>
  <c r="K14" s="1"/>
  <c r="R13" s="1"/>
  <c r="V142" i="22"/>
  <c r="Z142" s="1"/>
  <c r="U137" i="20"/>
  <c r="Y137" s="1"/>
  <c r="Y152" s="1"/>
  <c r="E15" i="15"/>
  <c r="E17" s="1"/>
  <c r="S15" s="1"/>
  <c r="E57" i="17"/>
  <c r="F57" s="1"/>
  <c r="F17" i="19" s="1"/>
  <c r="F33" s="1"/>
  <c r="D17"/>
  <c r="D33" s="1"/>
  <c r="T19" i="1"/>
  <c r="J19"/>
  <c r="M7" i="8"/>
  <c r="L9"/>
  <c r="C21" i="19"/>
  <c r="C46" s="1"/>
  <c r="C54" s="1"/>
  <c r="D65" i="17"/>
  <c r="N52" i="18"/>
  <c r="N51" s="1"/>
  <c r="N44"/>
  <c r="W159" i="20"/>
  <c r="S158"/>
  <c r="S170" s="1"/>
  <c r="D61" i="22"/>
  <c r="D69"/>
  <c r="D72"/>
  <c r="D64"/>
  <c r="D65"/>
  <c r="D73"/>
  <c r="D68"/>
  <c r="D63"/>
  <c r="D71"/>
  <c r="W196" i="20"/>
  <c r="W212" s="1"/>
  <c r="G131"/>
  <c r="H131" s="1"/>
  <c r="G136"/>
  <c r="W201"/>
  <c r="W217" s="1"/>
  <c r="G73" i="15"/>
  <c r="F33" s="1"/>
  <c r="F35" s="1"/>
  <c r="T33" s="1"/>
  <c r="F74"/>
  <c r="L33" s="1"/>
  <c r="L35" s="1"/>
  <c r="S34" s="1"/>
  <c r="S35" s="1"/>
  <c r="E56" i="14" s="1"/>
  <c r="G74" i="15"/>
  <c r="M33" s="1"/>
  <c r="M35" s="1"/>
  <c r="T34" s="1"/>
  <c r="F73"/>
  <c r="E33" s="1"/>
  <c r="E35" s="1"/>
  <c r="S33" s="1"/>
  <c r="E73"/>
  <c r="D33" s="1"/>
  <c r="D35" s="1"/>
  <c r="R33" s="1"/>
  <c r="S26"/>
  <c r="Z97" i="20"/>
  <c r="X97"/>
  <c r="V166"/>
  <c r="Z166" s="1"/>
  <c r="Y97"/>
  <c r="L59" i="10"/>
  <c r="Y197" i="20"/>
  <c r="Y213" s="1"/>
  <c r="U108" i="22"/>
  <c r="U120" s="1"/>
  <c r="X148"/>
  <c r="AB148" s="1"/>
  <c r="V111"/>
  <c r="Z111" s="1"/>
  <c r="Z126" s="1"/>
  <c r="U127" i="20"/>
  <c r="Y127" s="1"/>
  <c r="Y142" s="1"/>
  <c r="E21" i="15"/>
  <c r="E23" s="1"/>
  <c r="S21" s="1"/>
  <c r="M63" i="23"/>
  <c r="D29" i="20"/>
  <c r="W116" i="22"/>
  <c r="AA116" s="1"/>
  <c r="C4" i="20"/>
  <c r="M9" i="9"/>
  <c r="D17" i="4"/>
  <c r="T8" i="1"/>
  <c r="F24" i="6"/>
  <c r="Y191" i="22"/>
  <c r="Y187"/>
  <c r="J64" i="10"/>
  <c r="L60"/>
  <c r="R35" i="15"/>
  <c r="D56" i="14" s="1"/>
  <c r="Z141" i="22"/>
  <c r="Z156" s="1"/>
  <c r="V140"/>
  <c r="W127" i="20"/>
  <c r="S126"/>
  <c r="S138" s="1"/>
  <c r="X128"/>
  <c r="X143" s="1"/>
  <c r="T126"/>
  <c r="M24" i="15"/>
  <c r="V165" i="20"/>
  <c r="X147" i="22"/>
  <c r="AB147" s="1"/>
  <c r="AB162" s="1"/>
  <c r="V160" i="20"/>
  <c r="M12" i="15"/>
  <c r="M14" s="1"/>
  <c r="T13" s="1"/>
  <c r="T14" s="1"/>
  <c r="S11" i="1"/>
  <c r="V11"/>
  <c r="Y145" i="22"/>
  <c r="Y160" s="1"/>
  <c r="U144"/>
  <c r="D76"/>
  <c r="D5"/>
  <c r="U165" i="20"/>
  <c r="Y165" s="1"/>
  <c r="Y180" s="1"/>
  <c r="W147" i="22"/>
  <c r="AA147" s="1"/>
  <c r="V113"/>
  <c r="D18" i="15"/>
  <c r="D20" s="1"/>
  <c r="R18" s="1"/>
  <c r="R20" s="1"/>
  <c r="F18"/>
  <c r="F20" s="1"/>
  <c r="T18" s="1"/>
  <c r="T20" s="1"/>
  <c r="X113" i="22"/>
  <c r="V127" i="20"/>
  <c r="F6" i="15"/>
  <c r="F8" s="1"/>
  <c r="T6" s="1"/>
  <c r="X109" i="22"/>
  <c r="K27" i="3"/>
  <c r="K32"/>
  <c r="S32" s="1"/>
  <c r="S29" s="1"/>
  <c r="AA176" i="22"/>
  <c r="AA184" s="1"/>
  <c r="AA193"/>
  <c r="D29"/>
  <c r="D27"/>
  <c r="D37"/>
  <c r="D36"/>
  <c r="D28"/>
  <c r="D26"/>
  <c r="D33"/>
  <c r="D41"/>
  <c r="D40"/>
  <c r="D32"/>
  <c r="D31"/>
  <c r="D39"/>
  <c r="W192" i="20"/>
  <c r="W208" s="1"/>
  <c r="G127"/>
  <c r="J21" i="1"/>
  <c r="M15"/>
  <c r="R29"/>
  <c r="T24"/>
  <c r="M24" i="6"/>
  <c r="I27" i="3"/>
  <c r="I29" s="1"/>
  <c r="E11" i="11"/>
  <c r="I70" i="10"/>
  <c r="H106"/>
  <c r="T64"/>
  <c r="T67"/>
  <c r="T70"/>
  <c r="T76"/>
  <c r="T79"/>
  <c r="T82"/>
  <c r="T91"/>
  <c r="T94"/>
  <c r="T100"/>
  <c r="T103"/>
  <c r="L34" i="1"/>
  <c r="M44"/>
  <c r="N34"/>
  <c r="E51" i="6"/>
  <c r="S60"/>
  <c r="S72"/>
  <c r="S84"/>
  <c r="S96"/>
  <c r="S33"/>
  <c r="S45"/>
  <c r="E3" i="8"/>
  <c r="D3" i="9"/>
  <c r="Y195" i="22"/>
  <c r="AA191"/>
  <c r="AA187"/>
  <c r="Z180"/>
  <c r="AA87"/>
  <c r="D77"/>
  <c r="Z55"/>
  <c r="Y51"/>
  <c r="Z51"/>
  <c r="Z63" s="1"/>
  <c r="H7" i="10"/>
  <c r="K59"/>
  <c r="K61" s="1"/>
  <c r="AJ73"/>
  <c r="AJ88"/>
  <c r="AJ106"/>
  <c r="S32" i="15"/>
  <c r="E51" i="14" s="1"/>
  <c r="E69" i="15"/>
  <c r="D27" s="1"/>
  <c r="D29" s="1"/>
  <c r="R27" s="1"/>
  <c r="R64" i="10"/>
  <c r="R67"/>
  <c r="R70"/>
  <c r="R73"/>
  <c r="R76"/>
  <c r="R79"/>
  <c r="R82"/>
  <c r="R85"/>
  <c r="R88"/>
  <c r="R91"/>
  <c r="R94"/>
  <c r="R97"/>
  <c r="R100"/>
  <c r="R103"/>
  <c r="R106"/>
  <c r="L9" i="1"/>
  <c r="V9" s="1"/>
  <c r="E10"/>
  <c r="E12"/>
  <c r="T23" i="15"/>
  <c r="F13" i="16"/>
  <c r="W15" i="1"/>
  <c r="M14"/>
  <c r="P6"/>
  <c r="T23"/>
  <c r="J29"/>
  <c r="R24"/>
  <c r="M43"/>
  <c r="L43" s="1"/>
  <c r="N36"/>
  <c r="L36" s="1"/>
  <c r="V93" i="6"/>
  <c r="K24"/>
  <c r="V23"/>
  <c r="K51"/>
  <c r="H28" i="3"/>
  <c r="H29" s="1"/>
  <c r="E14" i="12"/>
  <c r="Z195" i="22"/>
  <c r="AB187"/>
  <c r="Z176"/>
  <c r="Z184" s="1"/>
  <c r="Y91"/>
  <c r="Y87"/>
  <c r="Y95" s="1"/>
  <c r="Z83"/>
  <c r="Y80"/>
  <c r="AA80"/>
  <c r="AA59"/>
  <c r="Y48"/>
  <c r="U48"/>
  <c r="AA48"/>
  <c r="W48"/>
  <c r="D17"/>
  <c r="D9"/>
  <c r="K94" i="10"/>
  <c r="AI73"/>
  <c r="E76" i="15"/>
  <c r="K36" s="1"/>
  <c r="K38" s="1"/>
  <c r="R37" s="1"/>
  <c r="R38" s="1"/>
  <c r="D61" i="14" s="1"/>
  <c r="Q64" i="10"/>
  <c r="Q70"/>
  <c r="Q73"/>
  <c r="Q76"/>
  <c r="Q79"/>
  <c r="Q82"/>
  <c r="Q85"/>
  <c r="Q88"/>
  <c r="Q91"/>
  <c r="Q94"/>
  <c r="Q97"/>
  <c r="Q100"/>
  <c r="Q103"/>
  <c r="Q106"/>
  <c r="V51" i="6"/>
  <c r="M5" i="1"/>
  <c r="P15"/>
  <c r="E7"/>
  <c r="M7"/>
  <c r="L7" s="1"/>
  <c r="S7" s="1"/>
  <c r="M10"/>
  <c r="L10" s="1"/>
  <c r="T10" s="1"/>
  <c r="P13"/>
  <c r="T25"/>
  <c r="R25" s="1"/>
  <c r="T27"/>
  <c r="R27" s="1"/>
  <c r="M39"/>
  <c r="F51" i="6"/>
  <c r="N24"/>
  <c r="M51"/>
  <c r="D3" i="8"/>
  <c r="F11" i="3"/>
  <c r="G29"/>
  <c r="I35"/>
  <c r="Q35" s="1"/>
  <c r="K28"/>
  <c r="C14" i="12"/>
  <c r="AB195" i="22"/>
  <c r="Z187"/>
  <c r="Z199" s="1"/>
  <c r="AB180"/>
  <c r="X184"/>
  <c r="AA91"/>
  <c r="Z87"/>
  <c r="AB83"/>
  <c r="AB95" s="1"/>
  <c r="W80"/>
  <c r="U80"/>
  <c r="AB59"/>
  <c r="AB63" s="1"/>
  <c r="Y59"/>
  <c r="AA55"/>
  <c r="AA51"/>
  <c r="D21"/>
  <c r="D13"/>
  <c r="J59" i="10"/>
  <c r="J60"/>
  <c r="AI64"/>
  <c r="S29" i="15"/>
  <c r="E46" i="14" s="1"/>
  <c r="S64" i="10"/>
  <c r="S67"/>
  <c r="S70"/>
  <c r="S76"/>
  <c r="S79"/>
  <c r="S82"/>
  <c r="S85"/>
  <c r="S88"/>
  <c r="S91"/>
  <c r="S94"/>
  <c r="S97"/>
  <c r="S100"/>
  <c r="S103"/>
  <c r="S106"/>
  <c r="C27" i="32"/>
  <c r="G39"/>
  <c r="I39" s="1"/>
  <c r="G30"/>
  <c r="I30" s="1"/>
  <c r="G31"/>
  <c r="D9"/>
  <c r="D28"/>
  <c r="J40" i="37"/>
  <c r="E28" i="34" s="1"/>
  <c r="L28" s="1"/>
  <c r="L29" s="1"/>
  <c r="J41" i="37"/>
  <c r="E31" i="34" s="1"/>
  <c r="L31" s="1"/>
  <c r="L32" s="1"/>
  <c r="F14" i="37"/>
  <c r="J14"/>
  <c r="N21"/>
  <c r="D39" s="1"/>
  <c r="M14"/>
  <c r="E14"/>
  <c r="I14"/>
  <c r="D14"/>
  <c r="H14"/>
  <c r="L14"/>
  <c r="G14"/>
  <c r="K14"/>
  <c r="D31" i="32"/>
  <c r="C14" i="37"/>
  <c r="F16" i="31"/>
  <c r="H6" i="32"/>
  <c r="G28"/>
  <c r="T61" i="10"/>
  <c r="H18" i="13" s="1"/>
  <c r="G26" i="32"/>
  <c r="G9"/>
  <c r="G8" s="1"/>
  <c r="H25"/>
  <c r="D25"/>
  <c r="G7"/>
  <c r="G29"/>
  <c r="C25"/>
  <c r="I22"/>
  <c r="Q61" i="10"/>
  <c r="E18" i="13" s="1"/>
  <c r="S61" i="10"/>
  <c r="G18" i="13" s="1"/>
  <c r="R61" i="10"/>
  <c r="F18" i="13" s="1"/>
  <c r="F36" i="14"/>
  <c r="N45" i="23"/>
  <c r="E41" i="14"/>
  <c r="M34" i="23"/>
  <c r="D60" i="17"/>
  <c r="D26" i="14"/>
  <c r="L56" i="23"/>
  <c r="L24"/>
  <c r="D31" i="14"/>
  <c r="Z160" i="20"/>
  <c r="Z175" s="1"/>
  <c r="V158"/>
  <c r="N24" i="23"/>
  <c r="F31" i="14"/>
  <c r="T35" i="15"/>
  <c r="F56" i="14" s="1"/>
  <c r="I131" i="20"/>
  <c r="Z196" s="1"/>
  <c r="Z212" s="1"/>
  <c r="Y196"/>
  <c r="Y212" s="1"/>
  <c r="S16" i="15"/>
  <c r="S17" s="1"/>
  <c r="T10"/>
  <c r="R10"/>
  <c r="R11" s="1"/>
  <c r="W130" i="20"/>
  <c r="W146"/>
  <c r="W145" s="1"/>
  <c r="Z130" i="22"/>
  <c r="D26" i="15"/>
  <c r="R24" s="1"/>
  <c r="R26" s="1"/>
  <c r="E20"/>
  <c r="S18" s="1"/>
  <c r="F11"/>
  <c r="T9" s="1"/>
  <c r="T17"/>
  <c r="T8"/>
  <c r="R12"/>
  <c r="R14" s="1"/>
  <c r="AB144" i="22"/>
  <c r="AB160"/>
  <c r="AB159" s="1"/>
  <c r="X148" i="20"/>
  <c r="X145" s="1"/>
  <c r="X130"/>
  <c r="M26" i="15"/>
  <c r="T25" s="1"/>
  <c r="T26" s="1"/>
  <c r="R44"/>
  <c r="D71" i="14" s="1"/>
  <c r="R29" i="3"/>
  <c r="Y207" i="20"/>
  <c r="R26" i="1"/>
  <c r="S22" i="6"/>
  <c r="S24" s="1"/>
  <c r="T49"/>
  <c r="V69"/>
  <c r="U72"/>
  <c r="U96"/>
  <c r="T77"/>
  <c r="B3" i="8"/>
  <c r="E33" i="17"/>
  <c r="E61" s="1"/>
  <c r="E19" i="19" s="1"/>
  <c r="E39" s="1"/>
  <c r="T22" i="6"/>
  <c r="T33"/>
  <c r="AA127" i="22"/>
  <c r="B3" i="9"/>
  <c r="D24" i="17"/>
  <c r="D63" s="1"/>
  <c r="D64" s="1"/>
  <c r="D20" i="19" s="1"/>
  <c r="D42" s="1"/>
  <c r="D33" i="17"/>
  <c r="D61" s="1"/>
  <c r="D19" i="19" s="1"/>
  <c r="D39" s="1"/>
  <c r="R29" i="15"/>
  <c r="D46" i="14" s="1"/>
  <c r="V7" i="1"/>
  <c r="T7"/>
  <c r="S10"/>
  <c r="V10"/>
  <c r="K62" i="23"/>
  <c r="K64" s="1"/>
  <c r="R8" i="15"/>
  <c r="U152" i="22"/>
  <c r="X196" i="20"/>
  <c r="X212" s="1"/>
  <c r="E16" i="19"/>
  <c r="E17"/>
  <c r="E33" s="1"/>
  <c r="E58" i="17"/>
  <c r="U131" i="20"/>
  <c r="L14" i="1"/>
  <c r="L5"/>
  <c r="U7"/>
  <c r="R19"/>
  <c r="L39"/>
  <c r="U22" i="6"/>
  <c r="V42"/>
  <c r="V33"/>
  <c r="V54"/>
  <c r="V72"/>
  <c r="T76"/>
  <c r="V84"/>
  <c r="U87"/>
  <c r="V96"/>
  <c r="U99"/>
  <c r="U50"/>
  <c r="V77"/>
  <c r="V78" s="1"/>
  <c r="C8" i="17"/>
  <c r="C59" s="1"/>
  <c r="C60" s="1"/>
  <c r="C18" i="19" s="1"/>
  <c r="C36" s="1"/>
  <c r="C16" i="17"/>
  <c r="C55" s="1"/>
  <c r="C56" s="1"/>
  <c r="C24"/>
  <c r="C63" s="1"/>
  <c r="C64" s="1"/>
  <c r="C20" i="19" s="1"/>
  <c r="C42" s="1"/>
  <c r="C33" i="17"/>
  <c r="C61" s="1"/>
  <c r="C19" i="19" s="1"/>
  <c r="C39" s="1"/>
  <c r="AB184" i="22"/>
  <c r="S9" i="1"/>
  <c r="U9"/>
  <c r="V22" i="6"/>
  <c r="V24" s="1"/>
  <c r="V27"/>
  <c r="T27"/>
  <c r="T23"/>
  <c r="F7" i="17"/>
  <c r="F8" s="1"/>
  <c r="F59" s="1"/>
  <c r="F15"/>
  <c r="F16"/>
  <c r="F55" s="1"/>
  <c r="F56" s="1"/>
  <c r="AA112" i="22"/>
  <c r="I125" i="20"/>
  <c r="I129"/>
  <c r="E126"/>
  <c r="D13" i="16"/>
  <c r="U10" i="1"/>
  <c r="L13"/>
  <c r="R20"/>
  <c r="R23"/>
  <c r="T45" i="6"/>
  <c r="T36"/>
  <c r="U42"/>
  <c r="U36"/>
  <c r="V36"/>
  <c r="T57"/>
  <c r="T69"/>
  <c r="T87"/>
  <c r="T93"/>
  <c r="T99"/>
  <c r="T50"/>
  <c r="U77"/>
  <c r="C3" i="8"/>
  <c r="J29" i="3"/>
  <c r="G113" i="6"/>
  <c r="F33" i="17"/>
  <c r="F61" s="1"/>
  <c r="F19" i="19" s="1"/>
  <c r="F39" s="1"/>
  <c r="T50" i="15"/>
  <c r="F81" i="14" s="1"/>
  <c r="S50" i="15"/>
  <c r="E81" i="14" s="1"/>
  <c r="T29" i="15"/>
  <c r="F46" i="14" s="1"/>
  <c r="E24" i="6"/>
  <c r="D51"/>
  <c r="AB28"/>
  <c r="D78"/>
  <c r="L51"/>
  <c r="S53"/>
  <c r="S50" s="1"/>
  <c r="S51" s="1"/>
  <c r="L78"/>
  <c r="S80"/>
  <c r="S77" s="1"/>
  <c r="S78" s="1"/>
  <c r="D8" i="16"/>
  <c r="D22" i="22"/>
  <c r="D18"/>
  <c r="D14"/>
  <c r="D10"/>
  <c r="D6"/>
  <c r="H59" i="10"/>
  <c r="H61" s="1"/>
  <c r="H73"/>
  <c r="F75" i="15"/>
  <c r="E77"/>
  <c r="F78"/>
  <c r="G81"/>
  <c r="S8" i="1"/>
  <c r="G44"/>
  <c r="K44" s="1"/>
  <c r="N44" s="1"/>
  <c r="L44" s="1"/>
  <c r="AC9" i="6"/>
  <c r="AC11"/>
  <c r="D24"/>
  <c r="C51"/>
  <c r="U52"/>
  <c r="AA28"/>
  <c r="AC29"/>
  <c r="C78"/>
  <c r="U79"/>
  <c r="U29"/>
  <c r="U30" s="1"/>
  <c r="I38" i="3"/>
  <c r="Q38" s="1"/>
  <c r="Q29" s="1"/>
  <c r="C8" i="19"/>
  <c r="C4"/>
  <c r="AB194" i="22"/>
  <c r="AB191" s="1"/>
  <c r="AB199" s="1"/>
  <c r="D7"/>
  <c r="G78" i="15"/>
  <c r="M39" s="1"/>
  <c r="M41" s="1"/>
  <c r="T40" s="1"/>
  <c r="T41" s="1"/>
  <c r="F66" i="14" s="1"/>
  <c r="E72" i="15"/>
  <c r="G72"/>
  <c r="G76"/>
  <c r="M36" s="1"/>
  <c r="M38" s="1"/>
  <c r="T37" s="1"/>
  <c r="T38" s="1"/>
  <c r="F61" i="14" s="1"/>
  <c r="C5" i="19"/>
  <c r="D43" i="22"/>
  <c r="D24"/>
  <c r="D20"/>
  <c r="D16"/>
  <c r="D12"/>
  <c r="S203" i="20"/>
  <c r="F77" i="15"/>
  <c r="E39" s="1"/>
  <c r="E41" s="1"/>
  <c r="S39" s="1"/>
  <c r="J20" i="1"/>
  <c r="G40"/>
  <c r="K40" s="1"/>
  <c r="N40" s="1"/>
  <c r="L40" s="1"/>
  <c r="AA9" i="6"/>
  <c r="AA11"/>
  <c r="C24"/>
  <c r="AD23" i="20"/>
  <c r="X206"/>
  <c r="Z211"/>
  <c r="Z194"/>
  <c r="AA162" i="22"/>
  <c r="AB125"/>
  <c r="Y125"/>
  <c r="Y108"/>
  <c r="W158" i="20"/>
  <c r="W174"/>
  <c r="X202"/>
  <c r="X218" s="1"/>
  <c r="H137"/>
  <c r="AB130" i="22"/>
  <c r="X162" i="20"/>
  <c r="X180"/>
  <c r="AB156" i="22"/>
  <c r="AB140"/>
  <c r="Y130"/>
  <c r="Y127" s="1"/>
  <c r="Y112"/>
  <c r="Y140"/>
  <c r="Y158"/>
  <c r="AC23" i="20"/>
  <c r="W206"/>
  <c r="W219" s="1"/>
  <c r="X201"/>
  <c r="X217" s="1"/>
  <c r="H136"/>
  <c r="Z140" i="22"/>
  <c r="Z157"/>
  <c r="Z174" i="20"/>
  <c r="Z173" s="1"/>
  <c r="Z158"/>
  <c r="Z130"/>
  <c r="Z146"/>
  <c r="Z145" s="1"/>
  <c r="W126"/>
  <c r="W138" s="1"/>
  <c r="W142"/>
  <c r="X126"/>
  <c r="X138" s="1"/>
  <c r="X144"/>
  <c r="Y144" i="22"/>
  <c r="Y162"/>
  <c r="X200" i="20"/>
  <c r="H135"/>
  <c r="G134"/>
  <c r="Z207"/>
  <c r="Z190"/>
  <c r="X175"/>
  <c r="X173" s="1"/>
  <c r="X158"/>
  <c r="AD22"/>
  <c r="X141"/>
  <c r="Z160" i="22"/>
  <c r="Z144"/>
  <c r="Z125"/>
  <c r="Z123" s="1"/>
  <c r="Z108"/>
  <c r="W162" i="20"/>
  <c r="W178"/>
  <c r="AA63" i="22" l="1"/>
  <c r="L37" i="1"/>
  <c r="L45" i="23"/>
  <c r="D36" i="14"/>
  <c r="N13" i="23"/>
  <c r="F21" i="14"/>
  <c r="M9" i="8"/>
  <c r="N7"/>
  <c r="W150" i="22"/>
  <c r="U167" i="20"/>
  <c r="W118" i="22"/>
  <c r="AA118" s="1"/>
  <c r="AA133" s="1"/>
  <c r="AA131" s="1"/>
  <c r="L21" i="15"/>
  <c r="L23" s="1"/>
  <c r="S22" s="1"/>
  <c r="S23" s="1"/>
  <c r="U135" i="20"/>
  <c r="Y135" s="1"/>
  <c r="L18" i="15"/>
  <c r="L20" s="1"/>
  <c r="S19" s="1"/>
  <c r="U163" i="20"/>
  <c r="W145" i="22"/>
  <c r="T12" i="1"/>
  <c r="U12"/>
  <c r="V12"/>
  <c r="S54" i="6"/>
  <c r="J61" i="10"/>
  <c r="Y199" i="22"/>
  <c r="E17" i="11"/>
  <c r="E18"/>
  <c r="E23" s="1"/>
  <c r="AB109" i="22"/>
  <c r="X108"/>
  <c r="D85" i="20"/>
  <c r="C104" s="1"/>
  <c r="D42"/>
  <c r="C101" s="1"/>
  <c r="D60"/>
  <c r="C102" s="1"/>
  <c r="D76"/>
  <c r="C103" s="1"/>
  <c r="D5"/>
  <c r="C99" s="1"/>
  <c r="U161"/>
  <c r="Y161" s="1"/>
  <c r="Y176" s="1"/>
  <c r="L9" i="15"/>
  <c r="L11" s="1"/>
  <c r="S10" s="1"/>
  <c r="S11" s="1"/>
  <c r="W143" i="22"/>
  <c r="AA143" s="1"/>
  <c r="AA158" s="1"/>
  <c r="D22" i="19"/>
  <c r="D49" s="1"/>
  <c r="E66" i="17"/>
  <c r="V148" i="22"/>
  <c r="Z148" s="1"/>
  <c r="Z150"/>
  <c r="Z165" s="1"/>
  <c r="Z163" s="1"/>
  <c r="T51" i="6"/>
  <c r="S20" i="15"/>
  <c r="AA199" i="22"/>
  <c r="T9" i="1"/>
  <c r="S12"/>
  <c r="V108" i="22"/>
  <c r="AB113"/>
  <c r="X112"/>
  <c r="U128" i="20"/>
  <c r="W110" i="22"/>
  <c r="E12" i="15"/>
  <c r="E14" s="1"/>
  <c r="S12" s="1"/>
  <c r="T166" i="20"/>
  <c r="X167"/>
  <c r="X182" s="1"/>
  <c r="X181" s="1"/>
  <c r="Z152" i="22"/>
  <c r="Y152"/>
  <c r="S81" i="6"/>
  <c r="V170" i="20"/>
  <c r="Y63" i="22"/>
  <c r="L15" i="1"/>
  <c r="K29" i="3"/>
  <c r="D26" i="20"/>
  <c r="C100" s="1"/>
  <c r="E13" i="16"/>
  <c r="X192" i="20"/>
  <c r="X208" s="1"/>
  <c r="H127"/>
  <c r="V126"/>
  <c r="V138" s="1"/>
  <c r="Z127"/>
  <c r="Z113" i="22"/>
  <c r="V112"/>
  <c r="Z165" i="20"/>
  <c r="V162"/>
  <c r="D21" i="19"/>
  <c r="D46" s="1"/>
  <c r="D54" s="1"/>
  <c r="E65" i="17"/>
  <c r="W142" i="22"/>
  <c r="AA142" s="1"/>
  <c r="AA157" s="1"/>
  <c r="L12" i="15"/>
  <c r="L14" s="1"/>
  <c r="S13" s="1"/>
  <c r="U160" i="20"/>
  <c r="Y160" s="1"/>
  <c r="Y175" s="1"/>
  <c r="L6" i="15"/>
  <c r="L8" s="1"/>
  <c r="S7" s="1"/>
  <c r="S8" s="1"/>
  <c r="W141" i="22"/>
  <c r="U159" i="20"/>
  <c r="V8" i="1"/>
  <c r="U8"/>
  <c r="X153" i="20"/>
  <c r="Z95" i="22"/>
  <c r="AA95"/>
  <c r="L6" i="1"/>
  <c r="L61" i="10"/>
  <c r="X144" i="22"/>
  <c r="X152" s="1"/>
  <c r="T138" i="20"/>
  <c r="D27" i="32"/>
  <c r="G27"/>
  <c r="G38"/>
  <c r="D24"/>
  <c r="I24" s="1"/>
  <c r="D8"/>
  <c r="I31"/>
  <c r="F17" i="31"/>
  <c r="B29" s="1"/>
  <c r="H17"/>
  <c r="C5" i="32"/>
  <c r="I9"/>
  <c r="J200" i="53"/>
  <c r="G28" i="34"/>
  <c r="I28"/>
  <c r="I29" s="1"/>
  <c r="G200" i="53" s="1"/>
  <c r="J28" i="34"/>
  <c r="J29" s="1"/>
  <c r="H200" i="53" s="1"/>
  <c r="K28" i="34"/>
  <c r="K29" s="1"/>
  <c r="I200" i="53" s="1"/>
  <c r="E29" i="34"/>
  <c r="J31"/>
  <c r="J32" s="1"/>
  <c r="H201" i="53" s="1"/>
  <c r="E32" i="34"/>
  <c r="K31"/>
  <c r="K32" s="1"/>
  <c r="I201" i="53" s="1"/>
  <c r="J201"/>
  <c r="G31" i="34"/>
  <c r="I31"/>
  <c r="I32" s="1"/>
  <c r="G201" i="53" s="1"/>
  <c r="J39" i="37"/>
  <c r="E34" i="34" s="1"/>
  <c r="L34" s="1"/>
  <c r="L35" s="1"/>
  <c r="N14" i="37"/>
  <c r="H38" i="32"/>
  <c r="I21"/>
  <c r="G25"/>
  <c r="I26"/>
  <c r="I25" s="1"/>
  <c r="E46" i="34" s="1"/>
  <c r="L46" s="1"/>
  <c r="L47" s="1"/>
  <c r="I29" i="32"/>
  <c r="G6"/>
  <c r="I7"/>
  <c r="I6" s="1"/>
  <c r="E40" i="34" s="1"/>
  <c r="L40" s="1"/>
  <c r="F16" i="19"/>
  <c r="F41" i="14"/>
  <c r="N34" i="23"/>
  <c r="M30" i="15"/>
  <c r="K54"/>
  <c r="F45"/>
  <c r="K53"/>
  <c r="C53" i="17"/>
  <c r="C16" i="19"/>
  <c r="U5" i="1"/>
  <c r="S5"/>
  <c r="V5"/>
  <c r="F58" i="17"/>
  <c r="F60" s="1"/>
  <c r="F18" i="19" s="1"/>
  <c r="F36" s="1"/>
  <c r="E60" i="17"/>
  <c r="D18" i="19"/>
  <c r="D53" i="17"/>
  <c r="U23" i="6"/>
  <c r="U24" s="1"/>
  <c r="T24"/>
  <c r="T11" i="15"/>
  <c r="E36"/>
  <c r="J53"/>
  <c r="U13" i="1"/>
  <c r="V13"/>
  <c r="S13"/>
  <c r="Y131" i="20"/>
  <c r="U130"/>
  <c r="L13" i="23"/>
  <c r="D21" i="14"/>
  <c r="D39" i="15"/>
  <c r="I53"/>
  <c r="E30" i="19"/>
  <c r="L18" i="23"/>
  <c r="D16" i="14"/>
  <c r="E125" i="20"/>
  <c r="U191"/>
  <c r="U190" s="1"/>
  <c r="U203" s="1"/>
  <c r="AE23"/>
  <c r="Y206"/>
  <c r="D41" i="14"/>
  <c r="L34" i="23"/>
  <c r="E26" i="14"/>
  <c r="M56" i="23"/>
  <c r="K30" i="15"/>
  <c r="I54"/>
  <c r="C3" i="19"/>
  <c r="U76" i="6"/>
  <c r="U78" s="1"/>
  <c r="U81"/>
  <c r="U49"/>
  <c r="U51" s="1"/>
  <c r="U54"/>
  <c r="L39" i="15"/>
  <c r="J54"/>
  <c r="V14" i="1"/>
  <c r="U14"/>
  <c r="S14"/>
  <c r="L8" i="23"/>
  <c r="D11" i="14"/>
  <c r="N8" i="23"/>
  <c r="F11" i="14"/>
  <c r="F26"/>
  <c r="N56" i="23"/>
  <c r="E31" i="14"/>
  <c r="M24" i="23"/>
  <c r="Y159" i="22"/>
  <c r="AB152"/>
  <c r="T78" i="6"/>
  <c r="T13" i="1"/>
  <c r="T14"/>
  <c r="T5"/>
  <c r="W177" i="20"/>
  <c r="X216"/>
  <c r="X199"/>
  <c r="X203" s="1"/>
  <c r="X177"/>
  <c r="X185" s="1"/>
  <c r="Y123" i="22"/>
  <c r="Y135" s="1"/>
  <c r="I135" i="20"/>
  <c r="Y200"/>
  <c r="H134"/>
  <c r="W141"/>
  <c r="W153" s="1"/>
  <c r="AC22"/>
  <c r="AB155" i="22"/>
  <c r="AB167" s="1"/>
  <c r="I137" i="20"/>
  <c r="Z202" s="1"/>
  <c r="Z218" s="1"/>
  <c r="Y202"/>
  <c r="Y218" s="1"/>
  <c r="Y120" i="22"/>
  <c r="Y201" i="20"/>
  <c r="Y217" s="1"/>
  <c r="I136"/>
  <c r="Z201" s="1"/>
  <c r="Z217" s="1"/>
  <c r="Y155" i="22"/>
  <c r="Z210" i="20"/>
  <c r="W170"/>
  <c r="Z159" i="22"/>
  <c r="Z206" i="20"/>
  <c r="AF23"/>
  <c r="W173"/>
  <c r="Z155" i="22"/>
  <c r="Y167" l="1"/>
  <c r="L62" i="23"/>
  <c r="L64" s="1"/>
  <c r="V6" i="1"/>
  <c r="S6"/>
  <c r="U6"/>
  <c r="E11" i="14"/>
  <c r="M8" i="23"/>
  <c r="E21" i="19"/>
  <c r="E46" s="1"/>
  <c r="E54" s="1"/>
  <c r="F65" i="17"/>
  <c r="F21" i="19" s="1"/>
  <c r="F46" s="1"/>
  <c r="F54" s="1"/>
  <c r="Y192" i="20"/>
  <c r="Y208" s="1"/>
  <c r="I127"/>
  <c r="Z192" s="1"/>
  <c r="Z208" s="1"/>
  <c r="X166"/>
  <c r="X170" s="1"/>
  <c r="T170"/>
  <c r="E16" i="14"/>
  <c r="M18" i="23"/>
  <c r="AB124" i="22"/>
  <c r="AB123" s="1"/>
  <c r="AB108"/>
  <c r="Y163" i="20"/>
  <c r="U162"/>
  <c r="W185"/>
  <c r="T6" i="1"/>
  <c r="AA141" i="22"/>
  <c r="W140"/>
  <c r="W152" s="1"/>
  <c r="Z180" i="20"/>
  <c r="Z177" s="1"/>
  <c r="Z185" s="1"/>
  <c r="Z162"/>
  <c r="Z170" s="1"/>
  <c r="U126"/>
  <c r="Y128"/>
  <c r="AA145" i="22"/>
  <c r="W144"/>
  <c r="O7" i="8"/>
  <c r="O9" s="1"/>
  <c r="N9"/>
  <c r="Z167" i="22"/>
  <c r="X120"/>
  <c r="Y159" i="20"/>
  <c r="U158"/>
  <c r="Z126"/>
  <c r="Z138" s="1"/>
  <c r="Z142"/>
  <c r="AA110" i="22"/>
  <c r="W108"/>
  <c r="W120" s="1"/>
  <c r="AA150"/>
  <c r="AA165" s="1"/>
  <c r="AA163" s="1"/>
  <c r="W148"/>
  <c r="AA148" s="1"/>
  <c r="U138" i="20"/>
  <c r="V120" i="22"/>
  <c r="V152"/>
  <c r="C98" i="20"/>
  <c r="Z128" i="22"/>
  <c r="Z127" s="1"/>
  <c r="Z135" s="1"/>
  <c r="Z112"/>
  <c r="Z120" s="1"/>
  <c r="T15" i="1"/>
  <c r="S15"/>
  <c r="V15"/>
  <c r="U15"/>
  <c r="AB128" i="22"/>
  <c r="AB127" s="1"/>
  <c r="AB135" s="1"/>
  <c r="AB112"/>
  <c r="M45" i="23"/>
  <c r="E36" i="14"/>
  <c r="F66" i="17"/>
  <c r="F22" i="19" s="1"/>
  <c r="F49" s="1"/>
  <c r="E22"/>
  <c r="E49" s="1"/>
  <c r="Y167" i="20"/>
  <c r="Y182" s="1"/>
  <c r="Y181" s="1"/>
  <c r="U166"/>
  <c r="Y166" s="1"/>
  <c r="S14" i="15"/>
  <c r="F90" i="53"/>
  <c r="D22" i="29"/>
  <c r="I38" i="32"/>
  <c r="E52" i="34" s="1"/>
  <c r="L52" s="1"/>
  <c r="L53" s="1"/>
  <c r="I8" i="32"/>
  <c r="E43" i="34" s="1"/>
  <c r="L43" s="1"/>
  <c r="L44" s="1"/>
  <c r="G17" i="31"/>
  <c r="C29" s="1"/>
  <c r="J199" i="53"/>
  <c r="J43" i="55" s="1"/>
  <c r="G199" i="53"/>
  <c r="G197" s="1"/>
  <c r="I199"/>
  <c r="H199"/>
  <c r="H27" i="32"/>
  <c r="H5" s="1"/>
  <c r="I28"/>
  <c r="I27" s="1"/>
  <c r="E49" i="34" s="1"/>
  <c r="L49" s="1"/>
  <c r="L50" s="1"/>
  <c r="I40"/>
  <c r="J40"/>
  <c r="J41" s="1"/>
  <c r="H77" i="53" s="1"/>
  <c r="K40" i="34"/>
  <c r="I52"/>
  <c r="I53" s="1"/>
  <c r="G186" i="53" s="1"/>
  <c r="G185" s="1"/>
  <c r="I34" i="34"/>
  <c r="I35" s="1"/>
  <c r="G210" i="53" s="1"/>
  <c r="G209" s="1"/>
  <c r="J34" i="34"/>
  <c r="J35" s="1"/>
  <c r="H210" i="53" s="1"/>
  <c r="H209" s="1"/>
  <c r="K34" i="34"/>
  <c r="K35" s="1"/>
  <c r="I210" i="53" s="1"/>
  <c r="I209" s="1"/>
  <c r="J210"/>
  <c r="J209" s="1"/>
  <c r="G34" i="34"/>
  <c r="E35"/>
  <c r="H28"/>
  <c r="H29" s="1"/>
  <c r="G29"/>
  <c r="F200" i="53" s="1"/>
  <c r="H31" i="34"/>
  <c r="H32" s="1"/>
  <c r="G32"/>
  <c r="F201" i="53" s="1"/>
  <c r="J46" i="34"/>
  <c r="J47" s="1"/>
  <c r="H160" i="53" s="1"/>
  <c r="K46" i="34"/>
  <c r="K47" s="1"/>
  <c r="I160" i="53" s="1"/>
  <c r="J160"/>
  <c r="I46" i="34"/>
  <c r="I47" s="1"/>
  <c r="G160" i="53" s="1"/>
  <c r="E47" i="34"/>
  <c r="J37" i="37"/>
  <c r="D31"/>
  <c r="G5" i="32"/>
  <c r="D15" i="19"/>
  <c r="D36"/>
  <c r="D27" s="1"/>
  <c r="C15"/>
  <c r="C30"/>
  <c r="C27" s="1"/>
  <c r="F15"/>
  <c r="F30"/>
  <c r="F27" s="1"/>
  <c r="L3" i="15"/>
  <c r="L41"/>
  <c r="K32"/>
  <c r="K3"/>
  <c r="E18" i="19"/>
  <c r="E53" i="17"/>
  <c r="F47" i="15"/>
  <c r="F3"/>
  <c r="F53" i="17"/>
  <c r="D41" i="15"/>
  <c r="D3"/>
  <c r="E38"/>
  <c r="E3"/>
  <c r="Y146" i="20"/>
  <c r="Y145" s="1"/>
  <c r="Y130"/>
  <c r="F16" i="14"/>
  <c r="N18" i="23"/>
  <c r="N62" s="1"/>
  <c r="N64" s="1"/>
  <c r="M32" i="15"/>
  <c r="M3"/>
  <c r="X215" i="20"/>
  <c r="X219" s="1"/>
  <c r="Y199"/>
  <c r="Y203" s="1"/>
  <c r="Y216"/>
  <c r="I134"/>
  <c r="Z200"/>
  <c r="Y143" l="1"/>
  <c r="Y141" s="1"/>
  <c r="Y153" s="1"/>
  <c r="Y126"/>
  <c r="U170"/>
  <c r="AA160" i="22"/>
  <c r="AA159" s="1"/>
  <c r="AA144"/>
  <c r="M13" i="23"/>
  <c r="M62" s="1"/>
  <c r="M64" s="1"/>
  <c r="E21" i="14"/>
  <c r="AF22" i="20"/>
  <c r="Z141"/>
  <c r="Z153" s="1"/>
  <c r="Y138"/>
  <c r="AB120" i="22"/>
  <c r="AA125"/>
  <c r="AA123" s="1"/>
  <c r="AA135" s="1"/>
  <c r="AA108"/>
  <c r="AA120" s="1"/>
  <c r="Y158" i="20"/>
  <c r="Y174"/>
  <c r="AA140" i="22"/>
  <c r="AA156"/>
  <c r="AA155" s="1"/>
  <c r="AA167" s="1"/>
  <c r="Y162" i="20"/>
  <c r="Y178"/>
  <c r="Y177" s="1"/>
  <c r="I10" i="57"/>
  <c r="F148" i="55"/>
  <c r="F142" s="1"/>
  <c r="H159" i="53"/>
  <c r="H209" i="55" s="1"/>
  <c r="I159" i="53"/>
  <c r="I209" i="55" s="1"/>
  <c r="J159" i="53"/>
  <c r="J209" i="55" s="1"/>
  <c r="G159" i="53"/>
  <c r="G209" i="55" s="1"/>
  <c r="F22" i="29"/>
  <c r="F10" s="1"/>
  <c r="M10" s="1"/>
  <c r="G90" i="53"/>
  <c r="D29" i="31"/>
  <c r="K52" i="34"/>
  <c r="K53" s="1"/>
  <c r="I186" i="53" s="1"/>
  <c r="I185" s="1"/>
  <c r="I55" i="55" s="1"/>
  <c r="I53" s="1"/>
  <c r="H12" i="57" s="1"/>
  <c r="J186" i="53"/>
  <c r="J185" s="1"/>
  <c r="J183" s="1"/>
  <c r="E53" i="34"/>
  <c r="J52"/>
  <c r="J53" s="1"/>
  <c r="H186" i="53" s="1"/>
  <c r="H185" s="1"/>
  <c r="H55" i="55" s="1"/>
  <c r="H53" s="1"/>
  <c r="G12" i="57" s="1"/>
  <c r="G43" i="55"/>
  <c r="J197" i="53"/>
  <c r="D10" i="29"/>
  <c r="L10" s="1"/>
  <c r="E22"/>
  <c r="E10" s="1"/>
  <c r="E20" i="30" s="1"/>
  <c r="E23" s="1"/>
  <c r="F199" i="53"/>
  <c r="F43" i="55" s="1"/>
  <c r="G49"/>
  <c r="G207" i="53"/>
  <c r="G194" s="1"/>
  <c r="G55" i="55"/>
  <c r="G53" s="1"/>
  <c r="F12" i="57" s="1"/>
  <c r="G183" i="53"/>
  <c r="J41" i="55"/>
  <c r="J49"/>
  <c r="J207" i="53"/>
  <c r="H49" i="55"/>
  <c r="H47" s="1"/>
  <c r="G11" i="57" s="1"/>
  <c r="H207" i="53"/>
  <c r="H197"/>
  <c r="H43" i="55"/>
  <c r="I49"/>
  <c r="I207" i="53"/>
  <c r="I43" i="55"/>
  <c r="I197" i="53"/>
  <c r="H40" i="34"/>
  <c r="H41" s="1"/>
  <c r="H38" s="1"/>
  <c r="I41"/>
  <c r="G77" i="53" s="1"/>
  <c r="J31" i="37"/>
  <c r="E25" i="34"/>
  <c r="L25" s="1"/>
  <c r="L26" s="1"/>
  <c r="J78" i="53"/>
  <c r="I43" i="34"/>
  <c r="I44" s="1"/>
  <c r="G78" i="53" s="1"/>
  <c r="J43" i="34"/>
  <c r="J44" s="1"/>
  <c r="H78" i="53" s="1"/>
  <c r="K43" i="34"/>
  <c r="K44" s="1"/>
  <c r="I78" i="53" s="1"/>
  <c r="E44" i="34"/>
  <c r="H34"/>
  <c r="H35" s="1"/>
  <c r="G35"/>
  <c r="F210" i="53" s="1"/>
  <c r="F209" s="1"/>
  <c r="K49" i="34"/>
  <c r="K50" s="1"/>
  <c r="I79" i="53" s="1"/>
  <c r="E50" i="34"/>
  <c r="J79" i="53"/>
  <c r="J49" i="34"/>
  <c r="J50" s="1"/>
  <c r="H79" i="53" s="1"/>
  <c r="I5" i="32"/>
  <c r="E36" i="19"/>
  <c r="E15"/>
  <c r="R31" i="15"/>
  <c r="K5"/>
  <c r="R39"/>
  <c r="D5"/>
  <c r="T31"/>
  <c r="M5"/>
  <c r="T45"/>
  <c r="F5"/>
  <c r="S36"/>
  <c r="E5"/>
  <c r="S40"/>
  <c r="L5"/>
  <c r="Y215" i="20"/>
  <c r="Y219" s="1"/>
  <c r="Z216"/>
  <c r="Z199"/>
  <c r="Z203" s="1"/>
  <c r="AA152" i="22" l="1"/>
  <c r="Y170" i="20"/>
  <c r="AE22"/>
  <c r="Y173"/>
  <c r="Y185" s="1"/>
  <c r="G13" i="55"/>
  <c r="H10" i="57"/>
  <c r="I13" i="55"/>
  <c r="G10" i="57"/>
  <c r="H13" i="55"/>
  <c r="E10" i="57"/>
  <c r="G148" i="55"/>
  <c r="G142" s="1"/>
  <c r="G196" i="53"/>
  <c r="I183"/>
  <c r="J193"/>
  <c r="H183"/>
  <c r="H90"/>
  <c r="E29" i="31"/>
  <c r="G22" i="29"/>
  <c r="G10" s="1"/>
  <c r="N10" s="1"/>
  <c r="J55" i="55"/>
  <c r="J53" s="1"/>
  <c r="I12" i="57" s="1"/>
  <c r="G195" i="53"/>
  <c r="G41" i="55"/>
  <c r="F10" i="57"/>
  <c r="F20" i="30"/>
  <c r="J192" i="53"/>
  <c r="J195"/>
  <c r="G192"/>
  <c r="J194"/>
  <c r="G193"/>
  <c r="F197"/>
  <c r="F41" i="55"/>
  <c r="F49"/>
  <c r="F13" s="1"/>
  <c r="F207" i="53"/>
  <c r="H195"/>
  <c r="H192"/>
  <c r="H196"/>
  <c r="H193"/>
  <c r="H194"/>
  <c r="J196"/>
  <c r="I193"/>
  <c r="I194"/>
  <c r="I195"/>
  <c r="I192"/>
  <c r="I196"/>
  <c r="I41" i="55"/>
  <c r="H41"/>
  <c r="G47"/>
  <c r="F11" i="57" s="1"/>
  <c r="I47" i="55"/>
  <c r="H11" i="57" s="1"/>
  <c r="J47" i="55"/>
  <c r="I11" i="57" s="1"/>
  <c r="H37" i="34"/>
  <c r="O37" s="1"/>
  <c r="O38"/>
  <c r="J25"/>
  <c r="J26" s="1"/>
  <c r="H75" i="53" s="1"/>
  <c r="H71" s="1"/>
  <c r="H145" i="55" s="1"/>
  <c r="H139" s="1"/>
  <c r="K25" i="34"/>
  <c r="K26" s="1"/>
  <c r="I75" i="53" s="1"/>
  <c r="J75"/>
  <c r="G25" i="34"/>
  <c r="I25"/>
  <c r="I26" s="1"/>
  <c r="G75" i="53" s="1"/>
  <c r="G71" s="1"/>
  <c r="G145" i="55" s="1"/>
  <c r="G139" s="1"/>
  <c r="E26" i="34"/>
  <c r="E8" s="1"/>
  <c r="I38"/>
  <c r="J38"/>
  <c r="S38" i="15"/>
  <c r="E61" i="14" s="1"/>
  <c r="S3" i="15"/>
  <c r="T32"/>
  <c r="F51" i="14" s="1"/>
  <c r="T4" i="15"/>
  <c r="R32"/>
  <c r="D51" i="14" s="1"/>
  <c r="R4" i="15"/>
  <c r="R41"/>
  <c r="D66" i="14" s="1"/>
  <c r="R3" i="15"/>
  <c r="S4"/>
  <c r="S41"/>
  <c r="E66" i="14" s="1"/>
  <c r="T47" i="15"/>
  <c r="F76" i="14" s="1"/>
  <c r="T3" i="15"/>
  <c r="T5" s="1"/>
  <c r="H21" i="13" s="1"/>
  <c r="E27" i="19"/>
  <c r="Z215" i="20"/>
  <c r="Z219" s="1"/>
  <c r="G20" i="30" l="1"/>
  <c r="J13" i="55"/>
  <c r="H148"/>
  <c r="H142" s="1"/>
  <c r="G191" i="53"/>
  <c r="I90"/>
  <c r="F29" i="31"/>
  <c r="H22" i="29"/>
  <c r="H10" s="1"/>
  <c r="O10" s="1"/>
  <c r="F193" i="53"/>
  <c r="J191"/>
  <c r="F196"/>
  <c r="F194"/>
  <c r="F195"/>
  <c r="F192"/>
  <c r="H191"/>
  <c r="I191"/>
  <c r="K8" i="34"/>
  <c r="R8" s="1"/>
  <c r="L8"/>
  <c r="S8" s="1"/>
  <c r="F47" i="55"/>
  <c r="E11" i="57" s="1"/>
  <c r="I8" i="34"/>
  <c r="P8" s="1"/>
  <c r="J8"/>
  <c r="Q8" s="1"/>
  <c r="I37"/>
  <c r="P37" s="1"/>
  <c r="P38"/>
  <c r="J37"/>
  <c r="Q37" s="1"/>
  <c r="Q38"/>
  <c r="H25"/>
  <c r="H26" s="1"/>
  <c r="H8" s="1"/>
  <c r="O8" s="1"/>
  <c r="G26"/>
  <c r="F75" i="53" s="1"/>
  <c r="F71" s="1"/>
  <c r="F145" i="55" s="1"/>
  <c r="F139" s="1"/>
  <c r="E7" i="34"/>
  <c r="E6" i="14"/>
  <c r="D6"/>
  <c r="R5" i="15"/>
  <c r="F21" i="13" s="1"/>
  <c r="S5" i="15"/>
  <c r="G21" i="13" s="1"/>
  <c r="F6" i="14"/>
  <c r="H20" i="30" l="1"/>
  <c r="I148" i="55"/>
  <c r="I142" s="1"/>
  <c r="I22" i="29"/>
  <c r="I10" s="1"/>
  <c r="J90" i="53"/>
  <c r="F191"/>
  <c r="L7" i="34"/>
  <c r="S7" s="1"/>
  <c r="J7"/>
  <c r="Q7" s="1"/>
  <c r="G8"/>
  <c r="N8" s="1"/>
  <c r="I5"/>
  <c r="P5" s="1"/>
  <c r="I7"/>
  <c r="P7" s="1"/>
  <c r="K7"/>
  <c r="J5"/>
  <c r="Q5" s="1"/>
  <c r="I4"/>
  <c r="P4" s="1"/>
  <c r="I74"/>
  <c r="F38" i="29" s="1"/>
  <c r="H7" i="34"/>
  <c r="O7" s="1"/>
  <c r="H5"/>
  <c r="J104"/>
  <c r="G98" i="29" s="1"/>
  <c r="J64" i="34"/>
  <c r="J103" l="1"/>
  <c r="J83"/>
  <c r="G56" i="29" s="1"/>
  <c r="I65" i="34"/>
  <c r="F20" i="29" s="1"/>
  <c r="I91" i="34"/>
  <c r="F73" i="29" s="1"/>
  <c r="J77" i="34"/>
  <c r="G44" i="29" s="1"/>
  <c r="J70" i="34"/>
  <c r="G31" i="29" s="1"/>
  <c r="J74" i="34"/>
  <c r="G38" i="29" s="1"/>
  <c r="J85" i="34"/>
  <c r="G61" i="29" s="1"/>
  <c r="J94" i="34"/>
  <c r="J79"/>
  <c r="G49" i="29" s="1"/>
  <c r="J95" i="34"/>
  <c r="G80" i="29" s="1"/>
  <c r="J101" i="34"/>
  <c r="G92" i="29" s="1"/>
  <c r="J82" i="34"/>
  <c r="J71"/>
  <c r="G32" i="29" s="1"/>
  <c r="J65" i="34"/>
  <c r="G20" i="29" s="1"/>
  <c r="J61" i="34"/>
  <c r="J73"/>
  <c r="J62"/>
  <c r="G14" i="29" s="1"/>
  <c r="J91" i="34"/>
  <c r="J92"/>
  <c r="G74" i="29" s="1"/>
  <c r="J97" i="34"/>
  <c r="J67"/>
  <c r="G25" i="29" s="1"/>
  <c r="J76" i="34"/>
  <c r="G43" i="29" s="1"/>
  <c r="J100" i="34"/>
  <c r="J99" s="1"/>
  <c r="J98"/>
  <c r="G86" i="29" s="1"/>
  <c r="J86" i="34"/>
  <c r="G62" i="29" s="1"/>
  <c r="I98" i="34"/>
  <c r="F86" i="29" s="1"/>
  <c r="I88" i="34"/>
  <c r="F67" i="29" s="1"/>
  <c r="I68" i="34"/>
  <c r="F26" i="29" s="1"/>
  <c r="I97" i="34"/>
  <c r="F85" i="29" s="1"/>
  <c r="I73" i="34"/>
  <c r="I72" s="1"/>
  <c r="I77"/>
  <c r="F44" i="29" s="1"/>
  <c r="I85" i="34"/>
  <c r="J68"/>
  <c r="G26" i="29" s="1"/>
  <c r="J80" i="34"/>
  <c r="G50" i="29" s="1"/>
  <c r="J88" i="34"/>
  <c r="G67" i="29" s="1"/>
  <c r="J89" i="34"/>
  <c r="G68" i="29" s="1"/>
  <c r="I67" i="34"/>
  <c r="I66" s="1"/>
  <c r="I89"/>
  <c r="F68" i="29" s="1"/>
  <c r="I70" i="34"/>
  <c r="F31" i="29" s="1"/>
  <c r="G7" i="34"/>
  <c r="N7" s="1"/>
  <c r="I61"/>
  <c r="F13" i="29" s="1"/>
  <c r="I95" i="34"/>
  <c r="F80" i="29" s="1"/>
  <c r="J148" i="55"/>
  <c r="J142" s="1"/>
  <c r="I62" i="34"/>
  <c r="F14" i="29" s="1"/>
  <c r="P10"/>
  <c r="I20" i="30"/>
  <c r="J4" i="34"/>
  <c r="Q4" s="1"/>
  <c r="G5"/>
  <c r="I104"/>
  <c r="F98" i="29" s="1"/>
  <c r="I83" i="34"/>
  <c r="F56" i="29" s="1"/>
  <c r="I94" i="34"/>
  <c r="F79" i="29" s="1"/>
  <c r="I80" i="34"/>
  <c r="F50" i="29" s="1"/>
  <c r="I64" i="34"/>
  <c r="F19" i="29" s="1"/>
  <c r="I79" i="34"/>
  <c r="I78" s="1"/>
  <c r="I103"/>
  <c r="I76"/>
  <c r="I71"/>
  <c r="F32" i="29" s="1"/>
  <c r="I86" i="34"/>
  <c r="F62" i="29" s="1"/>
  <c r="I82" i="34"/>
  <c r="F55" i="29" s="1"/>
  <c r="I101" i="34"/>
  <c r="F92" i="29" s="1"/>
  <c r="I92" i="34"/>
  <c r="F74" i="29" s="1"/>
  <c r="I100" i="34"/>
  <c r="I99" s="1"/>
  <c r="R7"/>
  <c r="G4"/>
  <c r="N4" s="1"/>
  <c r="N5"/>
  <c r="H4"/>
  <c r="O4" s="1"/>
  <c r="O5"/>
  <c r="G55" i="29"/>
  <c r="J81" i="34"/>
  <c r="G73" i="29"/>
  <c r="G13"/>
  <c r="G97" i="34"/>
  <c r="G71"/>
  <c r="D32" i="29" s="1"/>
  <c r="G92" i="34"/>
  <c r="D74" i="29" s="1"/>
  <c r="G61" i="34"/>
  <c r="G83"/>
  <c r="D56" i="29" s="1"/>
  <c r="G100" i="34"/>
  <c r="G79"/>
  <c r="G62"/>
  <c r="G101"/>
  <c r="D92" i="29" s="1"/>
  <c r="G80" i="34"/>
  <c r="D50" i="29" s="1"/>
  <c r="G98" i="34"/>
  <c r="D86" i="29" s="1"/>
  <c r="G67" i="34"/>
  <c r="G88"/>
  <c r="G68"/>
  <c r="D26" i="29" s="1"/>
  <c r="G85" i="34"/>
  <c r="G64"/>
  <c r="G86"/>
  <c r="D62" i="29" s="1"/>
  <c r="G103" i="34"/>
  <c r="G76"/>
  <c r="G94"/>
  <c r="G73"/>
  <c r="G89"/>
  <c r="D68" i="29" s="1"/>
  <c r="G70" i="34"/>
  <c r="G91"/>
  <c r="G65"/>
  <c r="D20" i="29" s="1"/>
  <c r="G82" i="34"/>
  <c r="G104"/>
  <c r="D98" i="29" s="1"/>
  <c r="G77" i="34"/>
  <c r="D44" i="29" s="1"/>
  <c r="G95" i="34"/>
  <c r="D80" i="29" s="1"/>
  <c r="G74" i="34"/>
  <c r="D38" i="29" s="1"/>
  <c r="F97"/>
  <c r="F43"/>
  <c r="J69" i="34"/>
  <c r="G37" i="29"/>
  <c r="J87" i="34"/>
  <c r="G79" i="29"/>
  <c r="G85"/>
  <c r="J96" i="34"/>
  <c r="G97" i="29"/>
  <c r="J102" i="34"/>
  <c r="H95"/>
  <c r="H70"/>
  <c r="H85"/>
  <c r="H64"/>
  <c r="H88"/>
  <c r="H92"/>
  <c r="H97"/>
  <c r="H77"/>
  <c r="H98"/>
  <c r="H67"/>
  <c r="H91"/>
  <c r="H68"/>
  <c r="H94"/>
  <c r="H80"/>
  <c r="H100"/>
  <c r="H71"/>
  <c r="H101"/>
  <c r="H73"/>
  <c r="H104"/>
  <c r="H79"/>
  <c r="H65"/>
  <c r="H76"/>
  <c r="H82"/>
  <c r="H62"/>
  <c r="H83"/>
  <c r="H103"/>
  <c r="H86"/>
  <c r="H61"/>
  <c r="H89"/>
  <c r="H74"/>
  <c r="G19" i="29"/>
  <c r="J75" i="34"/>
  <c r="F61" i="29"/>
  <c r="J66" i="34" l="1"/>
  <c r="F25" i="29"/>
  <c r="G91"/>
  <c r="G7" s="1"/>
  <c r="N7" s="1"/>
  <c r="I75" i="34"/>
  <c r="J60"/>
  <c r="I69"/>
  <c r="J84"/>
  <c r="J78"/>
  <c r="F37" i="29"/>
  <c r="J72" i="34"/>
  <c r="J58"/>
  <c r="G17" i="30" s="1"/>
  <c r="J90" i="34"/>
  <c r="J93"/>
  <c r="G8" i="29"/>
  <c r="N8" s="1"/>
  <c r="I96" i="34"/>
  <c r="J63"/>
  <c r="I87"/>
  <c r="J59"/>
  <c r="G18" i="30" s="1"/>
  <c r="G23" s="1"/>
  <c r="I93" i="34"/>
  <c r="F91" i="29"/>
  <c r="F8"/>
  <c r="M8" s="1"/>
  <c r="I84" i="34"/>
  <c r="I60"/>
  <c r="I81"/>
  <c r="F49" i="29"/>
  <c r="I102" i="34"/>
  <c r="I63"/>
  <c r="I59"/>
  <c r="F18" i="30" s="1"/>
  <c r="F23" s="1"/>
  <c r="I58" i="34"/>
  <c r="F17" i="30" s="1"/>
  <c r="I90" i="34"/>
  <c r="H93"/>
  <c r="E79" i="29"/>
  <c r="H87" i="34"/>
  <c r="E67" i="29"/>
  <c r="D37"/>
  <c r="G72" i="34"/>
  <c r="D67" i="29"/>
  <c r="G87" i="34"/>
  <c r="D85" i="29"/>
  <c r="G96" i="34"/>
  <c r="H102"/>
  <c r="E97" i="29"/>
  <c r="H75" i="34"/>
  <c r="E43" i="29"/>
  <c r="H72" i="34"/>
  <c r="E37" i="29"/>
  <c r="H66" i="34"/>
  <c r="E25" i="29"/>
  <c r="H69" i="34"/>
  <c r="E31" i="29"/>
  <c r="D55"/>
  <c r="G81" i="34"/>
  <c r="D97" i="29"/>
  <c r="G102" i="34"/>
  <c r="D91" i="29"/>
  <c r="G99" i="34"/>
  <c r="H81"/>
  <c r="E55" i="29"/>
  <c r="H99" i="34"/>
  <c r="E91" i="29"/>
  <c r="H90" i="34"/>
  <c r="E73" i="29"/>
  <c r="H96" i="34"/>
  <c r="E85" i="29"/>
  <c r="H84" i="34"/>
  <c r="E61" i="29"/>
  <c r="D31"/>
  <c r="G69" i="34"/>
  <c r="D43" i="29"/>
  <c r="G75" i="34"/>
  <c r="G84"/>
  <c r="D61" i="29"/>
  <c r="D49"/>
  <c r="G78" i="34"/>
  <c r="H60"/>
  <c r="H58"/>
  <c r="E13" i="29"/>
  <c r="H78" i="34"/>
  <c r="E49" i="29"/>
  <c r="H63" i="34"/>
  <c r="E19" i="29"/>
  <c r="D73"/>
  <c r="G90" i="34"/>
  <c r="D79" i="29"/>
  <c r="G93" i="34"/>
  <c r="G63"/>
  <c r="D19" i="29"/>
  <c r="D25"/>
  <c r="G66" i="34"/>
  <c r="D14" i="29"/>
  <c r="D8" s="1"/>
  <c r="L8" s="1"/>
  <c r="G59" i="34"/>
  <c r="D13" i="29"/>
  <c r="G60" i="34"/>
  <c r="G58"/>
  <c r="H59"/>
  <c r="E18" i="30" s="1"/>
  <c r="J57" i="34" l="1"/>
  <c r="D10" i="41"/>
  <c r="D13" s="1"/>
  <c r="F7" i="29"/>
  <c r="M7" s="1"/>
  <c r="C10" i="41"/>
  <c r="C13" s="1"/>
  <c r="I57" i="34"/>
  <c r="D7" i="29"/>
  <c r="L7" s="1"/>
  <c r="G57" i="34"/>
  <c r="E17" i="30"/>
  <c r="H57" i="34"/>
  <c r="E7" i="29"/>
  <c r="E6" i="30" l="1"/>
  <c r="Y3" i="62" l="1"/>
  <c r="Y3" i="64" l="1"/>
  <c r="W211" l="1"/>
  <c r="Y3" i="65" l="1"/>
  <c r="Y3" i="63" l="1"/>
  <c r="C14" i="2" l="1"/>
  <c r="F14" s="1"/>
  <c r="C13"/>
  <c r="F13" s="1"/>
  <c r="C10"/>
  <c r="F10" s="1"/>
  <c r="C9"/>
  <c r="F9" s="1"/>
  <c r="C8"/>
  <c r="D8" l="1"/>
  <c r="D7" s="1"/>
  <c r="C6"/>
  <c r="D13"/>
  <c r="F8"/>
  <c r="F7" s="1"/>
  <c r="D9"/>
  <c r="D10"/>
  <c r="F6" l="1"/>
  <c r="F5" s="1"/>
  <c r="E15" i="14" s="1"/>
  <c r="C5" i="2"/>
  <c r="D14"/>
  <c r="C12"/>
  <c r="F12" s="1"/>
  <c r="C11"/>
  <c r="D15" i="14" l="1"/>
  <c r="F15"/>
  <c r="F11" i="2"/>
  <c r="C7"/>
  <c r="D12"/>
  <c r="D11"/>
  <c r="C16" l="1"/>
  <c r="F16" l="1"/>
  <c r="F15" s="1"/>
  <c r="C15"/>
  <c r="C4" s="1"/>
  <c r="D16"/>
  <c r="D15" s="1"/>
  <c r="F10" i="14" l="1"/>
  <c r="E10"/>
  <c r="D10"/>
  <c r="F4" i="2"/>
  <c r="C19" s="1"/>
  <c r="F5" i="14" l="1"/>
  <c r="E5"/>
  <c r="D5"/>
  <c r="D19" i="2"/>
  <c r="E20" i="13"/>
  <c r="F20" l="1"/>
  <c r="E19" i="2"/>
  <c r="F19" l="1"/>
  <c r="H20" i="13" s="1"/>
  <c r="G20"/>
  <c r="H53" i="69" l="1"/>
  <c r="H46"/>
  <c r="H77"/>
  <c r="H74"/>
  <c r="H65"/>
  <c r="H58"/>
  <c r="H48"/>
  <c r="H43"/>
  <c r="H86"/>
  <c r="H66"/>
  <c r="H64"/>
  <c r="H55"/>
  <c r="H79"/>
  <c r="H47"/>
  <c r="H78"/>
  <c r="H34"/>
  <c r="H70"/>
  <c r="H71"/>
  <c r="H38"/>
  <c r="H88"/>
  <c r="H40"/>
  <c r="H62"/>
  <c r="H50"/>
  <c r="H59"/>
  <c r="H85"/>
  <c r="H84"/>
  <c r="H37"/>
  <c r="H49"/>
  <c r="H89"/>
  <c r="H41"/>
  <c r="H39"/>
  <c r="H63"/>
  <c r="H32"/>
  <c r="H56"/>
  <c r="H45"/>
  <c r="H35"/>
  <c r="H67"/>
  <c r="H87"/>
  <c r="H73"/>
  <c r="H57"/>
  <c r="H33"/>
  <c r="H68"/>
  <c r="H80"/>
  <c r="H36"/>
  <c r="H42"/>
  <c r="H76"/>
  <c r="H60"/>
  <c r="H69"/>
  <c r="H75"/>
  <c r="H54"/>
  <c r="H52"/>
  <c r="H61"/>
  <c r="H44"/>
  <c r="H72"/>
  <c r="H387" l="1"/>
  <c r="H346"/>
  <c r="H369"/>
  <c r="H377"/>
  <c r="H395"/>
  <c r="H345"/>
  <c r="H393"/>
  <c r="H389"/>
  <c r="H383"/>
  <c r="H375"/>
  <c r="H398"/>
  <c r="H347"/>
  <c r="H363"/>
  <c r="H365"/>
  <c r="H351"/>
  <c r="H372"/>
  <c r="H374"/>
  <c r="H386"/>
  <c r="H394"/>
  <c r="H352"/>
  <c r="H388"/>
  <c r="H378"/>
  <c r="H367"/>
  <c r="H382"/>
  <c r="H366"/>
  <c r="H350"/>
  <c r="H364"/>
  <c r="H391"/>
  <c r="H359"/>
  <c r="H380"/>
  <c r="H384"/>
  <c r="H376"/>
  <c r="H390"/>
  <c r="H349"/>
  <c r="H348"/>
  <c r="H344"/>
  <c r="H373"/>
  <c r="H353"/>
  <c r="H396"/>
  <c r="H370"/>
  <c r="H385"/>
  <c r="H368"/>
  <c r="H358"/>
  <c r="H360"/>
  <c r="H356"/>
  <c r="H357"/>
  <c r="H379"/>
  <c r="H361"/>
  <c r="H381"/>
  <c r="H397"/>
  <c r="H51"/>
  <c r="H362" l="1"/>
  <c r="H392"/>
  <c r="F203" i="55" l="1"/>
  <c r="F7" s="1"/>
  <c r="F205"/>
  <c r="F9" s="1"/>
  <c r="F204"/>
  <c r="F8" s="1"/>
  <c r="F206"/>
  <c r="F10" s="1"/>
  <c r="I203" l="1"/>
  <c r="I206"/>
  <c r="I10" s="1"/>
  <c r="I204"/>
  <c r="I205"/>
  <c r="H206"/>
  <c r="H10" s="1"/>
  <c r="H203"/>
  <c r="H7" s="1"/>
  <c r="H204"/>
  <c r="H8" s="1"/>
  <c r="H205"/>
  <c r="G206"/>
  <c r="G10" s="1"/>
  <c r="G204"/>
  <c r="G8" s="1"/>
  <c r="G205"/>
  <c r="G203"/>
  <c r="G7" s="1"/>
  <c r="J205" l="1"/>
  <c r="J206"/>
  <c r="J10" s="1"/>
  <c r="J204"/>
  <c r="J203"/>
  <c r="I73" i="67" l="1"/>
  <c r="J73" l="1"/>
  <c r="I72"/>
  <c r="F66" i="54"/>
  <c r="F65" s="1"/>
  <c r="J72" i="67" l="1"/>
  <c r="G66" i="54"/>
  <c r="G65" s="1"/>
  <c r="K73" i="67" l="1"/>
  <c r="K72" l="1"/>
  <c r="H66" i="54"/>
  <c r="H65" s="1"/>
  <c r="G90" i="62" l="1"/>
  <c r="D34" i="54" l="1"/>
  <c r="D33" s="1"/>
  <c r="G89" i="62"/>
  <c r="H90" l="1"/>
  <c r="E34" i="54" l="1"/>
  <c r="E33" s="1"/>
  <c r="H89" i="62"/>
  <c r="I63" l="1"/>
  <c r="F32" i="54" s="1"/>
  <c r="J63" i="62" l="1"/>
  <c r="G32" i="54" s="1"/>
  <c r="K63" i="62" l="1"/>
  <c r="H32" i="54" s="1"/>
  <c r="G461" i="69" l="1"/>
  <c r="Q14" i="60"/>
  <c r="I14" i="54" s="1"/>
  <c r="Q116" i="70"/>
  <c r="I28" i="54" s="1"/>
  <c r="H433" i="69"/>
  <c r="G425"/>
  <c r="Q7" i="61"/>
  <c r="H425" i="69"/>
  <c r="Q90" i="62"/>
  <c r="Q45" i="67"/>
  <c r="I64" i="54" s="1"/>
  <c r="H461" i="69"/>
  <c r="Q15" i="61"/>
  <c r="I18" i="54" s="1"/>
  <c r="Q23" i="61"/>
  <c r="Q76" i="64"/>
  <c r="D425" i="69" l="1"/>
  <c r="I207" i="26" s="1"/>
  <c r="D461" i="69"/>
  <c r="I216" i="26" s="1"/>
  <c r="I34" i="54"/>
  <c r="I33" s="1"/>
  <c r="F92" i="53" s="1"/>
  <c r="Q89" i="62"/>
  <c r="I17" i="54"/>
  <c r="I45"/>
  <c r="I44" s="1"/>
  <c r="F128" i="53" s="1"/>
  <c r="Q75" i="64"/>
  <c r="I21" i="54"/>
  <c r="I20" s="1"/>
  <c r="Q22" i="61"/>
  <c r="F42" i="53" l="1"/>
  <c r="F41" s="1"/>
  <c r="F91"/>
  <c r="F157" i="55"/>
  <c r="F176"/>
  <c r="F175" s="1"/>
  <c r="F127" i="53"/>
  <c r="F118" i="55" l="1"/>
  <c r="F117" s="1"/>
  <c r="F150"/>
  <c r="F156"/>
  <c r="F112" l="1"/>
  <c r="F111" s="1"/>
  <c r="M110" s="1"/>
  <c r="M149"/>
  <c r="E33" i="57"/>
  <c r="E24" l="1"/>
  <c r="E25" l="1"/>
  <c r="C4" i="75" s="1"/>
  <c r="D7" i="32"/>
  <c r="D6" s="1"/>
  <c r="D5" s="1"/>
  <c r="D6" i="2" l="1"/>
  <c r="D5" s="1"/>
  <c r="D4" s="1"/>
  <c r="G108" i="55" l="1"/>
  <c r="G96" s="1"/>
  <c r="F18" i="43" l="1"/>
  <c r="F5" s="1"/>
  <c r="E42" i="34"/>
  <c r="L42" s="1"/>
  <c r="L39" l="1"/>
  <c r="L41"/>
  <c r="L38" s="1"/>
  <c r="E41"/>
  <c r="E38" s="1"/>
  <c r="E39"/>
  <c r="E6" s="1"/>
  <c r="K42"/>
  <c r="L37" l="1"/>
  <c r="E5"/>
  <c r="E4" s="1"/>
  <c r="E37"/>
  <c r="J86" i="53"/>
  <c r="J80" s="1"/>
  <c r="J146" i="55" s="1"/>
  <c r="J140" s="1"/>
  <c r="K39" i="34"/>
  <c r="I86" i="53"/>
  <c r="I80" s="1"/>
  <c r="K41" i="34"/>
  <c r="R39" l="1"/>
  <c r="K6"/>
  <c r="R6" s="1"/>
  <c r="I77" i="53"/>
  <c r="K38" i="34"/>
  <c r="J236" i="55"/>
  <c r="J233" s="1"/>
  <c r="I236"/>
  <c r="I233" s="1"/>
  <c r="I146"/>
  <c r="I140" s="1"/>
  <c r="J77" i="53"/>
  <c r="S39" i="34"/>
  <c r="L6"/>
  <c r="S6" s="1"/>
  <c r="I8" i="55" l="1"/>
  <c r="J71" i="53"/>
  <c r="Q232" i="55"/>
  <c r="I48" i="57"/>
  <c r="J8" i="55"/>
  <c r="L5" i="34"/>
  <c r="S38"/>
  <c r="H48" i="57"/>
  <c r="P232" i="55"/>
  <c r="I71" i="53"/>
  <c r="R38" i="34"/>
  <c r="K5"/>
  <c r="K37"/>
  <c r="S37" l="1"/>
  <c r="L68"/>
  <c r="I26" i="29" s="1"/>
  <c r="L77" i="34"/>
  <c r="I44" i="29" s="1"/>
  <c r="L71" i="34"/>
  <c r="I32" i="29" s="1"/>
  <c r="L98" i="34"/>
  <c r="I86" i="29" s="1"/>
  <c r="L83" i="34"/>
  <c r="I56" i="29" s="1"/>
  <c r="L74" i="34"/>
  <c r="I38" i="29" s="1"/>
  <c r="L65" i="34"/>
  <c r="I20" i="29" s="1"/>
  <c r="L104" i="34"/>
  <c r="I98" i="29" s="1"/>
  <c r="L95" i="34"/>
  <c r="I80" i="29" s="1"/>
  <c r="L101" i="34"/>
  <c r="I92" i="29" s="1"/>
  <c r="L92" i="34"/>
  <c r="I74" i="29" s="1"/>
  <c r="L89" i="34"/>
  <c r="I68" i="29" s="1"/>
  <c r="L86" i="34"/>
  <c r="I62" i="29" s="1"/>
  <c r="L85" i="34"/>
  <c r="L80"/>
  <c r="I50" i="29" s="1"/>
  <c r="L100" i="34"/>
  <c r="L62"/>
  <c r="L67"/>
  <c r="L103"/>
  <c r="L70"/>
  <c r="L64"/>
  <c r="L88"/>
  <c r="L73"/>
  <c r="L91"/>
  <c r="L94"/>
  <c r="L79"/>
  <c r="L61"/>
  <c r="L97"/>
  <c r="L82"/>
  <c r="L76"/>
  <c r="J145" i="55"/>
  <c r="J139" s="1"/>
  <c r="K83" i="34"/>
  <c r="H56" i="29" s="1"/>
  <c r="K104" i="34"/>
  <c r="H98" i="29" s="1"/>
  <c r="K101" i="34"/>
  <c r="H92" i="29" s="1"/>
  <c r="K92" i="34"/>
  <c r="H74" i="29" s="1"/>
  <c r="K74" i="34"/>
  <c r="H38" i="29" s="1"/>
  <c r="K80" i="34"/>
  <c r="H50" i="29" s="1"/>
  <c r="K95" i="34"/>
  <c r="H80" i="29" s="1"/>
  <c r="K65" i="34"/>
  <c r="H20" i="29" s="1"/>
  <c r="R37" i="34"/>
  <c r="K71"/>
  <c r="H32" i="29" s="1"/>
  <c r="K89" i="34"/>
  <c r="H68" i="29" s="1"/>
  <c r="K86" i="34"/>
  <c r="H62" i="29" s="1"/>
  <c r="K70" i="34"/>
  <c r="K98"/>
  <c r="H86" i="29" s="1"/>
  <c r="K77" i="34"/>
  <c r="H44" i="29" s="1"/>
  <c r="K68" i="34"/>
  <c r="H26" i="29" s="1"/>
  <c r="K62" i="34"/>
  <c r="K85"/>
  <c r="K97"/>
  <c r="K67"/>
  <c r="K100"/>
  <c r="K91"/>
  <c r="K64"/>
  <c r="K61"/>
  <c r="K103"/>
  <c r="K76"/>
  <c r="K82"/>
  <c r="K94"/>
  <c r="K79"/>
  <c r="K88"/>
  <c r="K73"/>
  <c r="R5"/>
  <c r="K4"/>
  <c r="R4" s="1"/>
  <c r="I145" i="55"/>
  <c r="I139" s="1"/>
  <c r="H49" i="57"/>
  <c r="I14" i="75" s="1"/>
  <c r="S5" i="34"/>
  <c r="L4"/>
  <c r="S4" s="1"/>
  <c r="I49" i="57"/>
  <c r="B63"/>
  <c r="I63" l="1"/>
  <c r="K14" i="75"/>
  <c r="K60" i="34"/>
  <c r="H13" i="29"/>
  <c r="K58" i="34"/>
  <c r="L60"/>
  <c r="I13" i="29"/>
  <c r="L58" i="34"/>
  <c r="L72"/>
  <c r="I37" i="29"/>
  <c r="L102" i="34"/>
  <c r="I97" i="29"/>
  <c r="K66" i="34"/>
  <c r="H25" i="29"/>
  <c r="K78" i="34"/>
  <c r="H49" i="29"/>
  <c r="K102" i="34"/>
  <c r="H97" i="29"/>
  <c r="K99" i="34"/>
  <c r="H91" i="29"/>
  <c r="K59" i="34"/>
  <c r="H18" i="30" s="1"/>
  <c r="H14" i="29"/>
  <c r="H8" s="1"/>
  <c r="O8" s="1"/>
  <c r="K69" i="34"/>
  <c r="H31" i="29"/>
  <c r="L96" i="34"/>
  <c r="I85" i="29"/>
  <c r="L90" i="34"/>
  <c r="I73" i="29"/>
  <c r="I31"/>
  <c r="L69" i="34"/>
  <c r="L99"/>
  <c r="I91" i="29"/>
  <c r="K87" i="34"/>
  <c r="H67" i="29"/>
  <c r="K75" i="34"/>
  <c r="H43" i="29"/>
  <c r="K90" i="34"/>
  <c r="H73" i="29"/>
  <c r="K84" i="34"/>
  <c r="H61" i="29"/>
  <c r="L81" i="34"/>
  <c r="I55" i="29"/>
  <c r="L93" i="34"/>
  <c r="I79" i="29"/>
  <c r="I19"/>
  <c r="L63" i="34"/>
  <c r="I14" i="29"/>
  <c r="I8" s="1"/>
  <c r="P8" s="1"/>
  <c r="L59" i="34"/>
  <c r="I18" i="30" s="1"/>
  <c r="K93" i="34"/>
  <c r="H79" i="29"/>
  <c r="K72" i="34"/>
  <c r="H37" i="29"/>
  <c r="K81" i="34"/>
  <c r="H55" i="29"/>
  <c r="K63" i="34"/>
  <c r="H19" i="29"/>
  <c r="K96" i="34"/>
  <c r="H85" i="29"/>
  <c r="L75" i="34"/>
  <c r="I43" i="29"/>
  <c r="L78" i="34"/>
  <c r="I49" i="29"/>
  <c r="L87" i="34"/>
  <c r="I67" i="29"/>
  <c r="L66" i="34"/>
  <c r="I25" i="29"/>
  <c r="L84" i="34"/>
  <c r="I61" i="29"/>
  <c r="J7" i="55" l="1"/>
  <c r="F10" i="41"/>
  <c r="F13" s="1"/>
  <c r="I23" i="30"/>
  <c r="H23"/>
  <c r="E10" i="41"/>
  <c r="E13" s="1"/>
  <c r="I7" i="29"/>
  <c r="K57" i="34"/>
  <c r="H17" i="30"/>
  <c r="H7" i="29"/>
  <c r="I7" i="55"/>
  <c r="L57" i="34"/>
  <c r="I17" i="30"/>
  <c r="P7" i="29" l="1"/>
  <c r="O7"/>
  <c r="C51" i="10" l="1"/>
  <c r="C48"/>
  <c r="C45"/>
  <c r="C42"/>
  <c r="C39"/>
  <c r="C30"/>
  <c r="C36"/>
  <c r="C33"/>
  <c r="C27"/>
  <c r="C21"/>
  <c r="C24"/>
  <c r="C18"/>
  <c r="C12"/>
  <c r="C15"/>
  <c r="H12" l="1"/>
  <c r="H14" s="1"/>
  <c r="C14"/>
  <c r="C29"/>
  <c r="H27"/>
  <c r="H29" s="1"/>
  <c r="C41"/>
  <c r="H39"/>
  <c r="H41" s="1"/>
  <c r="C53"/>
  <c r="H51"/>
  <c r="H53" s="1"/>
  <c r="H21"/>
  <c r="H23" s="1"/>
  <c r="C23"/>
  <c r="H30"/>
  <c r="H32" s="1"/>
  <c r="C32"/>
  <c r="H48"/>
  <c r="H50" s="1"/>
  <c r="C50"/>
  <c r="C17"/>
  <c r="H15"/>
  <c r="H17" s="1"/>
  <c r="C26"/>
  <c r="H24"/>
  <c r="H26" s="1"/>
  <c r="C38"/>
  <c r="H36"/>
  <c r="H38" s="1"/>
  <c r="C47"/>
  <c r="H45"/>
  <c r="H47" s="1"/>
  <c r="H18"/>
  <c r="H20" s="1"/>
  <c r="C20"/>
  <c r="H33"/>
  <c r="H35" s="1"/>
  <c r="C35"/>
  <c r="H42"/>
  <c r="H44" s="1"/>
  <c r="C44"/>
  <c r="C9"/>
  <c r="C11" l="1"/>
  <c r="H9"/>
  <c r="C6"/>
  <c r="C8" s="1"/>
  <c r="H6" l="1"/>
  <c r="H8" s="1"/>
  <c r="H11"/>
  <c r="G150" i="55" l="1"/>
  <c r="J150"/>
  <c r="H150"/>
  <c r="I150"/>
  <c r="G33" i="57" l="1"/>
  <c r="O149" i="55"/>
  <c r="N149"/>
  <c r="F33" i="57"/>
  <c r="P149" i="55"/>
  <c r="H33" i="57"/>
  <c r="I33"/>
  <c r="Q149" i="55"/>
  <c r="G34" i="57" l="1"/>
  <c r="I34"/>
  <c r="H34"/>
  <c r="D30" i="10" l="1"/>
  <c r="D42"/>
  <c r="D51"/>
  <c r="I30" l="1"/>
  <c r="I32" s="1"/>
  <c r="Q32" s="1"/>
  <c r="C44" i="14" s="1"/>
  <c r="C48" s="1"/>
  <c r="D32" i="10"/>
  <c r="D44"/>
  <c r="I42"/>
  <c r="I44" s="1"/>
  <c r="Q44" s="1"/>
  <c r="C64" i="14" s="1"/>
  <c r="C68" s="1"/>
  <c r="I51" i="10"/>
  <c r="I53" s="1"/>
  <c r="Q53" s="1"/>
  <c r="C79" i="14" s="1"/>
  <c r="C83" s="1"/>
  <c r="D53" i="10"/>
  <c r="D33"/>
  <c r="D36"/>
  <c r="D24"/>
  <c r="D27"/>
  <c r="D48"/>
  <c r="D18"/>
  <c r="D15"/>
  <c r="D21"/>
  <c r="D45"/>
  <c r="D39"/>
  <c r="D12"/>
  <c r="D47" l="1"/>
  <c r="I45"/>
  <c r="I47" s="1"/>
  <c r="Q47" s="1"/>
  <c r="C69" i="14" s="1"/>
  <c r="C73" s="1"/>
  <c r="D38" i="10"/>
  <c r="I36"/>
  <c r="I38" s="1"/>
  <c r="Q38" s="1"/>
  <c r="C54" i="14" s="1"/>
  <c r="C58" s="1"/>
  <c r="D41" i="10"/>
  <c r="I39"/>
  <c r="I41" s="1"/>
  <c r="Q41" s="1"/>
  <c r="C59" i="14" s="1"/>
  <c r="C63" s="1"/>
  <c r="D20" i="10"/>
  <c r="I18"/>
  <c r="I20" s="1"/>
  <c r="Q20" s="1"/>
  <c r="C24" i="14" s="1"/>
  <c r="C28" s="1"/>
  <c r="D14" i="10"/>
  <c r="I12"/>
  <c r="I14" s="1"/>
  <c r="Q14" s="1"/>
  <c r="C14" i="14" s="1"/>
  <c r="C18" s="1"/>
  <c r="I15" i="10"/>
  <c r="I17" s="1"/>
  <c r="Q17" s="1"/>
  <c r="C19" i="14" s="1"/>
  <c r="C23" s="1"/>
  <c r="D17" i="10"/>
  <c r="D29"/>
  <c r="I27"/>
  <c r="I29" s="1"/>
  <c r="Q29" s="1"/>
  <c r="C39" i="14" s="1"/>
  <c r="C43" s="1"/>
  <c r="I24" i="10"/>
  <c r="I26" s="1"/>
  <c r="Q26" s="1"/>
  <c r="C34" i="14" s="1"/>
  <c r="C38" s="1"/>
  <c r="D26" i="10"/>
  <c r="I33"/>
  <c r="I35" s="1"/>
  <c r="Q35" s="1"/>
  <c r="C49" i="14" s="1"/>
  <c r="C53" s="1"/>
  <c r="D35" i="10"/>
  <c r="I21"/>
  <c r="I23" s="1"/>
  <c r="Q23" s="1"/>
  <c r="C29" i="14" s="1"/>
  <c r="C33" s="1"/>
  <c r="D23" i="10"/>
  <c r="D50"/>
  <c r="I48"/>
  <c r="I50" s="1"/>
  <c r="Q50" s="1"/>
  <c r="C74" i="14" s="1"/>
  <c r="C78" s="1"/>
  <c r="E51" i="10"/>
  <c r="E33"/>
  <c r="E36"/>
  <c r="E18"/>
  <c r="E30"/>
  <c r="E24"/>
  <c r="E48"/>
  <c r="E42"/>
  <c r="E21"/>
  <c r="E15"/>
  <c r="D9"/>
  <c r="E45"/>
  <c r="E39"/>
  <c r="E27"/>
  <c r="J39" l="1"/>
  <c r="J41" s="1"/>
  <c r="R41" s="1"/>
  <c r="D59" i="14" s="1"/>
  <c r="D63" s="1"/>
  <c r="E41" i="10"/>
  <c r="E17"/>
  <c r="J15"/>
  <c r="J17" s="1"/>
  <c r="R17" s="1"/>
  <c r="D19" i="14" s="1"/>
  <c r="D23" s="1"/>
  <c r="E23" i="10"/>
  <c r="J21"/>
  <c r="J23" s="1"/>
  <c r="R23" s="1"/>
  <c r="D29" i="14" s="1"/>
  <c r="D33" s="1"/>
  <c r="I9" i="10"/>
  <c r="D11"/>
  <c r="D6"/>
  <c r="J42"/>
  <c r="J44" s="1"/>
  <c r="R44" s="1"/>
  <c r="D64" i="14" s="1"/>
  <c r="D68" s="1"/>
  <c r="E44" i="10"/>
  <c r="J45"/>
  <c r="J47" s="1"/>
  <c r="R47" s="1"/>
  <c r="D69" i="14" s="1"/>
  <c r="D73" s="1"/>
  <c r="E47" i="10"/>
  <c r="E29"/>
  <c r="J27"/>
  <c r="J29" s="1"/>
  <c r="R29" s="1"/>
  <c r="D39" i="14" s="1"/>
  <c r="D43" s="1"/>
  <c r="E50" i="10"/>
  <c r="J48"/>
  <c r="J50" s="1"/>
  <c r="R50" s="1"/>
  <c r="D74" i="14" s="1"/>
  <c r="D78" s="1"/>
  <c r="J18" i="10"/>
  <c r="J20" s="1"/>
  <c r="R20" s="1"/>
  <c r="D24" i="14" s="1"/>
  <c r="D28" s="1"/>
  <c r="E20" i="10"/>
  <c r="J51"/>
  <c r="J53" s="1"/>
  <c r="R53" s="1"/>
  <c r="D79" i="14" s="1"/>
  <c r="D83" s="1"/>
  <c r="E53" i="10"/>
  <c r="J30"/>
  <c r="J32" s="1"/>
  <c r="R32" s="1"/>
  <c r="D44" i="14" s="1"/>
  <c r="D48" s="1"/>
  <c r="E32" i="10"/>
  <c r="E35"/>
  <c r="J33"/>
  <c r="J35" s="1"/>
  <c r="R35" s="1"/>
  <c r="D49" i="14" s="1"/>
  <c r="D53" s="1"/>
  <c r="J24" i="10"/>
  <c r="J26" s="1"/>
  <c r="R26" s="1"/>
  <c r="D34" i="14" s="1"/>
  <c r="D38" s="1"/>
  <c r="E26" i="10"/>
  <c r="J36"/>
  <c r="J38" s="1"/>
  <c r="R38" s="1"/>
  <c r="D54" i="14" s="1"/>
  <c r="D58" s="1"/>
  <c r="E38" i="10"/>
  <c r="F21"/>
  <c r="F15"/>
  <c r="F39"/>
  <c r="F27"/>
  <c r="F51"/>
  <c r="F33"/>
  <c r="F45"/>
  <c r="E12"/>
  <c r="F18"/>
  <c r="F36"/>
  <c r="F30"/>
  <c r="F24"/>
  <c r="F48"/>
  <c r="F42"/>
  <c r="D8" l="1"/>
  <c r="E5" i="13"/>
  <c r="D3" i="19"/>
  <c r="K48" i="10"/>
  <c r="K50" s="1"/>
  <c r="S50" s="1"/>
  <c r="E74" i="14" s="1"/>
  <c r="E78" s="1"/>
  <c r="F50" i="10"/>
  <c r="F26"/>
  <c r="K24"/>
  <c r="K26" s="1"/>
  <c r="S26" s="1"/>
  <c r="E34" i="14" s="1"/>
  <c r="E38" s="1"/>
  <c r="K33" i="10"/>
  <c r="K35" s="1"/>
  <c r="S35" s="1"/>
  <c r="E49" i="14" s="1"/>
  <c r="E53" s="1"/>
  <c r="F35" i="10"/>
  <c r="K15"/>
  <c r="K17" s="1"/>
  <c r="S17" s="1"/>
  <c r="E19" i="14" s="1"/>
  <c r="E23" s="1"/>
  <c r="F17" i="10"/>
  <c r="K42"/>
  <c r="K44" s="1"/>
  <c r="S44" s="1"/>
  <c r="E64" i="14" s="1"/>
  <c r="E68" s="1"/>
  <c r="F44" i="10"/>
  <c r="K18"/>
  <c r="K20" s="1"/>
  <c r="S20" s="1"/>
  <c r="E24" i="14" s="1"/>
  <c r="E28" s="1"/>
  <c r="F20" i="10"/>
  <c r="F47"/>
  <c r="K45"/>
  <c r="K47" s="1"/>
  <c r="S47" s="1"/>
  <c r="E69" i="14" s="1"/>
  <c r="E73" s="1"/>
  <c r="K39" i="10"/>
  <c r="K41" s="1"/>
  <c r="S41" s="1"/>
  <c r="E59" i="14" s="1"/>
  <c r="E63" s="1"/>
  <c r="F41" i="10"/>
  <c r="F32"/>
  <c r="K30"/>
  <c r="K32" s="1"/>
  <c r="S32" s="1"/>
  <c r="E44" i="14" s="1"/>
  <c r="E48" s="1"/>
  <c r="F53" i="10"/>
  <c r="K51"/>
  <c r="K53" s="1"/>
  <c r="S53" s="1"/>
  <c r="E79" i="14" s="1"/>
  <c r="E83" s="1"/>
  <c r="F23" i="10"/>
  <c r="K21"/>
  <c r="K23" s="1"/>
  <c r="S23" s="1"/>
  <c r="E29" i="14" s="1"/>
  <c r="E33" s="1"/>
  <c r="K36" i="10"/>
  <c r="K38" s="1"/>
  <c r="S38" s="1"/>
  <c r="E54" i="14" s="1"/>
  <c r="E58" s="1"/>
  <c r="F38" i="10"/>
  <c r="E14"/>
  <c r="J12"/>
  <c r="J14" s="1"/>
  <c r="R14" s="1"/>
  <c r="D14" i="14" s="1"/>
  <c r="D18" s="1"/>
  <c r="K27" i="10"/>
  <c r="K29" s="1"/>
  <c r="S29" s="1"/>
  <c r="E39" i="14" s="1"/>
  <c r="E43" s="1"/>
  <c r="F29" i="10"/>
  <c r="I11"/>
  <c r="Q11" s="1"/>
  <c r="I6"/>
  <c r="I8" s="1"/>
  <c r="E9"/>
  <c r="F12"/>
  <c r="E11" l="1"/>
  <c r="J9"/>
  <c r="E6"/>
  <c r="D4" i="19"/>
  <c r="D8"/>
  <c r="C38" s="1"/>
  <c r="C40" s="1"/>
  <c r="D10"/>
  <c r="D6"/>
  <c r="D5"/>
  <c r="D11"/>
  <c r="D9"/>
  <c r="D7"/>
  <c r="C45" s="1"/>
  <c r="K12" i="10"/>
  <c r="K14" s="1"/>
  <c r="S14" s="1"/>
  <c r="E14" i="14" s="1"/>
  <c r="E18" s="1"/>
  <c r="F14" i="10"/>
  <c r="C9" i="14"/>
  <c r="Q8" i="10"/>
  <c r="E19" i="13" s="1"/>
  <c r="E23" s="1"/>
  <c r="E4"/>
  <c r="E10"/>
  <c r="E9" s="1"/>
  <c r="G21" i="10"/>
  <c r="G45"/>
  <c r="G15"/>
  <c r="F9"/>
  <c r="G39"/>
  <c r="G51"/>
  <c r="G33"/>
  <c r="G27"/>
  <c r="G18"/>
  <c r="G36"/>
  <c r="G30"/>
  <c r="G24"/>
  <c r="G48"/>
  <c r="G42"/>
  <c r="C13" i="14" l="1"/>
  <c r="C8" s="1"/>
  <c r="C4"/>
  <c r="G50" i="10"/>
  <c r="L48"/>
  <c r="L50" s="1"/>
  <c r="T50" s="1"/>
  <c r="F74" i="14" s="1"/>
  <c r="F78" s="1"/>
  <c r="L24" i="10"/>
  <c r="L26" s="1"/>
  <c r="T26" s="1"/>
  <c r="F34" i="14" s="1"/>
  <c r="F38" s="1"/>
  <c r="G26" i="10"/>
  <c r="G35"/>
  <c r="L33"/>
  <c r="L35" s="1"/>
  <c r="T35" s="1"/>
  <c r="F49" i="14" s="1"/>
  <c r="F53" s="1"/>
  <c r="E42" i="22"/>
  <c r="E42" i="20"/>
  <c r="C35" i="19"/>
  <c r="C37" s="1"/>
  <c r="E8" i="10"/>
  <c r="E3" i="19"/>
  <c r="F5" i="13"/>
  <c r="G38" i="10"/>
  <c r="L36"/>
  <c r="L38" s="1"/>
  <c r="T38" s="1"/>
  <c r="F54" i="14" s="1"/>
  <c r="F58" s="1"/>
  <c r="L45" i="10"/>
  <c r="L47" s="1"/>
  <c r="T47" s="1"/>
  <c r="F69" i="14" s="1"/>
  <c r="F73" s="1"/>
  <c r="G47" i="10"/>
  <c r="G44"/>
  <c r="L42"/>
  <c r="L44" s="1"/>
  <c r="T44" s="1"/>
  <c r="F64" i="14" s="1"/>
  <c r="F68" s="1"/>
  <c r="L18" i="10"/>
  <c r="L20" s="1"/>
  <c r="T20" s="1"/>
  <c r="F24" i="14" s="1"/>
  <c r="F28" s="1"/>
  <c r="G20" i="10"/>
  <c r="L27"/>
  <c r="L29" s="1"/>
  <c r="T29" s="1"/>
  <c r="F39" i="14" s="1"/>
  <c r="F43" s="1"/>
  <c r="G29" i="10"/>
  <c r="F11"/>
  <c r="F6"/>
  <c r="K9"/>
  <c r="E26" i="20"/>
  <c r="E26" i="22"/>
  <c r="C32" i="19"/>
  <c r="C34" s="1"/>
  <c r="E5" i="22"/>
  <c r="C29" i="19"/>
  <c r="E5" i="20"/>
  <c r="D12" i="19"/>
  <c r="C48"/>
  <c r="C50" s="1"/>
  <c r="E85" i="22"/>
  <c r="E85" i="20"/>
  <c r="G41" i="10"/>
  <c r="L39"/>
  <c r="L41" s="1"/>
  <c r="T41" s="1"/>
  <c r="F59" i="14" s="1"/>
  <c r="F63" s="1"/>
  <c r="L21" i="10"/>
  <c r="L23" s="1"/>
  <c r="T23" s="1"/>
  <c r="F29" i="14" s="1"/>
  <c r="F33" s="1"/>
  <c r="G23" i="10"/>
  <c r="L30"/>
  <c r="L32" s="1"/>
  <c r="T32" s="1"/>
  <c r="F44" i="14" s="1"/>
  <c r="F48" s="1"/>
  <c r="G32" i="10"/>
  <c r="G53"/>
  <c r="L51"/>
  <c r="L53" s="1"/>
  <c r="T53" s="1"/>
  <c r="F79" i="14" s="1"/>
  <c r="F83" s="1"/>
  <c r="L15" i="10"/>
  <c r="L17" s="1"/>
  <c r="T17" s="1"/>
  <c r="F19" i="14" s="1"/>
  <c r="F23" s="1"/>
  <c r="G17" i="10"/>
  <c r="E60" i="22"/>
  <c r="E60" i="20"/>
  <c r="C41" i="19"/>
  <c r="C43" s="1"/>
  <c r="C44"/>
  <c r="E76" i="22"/>
  <c r="E76" i="20"/>
  <c r="J6" i="10"/>
  <c r="J8" s="1"/>
  <c r="J11"/>
  <c r="R11" s="1"/>
  <c r="G12"/>
  <c r="E78" i="22" l="1"/>
  <c r="M94" s="1"/>
  <c r="E80"/>
  <c r="M96" s="1"/>
  <c r="E77"/>
  <c r="M93" s="1"/>
  <c r="E81"/>
  <c r="M97" s="1"/>
  <c r="E84"/>
  <c r="M100" s="1"/>
  <c r="E83"/>
  <c r="M99" s="1"/>
  <c r="E82"/>
  <c r="M98" s="1"/>
  <c r="E79"/>
  <c r="M95" s="1"/>
  <c r="E64"/>
  <c r="M62" s="1"/>
  <c r="E63"/>
  <c r="M61" s="1"/>
  <c r="E73"/>
  <c r="M71" s="1"/>
  <c r="E71"/>
  <c r="M69" s="1"/>
  <c r="E66"/>
  <c r="M64" s="1"/>
  <c r="E74"/>
  <c r="M72" s="1"/>
  <c r="E62"/>
  <c r="M60" s="1"/>
  <c r="E68"/>
  <c r="M66" s="1"/>
  <c r="E69"/>
  <c r="M67" s="1"/>
  <c r="E61"/>
  <c r="M59" s="1"/>
  <c r="E70"/>
  <c r="M68" s="1"/>
  <c r="E65"/>
  <c r="M63" s="1"/>
  <c r="E72"/>
  <c r="M70" s="1"/>
  <c r="E75"/>
  <c r="M73" s="1"/>
  <c r="E67"/>
  <c r="M65" s="1"/>
  <c r="C31" i="19"/>
  <c r="C26"/>
  <c r="C28" s="1"/>
  <c r="E29" i="20"/>
  <c r="L27" s="1"/>
  <c r="D100"/>
  <c r="E40"/>
  <c r="L38" s="1"/>
  <c r="E27"/>
  <c r="L25" s="1"/>
  <c r="E31"/>
  <c r="L29" s="1"/>
  <c r="E34"/>
  <c r="L32" s="1"/>
  <c r="E28"/>
  <c r="L26" s="1"/>
  <c r="E36"/>
  <c r="L34" s="1"/>
  <c r="E32"/>
  <c r="L30" s="1"/>
  <c r="E33"/>
  <c r="L31" s="1"/>
  <c r="E38"/>
  <c r="L36" s="1"/>
  <c r="E35"/>
  <c r="L33" s="1"/>
  <c r="E37"/>
  <c r="L35" s="1"/>
  <c r="E30"/>
  <c r="L28" s="1"/>
  <c r="E39"/>
  <c r="L37" s="1"/>
  <c r="E41"/>
  <c r="L39" s="1"/>
  <c r="K11" i="10"/>
  <c r="S11" s="1"/>
  <c r="K6"/>
  <c r="K8" s="1"/>
  <c r="E6" i="19"/>
  <c r="E10"/>
  <c r="E4"/>
  <c r="E11"/>
  <c r="E5"/>
  <c r="E7"/>
  <c r="D45" s="1"/>
  <c r="E8"/>
  <c r="D38" s="1"/>
  <c r="D40" s="1"/>
  <c r="E9"/>
  <c r="E47" i="22"/>
  <c r="M45" s="1"/>
  <c r="E53"/>
  <c r="M103" s="1"/>
  <c r="E51"/>
  <c r="M49" s="1"/>
  <c r="E58"/>
  <c r="M111" s="1"/>
  <c r="E59"/>
  <c r="M112" s="1"/>
  <c r="E50"/>
  <c r="M48" s="1"/>
  <c r="E52"/>
  <c r="M102" s="1"/>
  <c r="E48"/>
  <c r="M46" s="1"/>
  <c r="E45"/>
  <c r="M43" s="1"/>
  <c r="E55"/>
  <c r="M51" s="1"/>
  <c r="E56"/>
  <c r="M52" s="1"/>
  <c r="E46"/>
  <c r="M44" s="1"/>
  <c r="E43"/>
  <c r="M41" s="1"/>
  <c r="E44"/>
  <c r="M42" s="1"/>
  <c r="E57"/>
  <c r="M110" s="1"/>
  <c r="E54"/>
  <c r="M50" s="1"/>
  <c r="E49"/>
  <c r="M47" s="1"/>
  <c r="E81" i="20"/>
  <c r="L97" s="1"/>
  <c r="E79"/>
  <c r="L95" s="1"/>
  <c r="D103"/>
  <c r="E77"/>
  <c r="L93" s="1"/>
  <c r="E83"/>
  <c r="L99" s="1"/>
  <c r="E78"/>
  <c r="L94" s="1"/>
  <c r="E84"/>
  <c r="L100" s="1"/>
  <c r="E80"/>
  <c r="L96" s="1"/>
  <c r="E82"/>
  <c r="L98" s="1"/>
  <c r="E71"/>
  <c r="L69" s="1"/>
  <c r="E74"/>
  <c r="L72" s="1"/>
  <c r="E72"/>
  <c r="L70" s="1"/>
  <c r="E73"/>
  <c r="L71" s="1"/>
  <c r="E61"/>
  <c r="L59" s="1"/>
  <c r="E69"/>
  <c r="L67" s="1"/>
  <c r="E65"/>
  <c r="L63" s="1"/>
  <c r="E67"/>
  <c r="L65" s="1"/>
  <c r="E70"/>
  <c r="L68" s="1"/>
  <c r="E62"/>
  <c r="L60" s="1"/>
  <c r="E68"/>
  <c r="L66" s="1"/>
  <c r="E63"/>
  <c r="L61" s="1"/>
  <c r="E66"/>
  <c r="L64" s="1"/>
  <c r="E64"/>
  <c r="L62" s="1"/>
  <c r="E75"/>
  <c r="L73" s="1"/>
  <c r="D102"/>
  <c r="E87" i="22"/>
  <c r="M76" s="1"/>
  <c r="E88"/>
  <c r="M77" s="1"/>
  <c r="E90"/>
  <c r="M79" s="1"/>
  <c r="E94"/>
  <c r="M83" s="1"/>
  <c r="E91"/>
  <c r="M80" s="1"/>
  <c r="E86"/>
  <c r="M75" s="1"/>
  <c r="E89"/>
  <c r="M78" s="1"/>
  <c r="E93"/>
  <c r="M82" s="1"/>
  <c r="E92"/>
  <c r="M81" s="1"/>
  <c r="E24" i="20"/>
  <c r="L86" s="1"/>
  <c r="E23"/>
  <c r="L85" s="1"/>
  <c r="E21"/>
  <c r="L21" s="1"/>
  <c r="E18"/>
  <c r="L18" s="1"/>
  <c r="E6"/>
  <c r="L6" s="1"/>
  <c r="E25"/>
  <c r="L23" s="1"/>
  <c r="E20"/>
  <c r="L20" s="1"/>
  <c r="E16"/>
  <c r="L16" s="1"/>
  <c r="E12"/>
  <c r="L12" s="1"/>
  <c r="E4"/>
  <c r="D99"/>
  <c r="E7"/>
  <c r="L7" s="1"/>
  <c r="E15"/>
  <c r="L15" s="1"/>
  <c r="E11"/>
  <c r="L11" s="1"/>
  <c r="E22"/>
  <c r="L22" s="1"/>
  <c r="E9"/>
  <c r="L9" s="1"/>
  <c r="E10"/>
  <c r="L10" s="1"/>
  <c r="E17"/>
  <c r="L17" s="1"/>
  <c r="E19"/>
  <c r="L19" s="1"/>
  <c r="E13"/>
  <c r="L13" s="1"/>
  <c r="E8"/>
  <c r="L8" s="1"/>
  <c r="E14"/>
  <c r="L14" s="1"/>
  <c r="E29" i="22"/>
  <c r="M27" s="1"/>
  <c r="E32"/>
  <c r="M30" s="1"/>
  <c r="E28"/>
  <c r="M26" s="1"/>
  <c r="E38"/>
  <c r="M36" s="1"/>
  <c r="E36"/>
  <c r="M34" s="1"/>
  <c r="E39"/>
  <c r="M37" s="1"/>
  <c r="E41"/>
  <c r="M39" s="1"/>
  <c r="E35"/>
  <c r="M33" s="1"/>
  <c r="E33"/>
  <c r="M31" s="1"/>
  <c r="E40"/>
  <c r="M38" s="1"/>
  <c r="E31"/>
  <c r="M29" s="1"/>
  <c r="E37"/>
  <c r="M35" s="1"/>
  <c r="E34"/>
  <c r="M32" s="1"/>
  <c r="E30"/>
  <c r="M28" s="1"/>
  <c r="E27"/>
  <c r="M25" s="1"/>
  <c r="F10" i="13"/>
  <c r="F9" s="1"/>
  <c r="F4"/>
  <c r="E54" i="20"/>
  <c r="L50" s="1"/>
  <c r="E53"/>
  <c r="L103" s="1"/>
  <c r="E46"/>
  <c r="L44" s="1"/>
  <c r="E45"/>
  <c r="L43" s="1"/>
  <c r="E57"/>
  <c r="L110" s="1"/>
  <c r="E49"/>
  <c r="L47" s="1"/>
  <c r="E51"/>
  <c r="L49" s="1"/>
  <c r="E52"/>
  <c r="L102" s="1"/>
  <c r="E55"/>
  <c r="L51" s="1"/>
  <c r="E47"/>
  <c r="L45" s="1"/>
  <c r="E58"/>
  <c r="L111" s="1"/>
  <c r="E59"/>
  <c r="L112" s="1"/>
  <c r="E56"/>
  <c r="L52" s="1"/>
  <c r="E44"/>
  <c r="L42" s="1"/>
  <c r="E48"/>
  <c r="L46" s="1"/>
  <c r="D101"/>
  <c r="E50"/>
  <c r="L48" s="1"/>
  <c r="E43"/>
  <c r="L41" s="1"/>
  <c r="E89"/>
  <c r="L78" s="1"/>
  <c r="D104"/>
  <c r="E93"/>
  <c r="L82" s="1"/>
  <c r="E87"/>
  <c r="L76" s="1"/>
  <c r="E86"/>
  <c r="L75" s="1"/>
  <c r="E94"/>
  <c r="L83" s="1"/>
  <c r="E92"/>
  <c r="L81" s="1"/>
  <c r="E90"/>
  <c r="L79" s="1"/>
  <c r="E91"/>
  <c r="L80" s="1"/>
  <c r="E88"/>
  <c r="L77" s="1"/>
  <c r="G14" i="10"/>
  <c r="L12"/>
  <c r="L14" s="1"/>
  <c r="T14" s="1"/>
  <c r="F14" i="14" s="1"/>
  <c r="F18" s="1"/>
  <c r="R8" i="10"/>
  <c r="F19" i="13" s="1"/>
  <c r="F23" s="1"/>
  <c r="D9" i="14"/>
  <c r="C47" i="19"/>
  <c r="C53"/>
  <c r="E22" i="22"/>
  <c r="M22" s="1"/>
  <c r="E8"/>
  <c r="M8" s="1"/>
  <c r="E10"/>
  <c r="M10" s="1"/>
  <c r="E18"/>
  <c r="M18" s="1"/>
  <c r="E19"/>
  <c r="M19" s="1"/>
  <c r="E13"/>
  <c r="M13" s="1"/>
  <c r="E14"/>
  <c r="M14" s="1"/>
  <c r="E23"/>
  <c r="M85" s="1"/>
  <c r="E11"/>
  <c r="M11" s="1"/>
  <c r="E16"/>
  <c r="M16" s="1"/>
  <c r="E15"/>
  <c r="M15" s="1"/>
  <c r="E12"/>
  <c r="M12" s="1"/>
  <c r="E21"/>
  <c r="M21" s="1"/>
  <c r="E24"/>
  <c r="M86" s="1"/>
  <c r="E9"/>
  <c r="M9" s="1"/>
  <c r="E17"/>
  <c r="M17" s="1"/>
  <c r="E7"/>
  <c r="M7" s="1"/>
  <c r="E20"/>
  <c r="M20" s="1"/>
  <c r="E4"/>
  <c r="E6"/>
  <c r="M6" s="1"/>
  <c r="E25"/>
  <c r="M23" s="1"/>
  <c r="G5" i="13"/>
  <c r="F8" i="10"/>
  <c r="F3" i="19"/>
  <c r="G9" i="10"/>
  <c r="S12" i="20" l="1"/>
  <c r="L40"/>
  <c r="S6" s="1"/>
  <c r="W6" s="1"/>
  <c r="W22" s="1"/>
  <c r="S226" s="1"/>
  <c r="M24" i="22"/>
  <c r="U7" s="1"/>
  <c r="Y7" s="1"/>
  <c r="Y22" s="1"/>
  <c r="U207" s="1"/>
  <c r="M5"/>
  <c r="U5" s="1"/>
  <c r="M84"/>
  <c r="S10" i="20"/>
  <c r="C72" i="23" s="1"/>
  <c r="L109" i="20"/>
  <c r="L108" s="1"/>
  <c r="S16" s="1"/>
  <c r="C157" i="23" s="1"/>
  <c r="L92" i="20"/>
  <c r="S15"/>
  <c r="E12" i="19"/>
  <c r="F5" i="20"/>
  <c r="F5" i="22"/>
  <c r="D29" i="19"/>
  <c r="L101" i="20"/>
  <c r="S14" s="1"/>
  <c r="D98"/>
  <c r="U10" i="22"/>
  <c r="Y10" s="1"/>
  <c r="Y25" s="1"/>
  <c r="U210" s="1"/>
  <c r="G4" i="13"/>
  <c r="G10"/>
  <c r="G9" s="1"/>
  <c r="G6" i="10"/>
  <c r="G11"/>
  <c r="L9"/>
  <c r="F11" i="19"/>
  <c r="F5"/>
  <c r="F4"/>
  <c r="F9"/>
  <c r="F7"/>
  <c r="E45" s="1"/>
  <c r="F8"/>
  <c r="E38" s="1"/>
  <c r="E40" s="1"/>
  <c r="F6"/>
  <c r="F10"/>
  <c r="W10" i="20"/>
  <c r="W26" s="1"/>
  <c r="S230" s="1"/>
  <c r="C106" i="23"/>
  <c r="W12" i="20"/>
  <c r="W28" s="1"/>
  <c r="S232" s="1"/>
  <c r="F60"/>
  <c r="F60" i="22"/>
  <c r="D41" i="19"/>
  <c r="D43" s="1"/>
  <c r="F85" i="20"/>
  <c r="F85" i="22"/>
  <c r="D48" i="19"/>
  <c r="D50" s="1"/>
  <c r="M40" i="22"/>
  <c r="U6" s="1"/>
  <c r="Y6" s="1"/>
  <c r="Y21" s="1"/>
  <c r="U206" s="1"/>
  <c r="L24" i="20"/>
  <c r="S7" s="1"/>
  <c r="M58" i="22"/>
  <c r="U13"/>
  <c r="D13" i="14"/>
  <c r="D8" s="1"/>
  <c r="D4"/>
  <c r="S11" i="20"/>
  <c r="L74"/>
  <c r="F26"/>
  <c r="F26" i="22"/>
  <c r="D32" i="19"/>
  <c r="D34" s="1"/>
  <c r="F42" i="22"/>
  <c r="D35" i="19"/>
  <c r="D37" s="1"/>
  <c r="F42" i="20"/>
  <c r="E9" i="14"/>
  <c r="S8" i="10"/>
  <c r="G19" i="13" s="1"/>
  <c r="G23" s="1"/>
  <c r="L5" i="20"/>
  <c r="L58"/>
  <c r="M92" i="22"/>
  <c r="M74"/>
  <c r="U11"/>
  <c r="Y11" s="1"/>
  <c r="Y26" s="1"/>
  <c r="U211" s="1"/>
  <c r="F76"/>
  <c r="D44" i="19"/>
  <c r="F76" i="20"/>
  <c r="L84"/>
  <c r="M109" i="22"/>
  <c r="M108" s="1"/>
  <c r="U15" s="1"/>
  <c r="Y15" s="1"/>
  <c r="Y30" s="1"/>
  <c r="U215" s="1"/>
  <c r="M101"/>
  <c r="U14" s="1"/>
  <c r="Y14" s="1"/>
  <c r="Y29" s="1"/>
  <c r="U214" s="1"/>
  <c r="C21" i="23" l="1"/>
  <c r="C26" s="1"/>
  <c r="C25" s="1"/>
  <c r="W16" i="20"/>
  <c r="W32" s="1"/>
  <c r="S236" s="1"/>
  <c r="E13" i="14"/>
  <c r="E8" s="1"/>
  <c r="E4"/>
  <c r="F31" i="20"/>
  <c r="M29" s="1"/>
  <c r="F33"/>
  <c r="M31" s="1"/>
  <c r="F28"/>
  <c r="M26" s="1"/>
  <c r="F27"/>
  <c r="M25" s="1"/>
  <c r="F30"/>
  <c r="M28" s="1"/>
  <c r="F38"/>
  <c r="M36" s="1"/>
  <c r="F34"/>
  <c r="M32" s="1"/>
  <c r="F39"/>
  <c r="M37" s="1"/>
  <c r="F32"/>
  <c r="M30" s="1"/>
  <c r="F35"/>
  <c r="M33" s="1"/>
  <c r="E100"/>
  <c r="F36"/>
  <c r="M34" s="1"/>
  <c r="F29"/>
  <c r="M27" s="1"/>
  <c r="F41"/>
  <c r="M39" s="1"/>
  <c r="F37"/>
  <c r="M35" s="1"/>
  <c r="F40"/>
  <c r="M38" s="1"/>
  <c r="C89" i="23"/>
  <c r="W11" i="20"/>
  <c r="W27" s="1"/>
  <c r="S231" s="1"/>
  <c r="U9" i="22"/>
  <c r="M57"/>
  <c r="G42" i="20"/>
  <c r="E35" i="19"/>
  <c r="E37" s="1"/>
  <c r="G42" i="22"/>
  <c r="E29" i="19"/>
  <c r="G5" i="20"/>
  <c r="F12" i="19"/>
  <c r="G5" i="22"/>
  <c r="L6" i="10"/>
  <c r="L8" s="1"/>
  <c r="L11"/>
  <c r="T11" s="1"/>
  <c r="F13" i="20"/>
  <c r="M13" s="1"/>
  <c r="F18"/>
  <c r="M18" s="1"/>
  <c r="F17"/>
  <c r="M17" s="1"/>
  <c r="F24"/>
  <c r="M86" s="1"/>
  <c r="F7"/>
  <c r="M7" s="1"/>
  <c r="F4"/>
  <c r="F6"/>
  <c r="M6" s="1"/>
  <c r="F20"/>
  <c r="M20" s="1"/>
  <c r="F10"/>
  <c r="M10" s="1"/>
  <c r="F25"/>
  <c r="M23" s="1"/>
  <c r="E99"/>
  <c r="F14"/>
  <c r="M14" s="1"/>
  <c r="F23"/>
  <c r="M85" s="1"/>
  <c r="F22"/>
  <c r="M22" s="1"/>
  <c r="F21"/>
  <c r="M21" s="1"/>
  <c r="F8"/>
  <c r="M8" s="1"/>
  <c r="F15"/>
  <c r="M15" s="1"/>
  <c r="F12"/>
  <c r="M12" s="1"/>
  <c r="F19"/>
  <c r="M19" s="1"/>
  <c r="F11"/>
  <c r="M11" s="1"/>
  <c r="F16"/>
  <c r="M16" s="1"/>
  <c r="F9"/>
  <c r="M9" s="1"/>
  <c r="M91" i="22"/>
  <c r="F80" i="20"/>
  <c r="M96" s="1"/>
  <c r="F77"/>
  <c r="M93" s="1"/>
  <c r="F82"/>
  <c r="M98" s="1"/>
  <c r="F79"/>
  <c r="M95" s="1"/>
  <c r="F84"/>
  <c r="M100" s="1"/>
  <c r="F83"/>
  <c r="M99" s="1"/>
  <c r="F81"/>
  <c r="M97" s="1"/>
  <c r="F78"/>
  <c r="M94" s="1"/>
  <c r="E103"/>
  <c r="L57"/>
  <c r="S9"/>
  <c r="F55"/>
  <c r="M51" s="1"/>
  <c r="F44"/>
  <c r="M42" s="1"/>
  <c r="F50"/>
  <c r="M48" s="1"/>
  <c r="F49"/>
  <c r="M47" s="1"/>
  <c r="F51"/>
  <c r="M49" s="1"/>
  <c r="F46"/>
  <c r="M44" s="1"/>
  <c r="F52"/>
  <c r="M102" s="1"/>
  <c r="F53"/>
  <c r="M103" s="1"/>
  <c r="F57"/>
  <c r="M110" s="1"/>
  <c r="F47"/>
  <c r="M45" s="1"/>
  <c r="F45"/>
  <c r="M43" s="1"/>
  <c r="F54"/>
  <c r="M50" s="1"/>
  <c r="F56"/>
  <c r="M52" s="1"/>
  <c r="E101"/>
  <c r="F58"/>
  <c r="M111" s="1"/>
  <c r="F48"/>
  <c r="M46" s="1"/>
  <c r="F59"/>
  <c r="M112" s="1"/>
  <c r="F43"/>
  <c r="M41" s="1"/>
  <c r="F28" i="22"/>
  <c r="N26" s="1"/>
  <c r="F31"/>
  <c r="N29" s="1"/>
  <c r="F41"/>
  <c r="N39" s="1"/>
  <c r="F29"/>
  <c r="N27" s="1"/>
  <c r="F36"/>
  <c r="N34" s="1"/>
  <c r="F39"/>
  <c r="N37" s="1"/>
  <c r="F34"/>
  <c r="N32" s="1"/>
  <c r="F35"/>
  <c r="N33" s="1"/>
  <c r="F32"/>
  <c r="N30" s="1"/>
  <c r="F33"/>
  <c r="N31" s="1"/>
  <c r="F40"/>
  <c r="N38" s="1"/>
  <c r="F27"/>
  <c r="N25" s="1"/>
  <c r="F38"/>
  <c r="N36" s="1"/>
  <c r="F30"/>
  <c r="N28" s="1"/>
  <c r="F37"/>
  <c r="N35" s="1"/>
  <c r="Y13"/>
  <c r="U12"/>
  <c r="F89" i="20"/>
  <c r="M78" s="1"/>
  <c r="E104"/>
  <c r="F91"/>
  <c r="M80" s="1"/>
  <c r="F86"/>
  <c r="M75" s="1"/>
  <c r="F88"/>
  <c r="M77" s="1"/>
  <c r="F94"/>
  <c r="M83" s="1"/>
  <c r="F87"/>
  <c r="M76" s="1"/>
  <c r="F90"/>
  <c r="M79" s="1"/>
  <c r="F92"/>
  <c r="M81" s="1"/>
  <c r="F93"/>
  <c r="M82" s="1"/>
  <c r="C105" i="23"/>
  <c r="C111"/>
  <c r="C110" s="1"/>
  <c r="G76" i="20"/>
  <c r="E44" i="19"/>
  <c r="G76" i="22"/>
  <c r="G60" i="20"/>
  <c r="G60" i="22"/>
  <c r="E41" i="19"/>
  <c r="E43" s="1"/>
  <c r="F8" i="22"/>
  <c r="N8" s="1"/>
  <c r="F12"/>
  <c r="N12" s="1"/>
  <c r="F13"/>
  <c r="N13" s="1"/>
  <c r="F25"/>
  <c r="N23" s="1"/>
  <c r="F10"/>
  <c r="N10" s="1"/>
  <c r="F7"/>
  <c r="N7" s="1"/>
  <c r="F9"/>
  <c r="N9" s="1"/>
  <c r="F22"/>
  <c r="N22" s="1"/>
  <c r="F20"/>
  <c r="N20" s="1"/>
  <c r="F16"/>
  <c r="N16" s="1"/>
  <c r="F6"/>
  <c r="N6" s="1"/>
  <c r="F24"/>
  <c r="N86" s="1"/>
  <c r="F21"/>
  <c r="N21" s="1"/>
  <c r="F23"/>
  <c r="N85" s="1"/>
  <c r="F17"/>
  <c r="N17" s="1"/>
  <c r="F14"/>
  <c r="N14" s="1"/>
  <c r="F19"/>
  <c r="N19" s="1"/>
  <c r="F4"/>
  <c r="F11"/>
  <c r="N11" s="1"/>
  <c r="F15"/>
  <c r="N15" s="1"/>
  <c r="F18"/>
  <c r="N18" s="1"/>
  <c r="F82"/>
  <c r="N98" s="1"/>
  <c r="F78"/>
  <c r="N94" s="1"/>
  <c r="F81"/>
  <c r="N97" s="1"/>
  <c r="F84"/>
  <c r="N100" s="1"/>
  <c r="F77"/>
  <c r="N93" s="1"/>
  <c r="F83"/>
  <c r="N99" s="1"/>
  <c r="F80"/>
  <c r="N96" s="1"/>
  <c r="F79"/>
  <c r="N95" s="1"/>
  <c r="D53" i="19"/>
  <c r="D47"/>
  <c r="L4" i="20"/>
  <c r="S5"/>
  <c r="F93" i="22"/>
  <c r="N82" s="1"/>
  <c r="F87"/>
  <c r="N76" s="1"/>
  <c r="F90"/>
  <c r="N79" s="1"/>
  <c r="F92"/>
  <c r="N81" s="1"/>
  <c r="F89"/>
  <c r="N78" s="1"/>
  <c r="F94"/>
  <c r="N83" s="1"/>
  <c r="F86"/>
  <c r="N75" s="1"/>
  <c r="F88"/>
  <c r="N77" s="1"/>
  <c r="F91"/>
  <c r="N80" s="1"/>
  <c r="F71" i="20"/>
  <c r="M69" s="1"/>
  <c r="F68"/>
  <c r="M66" s="1"/>
  <c r="F64"/>
  <c r="M62" s="1"/>
  <c r="F63"/>
  <c r="M61" s="1"/>
  <c r="F75"/>
  <c r="M73" s="1"/>
  <c r="F65"/>
  <c r="M63" s="1"/>
  <c r="F72"/>
  <c r="M70" s="1"/>
  <c r="F62"/>
  <c r="M60" s="1"/>
  <c r="E102"/>
  <c r="F61"/>
  <c r="M59" s="1"/>
  <c r="F70"/>
  <c r="M68" s="1"/>
  <c r="F74"/>
  <c r="M72" s="1"/>
  <c r="F69"/>
  <c r="M67" s="1"/>
  <c r="F66"/>
  <c r="M64" s="1"/>
  <c r="F73"/>
  <c r="M71" s="1"/>
  <c r="F67"/>
  <c r="M65" s="1"/>
  <c r="C156" i="23"/>
  <c r="C162"/>
  <c r="C161" s="1"/>
  <c r="C77"/>
  <c r="C76" s="1"/>
  <c r="C71"/>
  <c r="E48" i="19"/>
  <c r="E50" s="1"/>
  <c r="G85" i="20"/>
  <c r="G85" i="22"/>
  <c r="H5" i="13"/>
  <c r="G8" i="10"/>
  <c r="G3" i="19"/>
  <c r="U4" i="22"/>
  <c r="Y5"/>
  <c r="D31" i="19"/>
  <c r="D26"/>
  <c r="D28" s="1"/>
  <c r="L91" i="20"/>
  <c r="F58" i="22"/>
  <c r="N111" s="1"/>
  <c r="F59"/>
  <c r="N112" s="1"/>
  <c r="F47"/>
  <c r="N45" s="1"/>
  <c r="F50"/>
  <c r="N48" s="1"/>
  <c r="F56"/>
  <c r="N52" s="1"/>
  <c r="F43"/>
  <c r="N41" s="1"/>
  <c r="F45"/>
  <c r="N43" s="1"/>
  <c r="F52"/>
  <c r="N102" s="1"/>
  <c r="F51"/>
  <c r="N49" s="1"/>
  <c r="F57"/>
  <c r="N110" s="1"/>
  <c r="F54"/>
  <c r="N50" s="1"/>
  <c r="F53"/>
  <c r="N103" s="1"/>
  <c r="F49"/>
  <c r="N47" s="1"/>
  <c r="F48"/>
  <c r="N46" s="1"/>
  <c r="F55"/>
  <c r="N51" s="1"/>
  <c r="F46"/>
  <c r="N44" s="1"/>
  <c r="F44"/>
  <c r="N42" s="1"/>
  <c r="W7" i="20"/>
  <c r="W23" s="1"/>
  <c r="S227" s="1"/>
  <c r="C38" i="23"/>
  <c r="F68" i="22"/>
  <c r="N66" s="1"/>
  <c r="F65"/>
  <c r="N63" s="1"/>
  <c r="F64"/>
  <c r="N62" s="1"/>
  <c r="F66"/>
  <c r="N64" s="1"/>
  <c r="F71"/>
  <c r="N69" s="1"/>
  <c r="F72"/>
  <c r="N70" s="1"/>
  <c r="F62"/>
  <c r="N60" s="1"/>
  <c r="F75"/>
  <c r="N73" s="1"/>
  <c r="F74"/>
  <c r="N72" s="1"/>
  <c r="F70"/>
  <c r="N68" s="1"/>
  <c r="F61"/>
  <c r="N59" s="1"/>
  <c r="F69"/>
  <c r="N67" s="1"/>
  <c r="F73"/>
  <c r="N71" s="1"/>
  <c r="F67"/>
  <c r="N65" s="1"/>
  <c r="F63"/>
  <c r="N61" s="1"/>
  <c r="G26"/>
  <c r="G26" i="20"/>
  <c r="E32" i="19"/>
  <c r="E34" s="1"/>
  <c r="S13" i="20"/>
  <c r="W14"/>
  <c r="C123" i="23"/>
  <c r="C140"/>
  <c r="W15" i="20"/>
  <c r="W31" s="1"/>
  <c r="S235" s="1"/>
  <c r="M4" i="22"/>
  <c r="C20" i="23" l="1"/>
  <c r="V13" i="22"/>
  <c r="Z13" s="1"/>
  <c r="N109"/>
  <c r="N108" s="1"/>
  <c r="V15" s="1"/>
  <c r="Z15" s="1"/>
  <c r="Z30" s="1"/>
  <c r="V215" s="1"/>
  <c r="N92"/>
  <c r="T10" i="20"/>
  <c r="M84"/>
  <c r="M101"/>
  <c r="T14" s="1"/>
  <c r="G31"/>
  <c r="N29" s="1"/>
  <c r="G33"/>
  <c r="N31" s="1"/>
  <c r="G38"/>
  <c r="N36" s="1"/>
  <c r="G28"/>
  <c r="N26" s="1"/>
  <c r="G35"/>
  <c r="N33" s="1"/>
  <c r="G37"/>
  <c r="N35" s="1"/>
  <c r="G41"/>
  <c r="N39" s="1"/>
  <c r="G34"/>
  <c r="N32" s="1"/>
  <c r="F100"/>
  <c r="G29"/>
  <c r="N27" s="1"/>
  <c r="G36"/>
  <c r="N34" s="1"/>
  <c r="G27"/>
  <c r="N25" s="1"/>
  <c r="G30"/>
  <c r="N28" s="1"/>
  <c r="G32"/>
  <c r="N30" s="1"/>
  <c r="G39"/>
  <c r="N37" s="1"/>
  <c r="G40"/>
  <c r="N38" s="1"/>
  <c r="G73" i="22"/>
  <c r="O71" s="1"/>
  <c r="G68"/>
  <c r="O66" s="1"/>
  <c r="G72"/>
  <c r="O70" s="1"/>
  <c r="G66"/>
  <c r="O64" s="1"/>
  <c r="G65"/>
  <c r="O63" s="1"/>
  <c r="G61"/>
  <c r="O59" s="1"/>
  <c r="G71"/>
  <c r="O69" s="1"/>
  <c r="G70"/>
  <c r="O68" s="1"/>
  <c r="G69"/>
  <c r="O67" s="1"/>
  <c r="G64"/>
  <c r="O62" s="1"/>
  <c r="G74"/>
  <c r="O72" s="1"/>
  <c r="G63"/>
  <c r="O61" s="1"/>
  <c r="G62"/>
  <c r="O60" s="1"/>
  <c r="G67"/>
  <c r="O65" s="1"/>
  <c r="G75"/>
  <c r="O73" s="1"/>
  <c r="G84" i="20"/>
  <c r="N100" s="1"/>
  <c r="G79"/>
  <c r="N95" s="1"/>
  <c r="G77"/>
  <c r="N93" s="1"/>
  <c r="G78"/>
  <c r="N94" s="1"/>
  <c r="G80"/>
  <c r="N96" s="1"/>
  <c r="G82"/>
  <c r="N98" s="1"/>
  <c r="F103"/>
  <c r="G83"/>
  <c r="N99" s="1"/>
  <c r="G81"/>
  <c r="N97" s="1"/>
  <c r="C118" i="23"/>
  <c r="C119"/>
  <c r="T8" i="10"/>
  <c r="H19" i="13" s="1"/>
  <c r="H23" s="1"/>
  <c r="F9" i="14"/>
  <c r="G19" i="20"/>
  <c r="N19" s="1"/>
  <c r="G18"/>
  <c r="N18" s="1"/>
  <c r="G10"/>
  <c r="N10" s="1"/>
  <c r="G9"/>
  <c r="N9" s="1"/>
  <c r="G11"/>
  <c r="N11" s="1"/>
  <c r="G21"/>
  <c r="N21" s="1"/>
  <c r="G7"/>
  <c r="N7" s="1"/>
  <c r="G17"/>
  <c r="N17" s="1"/>
  <c r="G4"/>
  <c r="G15"/>
  <c r="N15" s="1"/>
  <c r="G14"/>
  <c r="N14" s="1"/>
  <c r="G13"/>
  <c r="N13" s="1"/>
  <c r="F99"/>
  <c r="G22"/>
  <c r="N22" s="1"/>
  <c r="G24"/>
  <c r="N86" s="1"/>
  <c r="G23"/>
  <c r="N85" s="1"/>
  <c r="G25"/>
  <c r="N23" s="1"/>
  <c r="G12"/>
  <c r="N12" s="1"/>
  <c r="G6"/>
  <c r="N6" s="1"/>
  <c r="G8"/>
  <c r="N8" s="1"/>
  <c r="G16"/>
  <c r="N16" s="1"/>
  <c r="G20"/>
  <c r="N20" s="1"/>
  <c r="G43"/>
  <c r="N41" s="1"/>
  <c r="G50"/>
  <c r="N48" s="1"/>
  <c r="G44"/>
  <c r="N42" s="1"/>
  <c r="G47"/>
  <c r="N45" s="1"/>
  <c r="F101"/>
  <c r="G56"/>
  <c r="N52" s="1"/>
  <c r="G52"/>
  <c r="N102" s="1"/>
  <c r="G55"/>
  <c r="N51" s="1"/>
  <c r="G59"/>
  <c r="N112" s="1"/>
  <c r="G54"/>
  <c r="N50" s="1"/>
  <c r="G45"/>
  <c r="N43" s="1"/>
  <c r="G46"/>
  <c r="N44" s="1"/>
  <c r="G57"/>
  <c r="N110" s="1"/>
  <c r="G51"/>
  <c r="N49" s="1"/>
  <c r="G53"/>
  <c r="N103" s="1"/>
  <c r="G49"/>
  <c r="N47" s="1"/>
  <c r="G58"/>
  <c r="N111" s="1"/>
  <c r="G48"/>
  <c r="N46" s="1"/>
  <c r="Y9" i="22"/>
  <c r="U8"/>
  <c r="U16" s="1"/>
  <c r="N101"/>
  <c r="V14" s="1"/>
  <c r="Z14" s="1"/>
  <c r="Z29" s="1"/>
  <c r="V214" s="1"/>
  <c r="M109" i="20"/>
  <c r="M108" s="1"/>
  <c r="T16" s="1"/>
  <c r="E98"/>
  <c r="M5"/>
  <c r="W13"/>
  <c r="W30"/>
  <c r="C43" i="23"/>
  <c r="C42" s="1"/>
  <c r="C37"/>
  <c r="Y20" i="22"/>
  <c r="Y4"/>
  <c r="H10" i="13"/>
  <c r="H9" s="1"/>
  <c r="H4"/>
  <c r="C85" i="23"/>
  <c r="C84"/>
  <c r="E47" i="19"/>
  <c r="E53"/>
  <c r="Y28" i="22"/>
  <c r="Y12"/>
  <c r="C55" i="23"/>
  <c r="W9" i="20"/>
  <c r="S8"/>
  <c r="T15"/>
  <c r="T13" s="1"/>
  <c r="M92"/>
  <c r="M91" s="1"/>
  <c r="T12"/>
  <c r="N84" i="22"/>
  <c r="N24"/>
  <c r="V7" s="1"/>
  <c r="Z7" s="1"/>
  <c r="Z22" s="1"/>
  <c r="V207" s="1"/>
  <c r="M40" i="20"/>
  <c r="T6" s="1"/>
  <c r="M24"/>
  <c r="T7" s="1"/>
  <c r="C128" i="23"/>
  <c r="C127" s="1"/>
  <c r="C122"/>
  <c r="F104" i="20"/>
  <c r="G88"/>
  <c r="N77" s="1"/>
  <c r="G92"/>
  <c r="N81" s="1"/>
  <c r="G86"/>
  <c r="N75" s="1"/>
  <c r="G93"/>
  <c r="N82" s="1"/>
  <c r="G87"/>
  <c r="N76" s="1"/>
  <c r="G91"/>
  <c r="N80" s="1"/>
  <c r="G89"/>
  <c r="N78" s="1"/>
  <c r="G94"/>
  <c r="N83" s="1"/>
  <c r="G90"/>
  <c r="N79" s="1"/>
  <c r="W5"/>
  <c r="C4" i="23"/>
  <c r="S4" i="20"/>
  <c r="G82" i="22"/>
  <c r="O98" s="1"/>
  <c r="G83"/>
  <c r="O99" s="1"/>
  <c r="G78"/>
  <c r="O94" s="1"/>
  <c r="G80"/>
  <c r="O96" s="1"/>
  <c r="G77"/>
  <c r="O93" s="1"/>
  <c r="G81"/>
  <c r="O97" s="1"/>
  <c r="G84"/>
  <c r="O100" s="1"/>
  <c r="G79"/>
  <c r="O95" s="1"/>
  <c r="X10" i="20"/>
  <c r="X26" s="1"/>
  <c r="T230" s="1"/>
  <c r="D72" i="23"/>
  <c r="M74" i="20"/>
  <c r="T11"/>
  <c r="X14"/>
  <c r="D123" i="23"/>
  <c r="G6" i="22"/>
  <c r="O6" s="1"/>
  <c r="G22"/>
  <c r="O22" s="1"/>
  <c r="G14"/>
  <c r="O14" s="1"/>
  <c r="G4"/>
  <c r="G16"/>
  <c r="O16" s="1"/>
  <c r="G20"/>
  <c r="O20" s="1"/>
  <c r="G13"/>
  <c r="O13" s="1"/>
  <c r="G15"/>
  <c r="O15" s="1"/>
  <c r="G23"/>
  <c r="O85" s="1"/>
  <c r="G10"/>
  <c r="O10" s="1"/>
  <c r="G8"/>
  <c r="O8" s="1"/>
  <c r="G25"/>
  <c r="O23" s="1"/>
  <c r="G19"/>
  <c r="O19" s="1"/>
  <c r="G17"/>
  <c r="O17" s="1"/>
  <c r="G7"/>
  <c r="O7" s="1"/>
  <c r="G24"/>
  <c r="O86" s="1"/>
  <c r="G9"/>
  <c r="O9" s="1"/>
  <c r="G21"/>
  <c r="O21" s="1"/>
  <c r="G11"/>
  <c r="O11" s="1"/>
  <c r="G18"/>
  <c r="O18" s="1"/>
  <c r="G12"/>
  <c r="O12" s="1"/>
  <c r="G51"/>
  <c r="O49" s="1"/>
  <c r="G56"/>
  <c r="O52" s="1"/>
  <c r="G52"/>
  <c r="O102" s="1"/>
  <c r="G57"/>
  <c r="O110" s="1"/>
  <c r="G44"/>
  <c r="O42" s="1"/>
  <c r="G46"/>
  <c r="O44" s="1"/>
  <c r="G47"/>
  <c r="O45" s="1"/>
  <c r="G45"/>
  <c r="O43" s="1"/>
  <c r="G59"/>
  <c r="O112" s="1"/>
  <c r="G54"/>
  <c r="O50" s="1"/>
  <c r="G49"/>
  <c r="O47" s="1"/>
  <c r="G58"/>
  <c r="O111" s="1"/>
  <c r="G50"/>
  <c r="O48" s="1"/>
  <c r="G55"/>
  <c r="O51" s="1"/>
  <c r="G43"/>
  <c r="O41" s="1"/>
  <c r="G53"/>
  <c r="O103" s="1"/>
  <c r="G48"/>
  <c r="O46" s="1"/>
  <c r="C88" i="23"/>
  <c r="C94"/>
  <c r="C93" s="1"/>
  <c r="N40" i="22"/>
  <c r="V6" s="1"/>
  <c r="Z6" s="1"/>
  <c r="Z21" s="1"/>
  <c r="V206" s="1"/>
  <c r="N5"/>
  <c r="C139" i="23"/>
  <c r="C145"/>
  <c r="C144" s="1"/>
  <c r="G31" i="22"/>
  <c r="O29" s="1"/>
  <c r="G34"/>
  <c r="O32" s="1"/>
  <c r="G39"/>
  <c r="O37" s="1"/>
  <c r="G29"/>
  <c r="O27" s="1"/>
  <c r="G33"/>
  <c r="O31" s="1"/>
  <c r="G41"/>
  <c r="O39" s="1"/>
  <c r="G40"/>
  <c r="O38" s="1"/>
  <c r="G35"/>
  <c r="O33" s="1"/>
  <c r="G27"/>
  <c r="O25" s="1"/>
  <c r="G30"/>
  <c r="O28" s="1"/>
  <c r="G38"/>
  <c r="O36" s="1"/>
  <c r="G36"/>
  <c r="O34" s="1"/>
  <c r="G37"/>
  <c r="O35" s="1"/>
  <c r="G32"/>
  <c r="O30" s="1"/>
  <c r="G28"/>
  <c r="O26" s="1"/>
  <c r="C33" i="23"/>
  <c r="C34"/>
  <c r="G11" i="19"/>
  <c r="G6"/>
  <c r="G9"/>
  <c r="G8"/>
  <c r="F38" s="1"/>
  <c r="F40" s="1"/>
  <c r="G4"/>
  <c r="G7"/>
  <c r="F45" s="1"/>
  <c r="G10"/>
  <c r="G5"/>
  <c r="G90" i="22"/>
  <c r="O79" s="1"/>
  <c r="G92"/>
  <c r="O81" s="1"/>
  <c r="G93"/>
  <c r="O82" s="1"/>
  <c r="G86"/>
  <c r="O75" s="1"/>
  <c r="G89"/>
  <c r="O78" s="1"/>
  <c r="G87"/>
  <c r="O76" s="1"/>
  <c r="G94"/>
  <c r="O83" s="1"/>
  <c r="G91"/>
  <c r="O80" s="1"/>
  <c r="G88"/>
  <c r="O77" s="1"/>
  <c r="C170" i="23"/>
  <c r="C169"/>
  <c r="N74" i="22"/>
  <c r="V11"/>
  <c r="Z11" s="1"/>
  <c r="Z26" s="1"/>
  <c r="V211" s="1"/>
  <c r="G69" i="20"/>
  <c r="N67" s="1"/>
  <c r="G70"/>
  <c r="N68" s="1"/>
  <c r="G72"/>
  <c r="N70" s="1"/>
  <c r="G74"/>
  <c r="N72" s="1"/>
  <c r="G66"/>
  <c r="N64" s="1"/>
  <c r="G63"/>
  <c r="N61" s="1"/>
  <c r="G61"/>
  <c r="N59" s="1"/>
  <c r="G73"/>
  <c r="N71" s="1"/>
  <c r="G64"/>
  <c r="N62" s="1"/>
  <c r="F102"/>
  <c r="G65"/>
  <c r="N63" s="1"/>
  <c r="G67"/>
  <c r="N65" s="1"/>
  <c r="G68"/>
  <c r="N66" s="1"/>
  <c r="G71"/>
  <c r="N69" s="1"/>
  <c r="G62"/>
  <c r="N60" s="1"/>
  <c r="G75"/>
  <c r="N73" s="1"/>
  <c r="E26" i="19"/>
  <c r="E28" s="1"/>
  <c r="E31"/>
  <c r="N58" i="22"/>
  <c r="M58" i="20"/>
  <c r="V10" i="22"/>
  <c r="Z10" s="1"/>
  <c r="Z25" s="1"/>
  <c r="V210" s="1"/>
  <c r="W13" l="1"/>
  <c r="S17" i="20"/>
  <c r="N91" i="22"/>
  <c r="O84"/>
  <c r="V12"/>
  <c r="W10"/>
  <c r="AA10" s="1"/>
  <c r="AA25" s="1"/>
  <c r="W210" s="1"/>
  <c r="H5" i="20"/>
  <c r="G12" i="19"/>
  <c r="H5" i="22"/>
  <c r="F29" i="19"/>
  <c r="H85" i="20"/>
  <c r="F48" i="19"/>
  <c r="F50" s="1"/>
  <c r="H85" i="22"/>
  <c r="K11" i="23"/>
  <c r="K10" s="1"/>
  <c r="D177"/>
  <c r="K54"/>
  <c r="D188"/>
  <c r="D187" s="1"/>
  <c r="H42" i="20"/>
  <c r="H42" i="22"/>
  <c r="F35" i="19"/>
  <c r="F37" s="1"/>
  <c r="N57" i="22"/>
  <c r="V9"/>
  <c r="Z12"/>
  <c r="Z28"/>
  <c r="H76"/>
  <c r="H76" i="20"/>
  <c r="F44" i="19"/>
  <c r="H60" i="20"/>
  <c r="H60" i="22"/>
  <c r="F41" i="19"/>
  <c r="F43" s="1"/>
  <c r="D128" i="23"/>
  <c r="D127" s="1"/>
  <c r="D122"/>
  <c r="D77"/>
  <c r="D76" s="1"/>
  <c r="D71"/>
  <c r="W21" i="20"/>
  <c r="W4"/>
  <c r="C136" i="23"/>
  <c r="C135"/>
  <c r="D182"/>
  <c r="K27"/>
  <c r="K26" s="1"/>
  <c r="Y19" i="22"/>
  <c r="U205"/>
  <c r="U204" s="1"/>
  <c r="T5" i="20"/>
  <c r="M4"/>
  <c r="N92"/>
  <c r="U15"/>
  <c r="O24" i="22"/>
  <c r="W7" s="1"/>
  <c r="AA7" s="1"/>
  <c r="AA22" s="1"/>
  <c r="W207" s="1"/>
  <c r="N58" i="20"/>
  <c r="O40" i="22"/>
  <c r="W6" s="1"/>
  <c r="AA6" s="1"/>
  <c r="AA21" s="1"/>
  <c r="W206" s="1"/>
  <c r="O101"/>
  <c r="W14" s="1"/>
  <c r="AA14" s="1"/>
  <c r="AA29" s="1"/>
  <c r="W214" s="1"/>
  <c r="U10" i="20"/>
  <c r="O58" i="22"/>
  <c r="N4"/>
  <c r="V5"/>
  <c r="C102" i="23"/>
  <c r="C101"/>
  <c r="M57" i="20"/>
  <c r="T9"/>
  <c r="W11" i="22"/>
  <c r="AA11" s="1"/>
  <c r="AA26" s="1"/>
  <c r="W211" s="1"/>
  <c r="O74"/>
  <c r="H26"/>
  <c r="H26" i="20"/>
  <c r="F32" i="19"/>
  <c r="F34" s="1"/>
  <c r="C152" i="23"/>
  <c r="C153"/>
  <c r="C9"/>
  <c r="C8" s="1"/>
  <c r="C3"/>
  <c r="X7" i="20"/>
  <c r="X23" s="1"/>
  <c r="T227" s="1"/>
  <c r="D38" i="23"/>
  <c r="D106"/>
  <c r="X12" i="20"/>
  <c r="X28" s="1"/>
  <c r="T232" s="1"/>
  <c r="C50" i="23"/>
  <c r="C51"/>
  <c r="U12" i="20"/>
  <c r="O109" i="22"/>
  <c r="O108" s="1"/>
  <c r="W15" s="1"/>
  <c r="AA15" s="1"/>
  <c r="AA30" s="1"/>
  <c r="W215" s="1"/>
  <c r="O5"/>
  <c r="O92"/>
  <c r="N109" i="20"/>
  <c r="N108" s="1"/>
  <c r="U16" s="1"/>
  <c r="N40"/>
  <c r="U6" s="1"/>
  <c r="N5"/>
  <c r="S234"/>
  <c r="S233" s="1"/>
  <c r="W29"/>
  <c r="X16"/>
  <c r="X32" s="1"/>
  <c r="T236" s="1"/>
  <c r="D157" i="23"/>
  <c r="Y24" i="22"/>
  <c r="Y8"/>
  <c r="Y16" s="1"/>
  <c r="F13" i="14"/>
  <c r="F8" s="1"/>
  <c r="F4"/>
  <c r="N84" i="20"/>
  <c r="N24"/>
  <c r="U7" s="1"/>
  <c r="X30"/>
  <c r="D89" i="23"/>
  <c r="X11" i="20"/>
  <c r="X27" s="1"/>
  <c r="T231" s="1"/>
  <c r="AA13" i="22"/>
  <c r="N74" i="20"/>
  <c r="U11"/>
  <c r="C60" i="23"/>
  <c r="C59" s="1"/>
  <c r="C54"/>
  <c r="Y27" i="22"/>
  <c r="U213"/>
  <c r="U212" s="1"/>
  <c r="X6" i="20"/>
  <c r="X22" s="1"/>
  <c r="T226" s="1"/>
  <c r="D21" i="23"/>
  <c r="X15" i="20"/>
  <c r="X31" s="1"/>
  <c r="T235" s="1"/>
  <c r="D140" i="23"/>
  <c r="W25" i="20"/>
  <c r="W8"/>
  <c r="D181" i="23"/>
  <c r="K37"/>
  <c r="K36" s="1"/>
  <c r="N101" i="20"/>
  <c r="U14" s="1"/>
  <c r="F98"/>
  <c r="W12" i="22" l="1"/>
  <c r="O91"/>
  <c r="E123" i="23"/>
  <c r="Y14" i="20"/>
  <c r="U13"/>
  <c r="C67" i="23"/>
  <c r="C68"/>
  <c r="Y12" i="20"/>
  <c r="Y28" s="1"/>
  <c r="U232" s="1"/>
  <c r="E106" i="23"/>
  <c r="D43"/>
  <c r="D42" s="1"/>
  <c r="D37"/>
  <c r="C16"/>
  <c r="C17"/>
  <c r="K48"/>
  <c r="K47" s="1"/>
  <c r="D186"/>
  <c r="T8" i="20"/>
  <c r="X9"/>
  <c r="D55" i="23"/>
  <c r="E140"/>
  <c r="Y15" i="20"/>
  <c r="Y31" s="1"/>
  <c r="U235" s="1"/>
  <c r="H84"/>
  <c r="O100" s="1"/>
  <c r="H78"/>
  <c r="O94" s="1"/>
  <c r="H82"/>
  <c r="O98" s="1"/>
  <c r="G103"/>
  <c r="H83"/>
  <c r="O99" s="1"/>
  <c r="H80"/>
  <c r="O96" s="1"/>
  <c r="H81"/>
  <c r="O97" s="1"/>
  <c r="H79"/>
  <c r="O95" s="1"/>
  <c r="H77"/>
  <c r="O93" s="1"/>
  <c r="Z27" i="22"/>
  <c r="V213"/>
  <c r="V212" s="1"/>
  <c r="H55"/>
  <c r="P51" s="1"/>
  <c r="H52"/>
  <c r="P102" s="1"/>
  <c r="H59"/>
  <c r="P112" s="1"/>
  <c r="H49"/>
  <c r="P47" s="1"/>
  <c r="H56"/>
  <c r="P52" s="1"/>
  <c r="H57"/>
  <c r="P110" s="1"/>
  <c r="H48"/>
  <c r="P46" s="1"/>
  <c r="H43"/>
  <c r="P41" s="1"/>
  <c r="H50"/>
  <c r="P48" s="1"/>
  <c r="H45"/>
  <c r="P43" s="1"/>
  <c r="H53"/>
  <c r="P103" s="1"/>
  <c r="H58"/>
  <c r="P111" s="1"/>
  <c r="H51"/>
  <c r="P49" s="1"/>
  <c r="H47"/>
  <c r="P45" s="1"/>
  <c r="H46"/>
  <c r="P44" s="1"/>
  <c r="H54"/>
  <c r="P50" s="1"/>
  <c r="H44"/>
  <c r="P42" s="1"/>
  <c r="F26" i="19"/>
  <c r="F28" s="1"/>
  <c r="F31"/>
  <c r="W17" i="20"/>
  <c r="D139" i="23"/>
  <c r="D145"/>
  <c r="D144" s="1"/>
  <c r="Y11" i="20"/>
  <c r="Y27" s="1"/>
  <c r="U231" s="1"/>
  <c r="E89" i="23"/>
  <c r="D88"/>
  <c r="D94"/>
  <c r="D93" s="1"/>
  <c r="Y16" i="20"/>
  <c r="Y32" s="1"/>
  <c r="U236" s="1"/>
  <c r="E157" i="23"/>
  <c r="D105"/>
  <c r="D111"/>
  <c r="D110" s="1"/>
  <c r="H41" i="22"/>
  <c r="P39" s="1"/>
  <c r="H38"/>
  <c r="P36" s="1"/>
  <c r="H34"/>
  <c r="P32" s="1"/>
  <c r="H31"/>
  <c r="P29" s="1"/>
  <c r="H28"/>
  <c r="P26" s="1"/>
  <c r="H35"/>
  <c r="P33" s="1"/>
  <c r="H32"/>
  <c r="P30" s="1"/>
  <c r="H29"/>
  <c r="P27" s="1"/>
  <c r="H36"/>
  <c r="P34" s="1"/>
  <c r="H30"/>
  <c r="P28" s="1"/>
  <c r="H37"/>
  <c r="P35" s="1"/>
  <c r="H27"/>
  <c r="P25" s="1"/>
  <c r="H33"/>
  <c r="P31" s="1"/>
  <c r="H40"/>
  <c r="P38" s="1"/>
  <c r="H39"/>
  <c r="P37" s="1"/>
  <c r="E72" i="23"/>
  <c r="Y10" i="20"/>
  <c r="Y26" s="1"/>
  <c r="U230" s="1"/>
  <c r="D4" i="23"/>
  <c r="T4" i="20"/>
  <c r="T17" s="1"/>
  <c r="X5"/>
  <c r="D135" i="23"/>
  <c r="D136"/>
  <c r="F53" i="19"/>
  <c r="F47"/>
  <c r="V8" i="22"/>
  <c r="Z9"/>
  <c r="K53" i="23"/>
  <c r="K52" s="1"/>
  <c r="H87" i="20"/>
  <c r="O76" s="1"/>
  <c r="H89"/>
  <c r="O78" s="1"/>
  <c r="H94"/>
  <c r="O83" s="1"/>
  <c r="H93"/>
  <c r="O82" s="1"/>
  <c r="H92"/>
  <c r="O81" s="1"/>
  <c r="H88"/>
  <c r="O77" s="1"/>
  <c r="H91"/>
  <c r="O80" s="1"/>
  <c r="H86"/>
  <c r="O75" s="1"/>
  <c r="H90"/>
  <c r="O79" s="1"/>
  <c r="G104"/>
  <c r="H16"/>
  <c r="O16" s="1"/>
  <c r="H8"/>
  <c r="O8" s="1"/>
  <c r="H15"/>
  <c r="O15" s="1"/>
  <c r="H6"/>
  <c r="O6" s="1"/>
  <c r="H21"/>
  <c r="O21" s="1"/>
  <c r="H19"/>
  <c r="O19" s="1"/>
  <c r="H13"/>
  <c r="O13" s="1"/>
  <c r="G99"/>
  <c r="H24"/>
  <c r="O86" s="1"/>
  <c r="H17"/>
  <c r="O17" s="1"/>
  <c r="H18"/>
  <c r="O18" s="1"/>
  <c r="H7"/>
  <c r="O7" s="1"/>
  <c r="H14"/>
  <c r="O14" s="1"/>
  <c r="H23"/>
  <c r="O85" s="1"/>
  <c r="H12"/>
  <c r="O12" s="1"/>
  <c r="H10"/>
  <c r="O10" s="1"/>
  <c r="H11"/>
  <c r="O11" s="1"/>
  <c r="H4"/>
  <c r="H22"/>
  <c r="O22" s="1"/>
  <c r="H20"/>
  <c r="O20" s="1"/>
  <c r="H25"/>
  <c r="O23" s="1"/>
  <c r="H9"/>
  <c r="O9" s="1"/>
  <c r="X13"/>
  <c r="W24"/>
  <c r="S229"/>
  <c r="S228" s="1"/>
  <c r="D26" i="23"/>
  <c r="D25" s="1"/>
  <c r="D20"/>
  <c r="AA28" i="22"/>
  <c r="AA12"/>
  <c r="X29" i="20"/>
  <c r="T234"/>
  <c r="T233" s="1"/>
  <c r="D162" i="23"/>
  <c r="D161" s="1"/>
  <c r="D156"/>
  <c r="E21"/>
  <c r="Y6" i="20"/>
  <c r="Y22" s="1"/>
  <c r="U226" s="1"/>
  <c r="W5" i="22"/>
  <c r="O4"/>
  <c r="D178" i="23"/>
  <c r="K16"/>
  <c r="K15" s="1"/>
  <c r="H34" i="20"/>
  <c r="O32" s="1"/>
  <c r="G100"/>
  <c r="H28"/>
  <c r="O26" s="1"/>
  <c r="H36"/>
  <c r="O34" s="1"/>
  <c r="H27"/>
  <c r="O25" s="1"/>
  <c r="H40"/>
  <c r="O38" s="1"/>
  <c r="H41"/>
  <c r="O39" s="1"/>
  <c r="H35"/>
  <c r="O33" s="1"/>
  <c r="H37"/>
  <c r="O35" s="1"/>
  <c r="H32"/>
  <c r="O30" s="1"/>
  <c r="H29"/>
  <c r="O27" s="1"/>
  <c r="H39"/>
  <c r="O37" s="1"/>
  <c r="H30"/>
  <c r="O28" s="1"/>
  <c r="H31"/>
  <c r="O29" s="1"/>
  <c r="H33"/>
  <c r="O31" s="1"/>
  <c r="H38"/>
  <c r="O36" s="1"/>
  <c r="V4" i="22"/>
  <c r="Z5"/>
  <c r="U9" i="20"/>
  <c r="N57"/>
  <c r="H61"/>
  <c r="O59" s="1"/>
  <c r="H75"/>
  <c r="O73" s="1"/>
  <c r="H63"/>
  <c r="O61" s="1"/>
  <c r="H73"/>
  <c r="O71" s="1"/>
  <c r="H66"/>
  <c r="O64" s="1"/>
  <c r="H74"/>
  <c r="O72" s="1"/>
  <c r="H69"/>
  <c r="O67" s="1"/>
  <c r="H72"/>
  <c r="O70" s="1"/>
  <c r="H70"/>
  <c r="O68" s="1"/>
  <c r="H67"/>
  <c r="O65" s="1"/>
  <c r="H62"/>
  <c r="O60" s="1"/>
  <c r="H71"/>
  <c r="O69" s="1"/>
  <c r="H64"/>
  <c r="O62" s="1"/>
  <c r="G102"/>
  <c r="H68"/>
  <c r="O66" s="1"/>
  <c r="H65"/>
  <c r="O63" s="1"/>
  <c r="Y7"/>
  <c r="Y23" s="1"/>
  <c r="U227" s="1"/>
  <c r="E38" i="23"/>
  <c r="U209" i="22"/>
  <c r="U208" s="1"/>
  <c r="U216" s="1"/>
  <c r="Y23"/>
  <c r="Y31" s="1"/>
  <c r="N4" i="20"/>
  <c r="U5"/>
  <c r="D183" i="23"/>
  <c r="K32"/>
  <c r="K31" s="1"/>
  <c r="O57" i="22"/>
  <c r="W9"/>
  <c r="K43" i="23"/>
  <c r="K42" s="1"/>
  <c r="D185"/>
  <c r="W20" i="20"/>
  <c r="W33" s="1"/>
  <c r="AC11" s="1"/>
  <c r="S225"/>
  <c r="S224" s="1"/>
  <c r="S237" s="1"/>
  <c r="AC21"/>
  <c r="AC24" s="1"/>
  <c r="D84" i="23"/>
  <c r="D85"/>
  <c r="H71" i="22"/>
  <c r="P69" s="1"/>
  <c r="H75"/>
  <c r="P73" s="1"/>
  <c r="H63"/>
  <c r="P61" s="1"/>
  <c r="H72"/>
  <c r="P70" s="1"/>
  <c r="H74"/>
  <c r="P72" s="1"/>
  <c r="H68"/>
  <c r="P66" s="1"/>
  <c r="H67"/>
  <c r="P65" s="1"/>
  <c r="H62"/>
  <c r="P60" s="1"/>
  <c r="H65"/>
  <c r="P63" s="1"/>
  <c r="H64"/>
  <c r="P62" s="1"/>
  <c r="H69"/>
  <c r="P67" s="1"/>
  <c r="H66"/>
  <c r="P64" s="1"/>
  <c r="H70"/>
  <c r="P68" s="1"/>
  <c r="H73"/>
  <c r="P71" s="1"/>
  <c r="H61"/>
  <c r="P59" s="1"/>
  <c r="H81"/>
  <c r="P97" s="1"/>
  <c r="H78"/>
  <c r="P94" s="1"/>
  <c r="H83"/>
  <c r="P99" s="1"/>
  <c r="H82"/>
  <c r="P98" s="1"/>
  <c r="H84"/>
  <c r="P100" s="1"/>
  <c r="H80"/>
  <c r="P96" s="1"/>
  <c r="H77"/>
  <c r="P93" s="1"/>
  <c r="H79"/>
  <c r="P95" s="1"/>
  <c r="H45" i="20"/>
  <c r="O43" s="1"/>
  <c r="H58"/>
  <c r="O111" s="1"/>
  <c r="H47"/>
  <c r="O45" s="1"/>
  <c r="H59"/>
  <c r="O112" s="1"/>
  <c r="H55"/>
  <c r="O51" s="1"/>
  <c r="H56"/>
  <c r="O52" s="1"/>
  <c r="H46"/>
  <c r="O44" s="1"/>
  <c r="H50"/>
  <c r="O48" s="1"/>
  <c r="H57"/>
  <c r="O110" s="1"/>
  <c r="H53"/>
  <c r="O103" s="1"/>
  <c r="H52"/>
  <c r="O102" s="1"/>
  <c r="H51"/>
  <c r="O49" s="1"/>
  <c r="H49"/>
  <c r="O47" s="1"/>
  <c r="H43"/>
  <c r="O41" s="1"/>
  <c r="G101"/>
  <c r="H54"/>
  <c r="O50" s="1"/>
  <c r="H48"/>
  <c r="O46" s="1"/>
  <c r="H44"/>
  <c r="O42" s="1"/>
  <c r="H90" i="22"/>
  <c r="P79" s="1"/>
  <c r="H86"/>
  <c r="P75" s="1"/>
  <c r="H93"/>
  <c r="P82" s="1"/>
  <c r="H94"/>
  <c r="P83" s="1"/>
  <c r="H92"/>
  <c r="P81" s="1"/>
  <c r="H91"/>
  <c r="P80" s="1"/>
  <c r="H88"/>
  <c r="P77" s="1"/>
  <c r="H89"/>
  <c r="P78" s="1"/>
  <c r="H87"/>
  <c r="P76" s="1"/>
  <c r="H12"/>
  <c r="P12" s="1"/>
  <c r="H13"/>
  <c r="P13" s="1"/>
  <c r="H18"/>
  <c r="P18" s="1"/>
  <c r="H20"/>
  <c r="P20" s="1"/>
  <c r="H19"/>
  <c r="P19" s="1"/>
  <c r="H6"/>
  <c r="P6" s="1"/>
  <c r="H4"/>
  <c r="H17"/>
  <c r="P17" s="1"/>
  <c r="H16"/>
  <c r="P16" s="1"/>
  <c r="H9"/>
  <c r="P9" s="1"/>
  <c r="H7"/>
  <c r="P7" s="1"/>
  <c r="H22"/>
  <c r="P22" s="1"/>
  <c r="H24"/>
  <c r="P86" s="1"/>
  <c r="H10"/>
  <c r="P10" s="1"/>
  <c r="H8"/>
  <c r="P8" s="1"/>
  <c r="H25"/>
  <c r="P23" s="1"/>
  <c r="H14"/>
  <c r="P14" s="1"/>
  <c r="H21"/>
  <c r="P21" s="1"/>
  <c r="H11"/>
  <c r="P11" s="1"/>
  <c r="H23"/>
  <c r="P85" s="1"/>
  <c r="H15"/>
  <c r="P15" s="1"/>
  <c r="N91" i="20"/>
  <c r="O101" l="1"/>
  <c r="V14" s="1"/>
  <c r="X13" i="22"/>
  <c r="V12" i="20"/>
  <c r="Z12" s="1"/>
  <c r="Z28" s="1"/>
  <c r="V232" s="1"/>
  <c r="O109"/>
  <c r="O108" s="1"/>
  <c r="V16" s="1"/>
  <c r="Z16" s="1"/>
  <c r="Z32" s="1"/>
  <c r="V236" s="1"/>
  <c r="P24" i="22"/>
  <c r="X7" s="1"/>
  <c r="AB7" s="1"/>
  <c r="AB22" s="1"/>
  <c r="X207" s="1"/>
  <c r="P84"/>
  <c r="P92"/>
  <c r="C191" i="23"/>
  <c r="Z24" i="22"/>
  <c r="Z8"/>
  <c r="X4" i="20"/>
  <c r="X21"/>
  <c r="E77" i="23"/>
  <c r="E76" s="1"/>
  <c r="E71"/>
  <c r="O92" i="20"/>
  <c r="O91" s="1"/>
  <c r="V15"/>
  <c r="V13" s="1"/>
  <c r="K6" i="23"/>
  <c r="K5" s="1"/>
  <c r="D176"/>
  <c r="D175" s="1"/>
  <c r="E128"/>
  <c r="E127" s="1"/>
  <c r="E122"/>
  <c r="O40" i="20"/>
  <c r="V6" s="1"/>
  <c r="O58"/>
  <c r="G98"/>
  <c r="O5"/>
  <c r="P109" i="22"/>
  <c r="P108" s="1"/>
  <c r="X15" s="1"/>
  <c r="AB15" s="1"/>
  <c r="AB30" s="1"/>
  <c r="X215" s="1"/>
  <c r="P101"/>
  <c r="X14" s="1"/>
  <c r="AB14" s="1"/>
  <c r="AB29" s="1"/>
  <c r="X214" s="1"/>
  <c r="D184" i="23"/>
  <c r="F123"/>
  <c r="Z14" i="20"/>
  <c r="AB13" i="22"/>
  <c r="L27" i="23"/>
  <c r="L26" s="1"/>
  <c r="E182"/>
  <c r="E55"/>
  <c r="Y9" i="20"/>
  <c r="U8"/>
  <c r="AA5" i="22"/>
  <c r="W4"/>
  <c r="D170" i="23"/>
  <c r="D169"/>
  <c r="D152"/>
  <c r="D153"/>
  <c r="E111"/>
  <c r="E110" s="1"/>
  <c r="E105"/>
  <c r="Y13" i="20"/>
  <c r="Y30"/>
  <c r="X10" i="22"/>
  <c r="AB10" s="1"/>
  <c r="AB25" s="1"/>
  <c r="X210" s="1"/>
  <c r="O24" i="20"/>
  <c r="V7" s="1"/>
  <c r="X11" i="22"/>
  <c r="AB11" s="1"/>
  <c r="AB26" s="1"/>
  <c r="X211" s="1"/>
  <c r="P74"/>
  <c r="AA9"/>
  <c r="W8"/>
  <c r="E37" i="23"/>
  <c r="E43"/>
  <c r="E42" s="1"/>
  <c r="Z20" i="22"/>
  <c r="Z4"/>
  <c r="AA27"/>
  <c r="W213"/>
  <c r="W212" s="1"/>
  <c r="D33" i="23"/>
  <c r="D34"/>
  <c r="O74" i="20"/>
  <c r="V11"/>
  <c r="E185" i="23"/>
  <c r="L43"/>
  <c r="L42" s="1"/>
  <c r="D3"/>
  <c r="D9"/>
  <c r="D8" s="1"/>
  <c r="E162"/>
  <c r="E161" s="1"/>
  <c r="E156"/>
  <c r="E139"/>
  <c r="E145"/>
  <c r="E144" s="1"/>
  <c r="X25" i="20"/>
  <c r="X8"/>
  <c r="D180" i="23"/>
  <c r="D179" s="1"/>
  <c r="K22"/>
  <c r="K21" s="1"/>
  <c r="K20" s="1"/>
  <c r="P58" i="22"/>
  <c r="O84" i="20"/>
  <c r="P40" i="22"/>
  <c r="X6" s="1"/>
  <c r="AB6" s="1"/>
  <c r="AB21" s="1"/>
  <c r="X206" s="1"/>
  <c r="F157" i="23"/>
  <c r="Y5" i="20"/>
  <c r="E4" i="23"/>
  <c r="U4" i="20"/>
  <c r="E20" i="23"/>
  <c r="E26"/>
  <c r="E25" s="1"/>
  <c r="D118"/>
  <c r="D119"/>
  <c r="D101"/>
  <c r="D102"/>
  <c r="E94"/>
  <c r="E93" s="1"/>
  <c r="E88"/>
  <c r="D54"/>
  <c r="D60"/>
  <c r="D59" s="1"/>
  <c r="D51"/>
  <c r="D50"/>
  <c r="P5" i="22"/>
  <c r="V10" i="20"/>
  <c r="V16" i="22"/>
  <c r="K41" i="23"/>
  <c r="F106" l="1"/>
  <c r="V9" i="20"/>
  <c r="F55" i="23" s="1"/>
  <c r="X17" i="20"/>
  <c r="D67" i="23"/>
  <c r="D68"/>
  <c r="X9" i="22"/>
  <c r="P57"/>
  <c r="E178" i="23"/>
  <c r="L16"/>
  <c r="L15" s="1"/>
  <c r="L11"/>
  <c r="L10" s="1"/>
  <c r="E177"/>
  <c r="Y29" i="20"/>
  <c r="U234"/>
  <c r="U233" s="1"/>
  <c r="E119" i="23"/>
  <c r="E118"/>
  <c r="AA4" i="22"/>
  <c r="AA20"/>
  <c r="Z6" i="20"/>
  <c r="Z22" s="1"/>
  <c r="V226" s="1"/>
  <c r="F21" i="23"/>
  <c r="AD21" i="20"/>
  <c r="AD24" s="1"/>
  <c r="X20"/>
  <c r="T225"/>
  <c r="T224" s="1"/>
  <c r="Y4"/>
  <c r="Y21"/>
  <c r="F38" i="23"/>
  <c r="Z7" i="20"/>
  <c r="Z23" s="1"/>
  <c r="V227" s="1"/>
  <c r="E33" i="23"/>
  <c r="E34"/>
  <c r="E9"/>
  <c r="E8" s="1"/>
  <c r="E3"/>
  <c r="E153"/>
  <c r="E152"/>
  <c r="X5" i="22"/>
  <c r="P4"/>
  <c r="E183" i="23"/>
  <c r="L32"/>
  <c r="L31" s="1"/>
  <c r="T229" i="20"/>
  <c r="T228" s="1"/>
  <c r="X24"/>
  <c r="V205" i="22"/>
  <c r="V204" s="1"/>
  <c r="Z19"/>
  <c r="E51" i="23"/>
  <c r="E50"/>
  <c r="E60"/>
  <c r="E59" s="1"/>
  <c r="E54"/>
  <c r="O4" i="20"/>
  <c r="V5"/>
  <c r="K4" i="23"/>
  <c r="K3"/>
  <c r="E85"/>
  <c r="E84"/>
  <c r="U17" i="20"/>
  <c r="O57"/>
  <c r="W16" i="22"/>
  <c r="X12"/>
  <c r="Z10" i="20"/>
  <c r="Z26" s="1"/>
  <c r="V230" s="1"/>
  <c r="F72" i="23"/>
  <c r="Z30" i="20"/>
  <c r="E102" i="23"/>
  <c r="E101"/>
  <c r="E181"/>
  <c r="L37"/>
  <c r="L36" s="1"/>
  <c r="F156"/>
  <c r="F162"/>
  <c r="F161" s="1"/>
  <c r="E169"/>
  <c r="E170"/>
  <c r="D17"/>
  <c r="D16"/>
  <c r="Z11" i="20"/>
  <c r="Z27" s="1"/>
  <c r="V231" s="1"/>
  <c r="F89" i="23"/>
  <c r="AA24" i="22"/>
  <c r="AA8"/>
  <c r="L48" i="23"/>
  <c r="L47" s="1"/>
  <c r="L41" s="1"/>
  <c r="E186"/>
  <c r="E184" s="1"/>
  <c r="L54"/>
  <c r="E188"/>
  <c r="E187" s="1"/>
  <c r="Y8" i="20"/>
  <c r="Y25"/>
  <c r="F105" i="23"/>
  <c r="F111"/>
  <c r="F110" s="1"/>
  <c r="AB12" i="22"/>
  <c r="AB28"/>
  <c r="F128" i="23"/>
  <c r="F127" s="1"/>
  <c r="F122"/>
  <c r="E135"/>
  <c r="E136"/>
  <c r="F140"/>
  <c r="Z15" i="20"/>
  <c r="Z31" s="1"/>
  <c r="V235" s="1"/>
  <c r="Z23" i="22"/>
  <c r="V209"/>
  <c r="V208" s="1"/>
  <c r="Z16"/>
  <c r="P91"/>
  <c r="K60" i="23"/>
  <c r="D174"/>
  <c r="D191" l="1"/>
  <c r="Z9" i="20"/>
  <c r="V8"/>
  <c r="X213" i="22"/>
  <c r="X212" s="1"/>
  <c r="AB27"/>
  <c r="U229" i="20"/>
  <c r="U228" s="1"/>
  <c r="Y24"/>
  <c r="W209" i="22"/>
  <c r="W208" s="1"/>
  <c r="AA23"/>
  <c r="E176" i="23"/>
  <c r="E175" s="1"/>
  <c r="L6"/>
  <c r="L5" s="1"/>
  <c r="E67"/>
  <c r="E68"/>
  <c r="AA19" i="22"/>
  <c r="W205"/>
  <c r="W204" s="1"/>
  <c r="E180" i="23"/>
  <c r="E179" s="1"/>
  <c r="L22"/>
  <c r="L21" s="1"/>
  <c r="L20" s="1"/>
  <c r="Z31" i="22"/>
  <c r="Y17" i="20"/>
  <c r="F145" i="23"/>
  <c r="F144" s="1"/>
  <c r="F139"/>
  <c r="F135"/>
  <c r="F136"/>
  <c r="L53"/>
  <c r="L52" s="1"/>
  <c r="F183"/>
  <c r="M32"/>
  <c r="M31" s="1"/>
  <c r="F71"/>
  <c r="F77"/>
  <c r="F76" s="1"/>
  <c r="V4" i="20"/>
  <c r="F4" i="23"/>
  <c r="Z5" i="20"/>
  <c r="M16" i="23"/>
  <c r="M15" s="1"/>
  <c r="F178"/>
  <c r="M48"/>
  <c r="M47" s="1"/>
  <c r="F186"/>
  <c r="E16"/>
  <c r="E17"/>
  <c r="U225" i="20"/>
  <c r="U224" s="1"/>
  <c r="U237" s="1"/>
  <c r="Y20"/>
  <c r="AE21"/>
  <c r="AE24" s="1"/>
  <c r="F54" i="23"/>
  <c r="F60"/>
  <c r="F59" s="1"/>
  <c r="Z13" i="20"/>
  <c r="X33"/>
  <c r="AD11" s="1"/>
  <c r="M43" i="23"/>
  <c r="M42" s="1"/>
  <c r="F185"/>
  <c r="F118"/>
  <c r="F119"/>
  <c r="Z29" i="20"/>
  <c r="V234"/>
  <c r="V233" s="1"/>
  <c r="F177" i="23"/>
  <c r="M11"/>
  <c r="M10" s="1"/>
  <c r="F26"/>
  <c r="F25" s="1"/>
  <c r="F20"/>
  <c r="Z8" i="20"/>
  <c r="Z25"/>
  <c r="T237"/>
  <c r="F88" i="23"/>
  <c r="F94"/>
  <c r="F93" s="1"/>
  <c r="M54"/>
  <c r="F188"/>
  <c r="F187" s="1"/>
  <c r="F169"/>
  <c r="F170"/>
  <c r="M27"/>
  <c r="M26" s="1"/>
  <c r="F182"/>
  <c r="AB5" i="22"/>
  <c r="X4"/>
  <c r="F37" i="23"/>
  <c r="F43"/>
  <c r="F42" s="1"/>
  <c r="F181"/>
  <c r="M37"/>
  <c r="M36" s="1"/>
  <c r="X8" i="22"/>
  <c r="AB9"/>
  <c r="V216"/>
  <c r="AA16"/>
  <c r="W216" l="1"/>
  <c r="X16"/>
  <c r="Y33" i="20"/>
  <c r="AE11" s="1"/>
  <c r="L60" i="23"/>
  <c r="M41"/>
  <c r="V17" i="20"/>
  <c r="F184" i="23"/>
  <c r="F3"/>
  <c r="F9"/>
  <c r="F8" s="1"/>
  <c r="E191"/>
  <c r="AB8" i="22"/>
  <c r="AB24"/>
  <c r="F51" i="23"/>
  <c r="F50"/>
  <c r="F101"/>
  <c r="F102"/>
  <c r="Z21" i="20"/>
  <c r="Z4"/>
  <c r="Z17" s="1"/>
  <c r="F180" i="23"/>
  <c r="F179" s="1"/>
  <c r="M22"/>
  <c r="M21" s="1"/>
  <c r="M20" s="1"/>
  <c r="AB20" i="22"/>
  <c r="AB4"/>
  <c r="M53" i="23"/>
  <c r="M52" s="1"/>
  <c r="F34"/>
  <c r="F33"/>
  <c r="G181"/>
  <c r="N37"/>
  <c r="N36" s="1"/>
  <c r="F67"/>
  <c r="F68"/>
  <c r="G185"/>
  <c r="N43"/>
  <c r="N42" s="1"/>
  <c r="E174"/>
  <c r="N54"/>
  <c r="G188"/>
  <c r="G187" s="1"/>
  <c r="V229" i="20"/>
  <c r="V228" s="1"/>
  <c r="Z24"/>
  <c r="M6" i="23"/>
  <c r="M5" s="1"/>
  <c r="F176"/>
  <c r="F175" s="1"/>
  <c r="F84"/>
  <c r="F85"/>
  <c r="F153"/>
  <c r="F152"/>
  <c r="L4"/>
  <c r="L3"/>
  <c r="AA31" i="22"/>
  <c r="AB16" l="1"/>
  <c r="N48" i="23"/>
  <c r="N47" s="1"/>
  <c r="N41" s="1"/>
  <c r="G186"/>
  <c r="G184" s="1"/>
  <c r="N27"/>
  <c r="N26" s="1"/>
  <c r="G182"/>
  <c r="N53"/>
  <c r="N52" s="1"/>
  <c r="G180"/>
  <c r="N22"/>
  <c r="N21" s="1"/>
  <c r="N11"/>
  <c r="N10" s="1"/>
  <c r="G177"/>
  <c r="F174"/>
  <c r="M60"/>
  <c r="F17"/>
  <c r="F16"/>
  <c r="F191" s="1"/>
  <c r="N16"/>
  <c r="N15" s="1"/>
  <c r="G178"/>
  <c r="M3"/>
  <c r="M4"/>
  <c r="X205" i="22"/>
  <c r="X204" s="1"/>
  <c r="AB19"/>
  <c r="AF21" i="20"/>
  <c r="AF24" s="1"/>
  <c r="V225"/>
  <c r="V224" s="1"/>
  <c r="V237" s="1"/>
  <c r="Z20"/>
  <c r="Z33" s="1"/>
  <c r="AF11" s="1"/>
  <c r="G183" i="23"/>
  <c r="N32"/>
  <c r="N31" s="1"/>
  <c r="AB23" i="22"/>
  <c r="X209"/>
  <c r="X208" s="1"/>
  <c r="N20" i="23" l="1"/>
  <c r="N6"/>
  <c r="N5" s="1"/>
  <c r="G176"/>
  <c r="G175" s="1"/>
  <c r="X216" i="22"/>
  <c r="AB31"/>
  <c r="G179" i="23"/>
  <c r="N60" l="1"/>
  <c r="N3"/>
  <c r="N4"/>
  <c r="G174"/>
  <c r="Y3" i="60" l="1"/>
  <c r="D7" i="39" l="1"/>
  <c r="E7"/>
  <c r="H7"/>
  <c r="F7"/>
  <c r="G7"/>
  <c r="G9" l="1"/>
  <c r="H9"/>
  <c r="E9"/>
  <c r="D9"/>
  <c r="F9"/>
  <c r="H8" l="1"/>
  <c r="G8"/>
  <c r="E8"/>
  <c r="D8"/>
  <c r="F8"/>
  <c r="G176" i="64" l="1"/>
  <c r="Q176" s="1"/>
  <c r="G175"/>
  <c r="Q175" s="1"/>
  <c r="G174"/>
  <c r="Q174" s="1"/>
  <c r="G173"/>
  <c r="Q173" s="1"/>
  <c r="G172"/>
  <c r="Q172" s="1"/>
  <c r="G171"/>
  <c r="Q171" s="1"/>
  <c r="G170"/>
  <c r="Q170" s="1"/>
  <c r="G169"/>
  <c r="Q169" s="1"/>
  <c r="G168"/>
  <c r="Q168" s="1"/>
  <c r="G167"/>
  <c r="Q167" s="1"/>
  <c r="G166"/>
  <c r="Q166" s="1"/>
  <c r="G165"/>
  <c r="Q165" s="1"/>
  <c r="G164"/>
  <c r="Q164" s="1"/>
  <c r="G163"/>
  <c r="Q163" s="1"/>
  <c r="G162"/>
  <c r="Q162" s="1"/>
  <c r="G161"/>
  <c r="Q161" s="1"/>
  <c r="G160"/>
  <c r="Q160" s="1"/>
  <c r="G159"/>
  <c r="Q159" s="1"/>
  <c r="G158"/>
  <c r="Q158" s="1"/>
  <c r="G157"/>
  <c r="Q157" s="1"/>
  <c r="G156"/>
  <c r="Q156" s="1"/>
  <c r="G155"/>
  <c r="Q155" s="1"/>
  <c r="G154"/>
  <c r="G41"/>
  <c r="Q41" s="1"/>
  <c r="G40"/>
  <c r="Q40" s="1"/>
  <c r="G39"/>
  <c r="Q39" s="1"/>
  <c r="G38"/>
  <c r="Q38" s="1"/>
  <c r="G37"/>
  <c r="Q37" s="1"/>
  <c r="G36"/>
  <c r="Q36" s="1"/>
  <c r="G35"/>
  <c r="Q35" s="1"/>
  <c r="G34"/>
  <c r="Q34" s="1"/>
  <c r="G32"/>
  <c r="Q32" s="1"/>
  <c r="G31"/>
  <c r="Q31" s="1"/>
  <c r="G30"/>
  <c r="Q30" s="1"/>
  <c r="G29"/>
  <c r="Q29" s="1"/>
  <c r="G27"/>
  <c r="Q27" s="1"/>
  <c r="G26"/>
  <c r="Q26" s="1"/>
  <c r="G25"/>
  <c r="Q25" s="1"/>
  <c r="Q154" l="1"/>
  <c r="G153"/>
  <c r="G87" i="62"/>
  <c r="Q87" s="1"/>
  <c r="J350" i="69" s="1"/>
  <c r="G114" i="70"/>
  <c r="Q114" s="1"/>
  <c r="I350" i="69" s="1"/>
  <c r="H99" i="72"/>
  <c r="G71" i="62"/>
  <c r="Q71" s="1"/>
  <c r="J368" i="69" s="1"/>
  <c r="G98" i="70"/>
  <c r="Q98" s="1"/>
  <c r="I368" i="69" s="1"/>
  <c r="H84" i="72"/>
  <c r="G102" i="70"/>
  <c r="Q102" s="1"/>
  <c r="I370" i="69" s="1"/>
  <c r="G75" i="62"/>
  <c r="Q75" s="1"/>
  <c r="J370" i="69" s="1"/>
  <c r="H86" i="72"/>
  <c r="G28" i="58"/>
  <c r="Q28" s="1"/>
  <c r="G59" i="59"/>
  <c r="Q59" s="1"/>
  <c r="H79" i="72"/>
  <c r="G46" i="58"/>
  <c r="Q46" s="1"/>
  <c r="H7" i="72"/>
  <c r="G23" i="67"/>
  <c r="Q23" s="1"/>
  <c r="H10" i="72"/>
  <c r="G49" i="58"/>
  <c r="Q49" s="1"/>
  <c r="G26" i="67"/>
  <c r="Q26" s="1"/>
  <c r="G29"/>
  <c r="Q29" s="1"/>
  <c r="H13" i="72"/>
  <c r="G52" i="58"/>
  <c r="Q52" s="1"/>
  <c r="G54"/>
  <c r="Q54" s="1"/>
  <c r="H15" i="72"/>
  <c r="G31" i="67"/>
  <c r="Q31" s="1"/>
  <c r="G14"/>
  <c r="Q14" s="1"/>
  <c r="G37" i="58"/>
  <c r="Q37" s="1"/>
  <c r="G56"/>
  <c r="Q56" s="1"/>
  <c r="H71" i="72"/>
  <c r="G33" i="67"/>
  <c r="Q33" s="1"/>
  <c r="G74"/>
  <c r="G49" i="64"/>
  <c r="H28" i="72"/>
  <c r="G51" i="64"/>
  <c r="Q51" s="1"/>
  <c r="L182" i="69" s="1"/>
  <c r="D182" s="1"/>
  <c r="G76" i="67"/>
  <c r="Q76" s="1"/>
  <c r="H30" i="72"/>
  <c r="G73" i="64"/>
  <c r="Q73" s="1"/>
  <c r="L204" i="69" s="1"/>
  <c r="D204" s="1"/>
  <c r="H44" i="72"/>
  <c r="G98" i="67"/>
  <c r="Q98" s="1"/>
  <c r="G17" i="70"/>
  <c r="Q17" s="1"/>
  <c r="I381" i="69" s="1"/>
  <c r="G43" i="65"/>
  <c r="Q43" s="1"/>
  <c r="G48"/>
  <c r="Q48" s="1"/>
  <c r="G22" i="70"/>
  <c r="Q22" s="1"/>
  <c r="I397" i="69" s="1"/>
  <c r="G47" i="66"/>
  <c r="Q47" s="1"/>
  <c r="G18" i="65"/>
  <c r="Q18" s="1"/>
  <c r="G209" i="64"/>
  <c r="Q209" s="1"/>
  <c r="G136"/>
  <c r="Q136" s="1"/>
  <c r="G115" i="70"/>
  <c r="Q115" s="1"/>
  <c r="I351" i="69" s="1"/>
  <c r="H100" i="72"/>
  <c r="G88" i="62"/>
  <c r="Q88" s="1"/>
  <c r="J351" i="69" s="1"/>
  <c r="H91" i="72"/>
  <c r="G79" i="62"/>
  <c r="Q79" s="1"/>
  <c r="G106" i="70"/>
  <c r="Q106" s="1"/>
  <c r="I356" i="69" s="1"/>
  <c r="H83" i="72"/>
  <c r="G97" i="70"/>
  <c r="Q97" s="1"/>
  <c r="I367" i="69" s="1"/>
  <c r="G70" i="62"/>
  <c r="Q70" s="1"/>
  <c r="J367" i="69" s="1"/>
  <c r="G101" i="70"/>
  <c r="Q101" s="1"/>
  <c r="I369" i="69" s="1"/>
  <c r="H85" i="72"/>
  <c r="G74" i="62"/>
  <c r="Q74" s="1"/>
  <c r="H80" i="72"/>
  <c r="G60" i="59"/>
  <c r="Q60" s="1"/>
  <c r="G29" i="58"/>
  <c r="Q29" s="1"/>
  <c r="G25" i="67"/>
  <c r="Q25" s="1"/>
  <c r="H9" i="72"/>
  <c r="G48" i="58"/>
  <c r="Q48" s="1"/>
  <c r="G50"/>
  <c r="Q50" s="1"/>
  <c r="G27" i="67"/>
  <c r="Q27" s="1"/>
  <c r="H11" i="72"/>
  <c r="G30" i="67"/>
  <c r="Q30" s="1"/>
  <c r="G53" i="58"/>
  <c r="Q53" s="1"/>
  <c r="H14" i="72"/>
  <c r="G32" i="67"/>
  <c r="Q32" s="1"/>
  <c r="G55" i="58"/>
  <c r="Q55" s="1"/>
  <c r="H16" i="72"/>
  <c r="G22" i="67"/>
  <c r="Q22" s="1"/>
  <c r="H70" i="72"/>
  <c r="G45" i="58"/>
  <c r="Q45" s="1"/>
  <c r="G50" i="64"/>
  <c r="Q50" s="1"/>
  <c r="G75" i="67"/>
  <c r="Q75" s="1"/>
  <c r="H29" i="72"/>
  <c r="G74" i="64"/>
  <c r="Q74" s="1"/>
  <c r="G99" i="67"/>
  <c r="Q99" s="1"/>
  <c r="H45" i="72"/>
  <c r="G26" i="63"/>
  <c r="Q26" s="1"/>
  <c r="G61"/>
  <c r="Q61" s="1"/>
  <c r="G42" i="65"/>
  <c r="Q42" s="1"/>
  <c r="G16" i="70"/>
  <c r="Q16" s="1"/>
  <c r="I379" i="69" s="1"/>
  <c r="G21" i="70"/>
  <c r="Q21" s="1"/>
  <c r="I385" i="69" s="1"/>
  <c r="G47" i="65"/>
  <c r="Q47" s="1"/>
  <c r="G49"/>
  <c r="Q49" s="1"/>
  <c r="G23" i="70"/>
  <c r="Q23" s="1"/>
  <c r="I398" i="69" s="1"/>
  <c r="G150" i="64"/>
  <c r="Q150" s="1"/>
  <c r="G10" i="59"/>
  <c r="Q10" s="1"/>
  <c r="H24" i="72" l="1"/>
  <c r="G41" i="67"/>
  <c r="Q41" s="1"/>
  <c r="H26" i="72"/>
  <c r="G43" i="67"/>
  <c r="Q43" s="1"/>
  <c r="G42" i="70"/>
  <c r="Q42" s="1"/>
  <c r="I47" i="69" s="1"/>
  <c r="G15" i="62"/>
  <c r="Q15" s="1"/>
  <c r="G51"/>
  <c r="Q51" s="1"/>
  <c r="G78" i="70"/>
  <c r="Q78" s="1"/>
  <c r="I62" i="69" s="1"/>
  <c r="G40" i="67"/>
  <c r="Q40" s="1"/>
  <c r="H23" i="72"/>
  <c r="G37" i="67"/>
  <c r="Q37" s="1"/>
  <c r="H20" i="72"/>
  <c r="G24" i="58"/>
  <c r="Q24" s="1"/>
  <c r="H75" i="72"/>
  <c r="H77"/>
  <c r="G26" i="58"/>
  <c r="Q26" s="1"/>
  <c r="G57" i="59"/>
  <c r="Q57" s="1"/>
  <c r="G36" i="58"/>
  <c r="Q36" s="1"/>
  <c r="G13" i="67"/>
  <c r="Q13" s="1"/>
  <c r="G40" i="58"/>
  <c r="Q40" s="1"/>
  <c r="G17" i="67"/>
  <c r="Q17" s="1"/>
  <c r="G75" i="63"/>
  <c r="Q75" s="1"/>
  <c r="G40"/>
  <c r="Q40" s="1"/>
  <c r="K238" i="69" s="1"/>
  <c r="D238" s="1"/>
  <c r="G118" i="64"/>
  <c r="Q118" s="1"/>
  <c r="G191"/>
  <c r="Q191" s="1"/>
  <c r="G194"/>
  <c r="Q194" s="1"/>
  <c r="G121"/>
  <c r="Q121" s="1"/>
  <c r="G206"/>
  <c r="Q206" s="1"/>
  <c r="G133"/>
  <c r="Q133" s="1"/>
  <c r="L330" i="69" s="1"/>
  <c r="D330" s="1"/>
  <c r="G141" i="64"/>
  <c r="Q141" s="1"/>
  <c r="G214"/>
  <c r="Q214" s="1"/>
  <c r="H98" i="72"/>
  <c r="G86" i="62"/>
  <c r="Q86" s="1"/>
  <c r="J347" i="69" s="1"/>
  <c r="G113" i="70"/>
  <c r="Q113" s="1"/>
  <c r="I347" i="69" s="1"/>
  <c r="H89" i="72"/>
  <c r="G77" i="62"/>
  <c r="Q77" s="1"/>
  <c r="J360" i="69" s="1"/>
  <c r="G104" i="70"/>
  <c r="Q104" s="1"/>
  <c r="I360" i="69" s="1"/>
  <c r="G68" i="62"/>
  <c r="Q68" s="1"/>
  <c r="G95" i="70"/>
  <c r="Q95" s="1"/>
  <c r="I365" i="69" s="1"/>
  <c r="Q49" i="64"/>
  <c r="L180" i="69" s="1"/>
  <c r="L279"/>
  <c r="D279" s="1"/>
  <c r="Q153" i="64"/>
  <c r="G39" i="67"/>
  <c r="Q39" s="1"/>
  <c r="H22" i="72"/>
  <c r="G127" i="64"/>
  <c r="Q127" s="1"/>
  <c r="L324" i="69" s="1"/>
  <c r="D324" s="1"/>
  <c r="G200" i="64"/>
  <c r="Q200" s="1"/>
  <c r="G46" i="65"/>
  <c r="Q46" s="1"/>
  <c r="G20" i="70"/>
  <c r="Q20" s="1"/>
  <c r="I384" i="69" s="1"/>
  <c r="D50" i="54"/>
  <c r="G59" i="62"/>
  <c r="Q59" s="1"/>
  <c r="G86" i="70"/>
  <c r="Q86" s="1"/>
  <c r="I86" i="69" s="1"/>
  <c r="G42" i="67"/>
  <c r="Q42" s="1"/>
  <c r="H25" i="72"/>
  <c r="G57" i="64"/>
  <c r="Q57" s="1"/>
  <c r="G82" i="67"/>
  <c r="Q82" s="1"/>
  <c r="H50" i="72"/>
  <c r="H43"/>
  <c r="G97" i="67"/>
  <c r="Q97" s="1"/>
  <c r="G72" i="64"/>
  <c r="Q72" s="1"/>
  <c r="G186"/>
  <c r="Q186" s="1"/>
  <c r="G113"/>
  <c r="Q113" s="1"/>
  <c r="G205"/>
  <c r="Q205" s="1"/>
  <c r="G132"/>
  <c r="Q132" s="1"/>
  <c r="G41" i="70"/>
  <c r="Q41" s="1"/>
  <c r="I46" i="69" s="1"/>
  <c r="G14" i="62"/>
  <c r="Q14" s="1"/>
  <c r="G47"/>
  <c r="Q47" s="1"/>
  <c r="G74" i="70"/>
  <c r="Q74" s="1"/>
  <c r="I58" i="69" s="1"/>
  <c r="G35" i="67"/>
  <c r="H18" i="72"/>
  <c r="H74"/>
  <c r="G23" i="58"/>
  <c r="Q23" s="1"/>
  <c r="G55" i="59"/>
  <c r="Q55" s="1"/>
  <c r="H76" i="72"/>
  <c r="G25" i="58"/>
  <c r="Q25" s="1"/>
  <c r="G56" i="59"/>
  <c r="Q56" s="1"/>
  <c r="G35" i="58"/>
  <c r="Q35" s="1"/>
  <c r="G12" i="67"/>
  <c r="Q12" s="1"/>
  <c r="G38" i="58"/>
  <c r="Q38" s="1"/>
  <c r="G15" i="67"/>
  <c r="Q15" s="1"/>
  <c r="G42" i="58"/>
  <c r="Q42" s="1"/>
  <c r="G19" i="67"/>
  <c r="Q19" s="1"/>
  <c r="H67" i="72"/>
  <c r="G39" i="63"/>
  <c r="Q39" s="1"/>
  <c r="G74"/>
  <c r="Q74" s="1"/>
  <c r="G117" i="64"/>
  <c r="Q117" s="1"/>
  <c r="G190"/>
  <c r="Q190" s="1"/>
  <c r="G193"/>
  <c r="Q193" s="1"/>
  <c r="G120"/>
  <c r="Q120" s="1"/>
  <c r="L317" i="69" s="1"/>
  <c r="D317" s="1"/>
  <c r="G122" i="64"/>
  <c r="Q122" s="1"/>
  <c r="G195"/>
  <c r="Q195" s="1"/>
  <c r="G202"/>
  <c r="Q202" s="1"/>
  <c r="G129"/>
  <c r="Q129" s="1"/>
  <c r="L326" i="69" s="1"/>
  <c r="D326" s="1"/>
  <c r="G210" i="64"/>
  <c r="Q210" s="1"/>
  <c r="G137"/>
  <c r="Q137" s="1"/>
  <c r="L334" i="69" s="1"/>
  <c r="D334" s="1"/>
  <c r="G217" i="64"/>
  <c r="Q217" s="1"/>
  <c r="G144"/>
  <c r="Q144" s="1"/>
  <c r="G85" i="62"/>
  <c r="Q85" s="1"/>
  <c r="J349" i="69" s="1"/>
  <c r="H97" i="72"/>
  <c r="G112" i="70"/>
  <c r="Q112" s="1"/>
  <c r="I349" i="69" s="1"/>
  <c r="G82" i="62"/>
  <c r="Q82" s="1"/>
  <c r="H94" i="72"/>
  <c r="G109" i="70"/>
  <c r="Q109" s="1"/>
  <c r="I357" i="69" s="1"/>
  <c r="G105" i="70"/>
  <c r="Q105" s="1"/>
  <c r="I361" i="69" s="1"/>
  <c r="H90" i="72"/>
  <c r="G78" i="62"/>
  <c r="Q78" s="1"/>
  <c r="J361" i="69" s="1"/>
  <c r="H55" i="72"/>
  <c r="G62" i="64"/>
  <c r="Q62" s="1"/>
  <c r="L193" i="69" s="1"/>
  <c r="D193" s="1"/>
  <c r="G87" i="67"/>
  <c r="Q87" s="1"/>
  <c r="G108" i="64"/>
  <c r="Q108" s="1"/>
  <c r="L305" i="69" s="1"/>
  <c r="D305" s="1"/>
  <c r="G181" i="64"/>
  <c r="Q181" s="1"/>
  <c r="G188"/>
  <c r="Q188" s="1"/>
  <c r="G115"/>
  <c r="Q115" s="1"/>
  <c r="G192"/>
  <c r="Q192" s="1"/>
  <c r="G119"/>
  <c r="Q119" s="1"/>
  <c r="G201"/>
  <c r="Q201" s="1"/>
  <c r="G128"/>
  <c r="Q128" s="1"/>
  <c r="G134"/>
  <c r="Q134" s="1"/>
  <c r="G207"/>
  <c r="Q207" s="1"/>
  <c r="G215"/>
  <c r="Q215" s="1"/>
  <c r="G142"/>
  <c r="Q142" s="1"/>
  <c r="G45" i="65"/>
  <c r="Q45" s="1"/>
  <c r="G19" i="70"/>
  <c r="Q19" s="1"/>
  <c r="I383" i="69" s="1"/>
  <c r="Q74" i="67"/>
  <c r="G21" i="64"/>
  <c r="Q21" s="1"/>
  <c r="G149"/>
  <c r="Q149" s="1"/>
  <c r="G47"/>
  <c r="Q47" s="1"/>
  <c r="G35" i="59"/>
  <c r="Q35" s="1"/>
  <c r="G24" i="64"/>
  <c r="Q24" s="1"/>
  <c r="G46"/>
  <c r="Q46" s="1"/>
  <c r="L319" i="69" l="1"/>
  <c r="D319" s="1"/>
  <c r="L314"/>
  <c r="D314" s="1"/>
  <c r="L310"/>
  <c r="D310" s="1"/>
  <c r="H93" i="72"/>
  <c r="G81" i="62"/>
  <c r="Q81" s="1"/>
  <c r="J353" i="69" s="1"/>
  <c r="G108" i="70"/>
  <c r="Q108" s="1"/>
  <c r="I353" i="69" s="1"/>
  <c r="G123" i="64"/>
  <c r="Q123" s="1"/>
  <c r="G196"/>
  <c r="Q196" s="1"/>
  <c r="G10" i="67"/>
  <c r="Q10" s="1"/>
  <c r="G33" i="58"/>
  <c r="Q33" s="1"/>
  <c r="H63" i="72"/>
  <c r="H72"/>
  <c r="G44" i="67"/>
  <c r="Q44" s="1"/>
  <c r="G40" i="62"/>
  <c r="Q40" s="1"/>
  <c r="G67" i="70"/>
  <c r="Q67" s="1"/>
  <c r="I68" i="69" s="1"/>
  <c r="G28" i="62"/>
  <c r="Q28" s="1"/>
  <c r="G55" i="70"/>
  <c r="Q55" s="1"/>
  <c r="I54" i="69" s="1"/>
  <c r="G24" i="70"/>
  <c r="Q24" s="1"/>
  <c r="I396" i="69" s="1"/>
  <c r="G50" i="65"/>
  <c r="Q50" s="1"/>
  <c r="G59" i="64"/>
  <c r="Q59" s="1"/>
  <c r="G84" i="67"/>
  <c r="Q84" s="1"/>
  <c r="H52" i="72"/>
  <c r="G79" i="67"/>
  <c r="Q79" s="1"/>
  <c r="G54" i="64"/>
  <c r="Q54" s="1"/>
  <c r="L185" i="69" s="1"/>
  <c r="D185" s="1"/>
  <c r="H33" i="72"/>
  <c r="G39" i="58"/>
  <c r="Q39" s="1"/>
  <c r="G16" i="67"/>
  <c r="Q16" s="1"/>
  <c r="H65" i="72"/>
  <c r="G83" i="62"/>
  <c r="Q83" s="1"/>
  <c r="J358" i="69" s="1"/>
  <c r="G110" i="70"/>
  <c r="Q110" s="1"/>
  <c r="I358" i="69" s="1"/>
  <c r="H95" i="72"/>
  <c r="G147" i="64"/>
  <c r="Q147" s="1"/>
  <c r="G220"/>
  <c r="Q220" s="1"/>
  <c r="G208"/>
  <c r="Q208" s="1"/>
  <c r="G135"/>
  <c r="Q135" s="1"/>
  <c r="G199"/>
  <c r="Q199" s="1"/>
  <c r="G126"/>
  <c r="Q126" s="1"/>
  <c r="G94" i="67"/>
  <c r="Q94" s="1"/>
  <c r="G69" i="64"/>
  <c r="Q69" s="1"/>
  <c r="H40" i="72"/>
  <c r="H32"/>
  <c r="G53" i="64"/>
  <c r="Q53" s="1"/>
  <c r="G78" i="67"/>
  <c r="Q78" s="1"/>
  <c r="H64" i="72"/>
  <c r="G11" i="67"/>
  <c r="Q11" s="1"/>
  <c r="G34" i="58"/>
  <c r="Q34" s="1"/>
  <c r="H78" i="72"/>
  <c r="H73" s="1"/>
  <c r="G27" i="58"/>
  <c r="Q27" s="1"/>
  <c r="G58" i="59"/>
  <c r="Q58" s="1"/>
  <c r="H39" i="72"/>
  <c r="G93" i="67"/>
  <c r="Q93" s="1"/>
  <c r="G68" i="64"/>
  <c r="Q68" s="1"/>
  <c r="H87" i="72"/>
  <c r="G66" i="62"/>
  <c r="Q66" s="1"/>
  <c r="J346" i="69" s="1"/>
  <c r="G93" i="70"/>
  <c r="Q93" s="1"/>
  <c r="I346" i="69" s="1"/>
  <c r="G9" i="64"/>
  <c r="Q9" s="1"/>
  <c r="H104" i="72"/>
  <c r="H56"/>
  <c r="G88" i="67"/>
  <c r="Q88" s="1"/>
  <c r="G63" i="64"/>
  <c r="Q63" s="1"/>
  <c r="L194" i="69" s="1"/>
  <c r="D194" s="1"/>
  <c r="G60" i="64"/>
  <c r="Q60" s="1"/>
  <c r="H53" i="72"/>
  <c r="G85" i="67"/>
  <c r="Q85" s="1"/>
  <c r="G55" i="64"/>
  <c r="Q55" s="1"/>
  <c r="L186" i="69" s="1"/>
  <c r="D186" s="1"/>
  <c r="H34" i="72"/>
  <c r="G80" i="67"/>
  <c r="Q80" s="1"/>
  <c r="G43" i="58"/>
  <c r="Q43" s="1"/>
  <c r="H68" i="72"/>
  <c r="G20" i="67"/>
  <c r="Q20" s="1"/>
  <c r="H12" i="72"/>
  <c r="G51" i="58"/>
  <c r="Q51" s="1"/>
  <c r="G28" i="67"/>
  <c r="Q28" s="1"/>
  <c r="G8" i="62"/>
  <c r="G35" i="70"/>
  <c r="G10" i="64"/>
  <c r="Q10" s="1"/>
  <c r="H105" i="72"/>
  <c r="G65" i="64"/>
  <c r="Q65" s="1"/>
  <c r="L196" i="69" s="1"/>
  <c r="D196" s="1"/>
  <c r="I89" i="26" s="1"/>
  <c r="G90" i="67"/>
  <c r="Q90" s="1"/>
  <c r="H36" i="72"/>
  <c r="H8"/>
  <c r="H6" s="1"/>
  <c r="G47" i="58"/>
  <c r="Q47" s="1"/>
  <c r="G24" i="67"/>
  <c r="Q24" s="1"/>
  <c r="G13" i="58"/>
  <c r="Q13" s="1"/>
  <c r="G45" i="59"/>
  <c r="Q45" s="1"/>
  <c r="G84" i="62"/>
  <c r="Q84" s="1"/>
  <c r="J348" i="69" s="1"/>
  <c r="G111" i="70"/>
  <c r="Q111" s="1"/>
  <c r="I348" i="69" s="1"/>
  <c r="H96" i="72"/>
  <c r="H106"/>
  <c r="G11" i="64"/>
  <c r="Q11" s="1"/>
  <c r="G187"/>
  <c r="Q187" s="1"/>
  <c r="G114"/>
  <c r="Q114" s="1"/>
  <c r="G64"/>
  <c r="Q64" s="1"/>
  <c r="L195" i="69" s="1"/>
  <c r="D195" s="1"/>
  <c r="G89" i="67"/>
  <c r="Q89" s="1"/>
  <c r="H57" i="72"/>
  <c r="I50" i="54"/>
  <c r="K237" i="69"/>
  <c r="D237" s="1"/>
  <c r="L329"/>
  <c r="D329" s="1"/>
  <c r="G219" i="64"/>
  <c r="Q219" s="1"/>
  <c r="G146"/>
  <c r="Q146" s="1"/>
  <c r="H38" i="72"/>
  <c r="G92" i="67"/>
  <c r="Q92" s="1"/>
  <c r="G67" i="64"/>
  <c r="Q67" s="1"/>
  <c r="L198" i="69" s="1"/>
  <c r="D198" s="1"/>
  <c r="G77" i="67"/>
  <c r="G52" i="64"/>
  <c r="H31" i="72"/>
  <c r="G143" i="64"/>
  <c r="Q143" s="1"/>
  <c r="G216"/>
  <c r="Q216" s="1"/>
  <c r="H103" i="72"/>
  <c r="G8" i="64"/>
  <c r="Q8" s="1"/>
  <c r="H42" i="72"/>
  <c r="G71" i="64"/>
  <c r="Q71" s="1"/>
  <c r="G96" i="67"/>
  <c r="Q96" s="1"/>
  <c r="H54" i="72"/>
  <c r="G61" i="64"/>
  <c r="Q61" s="1"/>
  <c r="L192" i="69" s="1"/>
  <c r="D192" s="1"/>
  <c r="G86" i="67"/>
  <c r="Q86" s="1"/>
  <c r="G65" i="62"/>
  <c r="Q65" s="1"/>
  <c r="J363" i="69" s="1"/>
  <c r="G92" i="70"/>
  <c r="Q92" s="1"/>
  <c r="I363" i="69" s="1"/>
  <c r="G212" i="64"/>
  <c r="Q212" s="1"/>
  <c r="G139"/>
  <c r="Q139" s="1"/>
  <c r="L335" i="69" s="1"/>
  <c r="D335" s="1"/>
  <c r="L371"/>
  <c r="D371" s="1"/>
  <c r="I182" i="26" s="1"/>
  <c r="G81" i="67"/>
  <c r="Q81" s="1"/>
  <c r="G56" i="64"/>
  <c r="Q56" s="1"/>
  <c r="H35" i="72"/>
  <c r="H69"/>
  <c r="G21" i="67"/>
  <c r="Q21" s="1"/>
  <c r="G44" i="58"/>
  <c r="Q44" s="1"/>
  <c r="G213" i="64"/>
  <c r="Q213" s="1"/>
  <c r="G140"/>
  <c r="Q140" s="1"/>
  <c r="H19" i="72"/>
  <c r="G36" i="67"/>
  <c r="Q36" s="1"/>
  <c r="G94" i="70"/>
  <c r="Q94" s="1"/>
  <c r="I364" i="69" s="1"/>
  <c r="G67" i="62"/>
  <c r="Q67" s="1"/>
  <c r="G107" i="70"/>
  <c r="Q107" s="1"/>
  <c r="I352" i="69" s="1"/>
  <c r="H92" i="72"/>
  <c r="G80" i="62"/>
  <c r="Q80" s="1"/>
  <c r="J352" i="69" s="1"/>
  <c r="G145" i="64"/>
  <c r="Q145" s="1"/>
  <c r="G218"/>
  <c r="Q218" s="1"/>
  <c r="G116"/>
  <c r="Q116" s="1"/>
  <c r="G189"/>
  <c r="Q189" s="1"/>
  <c r="G66"/>
  <c r="Q66" s="1"/>
  <c r="H37" i="72"/>
  <c r="G91" i="67"/>
  <c r="Q91" s="1"/>
  <c r="G18"/>
  <c r="Q18" s="1"/>
  <c r="H66" i="72"/>
  <c r="G41" i="58"/>
  <c r="Q41" s="1"/>
  <c r="H61" i="72"/>
  <c r="G8" i="67"/>
  <c r="G31" i="58"/>
  <c r="G38" i="67"/>
  <c r="Q38" s="1"/>
  <c r="H21" i="72"/>
  <c r="G73" i="70"/>
  <c r="Q73" s="1"/>
  <c r="I57" i="69" s="1"/>
  <c r="G46" i="62"/>
  <c r="Q46" s="1"/>
  <c r="G76"/>
  <c r="Q76" s="1"/>
  <c r="J359" i="69" s="1"/>
  <c r="H88" i="72"/>
  <c r="G103" i="70"/>
  <c r="Q103" s="1"/>
  <c r="I359" i="69" s="1"/>
  <c r="G203" i="64"/>
  <c r="Q203" s="1"/>
  <c r="G130"/>
  <c r="Q130" s="1"/>
  <c r="L327" i="69" s="1"/>
  <c r="D327" s="1"/>
  <c r="G95" i="67"/>
  <c r="Q95" s="1"/>
  <c r="H41" i="72"/>
  <c r="G70" i="64"/>
  <c r="Q70" s="1"/>
  <c r="G96" i="70"/>
  <c r="Q96" s="1"/>
  <c r="I366" i="69" s="1"/>
  <c r="G69" i="62"/>
  <c r="Q69" s="1"/>
  <c r="G83" i="67"/>
  <c r="Q83" s="1"/>
  <c r="H51" i="72"/>
  <c r="G58" i="64"/>
  <c r="Q58" s="1"/>
  <c r="L189" i="69" s="1"/>
  <c r="D189" s="1"/>
  <c r="G9" i="67"/>
  <c r="Q9" s="1"/>
  <c r="G32" i="58"/>
  <c r="Q32" s="1"/>
  <c r="H62" i="72"/>
  <c r="Q35" i="67"/>
  <c r="Q34" s="1"/>
  <c r="I63" i="54" s="1"/>
  <c r="G34" i="67"/>
  <c r="D63" i="54" s="1"/>
  <c r="D180" i="69"/>
  <c r="L338"/>
  <c r="D338" s="1"/>
  <c r="L340"/>
  <c r="D340" s="1"/>
  <c r="H49" i="72"/>
  <c r="L315" i="69"/>
  <c r="D315" s="1"/>
  <c r="Q77" i="67" l="1"/>
  <c r="Q73" s="1"/>
  <c r="G73"/>
  <c r="Q8" i="62"/>
  <c r="H60" i="72"/>
  <c r="H59" s="1"/>
  <c r="H82"/>
  <c r="G7" i="67"/>
  <c r="Q8"/>
  <c r="Q7" s="1"/>
  <c r="Q52" i="64"/>
  <c r="Q48" s="1"/>
  <c r="I43" i="54" s="1"/>
  <c r="G48" i="64"/>
  <c r="D43" i="54" s="1"/>
  <c r="Q35" i="70"/>
  <c r="Q31" i="58"/>
  <c r="G30"/>
  <c r="D8" i="54" s="1"/>
  <c r="L239" i="69"/>
  <c r="D239" s="1"/>
  <c r="I111" i="26" s="1"/>
  <c r="H27" i="72"/>
  <c r="L320" i="69"/>
  <c r="D320" s="1"/>
  <c r="I155" i="26" s="1"/>
  <c r="H17" i="72"/>
  <c r="H5" s="1"/>
  <c r="I88" i="26"/>
  <c r="I51" i="69" l="1"/>
  <c r="D51" s="1"/>
  <c r="G6" i="67"/>
  <c r="D62" i="54"/>
  <c r="D61" s="1"/>
  <c r="Q72" i="67"/>
  <c r="I66" i="54"/>
  <c r="I65" s="1"/>
  <c r="F178" i="53" s="1"/>
  <c r="Q6" i="67"/>
  <c r="I62" i="54"/>
  <c r="I61" s="1"/>
  <c r="D66"/>
  <c r="D65" s="1"/>
  <c r="G72" i="67"/>
  <c r="Q30" i="58"/>
  <c r="I8" i="54" s="1"/>
  <c r="E164" i="69"/>
  <c r="D164" s="1"/>
  <c r="J51"/>
  <c r="F177" i="53" l="1"/>
  <c r="F227" i="55"/>
  <c r="F226" s="1"/>
  <c r="G38" i="62"/>
  <c r="Q38" s="1"/>
  <c r="G65" i="70"/>
  <c r="Q65" s="1"/>
  <c r="I36" i="69" s="1"/>
  <c r="Q5" i="67"/>
  <c r="G5"/>
  <c r="F172" i="53"/>
  <c r="I60" i="54"/>
  <c r="D60"/>
  <c r="G107" i="64" l="1"/>
  <c r="Q107" s="1"/>
  <c r="G180"/>
  <c r="Q180" s="1"/>
  <c r="F221" i="55"/>
  <c r="F171" i="53"/>
  <c r="G9" i="59"/>
  <c r="Q9" s="1"/>
  <c r="G12"/>
  <c r="Q12" s="1"/>
  <c r="L304" i="69" l="1"/>
  <c r="D304" s="1"/>
  <c r="G124" i="64"/>
  <c r="Q124" s="1"/>
  <c r="G197"/>
  <c r="Q197" s="1"/>
  <c r="G109"/>
  <c r="Q109" s="1"/>
  <c r="G182"/>
  <c r="Q182" s="1"/>
  <c r="F220" i="55"/>
  <c r="F215"/>
  <c r="F214" s="1"/>
  <c r="E45" i="57" s="1"/>
  <c r="E52"/>
  <c r="F167" i="53"/>
  <c r="F170"/>
  <c r="F166"/>
  <c r="F165" s="1"/>
  <c r="F168"/>
  <c r="F169"/>
  <c r="G112" i="64" l="1"/>
  <c r="Q112" s="1"/>
  <c r="G185"/>
  <c r="Q185" s="1"/>
  <c r="G183"/>
  <c r="Q183" s="1"/>
  <c r="G110"/>
  <c r="Q110" s="1"/>
  <c r="L309" i="69" l="1"/>
  <c r="D309" s="1"/>
  <c r="L307"/>
  <c r="D307" s="1"/>
  <c r="H173" i="64"/>
  <c r="H166"/>
  <c r="H176"/>
  <c r="H168"/>
  <c r="H156"/>
  <c r="I79" i="72"/>
  <c r="I99"/>
  <c r="H172" i="64"/>
  <c r="H160"/>
  <c r="H175"/>
  <c r="H169"/>
  <c r="I91" i="72"/>
  <c r="H162" i="64"/>
  <c r="H174"/>
  <c r="H161"/>
  <c r="I80" i="72"/>
  <c r="H163" i="64"/>
  <c r="I70" i="72"/>
  <c r="H159" i="64"/>
  <c r="H157"/>
  <c r="H170"/>
  <c r="H155"/>
  <c r="H164"/>
  <c r="I85" i="72"/>
  <c r="H158" i="64"/>
  <c r="H167"/>
  <c r="I86" i="72"/>
  <c r="I100"/>
  <c r="I71"/>
  <c r="H165" i="64"/>
  <c r="H171"/>
  <c r="H115" i="70" l="1"/>
  <c r="H88" i="62"/>
  <c r="H56" i="58"/>
  <c r="H33" i="67"/>
  <c r="H102" i="70"/>
  <c r="H75" i="62"/>
  <c r="H28" i="58"/>
  <c r="H59" i="59"/>
  <c r="H48" i="65"/>
  <c r="H22" i="70"/>
  <c r="H14" i="67"/>
  <c r="H37" i="58"/>
  <c r="H79" i="62"/>
  <c r="H106" i="70"/>
  <c r="H45" i="58"/>
  <c r="H22" i="67"/>
  <c r="H29" i="58"/>
  <c r="H60" i="59"/>
  <c r="H101" i="70"/>
  <c r="H74" i="62"/>
  <c r="H114" i="70"/>
  <c r="H87" i="62"/>
  <c r="H49" i="65"/>
  <c r="H23" i="70"/>
  <c r="H154" i="64"/>
  <c r="H153" s="1"/>
  <c r="I77" i="72"/>
  <c r="I67"/>
  <c r="I94"/>
  <c r="I89"/>
  <c r="I74"/>
  <c r="I97"/>
  <c r="I76"/>
  <c r="I90"/>
  <c r="I98"/>
  <c r="I75"/>
  <c r="H24" i="58"/>
  <c r="G12" i="64"/>
  <c r="Q12" s="1"/>
  <c r="H78" i="62" l="1"/>
  <c r="H105" i="70"/>
  <c r="H56" i="59"/>
  <c r="H25" i="58"/>
  <c r="H36"/>
  <c r="H13" i="67"/>
  <c r="H190" i="64"/>
  <c r="H117"/>
  <c r="H112" i="70"/>
  <c r="H85" i="62"/>
  <c r="H40" i="58"/>
  <c r="H17" i="67"/>
  <c r="H113" i="64"/>
  <c r="H186"/>
  <c r="H113" i="70"/>
  <c r="H86" i="62"/>
  <c r="H121" i="64"/>
  <c r="H194"/>
  <c r="H181"/>
  <c r="H108"/>
  <c r="G125"/>
  <c r="Q125" s="1"/>
  <c r="G198"/>
  <c r="Q198" s="1"/>
  <c r="H15" i="67"/>
  <c r="H38" i="58"/>
  <c r="H55" i="59"/>
  <c r="H23" i="58"/>
  <c r="H42"/>
  <c r="H19" i="67"/>
  <c r="E50" i="54"/>
  <c r="H120" i="64"/>
  <c r="H193"/>
  <c r="H77" i="62"/>
  <c r="H104" i="70"/>
  <c r="H12" i="67"/>
  <c r="H35" i="58"/>
  <c r="H109" i="70"/>
  <c r="H82" i="62"/>
  <c r="H57" i="59"/>
  <c r="H26" i="58"/>
  <c r="I69" i="72"/>
  <c r="I87"/>
  <c r="I93"/>
  <c r="I64"/>
  <c r="I72"/>
  <c r="H44" i="67"/>
  <c r="I63" i="72"/>
  <c r="I92"/>
  <c r="I88"/>
  <c r="I66"/>
  <c r="I61"/>
  <c r="I65"/>
  <c r="I62"/>
  <c r="I78"/>
  <c r="I73" s="1"/>
  <c r="I96"/>
  <c r="I68"/>
  <c r="I95"/>
  <c r="C14" i="40"/>
  <c r="H43" i="58" l="1"/>
  <c r="H20" i="67"/>
  <c r="H27" i="58"/>
  <c r="H58" i="59"/>
  <c r="H116" i="64"/>
  <c r="H189"/>
  <c r="H10" i="67"/>
  <c r="H33" i="58"/>
  <c r="H34"/>
  <c r="H11" i="67"/>
  <c r="H202" i="64"/>
  <c r="H129"/>
  <c r="H8" i="67"/>
  <c r="H31" i="58"/>
  <c r="H115" i="64"/>
  <c r="H188"/>
  <c r="H110" i="70"/>
  <c r="H83" i="62"/>
  <c r="H196" i="64"/>
  <c r="H123"/>
  <c r="H66" i="62"/>
  <c r="H93" i="70"/>
  <c r="H21" i="67"/>
  <c r="H44" i="58"/>
  <c r="I60" i="72"/>
  <c r="I59" s="1"/>
  <c r="H32" i="58"/>
  <c r="H9" i="67"/>
  <c r="H39" i="58"/>
  <c r="H16" i="67"/>
  <c r="H24" i="70"/>
  <c r="H50" i="65"/>
  <c r="H84" i="62"/>
  <c r="H111" i="70"/>
  <c r="H41" i="58"/>
  <c r="H18" i="67"/>
  <c r="H103" i="70"/>
  <c r="H76" i="62"/>
  <c r="H201" i="64"/>
  <c r="H128"/>
  <c r="H107" i="70"/>
  <c r="H80" i="62"/>
  <c r="H119" i="64"/>
  <c r="H192"/>
  <c r="H195"/>
  <c r="H122"/>
  <c r="H191"/>
  <c r="H118"/>
  <c r="H81" i="62"/>
  <c r="H108" i="70"/>
  <c r="H26" i="64" l="1"/>
  <c r="H27"/>
  <c r="H9" l="1"/>
  <c r="H10"/>
  <c r="I106" i="72"/>
  <c r="H11" i="64"/>
  <c r="I105" i="72"/>
  <c r="H8" i="64" l="1"/>
  <c r="I103" i="72"/>
  <c r="I83" l="1"/>
  <c r="I84"/>
  <c r="I82" l="1"/>
  <c r="H70" i="62"/>
  <c r="H97" i="70"/>
  <c r="H98"/>
  <c r="H71" i="62"/>
  <c r="E266" i="71" l="1"/>
  <c r="E265" s="1"/>
  <c r="G42" i="64" l="1"/>
  <c r="Q42" s="1"/>
  <c r="H38" l="1"/>
  <c r="H40"/>
  <c r="H31"/>
  <c r="H39"/>
  <c r="H37"/>
  <c r="H41"/>
  <c r="H32"/>
  <c r="H36"/>
  <c r="I55" i="72" l="1"/>
  <c r="I50"/>
  <c r="H83" i="67" l="1"/>
  <c r="H58" i="64"/>
  <c r="H57"/>
  <c r="H82" i="67"/>
  <c r="H62" i="64"/>
  <c r="H87" i="67"/>
  <c r="H42" i="64"/>
  <c r="I36" i="72"/>
  <c r="I53"/>
  <c r="I51"/>
  <c r="I54"/>
  <c r="I38"/>
  <c r="I57"/>
  <c r="I56"/>
  <c r="H61" i="64" l="1"/>
  <c r="H86" i="67"/>
  <c r="H90"/>
  <c r="H65" i="64"/>
  <c r="H63"/>
  <c r="H88" i="67"/>
  <c r="H92"/>
  <c r="H67" i="64"/>
  <c r="H64"/>
  <c r="H89" i="67"/>
  <c r="H85"/>
  <c r="H60" i="64"/>
  <c r="G6" i="30" l="1"/>
  <c r="F6"/>
  <c r="I6"/>
  <c r="H6" l="1"/>
  <c r="B16" i="72" l="1"/>
  <c r="B45"/>
  <c r="B91"/>
  <c r="B29"/>
  <c r="B100"/>
  <c r="B13"/>
  <c r="B11"/>
  <c r="B30"/>
  <c r="B84"/>
  <c r="B70"/>
  <c r="B86"/>
  <c r="B71"/>
  <c r="B80"/>
  <c r="B15"/>
  <c r="B9"/>
  <c r="G11" i="66" l="1"/>
  <c r="Q11" s="1"/>
  <c r="B53" i="72"/>
  <c r="B87"/>
  <c r="B33"/>
  <c r="B35"/>
  <c r="B68"/>
  <c r="B31"/>
  <c r="G19" i="66"/>
  <c r="G18" i="64"/>
  <c r="B98" i="72"/>
  <c r="B26"/>
  <c r="G16" i="66"/>
  <c r="Q16" s="1"/>
  <c r="G32"/>
  <c r="B56" i="72"/>
  <c r="B44"/>
  <c r="B69"/>
  <c r="B22"/>
  <c r="B74"/>
  <c r="B25"/>
  <c r="G15" i="66"/>
  <c r="Q15" s="1"/>
  <c r="B57" i="72"/>
  <c r="B23"/>
  <c r="G10" i="66"/>
  <c r="Q10" s="1"/>
  <c r="B32" i="72"/>
  <c r="G14" i="66"/>
  <c r="B95" i="72"/>
  <c r="B38"/>
  <c r="B42"/>
  <c r="B64"/>
  <c r="B51"/>
  <c r="G44" i="64"/>
  <c r="G22" i="66"/>
  <c r="G9"/>
  <c r="B104" i="72"/>
  <c r="B65"/>
  <c r="G24" i="66"/>
  <c r="G12"/>
  <c r="Q12" s="1"/>
  <c r="B94" i="72"/>
  <c r="B72"/>
  <c r="G27" i="66"/>
  <c r="B66" i="72"/>
  <c r="B61"/>
  <c r="G26" i="66"/>
  <c r="B50" i="72"/>
  <c r="B14"/>
  <c r="G16" i="64"/>
  <c r="G63" i="65"/>
  <c r="B92" i="72"/>
  <c r="B19"/>
  <c r="B93"/>
  <c r="B85"/>
  <c r="G14" i="64"/>
  <c r="B43" i="72"/>
  <c r="B34"/>
  <c r="G34" i="66"/>
  <c r="B54" i="72"/>
  <c r="B62"/>
  <c r="G20" i="64"/>
  <c r="B37" i="72"/>
  <c r="B63"/>
  <c r="B97"/>
  <c r="B36"/>
  <c r="B77"/>
  <c r="G15" i="64"/>
  <c r="B41" i="72"/>
  <c r="B76"/>
  <c r="G28" i="66"/>
  <c r="B52" i="72"/>
  <c r="B40"/>
  <c r="G28" i="64"/>
  <c r="Q28" s="1"/>
  <c r="B96" i="72"/>
  <c r="B24"/>
  <c r="B78"/>
  <c r="G21" i="66"/>
  <c r="B21" i="72"/>
  <c r="B20"/>
  <c r="G23" i="66"/>
  <c r="B88" i="72"/>
  <c r="B105"/>
  <c r="B39"/>
  <c r="B18"/>
  <c r="G18" i="66"/>
  <c r="G29"/>
  <c r="B55" i="72"/>
  <c r="B89"/>
  <c r="B67"/>
  <c r="B12"/>
  <c r="B90"/>
  <c r="G62" i="65"/>
  <c r="G45" i="64"/>
  <c r="Q45" s="1"/>
  <c r="B79" i="72"/>
  <c r="G31" i="66"/>
  <c r="B99" i="72"/>
  <c r="B83"/>
  <c r="B10"/>
  <c r="B106"/>
  <c r="B8"/>
  <c r="B75"/>
  <c r="G59" i="65" l="1"/>
  <c r="G33" i="70"/>
  <c r="G12"/>
  <c r="G38" i="65"/>
  <c r="Q38" s="1"/>
  <c r="G33" i="62"/>
  <c r="G60" i="70"/>
  <c r="Q60" s="1"/>
  <c r="I35" i="69" s="1"/>
  <c r="G8" i="66"/>
  <c r="G21" i="63"/>
  <c r="G56"/>
  <c r="G17" i="65"/>
  <c r="G46" i="66"/>
  <c r="Q46" s="1"/>
  <c r="E51" i="71"/>
  <c r="G25" i="59"/>
  <c r="E60" i="71"/>
  <c r="G32" i="59"/>
  <c r="G45" i="66"/>
  <c r="Q45" s="1"/>
  <c r="G16" i="65"/>
  <c r="G53" i="59"/>
  <c r="Q53" s="1"/>
  <c r="E26" i="71"/>
  <c r="E25" s="1"/>
  <c r="F26" s="1"/>
  <c r="G21" i="58"/>
  <c r="G88" i="70"/>
  <c r="Q88" s="1"/>
  <c r="I88" i="69" s="1"/>
  <c r="G61" i="62"/>
  <c r="G29" i="70"/>
  <c r="Q29" s="1"/>
  <c r="I376" i="69" s="1"/>
  <c r="G55" i="65"/>
  <c r="G27" i="70"/>
  <c r="Q27" s="1"/>
  <c r="I395" i="69" s="1"/>
  <c r="G53" i="65"/>
  <c r="G40" i="66"/>
  <c r="Q40" s="1"/>
  <c r="G11" i="65"/>
  <c r="G28"/>
  <c r="Q28" s="1"/>
  <c r="G57" i="66"/>
  <c r="G32" i="63"/>
  <c r="G67"/>
  <c r="Q67" s="1"/>
  <c r="G21" i="62"/>
  <c r="G48" i="70"/>
  <c r="Q48" s="1"/>
  <c r="I73" i="69" s="1"/>
  <c r="G14" i="65"/>
  <c r="G43" i="66"/>
  <c r="Q43" s="1"/>
  <c r="G52" i="65"/>
  <c r="G26" i="70"/>
  <c r="Q26" s="1"/>
  <c r="I394" i="69" s="1"/>
  <c r="G13" i="64"/>
  <c r="G64" i="62"/>
  <c r="G91" i="70"/>
  <c r="E31" i="71"/>
  <c r="G8" i="59"/>
  <c r="G16" i="62"/>
  <c r="Q16" s="1"/>
  <c r="G43" i="70"/>
  <c r="G45" i="63"/>
  <c r="Q45" s="1"/>
  <c r="G10"/>
  <c r="E38" i="71"/>
  <c r="G15" i="59"/>
  <c r="G23" i="63"/>
  <c r="Q23" s="1"/>
  <c r="G58"/>
  <c r="G27" i="65"/>
  <c r="Q27" s="1"/>
  <c r="G56" i="66"/>
  <c r="G22" i="63"/>
  <c r="Q22" s="1"/>
  <c r="G57"/>
  <c r="G20" i="59"/>
  <c r="E44" i="71"/>
  <c r="G49" i="66"/>
  <c r="Q49" s="1"/>
  <c r="G20" i="65"/>
  <c r="G8" i="70"/>
  <c r="G34" i="65"/>
  <c r="Q34" s="1"/>
  <c r="G59" i="63"/>
  <c r="G24"/>
  <c r="Q24" s="1"/>
  <c r="G46" i="59"/>
  <c r="Q46" s="1"/>
  <c r="E16" i="71"/>
  <c r="G14" i="58"/>
  <c r="G24" i="65"/>
  <c r="Q24" s="1"/>
  <c r="G53" i="66"/>
  <c r="B82" i="72"/>
  <c r="B17"/>
  <c r="G47" i="63"/>
  <c r="Q47" s="1"/>
  <c r="G12"/>
  <c r="G58" i="62"/>
  <c r="G85" i="70"/>
  <c r="Q85" s="1"/>
  <c r="I85" i="69" s="1"/>
  <c r="G32" i="70"/>
  <c r="Q32" s="1"/>
  <c r="I390" i="69" s="1"/>
  <c r="G58" i="65"/>
  <c r="G12"/>
  <c r="G41" i="66"/>
  <c r="Q41" s="1"/>
  <c r="G52" i="63"/>
  <c r="Q52" s="1"/>
  <c r="G17"/>
  <c r="E18" i="71"/>
  <c r="G15" i="58"/>
  <c r="G47" i="59"/>
  <c r="Q47" s="1"/>
  <c r="G48" i="66"/>
  <c r="Q48" s="1"/>
  <c r="G19" i="65"/>
  <c r="E57" i="71"/>
  <c r="G30" i="59"/>
  <c r="G17" i="64"/>
  <c r="G29" i="62"/>
  <c r="G56" i="70"/>
  <c r="Q56" s="1"/>
  <c r="I55" i="69" s="1"/>
  <c r="G33" i="59"/>
  <c r="E61" i="71"/>
  <c r="G9" i="58"/>
  <c r="E10" i="71"/>
  <c r="G41" i="59"/>
  <c r="Q41" s="1"/>
  <c r="G33" i="65"/>
  <c r="G7" i="70"/>
  <c r="G17" i="66"/>
  <c r="G53" i="70"/>
  <c r="Q53" s="1"/>
  <c r="I80" i="69" s="1"/>
  <c r="G26" i="62"/>
  <c r="G39"/>
  <c r="G66" i="70"/>
  <c r="Q66" s="1"/>
  <c r="I37" i="69" s="1"/>
  <c r="G36" i="62"/>
  <c r="G63" i="70"/>
  <c r="Q63" s="1"/>
  <c r="I40" i="69" s="1"/>
  <c r="G9" i="63"/>
  <c r="G44"/>
  <c r="Q44" s="1"/>
  <c r="G12" i="58"/>
  <c r="G44" i="59"/>
  <c r="Q44" s="1"/>
  <c r="E15" i="71"/>
  <c r="E14" s="1"/>
  <c r="F15" s="1"/>
  <c r="F16" s="1"/>
  <c r="Q14" i="58" s="1"/>
  <c r="E128" i="69" s="1"/>
  <c r="G70" i="63"/>
  <c r="Q70" s="1"/>
  <c r="G35"/>
  <c r="G48"/>
  <c r="Q48" s="1"/>
  <c r="G13"/>
  <c r="E42" i="71"/>
  <c r="G18" i="59"/>
  <c r="G62" i="70"/>
  <c r="Q62" s="1"/>
  <c r="I39" i="69" s="1"/>
  <c r="G35" i="62"/>
  <c r="G50"/>
  <c r="G77" i="70"/>
  <c r="Q77" s="1"/>
  <c r="I61" i="69" s="1"/>
  <c r="G22" i="59"/>
  <c r="E47" i="71"/>
  <c r="G50" i="63"/>
  <c r="Q50" s="1"/>
  <c r="G15"/>
  <c r="G21" i="61"/>
  <c r="G20" s="1"/>
  <c r="D19" i="54" s="1"/>
  <c r="G19" i="62"/>
  <c r="Q19" s="1"/>
  <c r="G46" i="70"/>
  <c r="G28"/>
  <c r="Q28" s="1"/>
  <c r="I375" i="69" s="1"/>
  <c r="G54" i="65"/>
  <c r="G55" i="62"/>
  <c r="G82" i="70"/>
  <c r="Q82" s="1"/>
  <c r="I66" i="69" s="1"/>
  <c r="G56" i="62"/>
  <c r="G83" i="70"/>
  <c r="Q83" s="1"/>
  <c r="I67" i="69" s="1"/>
  <c r="G25" i="63"/>
  <c r="Q25" s="1"/>
  <c r="G60"/>
  <c r="E48" i="71"/>
  <c r="G23" i="59"/>
  <c r="G11" i="70"/>
  <c r="G37" i="65"/>
  <c r="Q37" s="1"/>
  <c r="G19" i="59"/>
  <c r="E43" i="71"/>
  <c r="G13" i="65"/>
  <c r="G42" i="66"/>
  <c r="Q42" s="1"/>
  <c r="B60" i="72"/>
  <c r="E19" i="71"/>
  <c r="G48" i="59"/>
  <c r="Q48" s="1"/>
  <c r="G16" i="58"/>
  <c r="G13" i="66"/>
  <c r="G35" i="65"/>
  <c r="Q35" s="1"/>
  <c r="G9" i="70"/>
  <c r="G31" i="62"/>
  <c r="G58" i="70"/>
  <c r="Q58" s="1"/>
  <c r="I33" i="69" s="1"/>
  <c r="G70" i="70"/>
  <c r="Q70" s="1"/>
  <c r="I71" i="69" s="1"/>
  <c r="G43" i="62"/>
  <c r="G11" i="63"/>
  <c r="G46"/>
  <c r="Q46" s="1"/>
  <c r="G27" i="59"/>
  <c r="E54" i="71"/>
  <c r="E53" s="1"/>
  <c r="F54" s="1"/>
  <c r="G40" i="70"/>
  <c r="G13" i="62"/>
  <c r="Q13" s="1"/>
  <c r="G47" i="70"/>
  <c r="Q47" s="1"/>
  <c r="I72" i="69" s="1"/>
  <c r="G20" i="62"/>
  <c r="G11"/>
  <c r="Q11" s="1"/>
  <c r="G38" i="70"/>
  <c r="G33" i="64"/>
  <c r="G22"/>
  <c r="G25" i="65"/>
  <c r="Q25" s="1"/>
  <c r="G54" i="66"/>
  <c r="G38"/>
  <c r="Q38" s="1"/>
  <c r="G9" i="65"/>
  <c r="G27" i="62"/>
  <c r="G54" i="70"/>
  <c r="Q54" s="1"/>
  <c r="I49" i="69" s="1"/>
  <c r="G31" i="65"/>
  <c r="Q31" s="1"/>
  <c r="G60" i="66"/>
  <c r="G16" i="63"/>
  <c r="G51"/>
  <c r="Q51" s="1"/>
  <c r="G45" i="70"/>
  <c r="G18" i="62"/>
  <c r="Q18" s="1"/>
  <c r="G8" i="65"/>
  <c r="G37" i="66"/>
  <c r="Q37" s="1"/>
  <c r="G29" i="65"/>
  <c r="Q29" s="1"/>
  <c r="G58" i="66"/>
  <c r="G21" i="65"/>
  <c r="G50" i="66"/>
  <c r="Q50" s="1"/>
  <c r="G151" i="64"/>
  <c r="G148" s="1"/>
  <c r="D48" i="54" s="1"/>
  <c r="G43" i="64"/>
  <c r="G28" i="59"/>
  <c r="E55" i="71"/>
  <c r="G62" i="62"/>
  <c r="G89" i="70"/>
  <c r="Q89" s="1"/>
  <c r="I89" i="69" s="1"/>
  <c r="G13" i="70"/>
  <c r="G39" i="65"/>
  <c r="Q39" s="1"/>
  <c r="G30"/>
  <c r="Q30" s="1"/>
  <c r="G59" i="66"/>
  <c r="G49" i="62"/>
  <c r="G76" i="70"/>
  <c r="Q76" s="1"/>
  <c r="I60" i="69" s="1"/>
  <c r="G25" i="70"/>
  <c r="Q25" s="1"/>
  <c r="I393" i="69" s="1"/>
  <c r="G51" i="65"/>
  <c r="G106" i="64"/>
  <c r="G179"/>
  <c r="Q179" s="1"/>
  <c r="G29" i="59"/>
  <c r="E56" i="71"/>
  <c r="G25" i="66"/>
  <c r="G36" i="59"/>
  <c r="Q36" s="1"/>
  <c r="E64" i="71"/>
  <c r="E63" s="1"/>
  <c r="F64" s="1"/>
  <c r="G131" i="64"/>
  <c r="G204"/>
  <c r="Q204" s="1"/>
  <c r="G19"/>
  <c r="G30" i="70"/>
  <c r="Q30" s="1"/>
  <c r="I377" i="69" s="1"/>
  <c r="G56" i="65"/>
  <c r="G14" i="63"/>
  <c r="G49"/>
  <c r="Q49" s="1"/>
  <c r="G11" i="59"/>
  <c r="E33" i="71"/>
  <c r="E32" s="1"/>
  <c r="F33" s="1"/>
  <c r="B73" i="72"/>
  <c r="G52" i="66"/>
  <c r="G23" i="65"/>
  <c r="Q23" s="1"/>
  <c r="G39" i="66"/>
  <c r="Q39" s="1"/>
  <c r="G10" i="65"/>
  <c r="G57"/>
  <c r="G31" i="70"/>
  <c r="Q31" s="1"/>
  <c r="I378" i="69" s="1"/>
  <c r="G33" i="66"/>
  <c r="G63" i="63"/>
  <c r="Q63" s="1"/>
  <c r="G28"/>
  <c r="G17" i="59"/>
  <c r="E41" i="71"/>
  <c r="G60" i="62"/>
  <c r="G87" i="70"/>
  <c r="Q87" s="1"/>
  <c r="I87" i="69" s="1"/>
  <c r="G41" i="65"/>
  <c r="Q41" s="1"/>
  <c r="G15" i="70"/>
  <c r="G17" i="62"/>
  <c r="Q17" s="1"/>
  <c r="G44" i="70"/>
  <c r="G53" i="63"/>
  <c r="Q53" s="1"/>
  <c r="G18"/>
  <c r="G20" i="66"/>
  <c r="G29" i="63"/>
  <c r="G64"/>
  <c r="Q64" s="1"/>
  <c r="G12" i="62"/>
  <c r="Q12" s="1"/>
  <c r="G39" i="70"/>
  <c r="G34" i="59"/>
  <c r="E62" i="71"/>
  <c r="G66" i="63"/>
  <c r="Q66" s="1"/>
  <c r="G31"/>
  <c r="G30" i="66"/>
  <c r="G49" i="70"/>
  <c r="Q49" s="1"/>
  <c r="I74" i="69" s="1"/>
  <c r="G22" i="62"/>
  <c r="G50" i="70"/>
  <c r="Q50" s="1"/>
  <c r="I75" i="69" s="1"/>
  <c r="G23" i="62"/>
  <c r="G22" i="65"/>
  <c r="G51" i="66"/>
  <c r="Q51" s="1"/>
  <c r="G23" i="64"/>
  <c r="G7" s="1"/>
  <c r="G15" i="65"/>
  <c r="G44" i="66"/>
  <c r="Q44" s="1"/>
  <c r="G14" i="70"/>
  <c r="G40" i="65"/>
  <c r="Q40" s="1"/>
  <c r="G54" i="59"/>
  <c r="G22" i="58"/>
  <c r="Q22" s="1"/>
  <c r="G55" i="66"/>
  <c r="G26" i="65"/>
  <c r="Q26" s="1"/>
  <c r="B49" i="72"/>
  <c r="G34" i="62" l="1"/>
  <c r="G61" i="70"/>
  <c r="Q61" s="1"/>
  <c r="I38" i="69" s="1"/>
  <c r="G27" i="63"/>
  <c r="G62"/>
  <c r="Q62" s="1"/>
  <c r="G42" i="59"/>
  <c r="Q42" s="1"/>
  <c r="E12" i="71"/>
  <c r="G10" i="58"/>
  <c r="Q64" i="62"/>
  <c r="G38" i="63"/>
  <c r="G73"/>
  <c r="Q73" s="1"/>
  <c r="G61" i="65"/>
  <c r="F56" i="71"/>
  <c r="Q29" i="59" s="1"/>
  <c r="F55" i="71"/>
  <c r="Q28" i="59" s="1"/>
  <c r="B59" i="72"/>
  <c r="E17" i="71"/>
  <c r="F18" s="1"/>
  <c r="F19" s="1"/>
  <c r="Q16" i="58" s="1"/>
  <c r="B7" i="72"/>
  <c r="B6" s="1"/>
  <c r="D42" i="54"/>
  <c r="D41" s="1"/>
  <c r="G6" i="64"/>
  <c r="E40" i="71"/>
  <c r="F43" s="1"/>
  <c r="Q19" i="59" s="1"/>
  <c r="F41" i="71"/>
  <c r="G19" i="63"/>
  <c r="G54"/>
  <c r="G81" i="70"/>
  <c r="Q81" s="1"/>
  <c r="I65" i="69" s="1"/>
  <c r="G54" i="62"/>
  <c r="G52" i="59"/>
  <c r="Q52" s="1"/>
  <c r="G20" i="58"/>
  <c r="Q20" s="1"/>
  <c r="G65" i="63"/>
  <c r="Q65" s="1"/>
  <c r="G30"/>
  <c r="Q33" i="65"/>
  <c r="G71" i="63"/>
  <c r="Q71" s="1"/>
  <c r="G36"/>
  <c r="Q17" i="59"/>
  <c r="Q27"/>
  <c r="Q15" i="58"/>
  <c r="Q21"/>
  <c r="G17"/>
  <c r="Q17" s="1"/>
  <c r="G49" i="59"/>
  <c r="Q49" s="1"/>
  <c r="E21" i="71"/>
  <c r="E20" s="1"/>
  <c r="F21" s="1"/>
  <c r="G184" i="64"/>
  <c r="Q184" s="1"/>
  <c r="G111"/>
  <c r="Q7" i="70"/>
  <c r="G24" i="59"/>
  <c r="E50" i="71"/>
  <c r="G9" i="62"/>
  <c r="G36" i="70"/>
  <c r="Q12" i="58"/>
  <c r="E126" i="69" s="1"/>
  <c r="B103" i="72"/>
  <c r="B102" s="1"/>
  <c r="G10" i="62"/>
  <c r="Q10" s="1"/>
  <c r="G37" i="70"/>
  <c r="G13" i="59"/>
  <c r="E35" i="71"/>
  <c r="E34" s="1"/>
  <c r="F35" s="1"/>
  <c r="G73" i="62"/>
  <c r="G100" i="70"/>
  <c r="Q100" s="1"/>
  <c r="I345" i="69" s="1"/>
  <c r="B28" i="72"/>
  <c r="B27" s="1"/>
  <c r="G59" i="70"/>
  <c r="Q59" s="1"/>
  <c r="I34" i="69" s="1"/>
  <c r="G32" i="62"/>
  <c r="G18" i="70"/>
  <c r="G44" i="65"/>
  <c r="Q44" s="1"/>
  <c r="E59" i="71"/>
  <c r="E58" s="1"/>
  <c r="F59" s="1"/>
  <c r="G31" i="59"/>
  <c r="Q31" s="1"/>
  <c r="G21"/>
  <c r="E46" i="71"/>
  <c r="G16" i="59"/>
  <c r="E39" i="71"/>
  <c r="G8" i="58"/>
  <c r="G40" i="59"/>
  <c r="Q40" s="1"/>
  <c r="E9" i="71"/>
  <c r="G72" i="63"/>
  <c r="Q72" s="1"/>
  <c r="G37"/>
  <c r="G14" i="59"/>
  <c r="E37" i="71"/>
  <c r="G84" i="70"/>
  <c r="Q84" s="1"/>
  <c r="I84" i="69" s="1"/>
  <c r="G57" i="62"/>
  <c r="G18" i="58"/>
  <c r="E23" i="71"/>
  <c r="G50" i="59"/>
  <c r="Q50" s="1"/>
  <c r="F57" i="71"/>
  <c r="Q30" i="59" s="1"/>
  <c r="Q11"/>
  <c r="F42" i="71"/>
  <c r="Q18" i="59" s="1"/>
  <c r="F60" i="71"/>
  <c r="Q32" i="59" s="1"/>
  <c r="G68" i="70" l="1"/>
  <c r="Q68" s="1"/>
  <c r="I69" i="69" s="1"/>
  <c r="G41" i="62"/>
  <c r="G75" i="70"/>
  <c r="Q75" s="1"/>
  <c r="I59" i="69" s="1"/>
  <c r="G48" i="62"/>
  <c r="G68" i="63"/>
  <c r="Q68" s="1"/>
  <c r="G33"/>
  <c r="E24" i="71"/>
  <c r="E22" s="1"/>
  <c r="F23" s="1"/>
  <c r="F24" s="1"/>
  <c r="G51" i="59"/>
  <c r="Q51" s="1"/>
  <c r="G19" i="58"/>
  <c r="Q19" s="1"/>
  <c r="G57" i="70"/>
  <c r="Q57" s="1"/>
  <c r="I32" i="69" s="1"/>
  <c r="G30" i="62"/>
  <c r="G51" i="70"/>
  <c r="Q51" s="1"/>
  <c r="I76" i="69" s="1"/>
  <c r="G24" i="62"/>
  <c r="I392" i="69"/>
  <c r="G64" i="70"/>
  <c r="Q64" s="1"/>
  <c r="I41" i="69" s="1"/>
  <c r="G37" i="62"/>
  <c r="G42"/>
  <c r="G69" i="70"/>
  <c r="Q69" s="1"/>
  <c r="I70" i="69" s="1"/>
  <c r="M392"/>
  <c r="G11" i="58"/>
  <c r="Q11" s="1"/>
  <c r="G43" i="59"/>
  <c r="Q43" s="1"/>
  <c r="E13" i="71"/>
  <c r="E11" s="1"/>
  <c r="F12" s="1"/>
  <c r="F13" s="1"/>
  <c r="J362" i="69"/>
  <c r="B5" i="72"/>
  <c r="G71" i="70"/>
  <c r="Q71" s="1"/>
  <c r="I53" i="69" s="1"/>
  <c r="G44" i="62"/>
  <c r="Q44" s="1"/>
  <c r="E66" i="71"/>
  <c r="E65" s="1"/>
  <c r="F66" s="1"/>
  <c r="G37" i="59"/>
  <c r="Q37" s="1"/>
  <c r="G72" i="70"/>
  <c r="Q72" s="1"/>
  <c r="I56" i="69" s="1"/>
  <c r="G45" i="62"/>
  <c r="E36" i="71"/>
  <c r="F38" s="1"/>
  <c r="Q15" i="59" s="1"/>
  <c r="G10" i="70"/>
  <c r="G36" i="65"/>
  <c r="G52" i="62"/>
  <c r="G79" i="70"/>
  <c r="Q79" s="1"/>
  <c r="I63" i="69" s="1"/>
  <c r="G26" i="59"/>
  <c r="E52" i="71"/>
  <c r="E49" s="1"/>
  <c r="F51" s="1"/>
  <c r="Q25" i="59" s="1"/>
  <c r="Q9" i="62"/>
  <c r="G25"/>
  <c r="G7" s="1"/>
  <c r="G52" i="70"/>
  <c r="Q52" s="1"/>
  <c r="I77" i="69" s="1"/>
  <c r="G53" i="62"/>
  <c r="G80" i="70"/>
  <c r="Q80" s="1"/>
  <c r="I64" i="69" s="1"/>
  <c r="G43" i="63"/>
  <c r="G8"/>
  <c r="G60" i="65"/>
  <c r="D56" i="54" s="1"/>
  <c r="Q13" i="59"/>
  <c r="G55" i="63"/>
  <c r="G20"/>
  <c r="G69"/>
  <c r="Q69" s="1"/>
  <c r="G34"/>
  <c r="G36" i="66"/>
  <c r="G7" i="65"/>
  <c r="Q18" i="58"/>
  <c r="G34" i="70"/>
  <c r="D26" i="54" s="1"/>
  <c r="Q24" i="59"/>
  <c r="F61" i="71"/>
  <c r="Q33" i="59" s="1"/>
  <c r="E45" i="71"/>
  <c r="F47" s="1"/>
  <c r="Q22" i="59" s="1"/>
  <c r="F50" i="71"/>
  <c r="F52" s="1"/>
  <c r="Q26" i="59" s="1"/>
  <c r="F44" i="71"/>
  <c r="Q20" i="59" s="1"/>
  <c r="Q10" i="58"/>
  <c r="D31" i="54" l="1"/>
  <c r="G105" i="64"/>
  <c r="G178"/>
  <c r="G7" i="63"/>
  <c r="Q36" i="65"/>
  <c r="G32"/>
  <c r="D55" i="54" s="1"/>
  <c r="G35" i="66"/>
  <c r="D59" i="54" s="1"/>
  <c r="Q36" i="66"/>
  <c r="G6" i="65"/>
  <c r="F46" i="71"/>
  <c r="F37"/>
  <c r="E30"/>
  <c r="G7" i="59"/>
  <c r="G7" i="66"/>
  <c r="G72" i="62"/>
  <c r="G99" i="70"/>
  <c r="G42" i="63"/>
  <c r="Q43"/>
  <c r="G6" i="70"/>
  <c r="F62" i="71"/>
  <c r="Q34" i="59" s="1"/>
  <c r="D392" i="69"/>
  <c r="I191" i="26" s="1"/>
  <c r="D39" i="54" l="1"/>
  <c r="D38" s="1"/>
  <c r="G41" i="63"/>
  <c r="G19" i="61"/>
  <c r="G18" i="60"/>
  <c r="G33" s="1"/>
  <c r="G9"/>
  <c r="G10" i="61"/>
  <c r="G24"/>
  <c r="G8"/>
  <c r="G7" i="60"/>
  <c r="G39" i="59"/>
  <c r="E8" i="71"/>
  <c r="G7" i="58"/>
  <c r="G63" i="62"/>
  <c r="Q99" i="70"/>
  <c r="I344" i="69" s="1"/>
  <c r="G90" i="70"/>
  <c r="D27" i="54" s="1"/>
  <c r="G6" i="66"/>
  <c r="Q7"/>
  <c r="G12" i="61"/>
  <c r="G11" i="60"/>
  <c r="G17"/>
  <c r="G18" i="61"/>
  <c r="F48" i="71"/>
  <c r="Q23" i="59" s="1"/>
  <c r="Q21"/>
  <c r="D54" i="54"/>
  <c r="D53" s="1"/>
  <c r="G5" i="65"/>
  <c r="G6" i="63"/>
  <c r="G5" s="1"/>
  <c r="D37" i="54"/>
  <c r="D36" s="1"/>
  <c r="D35" s="1"/>
  <c r="G104" i="64"/>
  <c r="G9" i="61"/>
  <c r="G8" i="60"/>
  <c r="D25" i="54"/>
  <c r="E29" i="71"/>
  <c r="E28" s="1"/>
  <c r="G14" i="61"/>
  <c r="G13" i="60"/>
  <c r="G28" s="1"/>
  <c r="G16"/>
  <c r="G17" i="61"/>
  <c r="G13"/>
  <c r="G122" i="70"/>
  <c r="G25" i="61"/>
  <c r="G12" i="60"/>
  <c r="N400" i="69"/>
  <c r="G177" i="64"/>
  <c r="Q178"/>
  <c r="Q177" s="1"/>
  <c r="G15" i="60"/>
  <c r="G16" i="61"/>
  <c r="G15" s="1"/>
  <c r="D18" i="54" s="1"/>
  <c r="C30" i="26"/>
  <c r="C204"/>
  <c r="C160"/>
  <c r="C176"/>
  <c r="C27"/>
  <c r="C79"/>
  <c r="C130"/>
  <c r="C126"/>
  <c r="C86"/>
  <c r="G6" i="59"/>
  <c r="F39" i="71"/>
  <c r="Q16" i="59" s="1"/>
  <c r="Q14"/>
  <c r="G10" i="60"/>
  <c r="G25" s="1"/>
  <c r="G11" i="61"/>
  <c r="C137" i="26"/>
  <c r="C56"/>
  <c r="C207"/>
  <c r="C67"/>
  <c r="C201"/>
  <c r="C99"/>
  <c r="C69"/>
  <c r="C74"/>
  <c r="C35"/>
  <c r="C177"/>
  <c r="C102"/>
  <c r="C181"/>
  <c r="C161"/>
  <c r="C193"/>
  <c r="C94"/>
  <c r="C9"/>
  <c r="C202"/>
  <c r="C26"/>
  <c r="C17"/>
  <c r="C75"/>
  <c r="C187"/>
  <c r="C134"/>
  <c r="C192"/>
  <c r="C54"/>
  <c r="C29"/>
  <c r="C15"/>
  <c r="C38"/>
  <c r="C155"/>
  <c r="C200"/>
  <c r="C203"/>
  <c r="C58"/>
  <c r="C62"/>
  <c r="C158"/>
  <c r="C105"/>
  <c r="C72"/>
  <c r="C76"/>
  <c r="C10"/>
  <c r="C179"/>
  <c r="C107"/>
  <c r="C91"/>
  <c r="C13"/>
  <c r="C57"/>
  <c r="C135"/>
  <c r="C198"/>
  <c r="C104"/>
  <c r="D10" i="54" l="1"/>
  <c r="I51"/>
  <c r="I49" s="1"/>
  <c r="F140" i="53" s="1"/>
  <c r="Q152" i="64"/>
  <c r="G116" i="70"/>
  <c r="G128"/>
  <c r="C84" i="26"/>
  <c r="C43"/>
  <c r="C144"/>
  <c r="C197"/>
  <c r="C82"/>
  <c r="C63"/>
  <c r="C71"/>
  <c r="C20"/>
  <c r="C92"/>
  <c r="C169"/>
  <c r="C129"/>
  <c r="C153"/>
  <c r="C175"/>
  <c r="C23"/>
  <c r="C190"/>
  <c r="C112"/>
  <c r="C156"/>
  <c r="C11"/>
  <c r="C127"/>
  <c r="C83"/>
  <c r="C32"/>
  <c r="C93"/>
  <c r="C34"/>
  <c r="C182"/>
  <c r="C114"/>
  <c r="C41"/>
  <c r="C61"/>
  <c r="C115"/>
  <c r="C189"/>
  <c r="C98"/>
  <c r="C139"/>
  <c r="C119"/>
  <c r="C154"/>
  <c r="C14"/>
  <c r="C8"/>
  <c r="G30" i="60"/>
  <c r="G14"/>
  <c r="D14" i="54" s="1"/>
  <c r="G38" i="59"/>
  <c r="D11" i="54" s="1"/>
  <c r="D9" s="1"/>
  <c r="Q39" i="59"/>
  <c r="C40" i="26"/>
  <c r="C78"/>
  <c r="C55"/>
  <c r="C212"/>
  <c r="C33"/>
  <c r="C51"/>
  <c r="C146"/>
  <c r="C66"/>
  <c r="C52"/>
  <c r="C44"/>
  <c r="G31" i="60"/>
  <c r="C24" i="26"/>
  <c r="C108"/>
  <c r="C118"/>
  <c r="C145"/>
  <c r="C53"/>
  <c r="C59"/>
  <c r="C19"/>
  <c r="C45"/>
  <c r="C121"/>
  <c r="C73"/>
  <c r="C165"/>
  <c r="G23" i="60"/>
  <c r="G26"/>
  <c r="C141" i="26"/>
  <c r="C213"/>
  <c r="C199"/>
  <c r="C138"/>
  <c r="C47"/>
  <c r="C157"/>
  <c r="C60"/>
  <c r="C46"/>
  <c r="C116"/>
  <c r="C68"/>
  <c r="G23" i="61"/>
  <c r="D47" i="54"/>
  <c r="D46" s="1"/>
  <c r="D40" s="1"/>
  <c r="G103" i="64"/>
  <c r="D58" i="54"/>
  <c r="D57" s="1"/>
  <c r="G5" i="66"/>
  <c r="E7" i="71"/>
  <c r="F8" s="1"/>
  <c r="C208" i="26"/>
  <c r="C206" s="1"/>
  <c r="C103"/>
  <c r="C89"/>
  <c r="C216"/>
  <c r="C188"/>
  <c r="C178"/>
  <c r="C152"/>
  <c r="C101"/>
  <c r="C128"/>
  <c r="C218"/>
  <c r="G27" i="60"/>
  <c r="F30" i="71"/>
  <c r="C166" i="26"/>
  <c r="C191"/>
  <c r="C100"/>
  <c r="C209"/>
  <c r="C194"/>
  <c r="C16"/>
  <c r="C217"/>
  <c r="C28"/>
  <c r="C70"/>
  <c r="C211"/>
  <c r="C106"/>
  <c r="G32" i="60"/>
  <c r="C90" i="26"/>
  <c r="C133"/>
  <c r="C151"/>
  <c r="C123"/>
  <c r="C219"/>
  <c r="C39"/>
  <c r="C37" s="1"/>
  <c r="C173"/>
  <c r="C88"/>
  <c r="C113"/>
  <c r="C12"/>
  <c r="C97"/>
  <c r="C96" s="1"/>
  <c r="G7" i="61"/>
  <c r="D51" i="54"/>
  <c r="D49" s="1"/>
  <c r="G152" i="64"/>
  <c r="N4" i="69"/>
  <c r="D32" i="54"/>
  <c r="D30" s="1"/>
  <c r="D29" s="1"/>
  <c r="G6" i="62"/>
  <c r="G5" s="1"/>
  <c r="G6" i="58"/>
  <c r="G22" i="60"/>
  <c r="G6"/>
  <c r="C172" i="26"/>
  <c r="C159"/>
  <c r="C31"/>
  <c r="C120"/>
  <c r="C171"/>
  <c r="C124"/>
  <c r="C77"/>
  <c r="C25"/>
  <c r="C180"/>
  <c r="C150"/>
  <c r="C136"/>
  <c r="C85"/>
  <c r="C18"/>
  <c r="C48"/>
  <c r="C87"/>
  <c r="C125"/>
  <c r="C142"/>
  <c r="C170"/>
  <c r="C149"/>
  <c r="C210"/>
  <c r="C185"/>
  <c r="C163"/>
  <c r="C164"/>
  <c r="C117"/>
  <c r="C143"/>
  <c r="C140"/>
  <c r="C111"/>
  <c r="C174"/>
  <c r="C186"/>
  <c r="C122"/>
  <c r="C42"/>
  <c r="G24" i="60"/>
  <c r="Q7" i="58" l="1"/>
  <c r="E121" i="69" s="1"/>
  <c r="G5" i="60"/>
  <c r="D13" i="54"/>
  <c r="D12" s="1"/>
  <c r="D7"/>
  <c r="D6" s="1"/>
  <c r="G5" i="58"/>
  <c r="G6" i="61"/>
  <c r="D17" i="54"/>
  <c r="F31" i="71"/>
  <c r="Q8" i="59" s="1"/>
  <c r="Q7"/>
  <c r="D21" i="54"/>
  <c r="D20" s="1"/>
  <c r="G22" i="61"/>
  <c r="D28" i="54"/>
  <c r="D24" s="1"/>
  <c r="G5" i="70"/>
  <c r="C184" i="26"/>
  <c r="C110"/>
  <c r="C148"/>
  <c r="C215"/>
  <c r="G5" i="64"/>
  <c r="C65" i="26"/>
  <c r="C22"/>
  <c r="C168"/>
  <c r="C196"/>
  <c r="C7"/>
  <c r="C81"/>
  <c r="G5" i="59"/>
  <c r="D4" i="69"/>
  <c r="F139" i="53"/>
  <c r="F195" i="55"/>
  <c r="G21" i="60"/>
  <c r="C132" i="26"/>
  <c r="C50"/>
  <c r="G29" i="60"/>
  <c r="E6" i="71"/>
  <c r="F9"/>
  <c r="Q8" i="58" s="1"/>
  <c r="F121" i="69"/>
  <c r="C5" i="26" l="1"/>
  <c r="F10" i="71"/>
  <c r="Q9" i="58" s="1"/>
  <c r="Q6" s="1"/>
  <c r="D121" i="69"/>
  <c r="G5" i="61"/>
  <c r="F90" i="69"/>
  <c r="Q6" i="59"/>
  <c r="F189" i="55"/>
  <c r="F188" s="1"/>
  <c r="E39" i="57" s="1"/>
  <c r="F194" i="55"/>
  <c r="I8" i="26"/>
  <c r="D76" i="54"/>
  <c r="D86"/>
  <c r="D80"/>
  <c r="D81"/>
  <c r="D77"/>
  <c r="D79"/>
  <c r="D82"/>
  <c r="D84"/>
  <c r="D83"/>
  <c r="D75"/>
  <c r="D73"/>
  <c r="D87"/>
  <c r="D78"/>
  <c r="D16"/>
  <c r="D15" s="1"/>
  <c r="D5" s="1"/>
  <c r="D85"/>
  <c r="D74"/>
  <c r="E375" i="71" l="1"/>
  <c r="E374" s="1"/>
  <c r="F375" s="1"/>
  <c r="Q55" i="66" s="1"/>
  <c r="N424" i="69" s="1"/>
  <c r="E164" i="71"/>
  <c r="E129"/>
  <c r="E345"/>
  <c r="E344" s="1"/>
  <c r="F345" s="1"/>
  <c r="E348"/>
  <c r="E255"/>
  <c r="E113"/>
  <c r="E114"/>
  <c r="E251"/>
  <c r="E117"/>
  <c r="E262"/>
  <c r="E261" s="1"/>
  <c r="F262" s="1"/>
  <c r="E207"/>
  <c r="E257"/>
  <c r="E227"/>
  <c r="E306"/>
  <c r="E210"/>
  <c r="E354"/>
  <c r="E187"/>
  <c r="E355"/>
  <c r="E132"/>
  <c r="E134"/>
  <c r="D90" i="69"/>
  <c r="D72" i="54"/>
  <c r="E189" i="71"/>
  <c r="E314"/>
  <c r="E334"/>
  <c r="E333" s="1"/>
  <c r="F334" s="1"/>
  <c r="E184"/>
  <c r="E177"/>
  <c r="E365"/>
  <c r="E324"/>
  <c r="E336"/>
  <c r="E335" s="1"/>
  <c r="F336" s="1"/>
  <c r="E190"/>
  <c r="E318"/>
  <c r="E317" s="1"/>
  <c r="F318" s="1"/>
  <c r="Q58" i="65" s="1"/>
  <c r="M390" i="69" s="1"/>
  <c r="D390" s="1"/>
  <c r="E171" i="71"/>
  <c r="E269"/>
  <c r="E151"/>
  <c r="E379"/>
  <c r="E201"/>
  <c r="E358"/>
  <c r="E352"/>
  <c r="E341"/>
  <c r="E368"/>
  <c r="E297"/>
  <c r="E241"/>
  <c r="E128"/>
  <c r="E118"/>
  <c r="E167"/>
  <c r="E166" s="1"/>
  <c r="F167" s="1"/>
  <c r="Q39" i="62" s="1"/>
  <c r="J37" i="69" s="1"/>
  <c r="D37" s="1"/>
  <c r="E194" i="71"/>
  <c r="I10" i="54"/>
  <c r="E289" i="71"/>
  <c r="E203"/>
  <c r="E325"/>
  <c r="E378"/>
  <c r="E200"/>
  <c r="E343"/>
  <c r="E342" s="1"/>
  <c r="F343" s="1"/>
  <c r="E130"/>
  <c r="E288"/>
  <c r="E315"/>
  <c r="E294"/>
  <c r="E188"/>
  <c r="E283"/>
  <c r="E282" s="1"/>
  <c r="F283" s="1"/>
  <c r="Q151" i="64" s="1"/>
  <c r="E219" i="71"/>
  <c r="E349"/>
  <c r="E158"/>
  <c r="E147"/>
  <c r="E135"/>
  <c r="E211"/>
  <c r="E360"/>
  <c r="E303"/>
  <c r="E316"/>
  <c r="E110"/>
  <c r="E252"/>
  <c r="E292"/>
  <c r="E373"/>
  <c r="E298"/>
  <c r="E361"/>
  <c r="E250"/>
  <c r="E381"/>
  <c r="E218"/>
  <c r="E160"/>
  <c r="E276"/>
  <c r="E244"/>
  <c r="E364"/>
  <c r="E178"/>
  <c r="E202"/>
  <c r="E107"/>
  <c r="E106" s="1"/>
  <c r="F107" s="1"/>
  <c r="E338"/>
  <c r="E337" s="1"/>
  <c r="F338" s="1"/>
  <c r="E223"/>
  <c r="E163"/>
  <c r="E131"/>
  <c r="E153"/>
  <c r="E152" s="1"/>
  <c r="F153" s="1"/>
  <c r="Q27" i="62" s="1"/>
  <c r="J49" i="69" s="1"/>
  <c r="D49" s="1"/>
  <c r="E380" i="71"/>
  <c r="E293"/>
  <c r="E311"/>
  <c r="E359"/>
  <c r="E146"/>
  <c r="E183"/>
  <c r="E310"/>
  <c r="E148"/>
  <c r="E372"/>
  <c r="E271"/>
  <c r="E270" s="1"/>
  <c r="F271" s="1"/>
  <c r="E206"/>
  <c r="E332"/>
  <c r="E222"/>
  <c r="E353"/>
  <c r="Q5" i="58"/>
  <c r="I7" i="54"/>
  <c r="E138" i="71" l="1"/>
  <c r="E137" s="1"/>
  <c r="F138" s="1"/>
  <c r="Q91" i="70" s="1"/>
  <c r="E351" i="71"/>
  <c r="E350" s="1"/>
  <c r="F351" s="1"/>
  <c r="E347"/>
  <c r="E260"/>
  <c r="E116"/>
  <c r="E155"/>
  <c r="E154" s="1"/>
  <c r="F155" s="1"/>
  <c r="Q29" i="62" s="1"/>
  <c r="J55" i="69" s="1"/>
  <c r="D55" s="1"/>
  <c r="E357" i="71"/>
  <c r="E356" s="1"/>
  <c r="F357" s="1"/>
  <c r="F378"/>
  <c r="Q57" i="66" s="1"/>
  <c r="N415" i="69" s="1"/>
  <c r="E122" i="71"/>
  <c r="E121" s="1"/>
  <c r="F122" s="1"/>
  <c r="E320"/>
  <c r="E319" s="1"/>
  <c r="F320" s="1"/>
  <c r="E268"/>
  <c r="E267" s="1"/>
  <c r="F268" s="1"/>
  <c r="E377"/>
  <c r="E376" s="1"/>
  <c r="F377" s="1"/>
  <c r="E363"/>
  <c r="E331"/>
  <c r="E330" s="1"/>
  <c r="F331" s="1"/>
  <c r="E296"/>
  <c r="E305"/>
  <c r="E304" s="1"/>
  <c r="F305" s="1"/>
  <c r="E371"/>
  <c r="E209"/>
  <c r="E280"/>
  <c r="E279" s="1"/>
  <c r="F280" s="1"/>
  <c r="Q131" i="64" s="1"/>
  <c r="L328" i="69" s="1"/>
  <c r="D328" s="1"/>
  <c r="I159" i="26" s="1"/>
  <c r="E215" i="71"/>
  <c r="E238"/>
  <c r="F360"/>
  <c r="Q28" i="66" s="1"/>
  <c r="N25" i="69" s="1"/>
  <c r="D25" s="1"/>
  <c r="F380" i="71"/>
  <c r="Q59" i="66" s="1"/>
  <c r="N417" i="69" s="1"/>
  <c r="L355"/>
  <c r="D355" s="1"/>
  <c r="Q148" i="64"/>
  <c r="I48" i="54" s="1"/>
  <c r="E145" i="71"/>
  <c r="E109"/>
  <c r="E108" s="1"/>
  <c r="F109" s="1"/>
  <c r="E249"/>
  <c r="E248" s="1"/>
  <c r="F249" s="1"/>
  <c r="I6" i="54"/>
  <c r="E309" i="71"/>
  <c r="E367"/>
  <c r="E366" s="1"/>
  <c r="F367" s="1"/>
  <c r="E256"/>
  <c r="E149"/>
  <c r="E205"/>
  <c r="E240"/>
  <c r="E239" s="1"/>
  <c r="F240" s="1"/>
  <c r="E302"/>
  <c r="E301" s="1"/>
  <c r="F302" s="1"/>
  <c r="E99"/>
  <c r="E98" s="1"/>
  <c r="F99" s="1"/>
  <c r="Q21" i="61" s="1"/>
  <c r="E300" i="71"/>
  <c r="E299" s="1"/>
  <c r="F300" s="1"/>
  <c r="Q17" i="65" s="1"/>
  <c r="M410" i="69" s="1"/>
  <c r="E182" i="71"/>
  <c r="F359"/>
  <c r="Q27" i="66" s="1"/>
  <c r="N24" i="69" s="1"/>
  <c r="D24" s="1"/>
  <c r="F250" i="71"/>
  <c r="Q14" i="64" s="1"/>
  <c r="L245" i="69" s="1"/>
  <c r="D245" s="1"/>
  <c r="F352" i="71"/>
  <c r="Q21" i="66" s="1"/>
  <c r="N18" i="69" s="1"/>
  <c r="D18" s="1"/>
  <c r="E264" i="71"/>
  <c r="E263" s="1"/>
  <c r="F264" s="1"/>
  <c r="Q33" i="64" s="1"/>
  <c r="L264" i="69" s="1"/>
  <c r="D264" s="1"/>
  <c r="E176" i="71"/>
  <c r="E71"/>
  <c r="E70" s="1"/>
  <c r="F71" s="1"/>
  <c r="Q54" i="59" s="1"/>
  <c r="E313" i="71"/>
  <c r="E312" s="1"/>
  <c r="F313" s="1"/>
  <c r="E259"/>
  <c r="E258" s="1"/>
  <c r="F259" s="1"/>
  <c r="E291"/>
  <c r="E290" s="1"/>
  <c r="F291" s="1"/>
  <c r="E170"/>
  <c r="E181"/>
  <c r="E254"/>
  <c r="E253" s="1"/>
  <c r="F254" s="1"/>
  <c r="E243"/>
  <c r="E242" s="1"/>
  <c r="F243" s="1"/>
  <c r="E340"/>
  <c r="E339" s="1"/>
  <c r="F340" s="1"/>
  <c r="F353"/>
  <c r="Q22" i="66" s="1"/>
  <c r="N19" i="69" s="1"/>
  <c r="D19" s="1"/>
  <c r="F292" i="71"/>
  <c r="Q11" i="65" s="1"/>
  <c r="M404" i="69" s="1"/>
  <c r="F379" i="71"/>
  <c r="Q58" i="66" s="1"/>
  <c r="N416" i="69" s="1"/>
  <c r="E133" i="71"/>
  <c r="F134" s="1"/>
  <c r="F354"/>
  <c r="Q23" i="66" s="1"/>
  <c r="N20" i="69" s="1"/>
  <c r="D20" s="1"/>
  <c r="F251" i="71"/>
  <c r="Q15" i="64" s="1"/>
  <c r="L246" i="69" s="1"/>
  <c r="D246" s="1"/>
  <c r="Q17" i="64" l="1"/>
  <c r="L248" i="69" s="1"/>
  <c r="D248" s="1"/>
  <c r="Q10" i="65"/>
  <c r="M403" i="69" s="1"/>
  <c r="F303" i="71"/>
  <c r="Q20" i="65" s="1"/>
  <c r="M413" i="69" s="1"/>
  <c r="Q19" i="65"/>
  <c r="M412" i="69" s="1"/>
  <c r="E308" i="71"/>
  <c r="F310" s="1"/>
  <c r="Q52" i="65" s="1"/>
  <c r="M394" i="69" s="1"/>
  <c r="D394" s="1"/>
  <c r="F309" i="71"/>
  <c r="F252"/>
  <c r="Q16" i="64" s="1"/>
  <c r="L247" i="69" s="1"/>
  <c r="D247" s="1"/>
  <c r="Q13" i="64"/>
  <c r="E150" i="71"/>
  <c r="E162"/>
  <c r="F209"/>
  <c r="E208"/>
  <c r="F210" s="1"/>
  <c r="Q17" i="63" s="1"/>
  <c r="K215" i="69" s="1"/>
  <c r="D215" s="1"/>
  <c r="F306" i="71"/>
  <c r="Q22" i="65" s="1"/>
  <c r="M423" i="69" s="1"/>
  <c r="Q21" i="65"/>
  <c r="M422" i="69" s="1"/>
  <c r="E295" i="71"/>
  <c r="F297" s="1"/>
  <c r="Q15" i="65" s="1"/>
  <c r="M408" i="69" s="1"/>
  <c r="F296" i="71"/>
  <c r="F332"/>
  <c r="Q9" i="66" s="1"/>
  <c r="N6" i="69" s="1"/>
  <c r="D6" s="1"/>
  <c r="Q8" i="66"/>
  <c r="F381" i="71"/>
  <c r="Q60" i="66" s="1"/>
  <c r="N418" i="69" s="1"/>
  <c r="Q56" i="66"/>
  <c r="N414" i="69" s="1"/>
  <c r="E69" i="71"/>
  <c r="E68" s="1"/>
  <c r="F69" s="1"/>
  <c r="F341"/>
  <c r="Q14" i="66" s="1"/>
  <c r="N11" i="69" s="1"/>
  <c r="D11" s="1"/>
  <c r="Q13" i="66"/>
  <c r="N10" i="69" s="1"/>
  <c r="D10" s="1"/>
  <c r="I13" i="26" s="1"/>
  <c r="F244" i="71"/>
  <c r="Q60" i="63" s="1"/>
  <c r="K223" i="69" s="1"/>
  <c r="D223" s="1"/>
  <c r="Q59" i="63"/>
  <c r="K222" i="69" s="1"/>
  <c r="D222" s="1"/>
  <c r="I102" i="26" s="1"/>
  <c r="F260" i="71"/>
  <c r="Q23" i="64" s="1"/>
  <c r="L254" i="69" s="1"/>
  <c r="D254" s="1"/>
  <c r="Q22" i="64"/>
  <c r="L253" i="69" s="1"/>
  <c r="D253" s="1"/>
  <c r="I118" i="26" s="1"/>
  <c r="E120" i="71"/>
  <c r="E119" s="1"/>
  <c r="F120" s="1"/>
  <c r="Q18" i="70" s="1"/>
  <c r="I382" i="69" s="1"/>
  <c r="L20" i="66"/>
  <c r="L23"/>
  <c r="L62" i="65"/>
  <c r="L33" i="66"/>
  <c r="L24"/>
  <c r="L82" i="70"/>
  <c r="L8" i="66"/>
  <c r="L53" i="62"/>
  <c r="L35" i="70"/>
  <c r="L12" i="66"/>
  <c r="N9" i="69" s="1"/>
  <c r="D9" s="1"/>
  <c r="I12" i="26" s="1"/>
  <c r="L15" i="66"/>
  <c r="N12" i="69" s="1"/>
  <c r="D12" s="1"/>
  <c r="I14" i="26" s="1"/>
  <c r="L35" i="62"/>
  <c r="L83" i="70"/>
  <c r="L61" i="62"/>
  <c r="L17"/>
  <c r="J50" i="69" s="1"/>
  <c r="L32" i="66"/>
  <c r="L54" i="62"/>
  <c r="L62"/>
  <c r="L9"/>
  <c r="J52" i="69" s="1"/>
  <c r="L25" i="66"/>
  <c r="L71" i="70"/>
  <c r="L72"/>
  <c r="L89"/>
  <c r="L21" i="66"/>
  <c r="L32" i="62"/>
  <c r="L28" i="66"/>
  <c r="L81" i="70"/>
  <c r="L34" i="66"/>
  <c r="L31" i="62"/>
  <c r="L39"/>
  <c r="L43" i="70"/>
  <c r="L79"/>
  <c r="L37"/>
  <c r="L27" i="66"/>
  <c r="L78" i="70"/>
  <c r="L47"/>
  <c r="L64"/>
  <c r="L52"/>
  <c r="L49" i="62"/>
  <c r="L42"/>
  <c r="L16" i="66"/>
  <c r="N13" i="69" s="1"/>
  <c r="D13" s="1"/>
  <c r="I15" i="26" s="1"/>
  <c r="L55" i="62"/>
  <c r="L39" i="70"/>
  <c r="L45"/>
  <c r="L18" i="66"/>
  <c r="L38" i="62"/>
  <c r="J36" i="69" s="1"/>
  <c r="D36" s="1"/>
  <c r="I24" i="26" s="1"/>
  <c r="L43" i="62"/>
  <c r="L87" i="70"/>
  <c r="L51" i="62"/>
  <c r="J62" i="69" s="1"/>
  <c r="D62" s="1"/>
  <c r="L29" i="66"/>
  <c r="L58" i="62"/>
  <c r="L30" i="66"/>
  <c r="L54" i="70"/>
  <c r="L10" i="66"/>
  <c r="N7" i="69" s="1"/>
  <c r="D7" s="1"/>
  <c r="I10" i="26" s="1"/>
  <c r="L9" i="66"/>
  <c r="L13"/>
  <c r="L33" i="62"/>
  <c r="L36" i="70"/>
  <c r="L85"/>
  <c r="L28" i="62"/>
  <c r="J54" i="69" s="1"/>
  <c r="D54" s="1"/>
  <c r="I29" i="26" s="1"/>
  <c r="L68" i="70"/>
  <c r="L42"/>
  <c r="C6" i="26"/>
  <c r="L29" i="62"/>
  <c r="L76" i="70"/>
  <c r="L16" i="62"/>
  <c r="J48" i="69" s="1"/>
  <c r="L84" i="70"/>
  <c r="L57" i="62"/>
  <c r="L67" i="70"/>
  <c r="L48" i="62"/>
  <c r="L14" i="66"/>
  <c r="L17"/>
  <c r="L11"/>
  <c r="N8" i="69" s="1"/>
  <c r="D8" s="1"/>
  <c r="I11" i="26" s="1"/>
  <c r="L56" i="70"/>
  <c r="L63" i="65"/>
  <c r="L24" i="62"/>
  <c r="L55" i="70"/>
  <c r="L59" i="62"/>
  <c r="J86" i="69" s="1"/>
  <c r="D86" s="1"/>
  <c r="L21" i="62"/>
  <c r="L26"/>
  <c r="L60" i="70"/>
  <c r="L40"/>
  <c r="L19" i="62"/>
  <c r="J79" i="69" s="1"/>
  <c r="L7" i="66"/>
  <c r="L20" i="62"/>
  <c r="L38" i="70"/>
  <c r="L37" i="62"/>
  <c r="L65" i="70"/>
  <c r="L61"/>
  <c r="L13" i="62"/>
  <c r="J45" i="69" s="1"/>
  <c r="L12" i="62"/>
  <c r="J44" i="69" s="1"/>
  <c r="L14" i="62"/>
  <c r="J46" i="69" s="1"/>
  <c r="D46" s="1"/>
  <c r="L46" i="62"/>
  <c r="J57" i="69" s="1"/>
  <c r="D57" s="1"/>
  <c r="L34" i="62"/>
  <c r="L52"/>
  <c r="L48" i="70"/>
  <c r="D5" i="39"/>
  <c r="D11" s="1"/>
  <c r="L51" i="70"/>
  <c r="L44"/>
  <c r="L49"/>
  <c r="L74"/>
  <c r="L47" i="62"/>
  <c r="J58" i="69" s="1"/>
  <c r="D58" s="1"/>
  <c r="L59" i="70"/>
  <c r="L88"/>
  <c r="L61" i="65"/>
  <c r="L26" i="66"/>
  <c r="L50" i="62"/>
  <c r="C21" i="26"/>
  <c r="L66" i="70"/>
  <c r="L80"/>
  <c r="L62"/>
  <c r="L19" i="66"/>
  <c r="L18" i="62"/>
  <c r="J78" i="69" s="1"/>
  <c r="L22" i="66"/>
  <c r="L15" i="62"/>
  <c r="J47" i="69" s="1"/>
  <c r="D47" s="1"/>
  <c r="L50" i="70"/>
  <c r="L30" i="62"/>
  <c r="L56"/>
  <c r="L41" i="70"/>
  <c r="L23" i="62"/>
  <c r="L11"/>
  <c r="J43" i="69" s="1"/>
  <c r="L40" i="62"/>
  <c r="J68" i="69" s="1"/>
  <c r="D68" s="1"/>
  <c r="L8" i="62"/>
  <c r="L44"/>
  <c r="J53" i="69" s="1"/>
  <c r="D53" s="1"/>
  <c r="I28" i="26" s="1"/>
  <c r="L70" i="70"/>
  <c r="L77"/>
  <c r="L53"/>
  <c r="L57"/>
  <c r="L31" i="66"/>
  <c r="L10" i="62"/>
  <c r="J42" i="69" s="1"/>
  <c r="L86" i="70"/>
  <c r="L45" i="62"/>
  <c r="L75" i="70"/>
  <c r="L36" i="62"/>
  <c r="L73" i="70"/>
  <c r="L25" i="62"/>
  <c r="L58" i="70"/>
  <c r="L60" i="62"/>
  <c r="L63" i="70"/>
  <c r="L46"/>
  <c r="L69"/>
  <c r="L22" i="62"/>
  <c r="L41"/>
  <c r="L27"/>
  <c r="E186" i="71"/>
  <c r="E323"/>
  <c r="E232"/>
  <c r="E231" s="1"/>
  <c r="F232" s="1"/>
  <c r="Q38" i="63" s="1"/>
  <c r="K236" i="69" s="1"/>
  <c r="D236" s="1"/>
  <c r="I108" i="26" s="1"/>
  <c r="Q25" i="66"/>
  <c r="N22" i="69" s="1"/>
  <c r="D22" s="1"/>
  <c r="F355" i="71"/>
  <c r="Q24" i="66" s="1"/>
  <c r="N21" i="69" s="1"/>
  <c r="D21" s="1"/>
  <c r="I17" i="26" s="1"/>
  <c r="Q20" i="66"/>
  <c r="N17" i="69" s="1"/>
  <c r="D17" s="1"/>
  <c r="I362"/>
  <c r="D362" s="1"/>
  <c r="Q90" i="70"/>
  <c r="I27" i="54" s="1"/>
  <c r="F314" i="71"/>
  <c r="Q55" i="65" s="1"/>
  <c r="M376" i="69" s="1"/>
  <c r="D376" s="1"/>
  <c r="Q54" i="65"/>
  <c r="M375" i="69" s="1"/>
  <c r="D375" s="1"/>
  <c r="F241" i="71"/>
  <c r="Q58" i="63" s="1"/>
  <c r="K221" i="69" s="1"/>
  <c r="D221" s="1"/>
  <c r="Q57" i="63"/>
  <c r="K220" i="69" s="1"/>
  <c r="D220" s="1"/>
  <c r="I101" i="26" s="1"/>
  <c r="F205" i="71"/>
  <c r="E204"/>
  <c r="F206" s="1"/>
  <c r="Q14" i="63" s="1"/>
  <c r="K212" i="69" s="1"/>
  <c r="D212" s="1"/>
  <c r="E229" i="71"/>
  <c r="E278"/>
  <c r="E277" s="1"/>
  <c r="F278" s="1"/>
  <c r="Q111" i="64" s="1"/>
  <c r="L308" i="69" s="1"/>
  <c r="D308" s="1"/>
  <c r="F368" i="71"/>
  <c r="Q34" i="66" s="1"/>
  <c r="N31" i="69" s="1"/>
  <c r="D31" s="1"/>
  <c r="Q33" i="66"/>
  <c r="N30" i="69" s="1"/>
  <c r="D30" s="1"/>
  <c r="I20" i="26" s="1"/>
  <c r="F12" i="53"/>
  <c r="F110" i="71"/>
  <c r="Q9" i="70" s="1"/>
  <c r="I391" i="69" s="1"/>
  <c r="Q8" i="70"/>
  <c r="E237" i="71"/>
  <c r="E214"/>
  <c r="E370"/>
  <c r="F372" s="1"/>
  <c r="Q53" i="66" s="1"/>
  <c r="N420" i="69" s="1"/>
  <c r="F371" i="71"/>
  <c r="E127"/>
  <c r="E126" s="1"/>
  <c r="E362"/>
  <c r="F364" s="1"/>
  <c r="Q31" i="66" s="1"/>
  <c r="N28" i="69" s="1"/>
  <c r="D28" s="1"/>
  <c r="F269" i="71"/>
  <c r="Q44" i="64" s="1"/>
  <c r="L275" i="69" s="1"/>
  <c r="D275" s="1"/>
  <c r="Q43" i="64"/>
  <c r="L274" i="69" s="1"/>
  <c r="D274" s="1"/>
  <c r="I128" i="26" s="1"/>
  <c r="Q33" i="70"/>
  <c r="I380" i="69" s="1"/>
  <c r="D380" s="1"/>
  <c r="Q59" i="65"/>
  <c r="M380" i="69" s="1"/>
  <c r="F255" i="71"/>
  <c r="Q18" i="64" s="1"/>
  <c r="L249" i="69" s="1"/>
  <c r="D249" s="1"/>
  <c r="F293" i="71"/>
  <c r="Q12" i="65" s="1"/>
  <c r="M405" i="69" s="1"/>
  <c r="E230" i="71"/>
  <c r="E228" s="1"/>
  <c r="F229" s="1"/>
  <c r="E173"/>
  <c r="E172" s="1"/>
  <c r="F173" s="1"/>
  <c r="H399" i="69"/>
  <c r="D399" s="1"/>
  <c r="Q20" i="61"/>
  <c r="F135" i="71"/>
  <c r="Q46" i="70" s="1"/>
  <c r="I79" i="69" s="1"/>
  <c r="D79" s="1"/>
  <c r="Q45" i="70"/>
  <c r="I78" i="69" s="1"/>
  <c r="F140"/>
  <c r="Q38" i="59"/>
  <c r="E169" i="71"/>
  <c r="E221"/>
  <c r="E226"/>
  <c r="L22" i="58"/>
  <c r="E140" i="69" s="1"/>
  <c r="D140" s="1"/>
  <c r="I59" i="26" s="1"/>
  <c r="L16" i="65"/>
  <c r="L110" i="70"/>
  <c r="D358" i="69" s="1"/>
  <c r="L35" i="63"/>
  <c r="L29" i="67"/>
  <c r="L85"/>
  <c r="L8" i="59"/>
  <c r="F91" i="69" s="1"/>
  <c r="L51" i="58"/>
  <c r="E159" i="69" s="1"/>
  <c r="D159" s="1"/>
  <c r="I68" i="26" s="1"/>
  <c r="L25" i="70"/>
  <c r="L81" i="64"/>
  <c r="L47" i="59"/>
  <c r="F129" i="69" s="1"/>
  <c r="L37" i="64"/>
  <c r="L268" i="69" s="1"/>
  <c r="D268" s="1"/>
  <c r="C64" i="26"/>
  <c r="L60" i="59"/>
  <c r="F153" i="69" s="1"/>
  <c r="L33" i="64"/>
  <c r="L129"/>
  <c r="L44" i="65"/>
  <c r="M382" i="69" s="1"/>
  <c r="D382" s="1"/>
  <c r="L54" i="66"/>
  <c r="L19" i="65"/>
  <c r="L101" i="64"/>
  <c r="L39" i="66"/>
  <c r="N403" i="69" s="1"/>
  <c r="D403" s="1"/>
  <c r="L212" i="64"/>
  <c r="L94" i="67"/>
  <c r="L49" i="58"/>
  <c r="E157" i="69" s="1"/>
  <c r="D157" s="1"/>
  <c r="I67" i="26" s="1"/>
  <c r="L86" i="67"/>
  <c r="L168" i="64"/>
  <c r="L293" i="69" s="1"/>
  <c r="D293" s="1"/>
  <c r="I142" i="26" s="1"/>
  <c r="L99" i="64"/>
  <c r="L43" i="59"/>
  <c r="F125" i="69" s="1"/>
  <c r="L46" i="66"/>
  <c r="N410" i="69" s="1"/>
  <c r="D410" s="1"/>
  <c r="L45" i="58"/>
  <c r="E179" i="69" s="1"/>
  <c r="D179" s="1"/>
  <c r="I79" i="26" s="1"/>
  <c r="L21" i="70"/>
  <c r="L79" i="62"/>
  <c r="J356" i="69" s="1"/>
  <c r="D356" s="1"/>
  <c r="I175" i="26" s="1"/>
  <c r="L197" i="64"/>
  <c r="L53" i="58"/>
  <c r="E161" i="69" s="1"/>
  <c r="D161" s="1"/>
  <c r="L33" i="70"/>
  <c r="L106" i="64"/>
  <c r="L14"/>
  <c r="L25" i="58"/>
  <c r="E149" i="69" s="1"/>
  <c r="L115" i="70"/>
  <c r="D351" i="69" s="1"/>
  <c r="L92" i="64"/>
  <c r="L42" i="66"/>
  <c r="N406" i="69" s="1"/>
  <c r="L20" i="63"/>
  <c r="L57" i="66"/>
  <c r="L215" i="64"/>
  <c r="L54"/>
  <c r="L127"/>
  <c r="L71" i="67"/>
  <c r="L112" i="64"/>
  <c r="L33" i="58"/>
  <c r="E166" i="69" s="1"/>
  <c r="D166" s="1"/>
  <c r="L25" i="59"/>
  <c r="F108" i="69" s="1"/>
  <c r="D108" s="1"/>
  <c r="L51" i="65"/>
  <c r="L10" i="59"/>
  <c r="F93" i="69" s="1"/>
  <c r="D93" s="1"/>
  <c r="L120" i="64"/>
  <c r="L119"/>
  <c r="L316" i="69" s="1"/>
  <c r="D316" s="1"/>
  <c r="I153" i="26" s="1"/>
  <c r="L18" i="65"/>
  <c r="M411" i="69" s="1"/>
  <c r="L95" i="64"/>
  <c r="L24" i="65"/>
  <c r="M420" i="69" s="1"/>
  <c r="D420" s="1"/>
  <c r="L87" i="67"/>
  <c r="L113" i="64"/>
  <c r="L55"/>
  <c r="L121"/>
  <c r="L318" i="69" s="1"/>
  <c r="D318" s="1"/>
  <c r="I154" i="26" s="1"/>
  <c r="L167" i="64"/>
  <c r="L292" i="69" s="1"/>
  <c r="D292" s="1"/>
  <c r="I141" i="26" s="1"/>
  <c r="L99" i="70"/>
  <c r="L141" i="64"/>
  <c r="L337" i="69" s="1"/>
  <c r="D337" s="1"/>
  <c r="I164" i="26" s="1"/>
  <c r="L8" i="63"/>
  <c r="L35" i="65"/>
  <c r="M391" i="69" s="1"/>
  <c r="D391" s="1"/>
  <c r="L66" i="67"/>
  <c r="L60" i="63"/>
  <c r="L46" i="65"/>
  <c r="M384" i="69" s="1"/>
  <c r="D384" s="1"/>
  <c r="L53" i="65"/>
  <c r="L7" i="58"/>
  <c r="L40" i="66"/>
  <c r="N404" i="69" s="1"/>
  <c r="D404" s="1"/>
  <c r="L47" i="66"/>
  <c r="N411" i="69" s="1"/>
  <c r="L33" i="67"/>
  <c r="L38" i="65"/>
  <c r="M374" i="69" s="1"/>
  <c r="L93" i="67"/>
  <c r="L41" i="65"/>
  <c r="M388" i="69" s="1"/>
  <c r="L54" i="58"/>
  <c r="E162" i="69" s="1"/>
  <c r="D162" s="1"/>
  <c r="L55" i="67"/>
  <c r="L55" i="59"/>
  <c r="F146" i="69" s="1"/>
  <c r="L159" i="64"/>
  <c r="L284" i="69" s="1"/>
  <c r="D284" s="1"/>
  <c r="L205" i="64"/>
  <c r="L64" i="67"/>
  <c r="L16"/>
  <c r="L34" i="59"/>
  <c r="F117" i="69" s="1"/>
  <c r="D117" s="1"/>
  <c r="L80" i="67"/>
  <c r="L171" i="64"/>
  <c r="L296" i="69" s="1"/>
  <c r="D296" s="1"/>
  <c r="I144" i="26" s="1"/>
  <c r="L51" i="64"/>
  <c r="L31" i="63"/>
  <c r="L22" i="67"/>
  <c r="L77" i="64"/>
  <c r="L40" i="65"/>
  <c r="M387" i="69" s="1"/>
  <c r="L107" i="70"/>
  <c r="D352" i="69" s="1"/>
  <c r="L61" i="64"/>
  <c r="L139"/>
  <c r="L40" i="63"/>
  <c r="L14" i="58"/>
  <c r="L56" i="64"/>
  <c r="L187" i="69" s="1"/>
  <c r="D187" s="1"/>
  <c r="I85" i="26" s="1"/>
  <c r="L56" i="58"/>
  <c r="E178" i="69" s="1"/>
  <c r="D178" s="1"/>
  <c r="I78" i="26" s="1"/>
  <c r="L91" i="62"/>
  <c r="L75" i="67"/>
  <c r="L92" i="70"/>
  <c r="D363" i="69" s="1"/>
  <c r="I178" i="26" s="1"/>
  <c r="L19" i="59"/>
  <c r="F102" i="69" s="1"/>
  <c r="D102" s="1"/>
  <c r="L81" i="62"/>
  <c r="L23" i="65"/>
  <c r="M419" i="69" s="1"/>
  <c r="L51" i="66"/>
  <c r="N423" i="69" s="1"/>
  <c r="D423" s="1"/>
  <c r="L75" i="62"/>
  <c r="L26" i="63"/>
  <c r="K224" i="69" s="1"/>
  <c r="D224" s="1"/>
  <c r="I103" i="26" s="1"/>
  <c r="L47" i="64"/>
  <c r="L278" i="69" s="1"/>
  <c r="D278" s="1"/>
  <c r="L11" i="63"/>
  <c r="L69" i="64"/>
  <c r="L200" i="69" s="1"/>
  <c r="D200" s="1"/>
  <c r="I92" i="26" s="1"/>
  <c r="L98" i="70"/>
  <c r="D368" i="69" s="1"/>
  <c r="L21" i="61"/>
  <c r="L36" i="66"/>
  <c r="L39" i="63"/>
  <c r="L60" i="67"/>
  <c r="L213" i="64"/>
  <c r="L135"/>
  <c r="L332" i="69" s="1"/>
  <c r="D332" s="1"/>
  <c r="L105" i="62"/>
  <c r="L20" i="65"/>
  <c r="L58" i="64"/>
  <c r="L176"/>
  <c r="L301" i="69" s="1"/>
  <c r="D301" s="1"/>
  <c r="L44" i="59"/>
  <c r="F126" i="69" s="1"/>
  <c r="D126" s="1"/>
  <c r="L16" i="59"/>
  <c r="F99" i="69" s="1"/>
  <c r="D99" s="1"/>
  <c r="L24" i="63"/>
  <c r="L9" i="64"/>
  <c r="L240" i="69" s="1"/>
  <c r="D240" s="1"/>
  <c r="I112" i="26" s="1"/>
  <c r="L43" i="65"/>
  <c r="M381" i="69" s="1"/>
  <c r="D381" s="1"/>
  <c r="L156" i="64"/>
  <c r="L281" i="69" s="1"/>
  <c r="D281" s="1"/>
  <c r="L44" i="58"/>
  <c r="E177" i="69" s="1"/>
  <c r="D177" s="1"/>
  <c r="L14" i="65"/>
  <c r="C147" i="26"/>
  <c r="L210" i="64"/>
  <c r="L55" i="63"/>
  <c r="L55" i="65"/>
  <c r="L8" i="70"/>
  <c r="L42" i="58"/>
  <c r="E175" i="69" s="1"/>
  <c r="D175" s="1"/>
  <c r="L56" i="65"/>
  <c r="L97" i="62"/>
  <c r="L93"/>
  <c r="L97" i="70"/>
  <c r="D367" i="69" s="1"/>
  <c r="I180" i="26" s="1"/>
  <c r="L26" i="59"/>
  <c r="F109" i="69" s="1"/>
  <c r="D109" s="1"/>
  <c r="L170" i="64"/>
  <c r="L295" i="69" s="1"/>
  <c r="D295" s="1"/>
  <c r="L85" i="64"/>
  <c r="L35" i="59"/>
  <c r="F118" i="69" s="1"/>
  <c r="D118" s="1"/>
  <c r="I47" i="26" s="1"/>
  <c r="L49" i="59"/>
  <c r="F131" i="69" s="1"/>
  <c r="L179" i="64"/>
  <c r="L90" i="67"/>
  <c r="L104" i="70"/>
  <c r="D360" i="69" s="1"/>
  <c r="L40" i="58"/>
  <c r="E173" i="69" s="1"/>
  <c r="D173" s="1"/>
  <c r="L95" i="62"/>
  <c r="L40" i="59"/>
  <c r="F122" i="69" s="1"/>
  <c r="L82" i="64"/>
  <c r="L50" i="58"/>
  <c r="E158" i="69" s="1"/>
  <c r="D158" s="1"/>
  <c r="L206" i="64"/>
  <c r="L125"/>
  <c r="L322" i="69" s="1"/>
  <c r="D322" s="1"/>
  <c r="L57" i="64"/>
  <c r="L188" i="69" s="1"/>
  <c r="D188" s="1"/>
  <c r="L22" i="63"/>
  <c r="L103" i="62"/>
  <c r="L10" i="67"/>
  <c r="L41" i="66"/>
  <c r="N405" i="69" s="1"/>
  <c r="D405" s="1"/>
  <c r="L33" i="65"/>
  <c r="L21"/>
  <c r="L79" i="64"/>
  <c r="L183"/>
  <c r="L157"/>
  <c r="L282" i="69" s="1"/>
  <c r="D282" s="1"/>
  <c r="I134" i="26" s="1"/>
  <c r="L37" i="65"/>
  <c r="M373" i="69" s="1"/>
  <c r="L22" i="59"/>
  <c r="F105" i="69" s="1"/>
  <c r="D105" s="1"/>
  <c r="L96" i="67"/>
  <c r="L67"/>
  <c r="L56"/>
  <c r="L48" i="59"/>
  <c r="F130" i="69" s="1"/>
  <c r="L12" i="70"/>
  <c r="L45" i="64"/>
  <c r="L276" i="69" s="1"/>
  <c r="D276" s="1"/>
  <c r="I129" i="26" s="1"/>
  <c r="L163" i="64"/>
  <c r="L288" i="69" s="1"/>
  <c r="D288" s="1"/>
  <c r="L19" i="64"/>
  <c r="L69" i="62"/>
  <c r="J366" i="69" s="1"/>
  <c r="D366" s="1"/>
  <c r="L143" i="64"/>
  <c r="L339" i="69" s="1"/>
  <c r="D339" s="1"/>
  <c r="I165" i="26" s="1"/>
  <c r="L186" i="64"/>
  <c r="L178"/>
  <c r="L190"/>
  <c r="L88"/>
  <c r="L73" i="63"/>
  <c r="L31" i="65"/>
  <c r="M418" i="69" s="1"/>
  <c r="D418" s="1"/>
  <c r="L28" i="64"/>
  <c r="L259" i="69" s="1"/>
  <c r="D259" s="1"/>
  <c r="I121" i="26" s="1"/>
  <c r="L31" i="67"/>
  <c r="L23" i="58"/>
  <c r="E146" i="69" s="1"/>
  <c r="L50" i="59"/>
  <c r="F132" i="69" s="1"/>
  <c r="L11" i="65"/>
  <c r="L17"/>
  <c r="L74" i="62"/>
  <c r="J369" i="69" s="1"/>
  <c r="D369" s="1"/>
  <c r="L114" i="70"/>
  <c r="D350" i="69" s="1"/>
  <c r="I172" i="26" s="1"/>
  <c r="L17" i="58"/>
  <c r="E131" i="69" s="1"/>
  <c r="D131" s="1"/>
  <c r="I55" i="26" s="1"/>
  <c r="L128" i="64"/>
  <c r="L325" i="69" s="1"/>
  <c r="D325" s="1"/>
  <c r="I158" i="26" s="1"/>
  <c r="L107" i="62"/>
  <c r="L46" i="59"/>
  <c r="F128" i="69" s="1"/>
  <c r="D128" s="1"/>
  <c r="L55" i="66"/>
  <c r="L13" i="64"/>
  <c r="L53"/>
  <c r="L184" i="69" s="1"/>
  <c r="D184" s="1"/>
  <c r="I84" i="26" s="1"/>
  <c r="L69" i="67"/>
  <c r="L68" i="63"/>
  <c r="L70" i="64"/>
  <c r="L201" i="69" s="1"/>
  <c r="D201" s="1"/>
  <c r="L89" i="67"/>
  <c r="L91"/>
  <c r="L107" i="64"/>
  <c r="L59" i="67"/>
  <c r="L16" i="63"/>
  <c r="L21" i="59"/>
  <c r="F104" i="69" s="1"/>
  <c r="D104" s="1"/>
  <c r="L9" i="67"/>
  <c r="L208" i="64"/>
  <c r="L87" i="62"/>
  <c r="L103" i="70"/>
  <c r="D359" i="69" s="1"/>
  <c r="L196" i="64"/>
  <c r="L43" i="66"/>
  <c r="N407" i="69" s="1"/>
  <c r="L16" i="58"/>
  <c r="E130" i="69" s="1"/>
  <c r="D130" s="1"/>
  <c r="L21" i="64"/>
  <c r="L252" i="69" s="1"/>
  <c r="D252" s="1"/>
  <c r="I117" i="26" s="1"/>
  <c r="L28" i="65"/>
  <c r="M415" i="69" s="1"/>
  <c r="D415" s="1"/>
  <c r="L102" i="64"/>
  <c r="L111" i="70"/>
  <c r="D348" i="69" s="1"/>
  <c r="L35" i="67"/>
  <c r="L12"/>
  <c r="L220" i="64"/>
  <c r="L54" i="65"/>
  <c r="L12" i="64"/>
  <c r="L243" i="69" s="1"/>
  <c r="D243" s="1"/>
  <c r="I114" i="26" s="1"/>
  <c r="L136" i="64"/>
  <c r="L333" i="69" s="1"/>
  <c r="D333" s="1"/>
  <c r="L84" i="62"/>
  <c r="L48" i="67"/>
  <c r="L48" i="65"/>
  <c r="M397" i="69" s="1"/>
  <c r="D397" s="1"/>
  <c r="I194" i="26" s="1"/>
  <c r="L7" i="70"/>
  <c r="L36" i="65"/>
  <c r="M372" i="69" s="1"/>
  <c r="L26" i="67"/>
  <c r="L34" i="63"/>
  <c r="L100" i="64"/>
  <c r="L61" i="63"/>
  <c r="L77" i="67"/>
  <c r="L29" i="64"/>
  <c r="L260" i="69" s="1"/>
  <c r="D260" s="1"/>
  <c r="L132" i="64"/>
  <c r="L21" i="67"/>
  <c r="L27" i="64"/>
  <c r="L258" i="69" s="1"/>
  <c r="D258" s="1"/>
  <c r="L96" i="62"/>
  <c r="L30" i="59"/>
  <c r="F113" i="69" s="1"/>
  <c r="D113" s="1"/>
  <c r="L30" i="63"/>
  <c r="L70" i="67"/>
  <c r="L118" i="64"/>
  <c r="L23" i="63"/>
  <c r="C195" i="26"/>
  <c r="L113" i="70"/>
  <c r="D347" i="69" s="1"/>
  <c r="L35" i="58"/>
  <c r="E168" i="69" s="1"/>
  <c r="D168" s="1"/>
  <c r="L97" i="64"/>
  <c r="L20"/>
  <c r="L114" i="62"/>
  <c r="L87" i="64"/>
  <c r="L45" i="63"/>
  <c r="L173" i="64"/>
  <c r="L298" i="69" s="1"/>
  <c r="D298" s="1"/>
  <c r="L29" i="58"/>
  <c r="E153" i="69" s="1"/>
  <c r="D153" s="1"/>
  <c r="L60" i="66"/>
  <c r="L105" i="70"/>
  <c r="D361" i="69" s="1"/>
  <c r="L74" i="63"/>
  <c r="L97" i="67"/>
  <c r="L72" i="62"/>
  <c r="L52" i="67"/>
  <c r="L15" i="59"/>
  <c r="F98" i="69" s="1"/>
  <c r="D98" s="1"/>
  <c r="L39" i="59"/>
  <c r="L32" i="58"/>
  <c r="E165" i="69" s="1"/>
  <c r="D165" s="1"/>
  <c r="I71" i="26" s="1"/>
  <c r="L29" i="59"/>
  <c r="F112" i="69" s="1"/>
  <c r="D112" s="1"/>
  <c r="L8" i="67"/>
  <c r="L84"/>
  <c r="L24"/>
  <c r="L108" i="70"/>
  <c r="D353" i="69" s="1"/>
  <c r="L78" i="67"/>
  <c r="L65"/>
  <c r="L24" i="59"/>
  <c r="F107" i="69" s="1"/>
  <c r="D107" s="1"/>
  <c r="I44" i="26" s="1"/>
  <c r="L64" i="62"/>
  <c r="L53" i="59"/>
  <c r="F138" i="69" s="1"/>
  <c r="L92" i="62"/>
  <c r="L76" i="67"/>
  <c r="L12" i="59"/>
  <c r="F95" i="69" s="1"/>
  <c r="D95" s="1"/>
  <c r="L106" i="62"/>
  <c r="L188" i="64"/>
  <c r="L48" i="66"/>
  <c r="N412" i="69" s="1"/>
  <c r="D412" s="1"/>
  <c r="L209" i="64"/>
  <c r="C49" i="26"/>
  <c r="L43" i="67"/>
  <c r="L51"/>
  <c r="L192" i="64"/>
  <c r="L15" i="67"/>
  <c r="L86" i="64"/>
  <c r="L44" i="66"/>
  <c r="N408" i="69" s="1"/>
  <c r="D408" s="1"/>
  <c r="C80" i="26"/>
  <c r="L53" i="67"/>
  <c r="L56" i="66"/>
  <c r="L23" i="64"/>
  <c r="L71" i="62"/>
  <c r="L126" i="64"/>
  <c r="L323" i="69" s="1"/>
  <c r="D323" s="1"/>
  <c r="I157" i="26" s="1"/>
  <c r="L11" i="64"/>
  <c r="L242" i="69" s="1"/>
  <c r="D242" s="1"/>
  <c r="L56" i="63"/>
  <c r="L214" i="64"/>
  <c r="L140"/>
  <c r="L336" i="69" s="1"/>
  <c r="D336" s="1"/>
  <c r="I163" i="26" s="1"/>
  <c r="L59" i="65"/>
  <c r="L67" i="63"/>
  <c r="L124" i="64"/>
  <c r="L321" i="69" s="1"/>
  <c r="D321" s="1"/>
  <c r="I156" i="26" s="1"/>
  <c r="L42" i="65"/>
  <c r="M379" i="69" s="1"/>
  <c r="D379" s="1"/>
  <c r="I187" i="26" s="1"/>
  <c r="L51" i="59"/>
  <c r="F133" i="69" s="1"/>
  <c r="L187" i="64"/>
  <c r="L14" i="59"/>
  <c r="F97" i="69" s="1"/>
  <c r="D97" s="1"/>
  <c r="I41" i="26" s="1"/>
  <c r="L30" i="70"/>
  <c r="L15" i="64"/>
  <c r="L33" i="63"/>
  <c r="L28" i="70"/>
  <c r="L31" i="59"/>
  <c r="F114" i="69" s="1"/>
  <c r="D114" s="1"/>
  <c r="L88" i="67"/>
  <c r="L24" i="70"/>
  <c r="L72" i="63"/>
  <c r="L73" i="64"/>
  <c r="L98"/>
  <c r="L15" i="70"/>
  <c r="L37" i="63"/>
  <c r="L184" i="64"/>
  <c r="L27" i="59"/>
  <c r="F110" i="69" s="1"/>
  <c r="D110" s="1"/>
  <c r="L59" i="59"/>
  <c r="F152" i="69" s="1"/>
  <c r="L78" i="64"/>
  <c r="L24" i="58"/>
  <c r="E147" i="69" s="1"/>
  <c r="D147" s="1"/>
  <c r="L115" i="62"/>
  <c r="L71" i="63"/>
  <c r="L166" i="64"/>
  <c r="L291" i="69" s="1"/>
  <c r="D291" s="1"/>
  <c r="L60" i="64"/>
  <c r="L191" i="69" s="1"/>
  <c r="D191" s="1"/>
  <c r="I87" i="26" s="1"/>
  <c r="L32" i="59"/>
  <c r="F115" i="69" s="1"/>
  <c r="D115" s="1"/>
  <c r="L45" i="66"/>
  <c r="N409" i="69" s="1"/>
  <c r="L111" i="62"/>
  <c r="L102"/>
  <c r="C167" i="26"/>
  <c r="L9" i="65"/>
  <c r="L16" i="64"/>
  <c r="L73" i="62"/>
  <c r="L90" i="64"/>
  <c r="L30" i="65"/>
  <c r="M417" i="69" s="1"/>
  <c r="D417" s="1"/>
  <c r="L46" i="58"/>
  <c r="E154" i="69" s="1"/>
  <c r="D154" s="1"/>
  <c r="L180" i="64"/>
  <c r="L49" i="65"/>
  <c r="M398" i="69" s="1"/>
  <c r="D398" s="1"/>
  <c r="L78" i="62"/>
  <c r="L38" i="63"/>
  <c r="L26" i="58"/>
  <c r="E150" i="69" s="1"/>
  <c r="L82" i="62"/>
  <c r="J357" i="69" s="1"/>
  <c r="D357" s="1"/>
  <c r="I176" i="26" s="1"/>
  <c r="L37" i="67"/>
  <c r="L25" i="64"/>
  <c r="L256" i="69" s="1"/>
  <c r="D256" s="1"/>
  <c r="L89" i="64"/>
  <c r="L182"/>
  <c r="L111"/>
  <c r="L70" i="63"/>
  <c r="L31" i="64"/>
  <c r="L262" i="69" s="1"/>
  <c r="D262" s="1"/>
  <c r="L13" i="65"/>
  <c r="L114" i="64"/>
  <c r="L311" i="69" s="1"/>
  <c r="D311" s="1"/>
  <c r="L100" i="70"/>
  <c r="L32" i="63"/>
  <c r="L155" i="64"/>
  <c r="L280" i="69" s="1"/>
  <c r="D280" s="1"/>
  <c r="L18" i="59"/>
  <c r="F101" i="69" s="1"/>
  <c r="D101" s="1"/>
  <c r="L15" i="65"/>
  <c r="C183" i="26"/>
  <c r="L27" i="63"/>
  <c r="L39" i="58"/>
  <c r="E172" i="69" s="1"/>
  <c r="D172" s="1"/>
  <c r="L112" i="62"/>
  <c r="L9" i="63"/>
  <c r="L25" i="65"/>
  <c r="M421" i="69" s="1"/>
  <c r="L9" i="70"/>
  <c r="L46" i="63"/>
  <c r="L19"/>
  <c r="C36" i="26"/>
  <c r="L36" i="59"/>
  <c r="F119" i="69" s="1"/>
  <c r="D119" s="1"/>
  <c r="L30" i="67"/>
  <c r="L36" i="63"/>
  <c r="L16" i="70"/>
  <c r="L49" i="66"/>
  <c r="N413" i="69" s="1"/>
  <c r="D413" s="1"/>
  <c r="L58" i="59"/>
  <c r="F151" i="69" s="1"/>
  <c r="L94" i="62"/>
  <c r="L59" i="66"/>
  <c r="L117" i="64"/>
  <c r="L31" i="58"/>
  <c r="L17" i="67"/>
  <c r="L74"/>
  <c r="L58" i="63"/>
  <c r="L12"/>
  <c r="L112" i="70"/>
  <c r="D349" i="69" s="1"/>
  <c r="L28" i="58"/>
  <c r="E152" i="69" s="1"/>
  <c r="L109" i="64"/>
  <c r="L306" i="69" s="1"/>
  <c r="D306" s="1"/>
  <c r="I150" i="26" s="1"/>
  <c r="L133" i="64"/>
  <c r="L96" i="70"/>
  <c r="L42" i="59"/>
  <c r="F124" i="69" s="1"/>
  <c r="L29" i="70"/>
  <c r="L151" i="64"/>
  <c r="L33" i="59"/>
  <c r="F116" i="69" s="1"/>
  <c r="D116" s="1"/>
  <c r="L101" i="62"/>
  <c r="L14" i="67"/>
  <c r="L149" i="64"/>
  <c r="L41"/>
  <c r="L272" i="69" s="1"/>
  <c r="D272" s="1"/>
  <c r="L109" i="70"/>
  <c r="L94"/>
  <c r="L15" i="63"/>
  <c r="L52" i="66"/>
  <c r="L68" i="64"/>
  <c r="L199" i="69" s="1"/>
  <c r="D199" s="1"/>
  <c r="I91" i="26" s="1"/>
  <c r="L147" i="64"/>
  <c r="L343" i="69" s="1"/>
  <c r="D343" s="1"/>
  <c r="L91" i="64"/>
  <c r="L95" i="70"/>
  <c r="L7" i="59"/>
  <c r="L80" i="62"/>
  <c r="L19" i="67"/>
  <c r="L50"/>
  <c r="L50" i="65"/>
  <c r="M396" i="69" s="1"/>
  <c r="D396" s="1"/>
  <c r="I193" i="26" s="1"/>
  <c r="L108" i="62"/>
  <c r="L142" i="64"/>
  <c r="L80"/>
  <c r="L169"/>
  <c r="L294" i="69" s="1"/>
  <c r="D294" s="1"/>
  <c r="I143" i="26" s="1"/>
  <c r="L45" i="65"/>
  <c r="M383" i="69" s="1"/>
  <c r="D383" s="1"/>
  <c r="L8" i="58"/>
  <c r="E122" i="69" s="1"/>
  <c r="L66" i="64"/>
  <c r="L197" i="69" s="1"/>
  <c r="D197" s="1"/>
  <c r="I90" i="26" s="1"/>
  <c r="L46" i="64"/>
  <c r="L277" i="69" s="1"/>
  <c r="D277" s="1"/>
  <c r="I130" i="26" s="1"/>
  <c r="L162" i="64"/>
  <c r="L287" i="69" s="1"/>
  <c r="D287" s="1"/>
  <c r="I138" i="26" s="1"/>
  <c r="L11" i="67"/>
  <c r="L57" i="59"/>
  <c r="F150" i="69" s="1"/>
  <c r="L200" i="64"/>
  <c r="L34" i="58"/>
  <c r="E167" i="69" s="1"/>
  <c r="D167" s="1"/>
  <c r="L21" i="58"/>
  <c r="E138" i="69" s="1"/>
  <c r="D138" s="1"/>
  <c r="I58" i="26" s="1"/>
  <c r="L38" i="66"/>
  <c r="N402" i="69" s="1"/>
  <c r="L63" i="67"/>
  <c r="L56" i="59"/>
  <c r="F149" i="69" s="1"/>
  <c r="L82" i="67"/>
  <c r="L11" i="70"/>
  <c r="L11" i="58"/>
  <c r="E125" i="69" s="1"/>
  <c r="D125" s="1"/>
  <c r="L110" i="64"/>
  <c r="L158"/>
  <c r="L283" i="69" s="1"/>
  <c r="D283" s="1"/>
  <c r="I135" i="26" s="1"/>
  <c r="L50" i="63"/>
  <c r="L85" i="62"/>
  <c r="L20" i="70"/>
  <c r="L10" i="63"/>
  <c r="L83" i="67"/>
  <c r="L62" i="63"/>
  <c r="L193" i="64"/>
  <c r="L219"/>
  <c r="L38"/>
  <c r="L269" i="69" s="1"/>
  <c r="D269" s="1"/>
  <c r="L57" i="65"/>
  <c r="L68" i="62"/>
  <c r="J365" i="69" s="1"/>
  <c r="D365" s="1"/>
  <c r="L55" i="58"/>
  <c r="E163" i="69" s="1"/>
  <c r="D163" s="1"/>
  <c r="L59" i="63"/>
  <c r="L41" i="58"/>
  <c r="E174" i="69" s="1"/>
  <c r="D174" s="1"/>
  <c r="D6" i="39"/>
  <c r="D12" s="1"/>
  <c r="L109" i="62"/>
  <c r="L83" i="64"/>
  <c r="L58" i="67"/>
  <c r="L98" i="62"/>
  <c r="L39" i="65"/>
  <c r="M386" i="69" s="1"/>
  <c r="L39" i="67"/>
  <c r="L83" i="62"/>
  <c r="L8" i="65"/>
  <c r="L43" i="64"/>
  <c r="L72"/>
  <c r="L203" i="69" s="1"/>
  <c r="D203" s="1"/>
  <c r="L44" i="67"/>
  <c r="L217" i="64"/>
  <c r="L10" i="58"/>
  <c r="E124" i="69" s="1"/>
  <c r="D124" s="1"/>
  <c r="I52" i="26" s="1"/>
  <c r="L10" i="70"/>
  <c r="L10" i="64"/>
  <c r="L241" i="69" s="1"/>
  <c r="D241" s="1"/>
  <c r="I113" i="26" s="1"/>
  <c r="L58" i="66"/>
  <c r="L52" i="59"/>
  <c r="F134" i="69" s="1"/>
  <c r="L65" i="64"/>
  <c r="L195"/>
  <c r="L43" i="63"/>
  <c r="L18"/>
  <c r="L174" i="64"/>
  <c r="L299" i="69" s="1"/>
  <c r="D299" s="1"/>
  <c r="L37" i="58"/>
  <c r="E170" i="69" s="1"/>
  <c r="D170" s="1"/>
  <c r="I74" i="26" s="1"/>
  <c r="L104" i="62"/>
  <c r="L70"/>
  <c r="L194" i="64"/>
  <c r="L92" i="67"/>
  <c r="L32" i="70"/>
  <c r="L13"/>
  <c r="L22"/>
  <c r="L198" i="64"/>
  <c r="L44"/>
  <c r="L18" i="58"/>
  <c r="E132" i="69" s="1"/>
  <c r="D132" s="1"/>
  <c r="L31" i="70"/>
  <c r="L20" i="58"/>
  <c r="E134" i="69" s="1"/>
  <c r="L67" i="64"/>
  <c r="L41" i="59"/>
  <c r="F123" i="69" s="1"/>
  <c r="L13" i="58"/>
  <c r="E127" i="69" s="1"/>
  <c r="L93" i="64"/>
  <c r="L64" i="63"/>
  <c r="L22" i="64"/>
  <c r="L11" i="59"/>
  <c r="F94" i="69" s="1"/>
  <c r="D94" s="1"/>
  <c r="L65" i="63"/>
  <c r="L68" i="67"/>
  <c r="L172" i="64"/>
  <c r="L297" i="69" s="1"/>
  <c r="D297" s="1"/>
  <c r="I145" i="26" s="1"/>
  <c r="L105" i="64"/>
  <c r="L27" i="65"/>
  <c r="M414" i="69" s="1"/>
  <c r="D414" s="1"/>
  <c r="L17" i="64"/>
  <c r="L62" i="67"/>
  <c r="L51" i="63"/>
  <c r="L202" i="64"/>
  <c r="L32" i="67"/>
  <c r="L181" i="64"/>
  <c r="L154"/>
  <c r="C95" i="26"/>
  <c r="L28" i="63"/>
  <c r="L9" i="58"/>
  <c r="E123" i="69" s="1"/>
  <c r="D123" s="1"/>
  <c r="L108" i="64"/>
  <c r="L99" i="67"/>
  <c r="L29" i="65"/>
  <c r="M416" i="69" s="1"/>
  <c r="D416" s="1"/>
  <c r="L29" i="63"/>
  <c r="L91" i="70"/>
  <c r="L218" i="64"/>
  <c r="L164"/>
  <c r="L289" i="69" s="1"/>
  <c r="D289" s="1"/>
  <c r="L20" i="59"/>
  <c r="F103" i="69" s="1"/>
  <c r="D103" s="1"/>
  <c r="L36" i="58"/>
  <c r="E169" i="69" s="1"/>
  <c r="D169" s="1"/>
  <c r="L14" i="63"/>
  <c r="C131" i="26"/>
  <c r="L54" i="67"/>
  <c r="L18" i="70"/>
  <c r="L9" i="59"/>
  <c r="F92" i="69" s="1"/>
  <c r="D92" s="1"/>
  <c r="I39" i="26" s="1"/>
  <c r="L81" i="67"/>
  <c r="L27" i="58"/>
  <c r="E151" i="69" s="1"/>
  <c r="D151" s="1"/>
  <c r="L79" i="67"/>
  <c r="L115" i="64"/>
  <c r="L312" i="69" s="1"/>
  <c r="D312" s="1"/>
  <c r="L185" i="64"/>
  <c r="L57" i="63"/>
  <c r="L18" i="67"/>
  <c r="L52" i="65"/>
  <c r="L20" i="67"/>
  <c r="L38" i="58"/>
  <c r="E171" i="69" s="1"/>
  <c r="D171" s="1"/>
  <c r="I75" i="26" s="1"/>
  <c r="L74" i="64"/>
  <c r="L205" i="69" s="1"/>
  <c r="D205" s="1"/>
  <c r="I94" i="26" s="1"/>
  <c r="L43" i="58"/>
  <c r="E176" i="69" s="1"/>
  <c r="D176" s="1"/>
  <c r="I77" i="26" s="1"/>
  <c r="L201" i="64"/>
  <c r="L54" i="63"/>
  <c r="L25"/>
  <c r="L160" i="64"/>
  <c r="L285" i="69" s="1"/>
  <c r="D285" s="1"/>
  <c r="I136" i="26" s="1"/>
  <c r="L101" i="70"/>
  <c r="L13" i="63"/>
  <c r="L106" i="70"/>
  <c r="L77" i="62"/>
  <c r="L13" i="67"/>
  <c r="L13" i="59"/>
  <c r="F96" i="69" s="1"/>
  <c r="D96" s="1"/>
  <c r="L144" i="64"/>
  <c r="L203"/>
  <c r="L52" i="63"/>
  <c r="L48"/>
  <c r="L25" i="67"/>
  <c r="L53" i="63"/>
  <c r="L110" i="62"/>
  <c r="L17" i="70"/>
  <c r="L17" i="63"/>
  <c r="L19" i="58"/>
  <c r="E133" i="69" s="1"/>
  <c r="D133" s="1"/>
  <c r="L189" i="64"/>
  <c r="L175"/>
  <c r="L300" i="69" s="1"/>
  <c r="D300" s="1"/>
  <c r="I146" i="26" s="1"/>
  <c r="L45" i="59"/>
  <c r="F127" i="69" s="1"/>
  <c r="L102" i="70"/>
  <c r="D370" i="69" s="1"/>
  <c r="L98" i="67"/>
  <c r="L40"/>
  <c r="L67" i="62"/>
  <c r="J364" i="69" s="1"/>
  <c r="D364" s="1"/>
  <c r="I179" i="26" s="1"/>
  <c r="L76" i="62"/>
  <c r="L161" i="64"/>
  <c r="L286" i="69" s="1"/>
  <c r="D286" s="1"/>
  <c r="I137" i="26" s="1"/>
  <c r="L17" i="59"/>
  <c r="F100" i="69" s="1"/>
  <c r="D100" s="1"/>
  <c r="I42" i="26" s="1"/>
  <c r="L53" i="66"/>
  <c r="L49" i="63"/>
  <c r="L44"/>
  <c r="L40" i="64"/>
  <c r="L271" i="69" s="1"/>
  <c r="D271" s="1"/>
  <c r="I126" i="26" s="1"/>
  <c r="L32" i="64"/>
  <c r="L263" i="69" s="1"/>
  <c r="D263" s="1"/>
  <c r="L23" i="59"/>
  <c r="F106" i="69" s="1"/>
  <c r="D106" s="1"/>
  <c r="L38" i="67"/>
  <c r="L7" i="65"/>
  <c r="L95" i="67"/>
  <c r="L204" i="64"/>
  <c r="L36" i="67"/>
  <c r="L57"/>
  <c r="L30" i="64"/>
  <c r="L261" i="69" s="1"/>
  <c r="D261" s="1"/>
  <c r="L62" i="64"/>
  <c r="L116"/>
  <c r="L313" i="69" s="1"/>
  <c r="D313" s="1"/>
  <c r="I152" i="26" s="1"/>
  <c r="L28" i="59"/>
  <c r="F111" i="69" s="1"/>
  <c r="D111" s="1"/>
  <c r="L37" i="59"/>
  <c r="F120" i="69" s="1"/>
  <c r="D120" s="1"/>
  <c r="I48" i="26" s="1"/>
  <c r="L18" i="64"/>
  <c r="L52"/>
  <c r="L183" i="69" s="1"/>
  <c r="D183" s="1"/>
  <c r="I83" i="26" s="1"/>
  <c r="L96" i="64"/>
  <c r="L22" i="65"/>
  <c r="L123" i="64"/>
  <c r="L12" i="58"/>
  <c r="L145" i="64"/>
  <c r="L341" i="69" s="1"/>
  <c r="D341" s="1"/>
  <c r="I166" i="26" s="1"/>
  <c r="L34" i="65"/>
  <c r="M389" i="69" s="1"/>
  <c r="L47" i="65"/>
  <c r="M385" i="69" s="1"/>
  <c r="D385" s="1"/>
  <c r="L14" i="70"/>
  <c r="L59" i="64"/>
  <c r="L190" i="69" s="1"/>
  <c r="D190" s="1"/>
  <c r="L134" i="64"/>
  <c r="L331" i="69" s="1"/>
  <c r="D331" s="1"/>
  <c r="I160" i="26" s="1"/>
  <c r="L48" i="58"/>
  <c r="E156" i="69" s="1"/>
  <c r="D156" s="1"/>
  <c r="L49" i="67"/>
  <c r="L37" i="66"/>
  <c r="N401" i="69" s="1"/>
  <c r="L75" i="63"/>
  <c r="L35" i="64"/>
  <c r="L266" i="69" s="1"/>
  <c r="D266" s="1"/>
  <c r="L36" i="64"/>
  <c r="L267" i="69" s="1"/>
  <c r="D267" s="1"/>
  <c r="L24" i="64"/>
  <c r="L255" i="69" s="1"/>
  <c r="D255" s="1"/>
  <c r="I119" i="26" s="1"/>
  <c r="L69" i="63"/>
  <c r="L207" i="64"/>
  <c r="L19" i="70"/>
  <c r="L39" i="64"/>
  <c r="L270" i="69" s="1"/>
  <c r="D270" s="1"/>
  <c r="L41" i="67"/>
  <c r="L61"/>
  <c r="L63" i="63"/>
  <c r="C109" i="26"/>
  <c r="L65" i="62"/>
  <c r="L12" i="65"/>
  <c r="L191" i="64"/>
  <c r="L47" i="58"/>
  <c r="E155" i="69" s="1"/>
  <c r="D155" s="1"/>
  <c r="L26" i="64"/>
  <c r="L257" i="69" s="1"/>
  <c r="D257" s="1"/>
  <c r="I120" i="26" s="1"/>
  <c r="L8" i="64"/>
  <c r="L27" i="67"/>
  <c r="L100" i="62"/>
  <c r="L63" i="64"/>
  <c r="L199"/>
  <c r="L130"/>
  <c r="L66" i="62"/>
  <c r="L137" i="64"/>
  <c r="L21" i="63"/>
  <c r="L46" i="67"/>
  <c r="L52" i="58"/>
  <c r="E160" i="69" s="1"/>
  <c r="D160" s="1"/>
  <c r="I69" i="26" s="1"/>
  <c r="L50" i="66"/>
  <c r="N422" i="69" s="1"/>
  <c r="D422" s="1"/>
  <c r="L71" i="64"/>
  <c r="L202" i="69" s="1"/>
  <c r="D202" s="1"/>
  <c r="L99" i="62"/>
  <c r="L26" i="70"/>
  <c r="L28" i="67"/>
  <c r="L49" i="64"/>
  <c r="L27" i="70"/>
  <c r="L94" i="64"/>
  <c r="L93" i="70"/>
  <c r="D346" i="69" s="1"/>
  <c r="I170" i="26" s="1"/>
  <c r="L131" i="64"/>
  <c r="L23" i="67"/>
  <c r="L84" i="64"/>
  <c r="L66" i="63"/>
  <c r="L47"/>
  <c r="L146" i="64"/>
  <c r="L342" i="69" s="1"/>
  <c r="D342" s="1"/>
  <c r="L64" i="64"/>
  <c r="L15" i="58"/>
  <c r="E129" i="69" s="1"/>
  <c r="D129" s="1"/>
  <c r="I54" i="26" s="1"/>
  <c r="L50" i="64"/>
  <c r="L181" i="69" s="1"/>
  <c r="L54" i="59"/>
  <c r="L86" i="62"/>
  <c r="L34" i="64"/>
  <c r="L265" i="69" s="1"/>
  <c r="D265" s="1"/>
  <c r="I124" i="26" s="1"/>
  <c r="L122" i="64"/>
  <c r="L23" i="70"/>
  <c r="L42" i="67"/>
  <c r="L165" i="64"/>
  <c r="L290" i="69" s="1"/>
  <c r="D290" s="1"/>
  <c r="I140" i="26" s="1"/>
  <c r="L113" i="62"/>
  <c r="L150" i="64"/>
  <c r="L354" i="69" s="1"/>
  <c r="D354" s="1"/>
  <c r="I174" i="26" s="1"/>
  <c r="L47" i="67"/>
  <c r="L26" i="65"/>
  <c r="M424" i="69" s="1"/>
  <c r="D424" s="1"/>
  <c r="L10" i="65"/>
  <c r="L216" i="64"/>
  <c r="L58" i="65"/>
  <c r="L42" i="64"/>
  <c r="L273" i="69" s="1"/>
  <c r="D273" s="1"/>
  <c r="I127" i="26" s="1"/>
  <c r="L88" i="62"/>
  <c r="E213" i="71"/>
  <c r="E212" s="1"/>
  <c r="F213" s="1"/>
  <c r="E236"/>
  <c r="E235" s="1"/>
  <c r="F236" s="1"/>
  <c r="E217"/>
  <c r="E115"/>
  <c r="F117" s="1"/>
  <c r="Q14" i="70" s="1"/>
  <c r="I387" i="69" s="1"/>
  <c r="E346" i="71"/>
  <c r="F348" s="1"/>
  <c r="Q18" i="66" s="1"/>
  <c r="N15" i="69" s="1"/>
  <c r="D15" s="1"/>
  <c r="F347" i="71"/>
  <c r="E125"/>
  <c r="E124" s="1"/>
  <c r="F125" s="1"/>
  <c r="Q36" i="70" s="1"/>
  <c r="F256" i="71"/>
  <c r="Q19" i="64" s="1"/>
  <c r="L250" i="69" s="1"/>
  <c r="D250" s="1"/>
  <c r="F315" i="71"/>
  <c r="Q56" i="65" s="1"/>
  <c r="M377" i="69" s="1"/>
  <c r="D377" s="1"/>
  <c r="F358" i="71"/>
  <c r="Q26" i="66" s="1"/>
  <c r="N23" i="69" s="1"/>
  <c r="D23" s="1"/>
  <c r="E159" i="71"/>
  <c r="E165" l="1"/>
  <c r="E161" s="1"/>
  <c r="Q54" i="63"/>
  <c r="F349" i="71"/>
  <c r="Q19" i="66" s="1"/>
  <c r="N16" i="69" s="1"/>
  <c r="D16" s="1"/>
  <c r="Q17" i="66"/>
  <c r="N14" i="69" s="1"/>
  <c r="D14" s="1"/>
  <c r="I16" i="26" s="1"/>
  <c r="Q19" i="63"/>
  <c r="K217" i="69" s="1"/>
  <c r="D217" s="1"/>
  <c r="D20" i="39"/>
  <c r="D19"/>
  <c r="D91" i="69"/>
  <c r="I38" i="26" s="1"/>
  <c r="F3" i="69"/>
  <c r="F221" i="71"/>
  <c r="E220"/>
  <c r="F222" s="1"/>
  <c r="Q31" i="63" s="1"/>
  <c r="K229" i="69" s="1"/>
  <c r="D229" s="1"/>
  <c r="I11" i="54"/>
  <c r="I9" s="1"/>
  <c r="Q5" i="59"/>
  <c r="E225" i="71"/>
  <c r="D18" i="39"/>
  <c r="D17"/>
  <c r="I125" i="26"/>
  <c r="I151"/>
  <c r="I201"/>
  <c r="I73"/>
  <c r="I122"/>
  <c r="I177"/>
  <c r="I43"/>
  <c r="D411" i="69"/>
  <c r="I200" i="26" s="1"/>
  <c r="F361" i="71"/>
  <c r="Q29" i="66" s="1"/>
  <c r="N26" i="69" s="1"/>
  <c r="D26" s="1"/>
  <c r="I18" i="26" s="1"/>
  <c r="D78" i="69"/>
  <c r="F162" i="71"/>
  <c r="F257"/>
  <c r="Q20" i="64" s="1"/>
  <c r="L251" i="69" s="1"/>
  <c r="D251" s="1"/>
  <c r="I116" i="26" s="1"/>
  <c r="I52" i="69"/>
  <c r="D52" s="1"/>
  <c r="I27" i="26" s="1"/>
  <c r="D122" i="69"/>
  <c r="I51" i="26" s="1"/>
  <c r="E3" i="69"/>
  <c r="E168" i="71"/>
  <c r="F170" s="1"/>
  <c r="Q42" i="62" s="1"/>
  <c r="J70" i="69" s="1"/>
  <c r="D70" s="1"/>
  <c r="I19" i="54"/>
  <c r="I16" s="1"/>
  <c r="Q6" i="61"/>
  <c r="F230" i="71"/>
  <c r="Q37" i="63" s="1"/>
  <c r="K235" i="69" s="1"/>
  <c r="D235" s="1"/>
  <c r="Q36" i="63"/>
  <c r="K234" i="69" s="1"/>
  <c r="D234" s="1"/>
  <c r="F373" i="71"/>
  <c r="Q54" i="66" s="1"/>
  <c r="N421" i="69" s="1"/>
  <c r="D421" s="1"/>
  <c r="Q52" i="66"/>
  <c r="I389" i="69"/>
  <c r="D389" s="1"/>
  <c r="I190" i="26" s="1"/>
  <c r="F11" i="53"/>
  <c r="F18" i="55"/>
  <c r="F207" i="71"/>
  <c r="Q15" i="63" s="1"/>
  <c r="K213" i="69" s="1"/>
  <c r="D213" s="1"/>
  <c r="Q13" i="63"/>
  <c r="K211" i="69" s="1"/>
  <c r="D211" s="1"/>
  <c r="E180" i="71"/>
  <c r="E185"/>
  <c r="F186"/>
  <c r="N5" i="69"/>
  <c r="L244"/>
  <c r="D244" s="1"/>
  <c r="I115" i="26" s="1"/>
  <c r="Q7" i="64"/>
  <c r="I66" i="26"/>
  <c r="I40"/>
  <c r="I86"/>
  <c r="D387" i="69"/>
  <c r="F316" i="71"/>
  <c r="Q57" i="65" s="1"/>
  <c r="M378" i="69" s="1"/>
  <c r="D378" s="1"/>
  <c r="F127" i="71"/>
  <c r="F129"/>
  <c r="Q39" i="70" s="1"/>
  <c r="I44" i="69" s="1"/>
  <c r="F131" i="71"/>
  <c r="Q43" i="70" s="1"/>
  <c r="I48" i="69" s="1"/>
  <c r="D48" s="1"/>
  <c r="F128" i="71"/>
  <c r="Q38" i="70" s="1"/>
  <c r="I43" i="69" s="1"/>
  <c r="D43" s="1"/>
  <c r="F130" i="71"/>
  <c r="Q40" i="70" s="1"/>
  <c r="I45" i="69" s="1"/>
  <c r="D45" s="1"/>
  <c r="F211" i="71"/>
  <c r="Q18" i="63" s="1"/>
  <c r="K216" i="69" s="1"/>
  <c r="D216" s="1"/>
  <c r="Q16" i="63"/>
  <c r="K214" i="69" s="1"/>
  <c r="D214" s="1"/>
  <c r="I99" i="26" s="1"/>
  <c r="I204"/>
  <c r="D127" i="69"/>
  <c r="I53" i="26" s="1"/>
  <c r="I123"/>
  <c r="D150" i="69"/>
  <c r="I46" i="26"/>
  <c r="I93"/>
  <c r="I173"/>
  <c r="I72"/>
  <c r="I188"/>
  <c r="F237" i="71"/>
  <c r="Q55" i="63" s="1"/>
  <c r="I186" i="26"/>
  <c r="D44" i="69"/>
  <c r="F294" i="71"/>
  <c r="Q13" i="65" s="1"/>
  <c r="M406" i="69" s="1"/>
  <c r="D406" s="1"/>
  <c r="I198" i="26" s="1"/>
  <c r="E216" i="71"/>
  <c r="F218" s="1"/>
  <c r="Q28" i="63" s="1"/>
  <c r="K226" i="69" s="1"/>
  <c r="D226" s="1"/>
  <c r="D181"/>
  <c r="I82" i="26" s="1"/>
  <c r="I81" s="1"/>
  <c r="E175" i="71"/>
  <c r="E322"/>
  <c r="F324" s="1"/>
  <c r="Q62" i="65" s="1"/>
  <c r="M82" i="69" s="1"/>
  <c r="D82" s="1"/>
  <c r="F323" i="71"/>
  <c r="L122" i="70"/>
  <c r="L120"/>
  <c r="L11" i="60"/>
  <c r="Q11" s="1"/>
  <c r="G448" i="69" s="1"/>
  <c r="D448" s="1"/>
  <c r="I211" i="26" s="1"/>
  <c r="L117" i="70"/>
  <c r="L14" i="61"/>
  <c r="H459" i="69" s="1"/>
  <c r="L123" i="70"/>
  <c r="L119"/>
  <c r="L15" i="60"/>
  <c r="L13" i="61"/>
  <c r="L16"/>
  <c r="L24"/>
  <c r="L16" i="60"/>
  <c r="G467" i="69" s="1"/>
  <c r="L17" i="60"/>
  <c r="G475" i="69" s="1"/>
  <c r="D475" s="1"/>
  <c r="I218" i="26" s="1"/>
  <c r="L8" i="61"/>
  <c r="C214" i="26"/>
  <c r="D4" i="39"/>
  <c r="D10" s="1"/>
  <c r="L12" i="61"/>
  <c r="H448" i="69" s="1"/>
  <c r="L25" i="61"/>
  <c r="L7" i="60"/>
  <c r="L121" i="70"/>
  <c r="C205" i="26"/>
  <c r="L118" i="70"/>
  <c r="L10" i="61"/>
  <c r="L9" i="60"/>
  <c r="G433" i="69" s="1"/>
  <c r="D433" s="1"/>
  <c r="I209" i="26" s="1"/>
  <c r="L17" i="61"/>
  <c r="H467" i="69" s="1"/>
  <c r="L18" i="60"/>
  <c r="G477" i="69" s="1"/>
  <c r="L11" i="61"/>
  <c r="H445" i="69" s="1"/>
  <c r="L19" i="61"/>
  <c r="H477" i="69" s="1"/>
  <c r="L8" i="60"/>
  <c r="G430" i="69" s="1"/>
  <c r="L12" i="60"/>
  <c r="Q12" s="1"/>
  <c r="G450" i="69" s="1"/>
  <c r="L10" i="60"/>
  <c r="Q10" s="1"/>
  <c r="L9" i="61"/>
  <c r="H430" i="69" s="1"/>
  <c r="L28" i="61"/>
  <c r="Q28" s="1"/>
  <c r="L18"/>
  <c r="H475" i="69" s="1"/>
  <c r="L13" i="60"/>
  <c r="Q13" s="1"/>
  <c r="G459" i="69" s="1"/>
  <c r="D459" s="1"/>
  <c r="I213" i="26" s="1"/>
  <c r="F298" i="71"/>
  <c r="Q16" i="65" s="1"/>
  <c r="M409" i="69" s="1"/>
  <c r="D409" s="1"/>
  <c r="Q14" i="65"/>
  <c r="M407" i="69" s="1"/>
  <c r="D407" s="1"/>
  <c r="I199" i="26" s="1"/>
  <c r="F311" i="71"/>
  <c r="Q53" i="65" s="1"/>
  <c r="M395" i="69" s="1"/>
  <c r="D395" s="1"/>
  <c r="Q51" i="65"/>
  <c r="F116" i="71"/>
  <c r="I56" i="26"/>
  <c r="I202"/>
  <c r="D134" i="69"/>
  <c r="I57" i="26" s="1"/>
  <c r="I110"/>
  <c r="I76"/>
  <c r="D152" i="69"/>
  <c r="I63" i="26" s="1"/>
  <c r="I133"/>
  <c r="I132" s="1"/>
  <c r="I45"/>
  <c r="I171"/>
  <c r="I181"/>
  <c r="D146" i="69"/>
  <c r="I61" i="26" s="1"/>
  <c r="I139"/>
  <c r="I161"/>
  <c r="D149" i="69"/>
  <c r="I62" i="26" s="1"/>
  <c r="I70"/>
  <c r="F363" i="71"/>
  <c r="F214"/>
  <c r="Q20" i="63" s="1"/>
  <c r="E144" i="71"/>
  <c r="F150" s="1"/>
  <c r="Q25" i="62" s="1"/>
  <c r="J77" i="69" s="1"/>
  <c r="D77" s="1"/>
  <c r="I42" i="54" l="1"/>
  <c r="I41" s="1"/>
  <c r="Q6" i="64"/>
  <c r="F17" i="55"/>
  <c r="E6" i="57" s="1"/>
  <c r="N419" i="69"/>
  <c r="D419" s="1"/>
  <c r="I203" i="26" s="1"/>
  <c r="Q35" i="66"/>
  <c r="I59" i="54" s="1"/>
  <c r="E224" i="71"/>
  <c r="F226" s="1"/>
  <c r="Q34" i="63" s="1"/>
  <c r="K232" i="69" s="1"/>
  <c r="D232" s="1"/>
  <c r="F164" i="71"/>
  <c r="Q36" i="62" s="1"/>
  <c r="J40" i="69" s="1"/>
  <c r="D40" s="1"/>
  <c r="F163" i="71"/>
  <c r="Q35" i="62" s="1"/>
  <c r="J39" i="69" s="1"/>
  <c r="D39" s="1"/>
  <c r="I50" i="26"/>
  <c r="D477" i="69"/>
  <c r="I219" i="26" s="1"/>
  <c r="F147" i="71"/>
  <c r="Q22" i="62" s="1"/>
  <c r="J74" i="69" s="1"/>
  <c r="D74" s="1"/>
  <c r="F146" i="71"/>
  <c r="Q21" i="62" s="1"/>
  <c r="J73" i="69" s="1"/>
  <c r="D73" s="1"/>
  <c r="F148" i="71"/>
  <c r="Q23" i="62" s="1"/>
  <c r="J75" i="69" s="1"/>
  <c r="D75" s="1"/>
  <c r="F145" i="71"/>
  <c r="F149"/>
  <c r="Q24" i="62" s="1"/>
  <c r="J76" i="69" s="1"/>
  <c r="D76" s="1"/>
  <c r="Q6" i="60"/>
  <c r="G445" i="69"/>
  <c r="D445" s="1"/>
  <c r="I210" i="26" s="1"/>
  <c r="F325" i="71"/>
  <c r="Q63" i="65" s="1"/>
  <c r="M83" i="69" s="1"/>
  <c r="D83" s="1"/>
  <c r="Q61" i="65"/>
  <c r="F132" i="71"/>
  <c r="Q44" i="70" s="1"/>
  <c r="I50" i="69" s="1"/>
  <c r="D50" s="1"/>
  <c r="Q37" i="70"/>
  <c r="D5" i="69"/>
  <c r="F223" i="71"/>
  <c r="Q32" i="63" s="1"/>
  <c r="K230" i="69" s="1"/>
  <c r="D230" s="1"/>
  <c r="Q30" i="63"/>
  <c r="K228" i="69" s="1"/>
  <c r="D228" s="1"/>
  <c r="I105" i="26" s="1"/>
  <c r="K218" i="69"/>
  <c r="D218" s="1"/>
  <c r="I65" i="26"/>
  <c r="D60" i="29"/>
  <c r="D59" s="1"/>
  <c r="Q132" i="26"/>
  <c r="M393" i="69"/>
  <c r="D393" s="1"/>
  <c r="I192" i="26" s="1"/>
  <c r="Q32" i="65"/>
  <c r="I55" i="54" s="1"/>
  <c r="F365" i="71"/>
  <c r="Q32" i="66" s="1"/>
  <c r="N29" i="69" s="1"/>
  <c r="D29" s="1"/>
  <c r="Q30" i="66"/>
  <c r="Q110" i="26"/>
  <c r="D54" i="29"/>
  <c r="D53" s="1"/>
  <c r="F118" i="71"/>
  <c r="Q15" i="70" s="1"/>
  <c r="I388" i="69" s="1"/>
  <c r="D388" s="1"/>
  <c r="Q13" i="70"/>
  <c r="I386" i="69" s="1"/>
  <c r="D386" s="1"/>
  <c r="D16" i="39"/>
  <c r="D15"/>
  <c r="F175" i="71"/>
  <c r="E174"/>
  <c r="F189"/>
  <c r="Q61" i="62" s="1"/>
  <c r="J88" i="69" s="1"/>
  <c r="D88" s="1"/>
  <c r="F187" i="71"/>
  <c r="Q58" i="62" s="1"/>
  <c r="J85" i="69" s="1"/>
  <c r="D85" s="1"/>
  <c r="F188" i="71"/>
  <c r="Q60" i="62" s="1"/>
  <c r="J87" i="69" s="1"/>
  <c r="D87" s="1"/>
  <c r="F18" i="53"/>
  <c r="D467" i="69"/>
  <c r="I217" i="26" s="1"/>
  <c r="I215" s="1"/>
  <c r="F217" i="71"/>
  <c r="I98" i="26"/>
  <c r="I107"/>
  <c r="F169" i="71"/>
  <c r="I37" i="26"/>
  <c r="F215" i="71"/>
  <c r="Q21" i="63" s="1"/>
  <c r="Q27" i="61"/>
  <c r="H450" i="69"/>
  <c r="H3" s="1"/>
  <c r="D430"/>
  <c r="I208" i="26" s="1"/>
  <c r="G3" i="69"/>
  <c r="D42" i="29"/>
  <c r="D41" s="1"/>
  <c r="Q81" i="26"/>
  <c r="F190" i="71"/>
  <c r="Q62" i="62" s="1"/>
  <c r="J89" i="69" s="1"/>
  <c r="D89" s="1"/>
  <c r="Q57" i="62"/>
  <c r="J84" i="69" s="1"/>
  <c r="D84" s="1"/>
  <c r="E179" i="71"/>
  <c r="F36" i="53"/>
  <c r="F165" i="71"/>
  <c r="Q37" i="62" s="1"/>
  <c r="J41" i="69" s="1"/>
  <c r="D41" s="1"/>
  <c r="Q34" i="62"/>
  <c r="J38" i="69" s="1"/>
  <c r="D38" s="1"/>
  <c r="F238" i="71"/>
  <c r="Q56" i="63" s="1"/>
  <c r="Q215" i="26" l="1"/>
  <c r="D96" i="29"/>
  <c r="D95" s="1"/>
  <c r="E157" i="71"/>
  <c r="F183"/>
  <c r="Q55" i="62" s="1"/>
  <c r="J66" i="69" s="1"/>
  <c r="D66" s="1"/>
  <c r="F182" i="71"/>
  <c r="Q54" i="62" s="1"/>
  <c r="J65" i="69" s="1"/>
  <c r="D65" s="1"/>
  <c r="F181" i="71"/>
  <c r="Q53" i="62" s="1"/>
  <c r="J64" i="69" s="1"/>
  <c r="D64" s="1"/>
  <c r="F35" i="53"/>
  <c r="F99" i="55"/>
  <c r="Q26" i="61"/>
  <c r="Q5" s="1"/>
  <c r="I23" i="54"/>
  <c r="I22" s="1"/>
  <c r="F171" i="71"/>
  <c r="Q43" i="62" s="1"/>
  <c r="J71" i="69" s="1"/>
  <c r="D71" s="1"/>
  <c r="Q41" i="62"/>
  <c r="J69" i="69" s="1"/>
  <c r="D69" s="1"/>
  <c r="I32" i="26" s="1"/>
  <c r="Q37"/>
  <c r="D24" i="29"/>
  <c r="D23" s="1"/>
  <c r="F219" i="71"/>
  <c r="Q29" i="63" s="1"/>
  <c r="K227" i="69" s="1"/>
  <c r="D227" s="1"/>
  <c r="Q27" i="63"/>
  <c r="K225" i="69" s="1"/>
  <c r="D225" s="1"/>
  <c r="I9" i="26"/>
  <c r="F151" i="71"/>
  <c r="Q26" i="62" s="1"/>
  <c r="J80" i="69" s="1"/>
  <c r="D80" s="1"/>
  <c r="Q20" i="62"/>
  <c r="E199" i="71"/>
  <c r="K219" i="69"/>
  <c r="D219" s="1"/>
  <c r="I100" i="26" s="1"/>
  <c r="F17" i="53"/>
  <c r="F73" i="55"/>
  <c r="Q45" i="62"/>
  <c r="J56" i="69" s="1"/>
  <c r="D56" s="1"/>
  <c r="E287" i="71"/>
  <c r="Q65" i="26"/>
  <c r="D36" i="29"/>
  <c r="D35" s="1"/>
  <c r="I42" i="69"/>
  <c r="Q34" i="70"/>
  <c r="I26" i="54" s="1"/>
  <c r="M81" i="69"/>
  <c r="Q60" i="65"/>
  <c r="I56" i="54" s="1"/>
  <c r="Q50" i="26"/>
  <c r="D30" i="29"/>
  <c r="D29" s="1"/>
  <c r="F122" i="53"/>
  <c r="E112" i="71"/>
  <c r="F177"/>
  <c r="Q49" i="62" s="1"/>
  <c r="J60" i="69" s="1"/>
  <c r="D60" s="1"/>
  <c r="F176" i="71"/>
  <c r="Q48" i="62" s="1"/>
  <c r="J59" i="69" s="1"/>
  <c r="D59" s="1"/>
  <c r="N27"/>
  <c r="Q6" i="66"/>
  <c r="Q5" i="60"/>
  <c r="I13" i="54"/>
  <c r="I12" s="1"/>
  <c r="I25" i="26"/>
  <c r="F180" i="71"/>
  <c r="I35" i="26"/>
  <c r="Q42" i="63"/>
  <c r="I189" i="26"/>
  <c r="D450" i="69"/>
  <c r="I212" i="26" s="1"/>
  <c r="I206" s="1"/>
  <c r="F225" i="71"/>
  <c r="Q206" i="26" l="1"/>
  <c r="D90" i="29"/>
  <c r="D89" s="1"/>
  <c r="Q5" i="66"/>
  <c r="I58" i="54"/>
  <c r="I57" s="1"/>
  <c r="E111" i="71"/>
  <c r="F113" s="1"/>
  <c r="Q11" i="70" s="1"/>
  <c r="I373" i="69" s="1"/>
  <c r="D373" s="1"/>
  <c r="G11" i="30"/>
  <c r="E198" i="71"/>
  <c r="F199"/>
  <c r="F98" i="55"/>
  <c r="E275" i="71"/>
  <c r="E274" s="1"/>
  <c r="F275" s="1"/>
  <c r="F178"/>
  <c r="Q50" i="62" s="1"/>
  <c r="J61" i="69" s="1"/>
  <c r="D61" s="1"/>
  <c r="F184" i="71"/>
  <c r="Q56" i="62" s="1"/>
  <c r="J67" i="69" s="1"/>
  <c r="D67" s="1"/>
  <c r="Q52" i="62"/>
  <c r="J63" i="69" s="1"/>
  <c r="D63" s="1"/>
  <c r="F24" i="53"/>
  <c r="F121"/>
  <c r="F170" i="55"/>
  <c r="D95" i="26"/>
  <c r="D195"/>
  <c r="D49"/>
  <c r="D183"/>
  <c r="D167"/>
  <c r="D80"/>
  <c r="D109"/>
  <c r="D131"/>
  <c r="D36"/>
  <c r="D64"/>
  <c r="D147"/>
  <c r="E14" i="30"/>
  <c r="E11" s="1"/>
  <c r="F11"/>
  <c r="F67" i="55"/>
  <c r="F66" s="1"/>
  <c r="F72"/>
  <c r="J72" i="69"/>
  <c r="D72" s="1"/>
  <c r="I33" i="26" s="1"/>
  <c r="I30"/>
  <c r="I104"/>
  <c r="E286" i="71"/>
  <c r="F288" s="1"/>
  <c r="Q8" i="65" s="1"/>
  <c r="M401" i="69" s="1"/>
  <c r="D401" s="1"/>
  <c r="F287" i="71"/>
  <c r="H11" i="30"/>
  <c r="F48" i="53"/>
  <c r="I15" i="54"/>
  <c r="E156" i="71"/>
  <c r="F227"/>
  <c r="Q35" i="63" s="1"/>
  <c r="K233" i="69" s="1"/>
  <c r="D233" s="1"/>
  <c r="Q33" i="63"/>
  <c r="K231" i="69" s="1"/>
  <c r="D231" s="1"/>
  <c r="I106" i="26" s="1"/>
  <c r="Q41" i="63"/>
  <c r="I39" i="54"/>
  <c r="I38" s="1"/>
  <c r="F110" i="53" s="1"/>
  <c r="D27" i="69"/>
  <c r="N3"/>
  <c r="E193" i="71"/>
  <c r="E192" s="1"/>
  <c r="F193" s="1"/>
  <c r="D81" i="69"/>
  <c r="I34" i="26" s="1"/>
  <c r="D42" i="69"/>
  <c r="I26" i="26" s="1"/>
  <c r="I11" i="30"/>
  <c r="F131" i="55" l="1"/>
  <c r="F47" i="53"/>
  <c r="F289" i="71"/>
  <c r="Q9" i="65" s="1"/>
  <c r="M402" i="69" s="1"/>
  <c r="D402" s="1"/>
  <c r="Q7" i="65"/>
  <c r="M65" i="55"/>
  <c r="E15" i="57"/>
  <c r="E16" s="1"/>
  <c r="F169" i="55"/>
  <c r="F276" i="71"/>
  <c r="Q106" i="64" s="1"/>
  <c r="L303" i="69" s="1"/>
  <c r="D303" s="1"/>
  <c r="Q105" i="64"/>
  <c r="E12" i="30"/>
  <c r="E9" s="1"/>
  <c r="D205" i="26"/>
  <c r="D214"/>
  <c r="F202" i="71"/>
  <c r="Q11" i="63" s="1"/>
  <c r="K209" i="69" s="1"/>
  <c r="D209" s="1"/>
  <c r="F200" i="71"/>
  <c r="Q9" i="63" s="1"/>
  <c r="K207" i="69" s="1"/>
  <c r="D207" s="1"/>
  <c r="F201" i="71"/>
  <c r="Q10" i="63" s="1"/>
  <c r="K208" i="69" s="1"/>
  <c r="D208" s="1"/>
  <c r="F158" i="53"/>
  <c r="E329" i="71"/>
  <c r="E328" s="1"/>
  <c r="F329" s="1"/>
  <c r="F194"/>
  <c r="Q73" i="62" s="1"/>
  <c r="J345" i="69" s="1"/>
  <c r="D345" s="1"/>
  <c r="Q72" i="62"/>
  <c r="O79" i="67"/>
  <c r="T79" s="1"/>
  <c r="O99"/>
  <c r="T99" s="1"/>
  <c r="O23" i="59"/>
  <c r="O58" i="67"/>
  <c r="T58" s="1"/>
  <c r="O109" i="62"/>
  <c r="T109" s="1"/>
  <c r="O42" i="65"/>
  <c r="O29"/>
  <c r="O58" i="63"/>
  <c r="O136" i="64"/>
  <c r="O38" i="63"/>
  <c r="O84" i="67"/>
  <c r="T84" s="1"/>
  <c r="O38" i="66"/>
  <c r="O27" i="64"/>
  <c r="O129"/>
  <c r="I14" i="40"/>
  <c r="O22" i="63"/>
  <c r="O17" i="64"/>
  <c r="O115"/>
  <c r="O51" i="66"/>
  <c r="O120" i="64"/>
  <c r="O39"/>
  <c r="O100" i="62"/>
  <c r="O143" i="64"/>
  <c r="O88" i="67"/>
  <c r="T88" s="1"/>
  <c r="O40" i="58"/>
  <c r="O43" i="66"/>
  <c r="O102" i="70"/>
  <c r="H14" i="30"/>
  <c r="O18" i="64"/>
  <c r="O113" i="70"/>
  <c r="O20" i="58"/>
  <c r="O81" i="62"/>
  <c r="T81" s="1"/>
  <c r="O45" i="64"/>
  <c r="O47" i="58"/>
  <c r="O149" i="64"/>
  <c r="I15" i="40"/>
  <c r="O71" i="62"/>
  <c r="T71" s="1"/>
  <c r="O27" i="70"/>
  <c r="O39" i="58"/>
  <c r="O54"/>
  <c r="O132" i="64"/>
  <c r="O30" i="63"/>
  <c r="O67" i="67"/>
  <c r="T67" s="1"/>
  <c r="O25" i="65"/>
  <c r="O60" i="66"/>
  <c r="O49" i="59"/>
  <c r="O32" i="64"/>
  <c r="O96"/>
  <c r="O19" i="58"/>
  <c r="O54" i="65"/>
  <c r="O27" i="59"/>
  <c r="O158" i="64"/>
  <c r="O197"/>
  <c r="O48" i="67"/>
  <c r="O22" i="58"/>
  <c r="O105" i="70"/>
  <c r="O54" i="66"/>
  <c r="O18" i="63"/>
  <c r="G64" i="26"/>
  <c r="O59" i="63"/>
  <c r="O62"/>
  <c r="O24" i="59"/>
  <c r="O74" i="62"/>
  <c r="T74" s="1"/>
  <c r="O59" i="65"/>
  <c r="O63" i="67"/>
  <c r="T63" s="1"/>
  <c r="O114" i="70"/>
  <c r="O46" i="67"/>
  <c r="O182" i="64"/>
  <c r="O23" i="63"/>
  <c r="O131" i="64"/>
  <c r="O60"/>
  <c r="O56" i="59"/>
  <c r="O141" i="64"/>
  <c r="O68"/>
  <c r="O32" i="59"/>
  <c r="O40" i="64"/>
  <c r="O12" i="67"/>
  <c r="O186" i="64"/>
  <c r="O98" i="62"/>
  <c r="O42" i="59"/>
  <c r="O33" i="67"/>
  <c r="O201" i="64"/>
  <c r="O194"/>
  <c r="O33" i="65"/>
  <c r="O23" i="67"/>
  <c r="O47"/>
  <c r="O15" i="64"/>
  <c r="O172"/>
  <c r="O14" i="59"/>
  <c r="O167" i="64"/>
  <c r="O8" i="59"/>
  <c r="O96" i="67"/>
  <c r="T96" s="1"/>
  <c r="O32" i="70"/>
  <c r="O108"/>
  <c r="O101" i="64"/>
  <c r="O18" i="70"/>
  <c r="O12" i="64"/>
  <c r="O13" i="59"/>
  <c r="O212" i="64"/>
  <c r="O24" i="70"/>
  <c r="O12" i="63"/>
  <c r="O87" i="62"/>
  <c r="T87" s="1"/>
  <c r="O20" i="64"/>
  <c r="O50" i="65"/>
  <c r="O27"/>
  <c r="O28" i="59"/>
  <c r="O25" i="63"/>
  <c r="O21" i="61"/>
  <c r="O81" i="64"/>
  <c r="T81" s="1"/>
  <c r="O84" i="62"/>
  <c r="T84" s="1"/>
  <c r="O54" i="64"/>
  <c r="O43" i="63"/>
  <c r="O48" i="59"/>
  <c r="O41" i="67"/>
  <c r="O110" i="62"/>
  <c r="T110" s="1"/>
  <c r="O76" i="67"/>
  <c r="T76" s="1"/>
  <c r="O82"/>
  <c r="T82" s="1"/>
  <c r="O115" i="62"/>
  <c r="T115" s="1"/>
  <c r="O42" i="67"/>
  <c r="O37" i="63"/>
  <c r="O39"/>
  <c r="O188" i="64"/>
  <c r="O35"/>
  <c r="O7" i="59"/>
  <c r="O137" i="64"/>
  <c r="O62" i="67"/>
  <c r="T62" s="1"/>
  <c r="O13" i="70"/>
  <c r="O38" i="64"/>
  <c r="O155"/>
  <c r="O75" i="67"/>
  <c r="T75" s="1"/>
  <c r="O134" i="64"/>
  <c r="O25"/>
  <c r="O87" i="67"/>
  <c r="T87" s="1"/>
  <c r="O31" i="58"/>
  <c r="O80" i="64"/>
  <c r="T80" s="1"/>
  <c r="O54" i="67"/>
  <c r="T54" s="1"/>
  <c r="O53" i="59"/>
  <c r="O41" i="65"/>
  <c r="O205" i="64"/>
  <c r="O71"/>
  <c r="O14" i="70"/>
  <c r="O98"/>
  <c r="O55" i="58"/>
  <c r="O48"/>
  <c r="O208" i="64"/>
  <c r="O31" i="67"/>
  <c r="O41" i="59"/>
  <c r="O94" i="70"/>
  <c r="O52" i="59"/>
  <c r="O128" i="64"/>
  <c r="O157"/>
  <c r="O60" i="67"/>
  <c r="T60" s="1"/>
  <c r="O62" i="64"/>
  <c r="O56" i="58"/>
  <c r="O23"/>
  <c r="O49" i="67"/>
  <c r="O86" i="64"/>
  <c r="O54" i="63"/>
  <c r="O154" i="64"/>
  <c r="O69" i="67"/>
  <c r="T69" s="1"/>
  <c r="O16"/>
  <c r="O16" i="59"/>
  <c r="O26" i="67"/>
  <c r="O40"/>
  <c r="O65"/>
  <c r="T65" s="1"/>
  <c r="O11" i="70"/>
  <c r="O10" i="59"/>
  <c r="O91" i="70"/>
  <c r="O99" i="64"/>
  <c r="O11" i="59"/>
  <c r="O22" i="64"/>
  <c r="O18" i="65"/>
  <c r="G36" i="26"/>
  <c r="O86" i="62"/>
  <c r="T86" s="1"/>
  <c r="O16" i="65"/>
  <c r="O15" i="70"/>
  <c r="O174" i="64"/>
  <c r="O14" i="65"/>
  <c r="O202" i="64"/>
  <c r="O11" i="65"/>
  <c r="O36" i="64"/>
  <c r="O64" i="63"/>
  <c r="O38" i="67"/>
  <c r="O78" i="64"/>
  <c r="T78" s="1"/>
  <c r="O95" i="67"/>
  <c r="T95" s="1"/>
  <c r="O91" i="62"/>
  <c r="T91" s="1"/>
  <c r="G147" i="26"/>
  <c r="O47" i="59"/>
  <c r="O36" i="66"/>
  <c r="O39" i="59"/>
  <c r="O19" i="70"/>
  <c r="O9" i="59"/>
  <c r="O9" i="58"/>
  <c r="O13" i="65"/>
  <c r="O20" i="59"/>
  <c r="O10" i="58"/>
  <c r="O24"/>
  <c r="O93" i="67"/>
  <c r="T93" s="1"/>
  <c r="O116" i="64"/>
  <c r="O30"/>
  <c r="O42" i="66"/>
  <c r="O75" i="63"/>
  <c r="O28" i="58"/>
  <c r="O191" i="64"/>
  <c r="O59"/>
  <c r="O53" i="66"/>
  <c r="O47"/>
  <c r="O53" i="63"/>
  <c r="O24" i="65"/>
  <c r="O39"/>
  <c r="O15"/>
  <c r="O58" i="66"/>
  <c r="O139" i="64"/>
  <c r="O200"/>
  <c r="O92" i="62"/>
  <c r="T92" s="1"/>
  <c r="O73" i="63"/>
  <c r="O52" i="58"/>
  <c r="O30" i="65"/>
  <c r="O93" i="64"/>
  <c r="O21" i="63"/>
  <c r="O40" i="65"/>
  <c r="O33" i="58"/>
  <c r="O64" i="62"/>
  <c r="T64" s="1"/>
  <c r="O10" i="70"/>
  <c r="O29" i="63"/>
  <c r="O46" i="58"/>
  <c r="O68" i="67"/>
  <c r="T68" s="1"/>
  <c r="O109" i="64"/>
  <c r="I8" i="40"/>
  <c r="O218" i="64"/>
  <c r="O181"/>
  <c r="O124"/>
  <c r="O103" i="70"/>
  <c r="O7"/>
  <c r="O44" i="64"/>
  <c r="G80" i="26"/>
  <c r="O31" i="59"/>
  <c r="O21" i="67"/>
  <c r="O49" i="58"/>
  <c r="O84" i="64"/>
  <c r="T84" s="1"/>
  <c r="O52" i="66"/>
  <c r="O125" i="64"/>
  <c r="O31" i="70"/>
  <c r="O95" i="62"/>
  <c r="O55" i="66"/>
  <c r="O7" i="58"/>
  <c r="O45" i="59"/>
  <c r="O122" i="64"/>
  <c r="G95" i="26"/>
  <c r="O206" i="64"/>
  <c r="O35" i="59"/>
  <c r="O107" i="62"/>
  <c r="T107" s="1"/>
  <c r="O58" i="59"/>
  <c r="O69" i="63"/>
  <c r="G195" i="26"/>
  <c r="O18" i="58"/>
  <c r="O46" i="64"/>
  <c r="O96" i="62"/>
  <c r="O42" i="58"/>
  <c r="O77" i="62"/>
  <c r="T77" s="1"/>
  <c r="O47" i="63"/>
  <c r="O90" i="64"/>
  <c r="O93" i="62"/>
  <c r="T93" s="1"/>
  <c r="O108"/>
  <c r="T108" s="1"/>
  <c r="O55" i="64"/>
  <c r="O10"/>
  <c r="O18" i="59"/>
  <c r="O164" i="64"/>
  <c r="O99" i="62"/>
  <c r="O31" i="63"/>
  <c r="I10" i="40"/>
  <c r="O36" i="67"/>
  <c r="O26" i="59"/>
  <c r="O38" i="65"/>
  <c r="O43" i="59"/>
  <c r="O20" i="63"/>
  <c r="O28" i="67"/>
  <c r="O73" i="64"/>
  <c r="O162"/>
  <c r="O107" i="70"/>
  <c r="O51" i="67"/>
  <c r="O49" i="63"/>
  <c r="O127" i="64"/>
  <c r="O29" i="58"/>
  <c r="O34" i="59"/>
  <c r="O89" i="67"/>
  <c r="T89" s="1"/>
  <c r="O55" i="65"/>
  <c r="O35" i="58"/>
  <c r="O160" i="64"/>
  <c r="O36" i="63"/>
  <c r="O53" i="67"/>
  <c r="O33" i="64"/>
  <c r="O57" i="66"/>
  <c r="O63" i="63"/>
  <c r="O27" i="67"/>
  <c r="O65" i="64"/>
  <c r="O183"/>
  <c r="O56" i="67"/>
  <c r="T56" s="1"/>
  <c r="O105" i="62"/>
  <c r="T105" s="1"/>
  <c r="O73"/>
  <c r="T73" s="1"/>
  <c r="O34" i="65"/>
  <c r="O41" i="64"/>
  <c r="O146"/>
  <c r="O45" i="58"/>
  <c r="O16" i="63"/>
  <c r="O88" i="64"/>
  <c r="O112"/>
  <c r="O213"/>
  <c r="O67" i="62"/>
  <c r="T67" s="1"/>
  <c r="O17" i="58"/>
  <c r="O65" i="63"/>
  <c r="O123" i="64"/>
  <c r="O40" i="63"/>
  <c r="O35" i="65"/>
  <c r="O104" i="62"/>
  <c r="T104" s="1"/>
  <c r="O15" i="67"/>
  <c r="O163" i="64"/>
  <c r="O121"/>
  <c r="O189"/>
  <c r="O61" i="67"/>
  <c r="T61" s="1"/>
  <c r="O66"/>
  <c r="T66" s="1"/>
  <c r="O115" i="70"/>
  <c r="O47" i="64"/>
  <c r="O24" i="67"/>
  <c r="O118" i="64"/>
  <c r="O109" i="70"/>
  <c r="O56" i="64"/>
  <c r="O45" i="63"/>
  <c r="O37" i="59"/>
  <c r="O58" i="64"/>
  <c r="O70" i="63"/>
  <c r="O52" i="67"/>
  <c r="G183" i="26"/>
  <c r="O171" i="64"/>
  <c r="O96" i="70"/>
  <c r="O12" i="58"/>
  <c r="O26" i="64"/>
  <c r="O78" i="67"/>
  <c r="T78" s="1"/>
  <c r="O48" i="63"/>
  <c r="O85" i="64"/>
  <c r="O93" i="70"/>
  <c r="O30" i="67"/>
  <c r="O56" i="65"/>
  <c r="O106" i="64"/>
  <c r="O37"/>
  <c r="O210"/>
  <c r="O51" i="65"/>
  <c r="O50" i="59"/>
  <c r="O185" i="64"/>
  <c r="I18" i="40"/>
  <c r="O187" i="64"/>
  <c r="O147"/>
  <c r="O44" i="65"/>
  <c r="G49" i="26"/>
  <c r="O13" i="67"/>
  <c r="O46" i="66"/>
  <c r="O111" i="64"/>
  <c r="O32" i="63"/>
  <c r="O52" i="65"/>
  <c r="O34" i="64"/>
  <c r="O91"/>
  <c r="O15" i="59"/>
  <c r="O28" i="63"/>
  <c r="O94" i="64"/>
  <c r="O19" i="59"/>
  <c r="O78" i="62"/>
  <c r="T78" s="1"/>
  <c r="O19" i="67"/>
  <c r="O79" i="64"/>
  <c r="T79" s="1"/>
  <c r="O10" i="63"/>
  <c r="O161" i="64"/>
  <c r="O26" i="63"/>
  <c r="O60"/>
  <c r="O18" i="67"/>
  <c r="O110" i="70"/>
  <c r="O61" i="63"/>
  <c r="O106" i="70"/>
  <c r="O101" i="62"/>
  <c r="O112"/>
  <c r="T112" s="1"/>
  <c r="O72" i="64"/>
  <c r="O27" i="58"/>
  <c r="O126" i="64"/>
  <c r="O72" i="63"/>
  <c r="O28" i="64"/>
  <c r="O168"/>
  <c r="O77"/>
  <c r="T77" s="1"/>
  <c r="O16"/>
  <c r="O44" i="59"/>
  <c r="O20" i="67"/>
  <c r="O173" i="64"/>
  <c r="O17" i="70"/>
  <c r="O13" i="58"/>
  <c r="O33" i="63"/>
  <c r="O9" i="67"/>
  <c r="O19" i="65"/>
  <c r="O219" i="64"/>
  <c r="O166"/>
  <c r="O49"/>
  <c r="O31" i="65"/>
  <c r="O9" i="64"/>
  <c r="O52" i="63"/>
  <c r="O87" i="64"/>
  <c r="O190"/>
  <c r="O59" i="66"/>
  <c r="O103" i="62"/>
  <c r="T103" s="1"/>
  <c r="O97"/>
  <c r="O113"/>
  <c r="T113" s="1"/>
  <c r="O11" i="67"/>
  <c r="O209" i="64"/>
  <c r="O169"/>
  <c r="O92"/>
  <c r="O65" i="62"/>
  <c r="T65" s="1"/>
  <c r="O83" i="67"/>
  <c r="T83" s="1"/>
  <c r="O64" i="64"/>
  <c r="O92" i="67"/>
  <c r="T92" s="1"/>
  <c r="O133" i="64"/>
  <c r="O55" i="67"/>
  <c r="T55" s="1"/>
  <c r="O29"/>
  <c r="O12" i="65"/>
  <c r="O36" i="59"/>
  <c r="O52" i="64"/>
  <c r="O28" i="70"/>
  <c r="O98" i="67"/>
  <c r="T98" s="1"/>
  <c r="O19" i="63"/>
  <c r="O70" i="67"/>
  <c r="T70" s="1"/>
  <c r="O25" i="70"/>
  <c r="O46" i="63"/>
  <c r="O57"/>
  <c r="O23" i="70"/>
  <c r="O37" i="65"/>
  <c r="O102" i="62"/>
  <c r="O54" i="59"/>
  <c r="O55"/>
  <c r="O28" i="65"/>
  <c r="O198" i="64"/>
  <c r="O14" i="63"/>
  <c r="O114" i="62"/>
  <c r="T114" s="1"/>
  <c r="O43" i="64"/>
  <c r="O36" i="65"/>
  <c r="O50" i="64"/>
  <c r="O53" i="65"/>
  <c r="O43" i="67"/>
  <c r="O26" i="65"/>
  <c r="O159" i="64"/>
  <c r="O15" i="63"/>
  <c r="O8" i="67"/>
  <c r="O70" i="64"/>
  <c r="O36" i="58"/>
  <c r="O44" i="66"/>
  <c r="O11" i="58"/>
  <c r="O17" i="65"/>
  <c r="O25" i="67"/>
  <c r="O34" i="58"/>
  <c r="O33" i="70"/>
  <c r="O97" i="64"/>
  <c r="O15" i="58"/>
  <c r="O112" i="70"/>
  <c r="O49" i="65"/>
  <c r="O60" i="59"/>
  <c r="O17" i="63"/>
  <c r="O29" i="59"/>
  <c r="O151" i="64"/>
  <c r="O77" i="67"/>
  <c r="T77" s="1"/>
  <c r="O20" i="65"/>
  <c r="O21" i="59"/>
  <c r="O66" i="63"/>
  <c r="O13" i="64"/>
  <c r="O144"/>
  <c r="O85" i="62"/>
  <c r="T85" s="1"/>
  <c r="O25" i="58"/>
  <c r="O94" i="62"/>
  <c r="O193" i="64"/>
  <c r="O79" i="62"/>
  <c r="T79" s="1"/>
  <c r="G167" i="26"/>
  <c r="O111" i="70"/>
  <c r="O8" i="58"/>
  <c r="O130" i="64"/>
  <c r="O56" i="63"/>
  <c r="O165" i="64"/>
  <c r="O21" i="65"/>
  <c r="O17" i="59"/>
  <c r="O49" i="66"/>
  <c r="O119" i="64"/>
  <c r="O214"/>
  <c r="O70" i="62"/>
  <c r="T70" s="1"/>
  <c r="O178" i="64"/>
  <c r="O71" i="67"/>
  <c r="T71" s="1"/>
  <c r="O8" i="70"/>
  <c r="O21" i="58"/>
  <c r="O82" i="62"/>
  <c r="T82" s="1"/>
  <c r="O88"/>
  <c r="T88" s="1"/>
  <c r="O180" i="64"/>
  <c r="O83" i="62"/>
  <c r="T83" s="1"/>
  <c r="O23" i="65"/>
  <c r="I9" i="40"/>
  <c r="O35" i="67"/>
  <c r="O102" i="64"/>
  <c r="O42"/>
  <c r="O50" i="58"/>
  <c r="O217" i="64"/>
  <c r="O14" i="67"/>
  <c r="O192" i="64"/>
  <c r="O30" i="59"/>
  <c r="G109" i="26"/>
  <c r="O83" i="64"/>
  <c r="T83" s="1"/>
  <c r="O67"/>
  <c r="O39" i="67"/>
  <c r="O69" i="62"/>
  <c r="T69" s="1"/>
  <c r="O89" i="64"/>
  <c r="O135"/>
  <c r="O68" i="62"/>
  <c r="T68" s="1"/>
  <c r="O101" i="70"/>
  <c r="O74" i="63"/>
  <c r="O19" i="64"/>
  <c r="O20" i="70"/>
  <c r="O64" i="67"/>
  <c r="T64" s="1"/>
  <c r="O33" i="59"/>
  <c r="O51"/>
  <c r="O81" i="67"/>
  <c r="T81" s="1"/>
  <c r="O58" i="65"/>
  <c r="O57" i="64"/>
  <c r="O51" i="63"/>
  <c r="O113" i="64"/>
  <c r="O117"/>
  <c r="O184"/>
  <c r="O55" i="63"/>
  <c r="O51" i="64"/>
  <c r="I17" i="40"/>
  <c r="O10" i="67"/>
  <c r="O196" i="64"/>
  <c r="O95"/>
  <c r="O12" i="70"/>
  <c r="O204" i="64"/>
  <c r="O37" i="58"/>
  <c r="O94" i="67"/>
  <c r="T94" s="1"/>
  <c r="O156" i="64"/>
  <c r="O39" i="66"/>
  <c r="O80" i="67"/>
  <c r="T80" s="1"/>
  <c r="O24" i="63"/>
  <c r="O203" i="64"/>
  <c r="O75" i="62"/>
  <c r="T75" s="1"/>
  <c r="O66"/>
  <c r="T66" s="1"/>
  <c r="O90" i="67"/>
  <c r="T90" s="1"/>
  <c r="O111" i="62"/>
  <c r="T111" s="1"/>
  <c r="I11" i="40"/>
  <c r="O10" i="65"/>
  <c r="O41" i="66"/>
  <c r="O220" i="64"/>
  <c r="O71" i="63"/>
  <c r="I13" i="40"/>
  <c r="O51" i="58"/>
  <c r="O48" i="66"/>
  <c r="O145" i="64"/>
  <c r="O27" i="63"/>
  <c r="O23" i="64"/>
  <c r="O40" i="59"/>
  <c r="O9" i="63"/>
  <c r="O46" i="59"/>
  <c r="O13" i="63"/>
  <c r="O95" i="70"/>
  <c r="O41" i="58"/>
  <c r="I12" i="40"/>
  <c r="O37" i="66"/>
  <c r="O107" i="64"/>
  <c r="O91" i="67"/>
  <c r="T91" s="1"/>
  <c r="O59" i="59"/>
  <c r="O8" i="65"/>
  <c r="O100" i="64"/>
  <c r="O26" i="58"/>
  <c r="O34" i="63"/>
  <c r="O63" i="64"/>
  <c r="I16" i="40"/>
  <c r="O29" i="70"/>
  <c r="O8" i="64"/>
  <c r="O44" i="63"/>
  <c r="O8"/>
  <c r="O80" i="62"/>
  <c r="T80" s="1"/>
  <c r="G131" i="26"/>
  <c r="O38" i="58"/>
  <c r="O30" i="70"/>
  <c r="G6" i="39"/>
  <c r="G12" s="1"/>
  <c r="O66" i="64"/>
  <c r="O67" i="63"/>
  <c r="O45" i="65"/>
  <c r="O14" i="64"/>
  <c r="O9" i="65"/>
  <c r="O37" i="67"/>
  <c r="O68" i="63"/>
  <c r="O47" i="65"/>
  <c r="O114" i="64"/>
  <c r="O29"/>
  <c r="O12" i="59"/>
  <c r="O175" i="64"/>
  <c r="O76" i="62"/>
  <c r="T76" s="1"/>
  <c r="O44" i="58"/>
  <c r="O100" i="70"/>
  <c r="O97" i="67"/>
  <c r="T97" s="1"/>
  <c r="O110" i="64"/>
  <c r="O22" i="70"/>
  <c r="O16"/>
  <c r="O207" i="64"/>
  <c r="O59" i="67"/>
  <c r="T59" s="1"/>
  <c r="O61" i="64"/>
  <c r="O53" i="58"/>
  <c r="O14"/>
  <c r="O25" i="59"/>
  <c r="O22"/>
  <c r="O215" i="64"/>
  <c r="O150"/>
  <c r="O108"/>
  <c r="O48" i="65"/>
  <c r="O24" i="64"/>
  <c r="O26" i="70"/>
  <c r="O53" i="64"/>
  <c r="O44" i="67"/>
  <c r="O46" i="65"/>
  <c r="O43"/>
  <c r="O35" i="63"/>
  <c r="O216" i="64"/>
  <c r="O74"/>
  <c r="O7" i="65"/>
  <c r="O50" i="67"/>
  <c r="O106" i="62"/>
  <c r="T106" s="1"/>
  <c r="O104" i="70"/>
  <c r="O105" i="64"/>
  <c r="O86" i="67"/>
  <c r="T86" s="1"/>
  <c r="O9" i="70"/>
  <c r="O82" i="64"/>
  <c r="T82" s="1"/>
  <c r="O56" i="66"/>
  <c r="O142" i="64"/>
  <c r="O99" i="70"/>
  <c r="O50" i="63"/>
  <c r="O21" i="70"/>
  <c r="O22" i="67"/>
  <c r="O69" i="64"/>
  <c r="O195"/>
  <c r="O74" i="67"/>
  <c r="T74" s="1"/>
  <c r="O32"/>
  <c r="O16" i="58"/>
  <c r="O31" i="64"/>
  <c r="O40" i="66"/>
  <c r="O57" i="67"/>
  <c r="T57" s="1"/>
  <c r="O176" i="64"/>
  <c r="O21"/>
  <c r="O170"/>
  <c r="O199"/>
  <c r="O97" i="70"/>
  <c r="O57" i="65"/>
  <c r="O92" i="70"/>
  <c r="O32" i="58"/>
  <c r="O11" i="63"/>
  <c r="O43" i="58"/>
  <c r="O50" i="66"/>
  <c r="O17" i="67"/>
  <c r="O179" i="64"/>
  <c r="O85" i="67"/>
  <c r="T85" s="1"/>
  <c r="O140" i="64"/>
  <c r="O22" i="65"/>
  <c r="O45" i="66"/>
  <c r="O72" i="62"/>
  <c r="T72" s="1"/>
  <c r="O57" i="59"/>
  <c r="O11" i="64"/>
  <c r="O98"/>
  <c r="F86" i="55"/>
  <c r="F23" i="53"/>
  <c r="F203" i="71"/>
  <c r="Q12" i="63" s="1"/>
  <c r="K210" i="69" s="1"/>
  <c r="D210" s="1"/>
  <c r="Q8" i="63"/>
  <c r="F30" i="55"/>
  <c r="F29" s="1"/>
  <c r="E8" i="57" s="1"/>
  <c r="F109" i="53"/>
  <c r="F158" i="71"/>
  <c r="Q31" i="62" s="1"/>
  <c r="J33" i="69" s="1"/>
  <c r="D33" s="1"/>
  <c r="F159" i="71"/>
  <c r="Q32" i="62" s="1"/>
  <c r="J34" i="69" s="1"/>
  <c r="D34" s="1"/>
  <c r="M39" i="64"/>
  <c r="R39" s="1"/>
  <c r="M30" i="67"/>
  <c r="M27" i="64"/>
  <c r="R27" s="1"/>
  <c r="M108" i="70"/>
  <c r="R108" s="1"/>
  <c r="M46" i="59"/>
  <c r="M69" i="62"/>
  <c r="M114"/>
  <c r="R114" s="1"/>
  <c r="M18" i="67"/>
  <c r="R18" s="1"/>
  <c r="M131" i="64"/>
  <c r="M55"/>
  <c r="M57" i="59"/>
  <c r="R57" s="1"/>
  <c r="M9" i="65"/>
  <c r="M27" i="58"/>
  <c r="R27" s="1"/>
  <c r="M78" i="64"/>
  <c r="R78" s="1"/>
  <c r="M123"/>
  <c r="R123" s="1"/>
  <c r="M77" i="67"/>
  <c r="M11" i="65"/>
  <c r="M52" i="67"/>
  <c r="R52" s="1"/>
  <c r="M66"/>
  <c r="R66" s="1"/>
  <c r="M162" i="64"/>
  <c r="R162" s="1"/>
  <c r="M38"/>
  <c r="R38" s="1"/>
  <c r="M41" i="67"/>
  <c r="M30" i="65"/>
  <c r="M97" i="70"/>
  <c r="R97" s="1"/>
  <c r="M32" i="58"/>
  <c r="R32" s="1"/>
  <c r="M26" i="67"/>
  <c r="M94" i="64"/>
  <c r="R94" s="1"/>
  <c r="M53" i="66"/>
  <c r="M50" i="58"/>
  <c r="M33" i="63"/>
  <c r="M33" i="65"/>
  <c r="M173" i="64"/>
  <c r="R173" s="1"/>
  <c r="M56" i="67"/>
  <c r="R56" s="1"/>
  <c r="M18" i="63"/>
  <c r="M28" i="65"/>
  <c r="M16" i="58"/>
  <c r="M101" i="70"/>
  <c r="R101" s="1"/>
  <c r="M10" i="64"/>
  <c r="R10" s="1"/>
  <c r="M146"/>
  <c r="M215"/>
  <c r="M29" i="63"/>
  <c r="M10"/>
  <c r="M99" i="70"/>
  <c r="M52" i="63"/>
  <c r="M106" i="70"/>
  <c r="R106" s="1"/>
  <c r="M45" i="59"/>
  <c r="M184" i="64"/>
  <c r="M23" i="59"/>
  <c r="M7"/>
  <c r="M55" i="67"/>
  <c r="R55" s="1"/>
  <c r="M94"/>
  <c r="M110" i="70"/>
  <c r="R110" s="1"/>
  <c r="M78" i="62"/>
  <c r="R78" s="1"/>
  <c r="M88" i="64"/>
  <c r="R88" s="1"/>
  <c r="M60" i="59"/>
  <c r="R60" s="1"/>
  <c r="M160" i="64"/>
  <c r="R160" s="1"/>
  <c r="M39" i="63"/>
  <c r="M36" i="58"/>
  <c r="R36" s="1"/>
  <c r="M56" i="66"/>
  <c r="M24" i="70"/>
  <c r="R24" s="1"/>
  <c r="M49" i="65"/>
  <c r="R49" s="1"/>
  <c r="M99" i="67"/>
  <c r="M42" i="58"/>
  <c r="R42" s="1"/>
  <c r="M19"/>
  <c r="M47"/>
  <c r="M74" i="64"/>
  <c r="M135"/>
  <c r="M59"/>
  <c r="M48" i="67"/>
  <c r="R48" s="1"/>
  <c r="M161" i="64"/>
  <c r="R161" s="1"/>
  <c r="M122"/>
  <c r="R122" s="1"/>
  <c r="M50" i="67"/>
  <c r="R50" s="1"/>
  <c r="M141" i="64"/>
  <c r="M51" i="65"/>
  <c r="M24" i="67"/>
  <c r="M68" i="62"/>
  <c r="M64" i="67"/>
  <c r="R64" s="1"/>
  <c r="M60" i="63"/>
  <c r="M67" i="67"/>
  <c r="R67" s="1"/>
  <c r="M108" i="64"/>
  <c r="R108" s="1"/>
  <c r="M22" i="59"/>
  <c r="M13" i="65"/>
  <c r="M46"/>
  <c r="M65" i="64"/>
  <c r="R65" s="1"/>
  <c r="M144"/>
  <c r="M91" i="67"/>
  <c r="M84" i="62"/>
  <c r="R84" s="1"/>
  <c r="M74" i="63"/>
  <c r="M119" i="64"/>
  <c r="R119" s="1"/>
  <c r="M212"/>
  <c r="M52" i="59"/>
  <c r="M167" i="64"/>
  <c r="R167" s="1"/>
  <c r="M85" i="67"/>
  <c r="R85" s="1"/>
  <c r="M93" i="62"/>
  <c r="R93" s="1"/>
  <c r="M16" i="65"/>
  <c r="M100" i="64"/>
  <c r="R100" s="1"/>
  <c r="M24"/>
  <c r="M22" i="65"/>
  <c r="M199" i="64"/>
  <c r="M62" i="67"/>
  <c r="R62" s="1"/>
  <c r="M36" i="65"/>
  <c r="M20" i="58"/>
  <c r="M73" i="62"/>
  <c r="M21" i="70"/>
  <c r="M97" i="64"/>
  <c r="R97" s="1"/>
  <c r="M84"/>
  <c r="R84" s="1"/>
  <c r="M155"/>
  <c r="R155" s="1"/>
  <c r="M36" i="66"/>
  <c r="M49" i="63"/>
  <c r="M10" i="70"/>
  <c r="M11" i="67"/>
  <c r="R11" s="1"/>
  <c r="M98"/>
  <c r="E183" i="26"/>
  <c r="M14" i="67"/>
  <c r="R14" s="1"/>
  <c r="M56" i="59"/>
  <c r="R56" s="1"/>
  <c r="M55"/>
  <c r="R55" s="1"/>
  <c r="M100" i="70"/>
  <c r="M34" i="65"/>
  <c r="M116" i="64"/>
  <c r="R116" s="1"/>
  <c r="M82" i="62"/>
  <c r="R82" s="1"/>
  <c r="M82" i="67"/>
  <c r="R82" s="1"/>
  <c r="M39"/>
  <c r="M54"/>
  <c r="R54" s="1"/>
  <c r="M88" i="62"/>
  <c r="R88" s="1"/>
  <c r="G9" i="40"/>
  <c r="M31" i="67"/>
  <c r="M79" i="62"/>
  <c r="R79" s="1"/>
  <c r="M80" i="67"/>
  <c r="M61" i="64"/>
  <c r="R61" s="1"/>
  <c r="M91" i="62"/>
  <c r="R91" s="1"/>
  <c r="M12" i="64"/>
  <c r="M37" i="66"/>
  <c r="M20" i="63"/>
  <c r="M108" i="62"/>
  <c r="R108" s="1"/>
  <c r="M57" i="63"/>
  <c r="M25"/>
  <c r="M69"/>
  <c r="M15" i="70"/>
  <c r="M11"/>
  <c r="M44" i="63"/>
  <c r="M51" i="66"/>
  <c r="M95" i="67"/>
  <c r="M68"/>
  <c r="R68" s="1"/>
  <c r="M130" i="64"/>
  <c r="M42" i="65"/>
  <c r="M23" i="63"/>
  <c r="M166" i="64"/>
  <c r="R166" s="1"/>
  <c r="G14" i="40"/>
  <c r="M45" i="58"/>
  <c r="R45" s="1"/>
  <c r="M17" i="70"/>
  <c r="M204" i="64"/>
  <c r="M35" i="59"/>
  <c r="M213" i="64"/>
  <c r="M12" i="58"/>
  <c r="M98" i="70"/>
  <c r="R98" s="1"/>
  <c r="M43" i="67"/>
  <c r="M163" i="64"/>
  <c r="R163" s="1"/>
  <c r="M125"/>
  <c r="M29" i="70"/>
  <c r="M47" i="63"/>
  <c r="M101" i="62"/>
  <c r="R101" s="1"/>
  <c r="M50" i="64"/>
  <c r="M96" i="70"/>
  <c r="M63" i="67"/>
  <c r="R63" s="1"/>
  <c r="M74" i="62"/>
  <c r="R74" s="1"/>
  <c r="M59" i="65"/>
  <c r="M22" i="64"/>
  <c r="M132"/>
  <c r="M32" i="67"/>
  <c r="M103" i="62"/>
  <c r="R103" s="1"/>
  <c r="M47" i="59"/>
  <c r="M46" i="58"/>
  <c r="M61" i="63"/>
  <c r="M91" i="64"/>
  <c r="R91" s="1"/>
  <c r="M102" i="62"/>
  <c r="R102" s="1"/>
  <c r="E131" i="26"/>
  <c r="M15" i="67"/>
  <c r="R15" s="1"/>
  <c r="M43" i="59"/>
  <c r="M90" i="64"/>
  <c r="R90" s="1"/>
  <c r="M106"/>
  <c r="M32" i="59"/>
  <c r="M54" i="66"/>
  <c r="M61" i="67"/>
  <c r="R61" s="1"/>
  <c r="M56" i="58"/>
  <c r="R56" s="1"/>
  <c r="M89" i="67"/>
  <c r="R89" s="1"/>
  <c r="M23" i="64"/>
  <c r="E64" i="26"/>
  <c r="M21" i="58"/>
  <c r="M124" i="64"/>
  <c r="E80" i="26"/>
  <c r="M92" i="64"/>
  <c r="R92" s="1"/>
  <c r="M110" i="62"/>
  <c r="R110" s="1"/>
  <c r="M50" i="63"/>
  <c r="M35" i="67"/>
  <c r="M72" i="63"/>
  <c r="M26"/>
  <c r="M66" i="64"/>
  <c r="M51" i="63"/>
  <c r="M49" i="67"/>
  <c r="R49" s="1"/>
  <c r="M149" i="64"/>
  <c r="M75" i="62"/>
  <c r="R75" s="1"/>
  <c r="M12" i="63"/>
  <c r="M11" i="64"/>
  <c r="R11" s="1"/>
  <c r="M27" i="67"/>
  <c r="M38" i="65"/>
  <c r="M194" i="64"/>
  <c r="R194" s="1"/>
  <c r="M171"/>
  <c r="R171" s="1"/>
  <c r="M45" i="65"/>
  <c r="M17" i="63"/>
  <c r="M13" i="70"/>
  <c r="M19" i="65"/>
  <c r="M54" i="63"/>
  <c r="M46"/>
  <c r="M59" i="66"/>
  <c r="M20" i="70"/>
  <c r="G13" i="40"/>
  <c r="E95" i="26"/>
  <c r="M24" i="59"/>
  <c r="M95" i="64"/>
  <c r="R95" s="1"/>
  <c r="M120"/>
  <c r="R120" s="1"/>
  <c r="M12" i="59"/>
  <c r="M34" i="58"/>
  <c r="R34" s="1"/>
  <c r="M26" i="64"/>
  <c r="R26" s="1"/>
  <c r="G15" i="40"/>
  <c r="M40" i="67"/>
  <c r="M94" i="62"/>
  <c r="R94" s="1"/>
  <c r="M133" i="64"/>
  <c r="M43" i="65"/>
  <c r="M55"/>
  <c r="M20" i="59"/>
  <c r="M25"/>
  <c r="M24" i="58"/>
  <c r="R24" s="1"/>
  <c r="M22" i="67"/>
  <c r="R22" s="1"/>
  <c r="M137" i="64"/>
  <c r="M92" i="62"/>
  <c r="R92" s="1"/>
  <c r="M71" i="64"/>
  <c r="M30"/>
  <c r="M21" i="63"/>
  <c r="M18" i="59"/>
  <c r="M8" i="70"/>
  <c r="M16" i="67"/>
  <c r="R16" s="1"/>
  <c r="M29" i="65"/>
  <c r="M25"/>
  <c r="M183" i="64"/>
  <c r="M73" i="63"/>
  <c r="M34" i="64"/>
  <c r="M51" i="67"/>
  <c r="R51" s="1"/>
  <c r="M29" i="59"/>
  <c r="M57" i="67"/>
  <c r="R57" s="1"/>
  <c r="M115" i="64"/>
  <c r="R115" s="1"/>
  <c r="M39" i="66"/>
  <c r="M168" i="64"/>
  <c r="R168" s="1"/>
  <c r="M25" i="67"/>
  <c r="M18" i="58"/>
  <c r="M23"/>
  <c r="R23" s="1"/>
  <c r="M21" i="64"/>
  <c r="M111" i="62"/>
  <c r="R111" s="1"/>
  <c r="M28" i="64"/>
  <c r="M67"/>
  <c r="R67" s="1"/>
  <c r="M23" i="70"/>
  <c r="R23" s="1"/>
  <c r="M44" i="64"/>
  <c r="M201"/>
  <c r="R201" s="1"/>
  <c r="M79"/>
  <c r="R79" s="1"/>
  <c r="M13" i="58"/>
  <c r="M111" i="70"/>
  <c r="R111" s="1"/>
  <c r="M99" i="62"/>
  <c r="R99" s="1"/>
  <c r="M41" i="59"/>
  <c r="M33" i="64"/>
  <c r="M58" i="63"/>
  <c r="M10" i="58"/>
  <c r="M50" i="59"/>
  <c r="M28"/>
  <c r="M18" i="70"/>
  <c r="E147" i="26"/>
  <c r="M115" i="70"/>
  <c r="R115" s="1"/>
  <c r="M54" i="58"/>
  <c r="M57" i="65"/>
  <c r="E167" i="26"/>
  <c r="M81" i="62"/>
  <c r="R81" s="1"/>
  <c r="M49" i="58"/>
  <c r="M98" i="62"/>
  <c r="R98" s="1"/>
  <c r="M16" i="70"/>
  <c r="M9" i="58"/>
  <c r="M59" i="67"/>
  <c r="R59" s="1"/>
  <c r="M32" i="63"/>
  <c r="M37" i="65"/>
  <c r="M85" i="64"/>
  <c r="R85" s="1"/>
  <c r="M164"/>
  <c r="R164" s="1"/>
  <c r="M26" i="65"/>
  <c r="E36" i="26"/>
  <c r="M32" i="64"/>
  <c r="R32" s="1"/>
  <c r="M67" i="62"/>
  <c r="M10" i="65"/>
  <c r="G10" i="40"/>
  <c r="M150" i="64"/>
  <c r="M10" i="67"/>
  <c r="R10" s="1"/>
  <c r="M51" i="58"/>
  <c r="M29"/>
  <c r="R29" s="1"/>
  <c r="M16" i="63"/>
  <c r="M56" i="65"/>
  <c r="E109" i="26"/>
  <c r="M23" i="67"/>
  <c r="M31" i="64"/>
  <c r="R31" s="1"/>
  <c r="M188"/>
  <c r="R188" s="1"/>
  <c r="M17"/>
  <c r="M20" i="67"/>
  <c r="R20" s="1"/>
  <c r="M113" i="62"/>
  <c r="R113" s="1"/>
  <c r="G8" i="40"/>
  <c r="M207" i="64"/>
  <c r="M217"/>
  <c r="M8" i="65"/>
  <c r="M15" i="58"/>
  <c r="M42" i="59"/>
  <c r="M12" i="65"/>
  <c r="M114" i="64"/>
  <c r="M80"/>
  <c r="R80" s="1"/>
  <c r="M83"/>
  <c r="R83" s="1"/>
  <c r="E6" i="39"/>
  <c r="E12" s="1"/>
  <c r="M30" i="70"/>
  <c r="M69" i="64"/>
  <c r="M37" i="59"/>
  <c r="M28" i="63"/>
  <c r="M88" i="67"/>
  <c r="R88" s="1"/>
  <c r="M7" i="65"/>
  <c r="M37" i="67"/>
  <c r="M65" i="62"/>
  <c r="M64"/>
  <c r="M7" i="58"/>
  <c r="M109" i="70"/>
  <c r="R109" s="1"/>
  <c r="M14" i="65"/>
  <c r="M55" i="66"/>
  <c r="M8" i="63"/>
  <c r="M118" i="64"/>
  <c r="R118" s="1"/>
  <c r="E195" i="26"/>
  <c r="M43" i="63"/>
  <c r="M38" i="66"/>
  <c r="M53" i="59"/>
  <c r="M48" i="65"/>
  <c r="R48" s="1"/>
  <c r="M186" i="64"/>
  <c r="R186" s="1"/>
  <c r="M185"/>
  <c r="M19"/>
  <c r="M208"/>
  <c r="M56"/>
  <c r="G12" i="40"/>
  <c r="M81" i="64"/>
  <c r="R81" s="1"/>
  <c r="M200"/>
  <c r="M25" i="58"/>
  <c r="R25" s="1"/>
  <c r="M71" i="63"/>
  <c r="M8" i="58"/>
  <c r="M44" i="66"/>
  <c r="M17" i="58"/>
  <c r="M112" i="64"/>
  <c r="M70" i="62"/>
  <c r="R70" s="1"/>
  <c r="M97"/>
  <c r="R97" s="1"/>
  <c r="M210" i="64"/>
  <c r="M13" i="63"/>
  <c r="M46" i="67"/>
  <c r="R46" s="1"/>
  <c r="M42"/>
  <c r="M104" i="62"/>
  <c r="R104" s="1"/>
  <c r="F14" i="30"/>
  <c r="G16" i="40"/>
  <c r="M31" i="58"/>
  <c r="R31" s="1"/>
  <c r="M33" i="67"/>
  <c r="R33" s="1"/>
  <c r="M38"/>
  <c r="M47" i="64"/>
  <c r="M27" i="63"/>
  <c r="M89" i="64"/>
  <c r="R89" s="1"/>
  <c r="M36" i="67"/>
  <c r="M45" i="66"/>
  <c r="M86" i="62"/>
  <c r="R86" s="1"/>
  <c r="M62" i="63"/>
  <c r="M189" i="64"/>
  <c r="R189" s="1"/>
  <c r="M58" i="67"/>
  <c r="R58" s="1"/>
  <c r="M175" i="64"/>
  <c r="R175" s="1"/>
  <c r="M9"/>
  <c r="R9" s="1"/>
  <c r="M74" i="67"/>
  <c r="M58" i="64"/>
  <c r="R58" s="1"/>
  <c r="M44" i="59"/>
  <c r="M156" i="64"/>
  <c r="R156" s="1"/>
  <c r="M53" i="63"/>
  <c r="M191" i="64"/>
  <c r="R191" s="1"/>
  <c r="M179"/>
  <c r="M218"/>
  <c r="M13" i="59"/>
  <c r="M14" i="58"/>
  <c r="M51" i="64"/>
  <c r="M96" i="67"/>
  <c r="M107" i="62"/>
  <c r="R107" s="1"/>
  <c r="M15" i="64"/>
  <c r="M33" i="59"/>
  <c r="M193" i="64"/>
  <c r="R193" s="1"/>
  <c r="M115" i="62"/>
  <c r="R115" s="1"/>
  <c r="M126" i="64"/>
  <c r="M64" i="63"/>
  <c r="M81" i="67"/>
  <c r="M13" i="64"/>
  <c r="M158"/>
  <c r="R158" s="1"/>
  <c r="M107"/>
  <c r="M110"/>
  <c r="M30" i="59"/>
  <c r="M54"/>
  <c r="M37" i="58"/>
  <c r="R37" s="1"/>
  <c r="M54" i="65"/>
  <c r="M34" i="59"/>
  <c r="M18" i="65"/>
  <c r="M31" i="63"/>
  <c r="M40"/>
  <c r="M31" i="59"/>
  <c r="M39" i="65"/>
  <c r="M99" i="64"/>
  <c r="R99" s="1"/>
  <c r="M8" i="67"/>
  <c r="R8" s="1"/>
  <c r="M84"/>
  <c r="M127" i="64"/>
  <c r="M190"/>
  <c r="R190" s="1"/>
  <c r="M9" i="63"/>
  <c r="M62" i="64"/>
  <c r="R62" s="1"/>
  <c r="M31" i="65"/>
  <c r="M53" i="58"/>
  <c r="M107" i="70"/>
  <c r="R107" s="1"/>
  <c r="M48" i="59"/>
  <c r="M50" i="65"/>
  <c r="R50" s="1"/>
  <c r="M154" i="64"/>
  <c r="R154" s="1"/>
  <c r="M20"/>
  <c r="M109"/>
  <c r="M11" i="63"/>
  <c r="M33" i="58"/>
  <c r="R33" s="1"/>
  <c r="M112" i="70"/>
  <c r="R112" s="1"/>
  <c r="M79" i="67"/>
  <c r="M38" i="58"/>
  <c r="R38" s="1"/>
  <c r="M11"/>
  <c r="M57" i="64"/>
  <c r="R57" s="1"/>
  <c r="M86" i="67"/>
  <c r="R86" s="1"/>
  <c r="M83"/>
  <c r="R83" s="1"/>
  <c r="M35" i="63"/>
  <c r="M104" i="70"/>
  <c r="R104" s="1"/>
  <c r="M206" i="64"/>
  <c r="M58" i="66"/>
  <c r="M48"/>
  <c r="M68" i="64"/>
  <c r="M86"/>
  <c r="R86" s="1"/>
  <c r="M27" i="65"/>
  <c r="M41" i="58"/>
  <c r="R41" s="1"/>
  <c r="M117" i="64"/>
  <c r="R117" s="1"/>
  <c r="M51" i="59"/>
  <c r="M49"/>
  <c r="M47" i="66"/>
  <c r="M92" i="70"/>
  <c r="M19" i="67"/>
  <c r="R19" s="1"/>
  <c r="M55" i="63"/>
  <c r="M58" i="65"/>
  <c r="M87" i="67"/>
  <c r="R87" s="1"/>
  <c r="M36" i="64"/>
  <c r="R36" s="1"/>
  <c r="M21" i="61"/>
  <c r="M82" i="64"/>
  <c r="R82" s="1"/>
  <c r="M63"/>
  <c r="R63" s="1"/>
  <c r="M214"/>
  <c r="M202"/>
  <c r="R202" s="1"/>
  <c r="M31" i="70"/>
  <c r="M197" i="64"/>
  <c r="M18"/>
  <c r="M26" i="58"/>
  <c r="R26" s="1"/>
  <c r="M83" i="62"/>
  <c r="R83" s="1"/>
  <c r="G17" i="40"/>
  <c r="M70" i="63"/>
  <c r="M94" i="70"/>
  <c r="M59" i="59"/>
  <c r="R59" s="1"/>
  <c r="M16"/>
  <c r="M121" i="64"/>
  <c r="R121" s="1"/>
  <c r="M72" i="62"/>
  <c r="M106"/>
  <c r="R106" s="1"/>
  <c r="M76" i="67"/>
  <c r="M15" i="59"/>
  <c r="M14" i="64"/>
  <c r="M11" i="59"/>
  <c r="M38" i="63"/>
  <c r="M37" i="64"/>
  <c r="R37" s="1"/>
  <c r="M98"/>
  <c r="R98" s="1"/>
  <c r="M77"/>
  <c r="R77" s="1"/>
  <c r="M114" i="70"/>
  <c r="R114" s="1"/>
  <c r="M40" i="58"/>
  <c r="R40" s="1"/>
  <c r="M182" i="64"/>
  <c r="M15" i="63"/>
  <c r="M64" i="64"/>
  <c r="R64" s="1"/>
  <c r="M17" i="67"/>
  <c r="R17" s="1"/>
  <c r="M52" i="65"/>
  <c r="M52" i="58"/>
  <c r="M90" i="67"/>
  <c r="R90" s="1"/>
  <c r="M19" i="70"/>
  <c r="M22" i="63"/>
  <c r="M59"/>
  <c r="M71" i="62"/>
  <c r="R71" s="1"/>
  <c r="M69" i="67"/>
  <c r="R69" s="1"/>
  <c r="M12"/>
  <c r="R12" s="1"/>
  <c r="M40" i="59"/>
  <c r="M95" i="62"/>
  <c r="R95" s="1"/>
  <c r="M219" i="64"/>
  <c r="M92" i="67"/>
  <c r="R92" s="1"/>
  <c r="M60" i="64"/>
  <c r="R60" s="1"/>
  <c r="M181"/>
  <c r="R181" s="1"/>
  <c r="M139"/>
  <c r="M112" i="62"/>
  <c r="R112" s="1"/>
  <c r="M80"/>
  <c r="R80" s="1"/>
  <c r="M27" i="59"/>
  <c r="M143" i="64"/>
  <c r="M42" i="66"/>
  <c r="M87" i="62"/>
  <c r="R87" s="1"/>
  <c r="M196" i="64"/>
  <c r="R196" s="1"/>
  <c r="M220"/>
  <c r="M35"/>
  <c r="M93" i="70"/>
  <c r="R93" s="1"/>
  <c r="M192" i="64"/>
  <c r="R192" s="1"/>
  <c r="M52"/>
  <c r="M102" i="70"/>
  <c r="R102" s="1"/>
  <c r="M42" i="64"/>
  <c r="R42" s="1"/>
  <c r="M14" i="59"/>
  <c r="E49" i="26"/>
  <c r="M216" i="64"/>
  <c r="M96" i="62"/>
  <c r="R96" s="1"/>
  <c r="M134" i="64"/>
  <c r="M78" i="67"/>
  <c r="M22" i="58"/>
  <c r="M19" i="59"/>
  <c r="M47" i="65"/>
  <c r="M46" i="66"/>
  <c r="M187" i="64"/>
  <c r="M103" i="70"/>
  <c r="R103" s="1"/>
  <c r="M36" i="59"/>
  <c r="M105" i="64"/>
  <c r="M21" i="67"/>
  <c r="R21" s="1"/>
  <c r="M46" i="64"/>
  <c r="M170"/>
  <c r="R170" s="1"/>
  <c r="M91" i="70"/>
  <c r="M142" i="64"/>
  <c r="M176"/>
  <c r="R176" s="1"/>
  <c r="M21" i="59"/>
  <c r="M44" i="67"/>
  <c r="R44" s="1"/>
  <c r="M136" i="64"/>
  <c r="M113" i="70"/>
  <c r="R113" s="1"/>
  <c r="M97" i="67"/>
  <c r="M49" i="66"/>
  <c r="M39" i="58"/>
  <c r="R39" s="1"/>
  <c r="M44"/>
  <c r="R44" s="1"/>
  <c r="M30" i="63"/>
  <c r="M49" i="64"/>
  <c r="M87"/>
  <c r="R87" s="1"/>
  <c r="M113"/>
  <c r="R113" s="1"/>
  <c r="M45"/>
  <c r="M33" i="70"/>
  <c r="M165" i="64"/>
  <c r="R165" s="1"/>
  <c r="M32" i="70"/>
  <c r="M15" i="65"/>
  <c r="M66" i="62"/>
  <c r="R66" s="1"/>
  <c r="M23" i="65"/>
  <c r="M10" i="59"/>
  <c r="M28" i="70"/>
  <c r="M28" i="58"/>
  <c r="R28" s="1"/>
  <c r="G11" i="40"/>
  <c r="M47" i="67"/>
  <c r="R47" s="1"/>
  <c r="M73" i="64"/>
  <c r="M48" i="58"/>
  <c r="M60" i="66"/>
  <c r="M29" i="67"/>
  <c r="M26" i="70"/>
  <c r="M209" i="64"/>
  <c r="M19" i="63"/>
  <c r="M24"/>
  <c r="M9" i="67"/>
  <c r="R9" s="1"/>
  <c r="M72" i="64"/>
  <c r="M157"/>
  <c r="R157" s="1"/>
  <c r="M41" i="66"/>
  <c r="M105" i="70"/>
  <c r="R105" s="1"/>
  <c r="M128" i="64"/>
  <c r="R128" s="1"/>
  <c r="M37" i="63"/>
  <c r="M36"/>
  <c r="M26" i="59"/>
  <c r="M198" i="64"/>
  <c r="M203"/>
  <c r="M8"/>
  <c r="R8" s="1"/>
  <c r="M40"/>
  <c r="R40" s="1"/>
  <c r="M101"/>
  <c r="R101" s="1"/>
  <c r="M50" i="66"/>
  <c r="M169" i="64"/>
  <c r="R169" s="1"/>
  <c r="M43"/>
  <c r="M147"/>
  <c r="M180"/>
  <c r="M105" i="62"/>
  <c r="R105" s="1"/>
  <c r="M27" i="70"/>
  <c r="M129" i="64"/>
  <c r="R129" s="1"/>
  <c r="M58" i="59"/>
  <c r="R58" s="1"/>
  <c r="M76" i="62"/>
  <c r="R76" s="1"/>
  <c r="M71" i="67"/>
  <c r="R71" s="1"/>
  <c r="M77" i="62"/>
  <c r="R77" s="1"/>
  <c r="M16" i="64"/>
  <c r="M102"/>
  <c r="R102" s="1"/>
  <c r="M195"/>
  <c r="R195" s="1"/>
  <c r="M151"/>
  <c r="M44" i="65"/>
  <c r="M53"/>
  <c r="M93" i="64"/>
  <c r="R93" s="1"/>
  <c r="M9" i="59"/>
  <c r="M145" i="64"/>
  <c r="M63" i="63"/>
  <c r="M22" i="70"/>
  <c r="R22" s="1"/>
  <c r="M34" i="63"/>
  <c r="M93" i="67"/>
  <c r="M54" i="64"/>
  <c r="G18" i="40"/>
  <c r="M109" i="62"/>
  <c r="R109" s="1"/>
  <c r="M24" i="65"/>
  <c r="M12" i="70"/>
  <c r="M174" i="64"/>
  <c r="R174" s="1"/>
  <c r="M17" i="59"/>
  <c r="M14" i="63"/>
  <c r="M140" i="64"/>
  <c r="M55" i="58"/>
  <c r="M28" i="67"/>
  <c r="M172" i="64"/>
  <c r="R172" s="1"/>
  <c r="M159"/>
  <c r="R159" s="1"/>
  <c r="M39" i="59"/>
  <c r="M29" i="64"/>
  <c r="M56" i="63"/>
  <c r="M40" i="66"/>
  <c r="M43" i="58"/>
  <c r="R43" s="1"/>
  <c r="M8" i="59"/>
  <c r="M111" i="64"/>
  <c r="M41" i="65"/>
  <c r="M95" i="70"/>
  <c r="M48" i="63"/>
  <c r="M96" i="64"/>
  <c r="R96" s="1"/>
  <c r="M60" i="67"/>
  <c r="R60" s="1"/>
  <c r="M9" i="70"/>
  <c r="M85" i="62"/>
  <c r="R85" s="1"/>
  <c r="M53" i="64"/>
  <c r="M17" i="65"/>
  <c r="M68" i="63"/>
  <c r="M13" i="67"/>
  <c r="R13" s="1"/>
  <c r="M178" i="64"/>
  <c r="M45" i="63"/>
  <c r="M100" i="62"/>
  <c r="R100" s="1"/>
  <c r="M25" i="64"/>
  <c r="M52" i="66"/>
  <c r="M41" i="64"/>
  <c r="R41" s="1"/>
  <c r="M25" i="70"/>
  <c r="M75" i="67"/>
  <c r="M40" i="65"/>
  <c r="M66" i="63"/>
  <c r="M57" i="66"/>
  <c r="M14" i="70"/>
  <c r="M70" i="67"/>
  <c r="R70" s="1"/>
  <c r="M7" i="70"/>
  <c r="M65" i="67"/>
  <c r="R65" s="1"/>
  <c r="M20" i="65"/>
  <c r="M65" i="63"/>
  <c r="M35" i="58"/>
  <c r="R35" s="1"/>
  <c r="M205" i="64"/>
  <c r="M43" i="66"/>
  <c r="M70" i="64"/>
  <c r="M75" i="63"/>
  <c r="M21" i="65"/>
  <c r="M35"/>
  <c r="M67" i="63"/>
  <c r="M53" i="67"/>
  <c r="R53" s="1"/>
  <c r="G9" i="30"/>
  <c r="I9"/>
  <c r="N48" i="67"/>
  <c r="N68" i="64"/>
  <c r="N101" i="62"/>
  <c r="N78"/>
  <c r="S78" s="1"/>
  <c r="N66" i="67"/>
  <c r="S66" s="1"/>
  <c r="N46" i="58"/>
  <c r="H9" i="40"/>
  <c r="N73" i="64"/>
  <c r="N58" i="59"/>
  <c r="N66" i="62"/>
  <c r="S66" s="1"/>
  <c r="N26" i="70"/>
  <c r="N203" i="64"/>
  <c r="N119"/>
  <c r="N28" i="65"/>
  <c r="N104" i="70"/>
  <c r="N143" i="64"/>
  <c r="N16" i="58"/>
  <c r="N21"/>
  <c r="N9" i="59"/>
  <c r="N25" i="70"/>
  <c r="N51" i="59"/>
  <c r="N205" i="64"/>
  <c r="N78" i="67"/>
  <c r="S78" s="1"/>
  <c r="N107" i="62"/>
  <c r="S107" s="1"/>
  <c r="N26" i="64"/>
  <c r="N33" i="65"/>
  <c r="N207" i="64"/>
  <c r="N45" i="63"/>
  <c r="N29" i="65"/>
  <c r="N201" i="64"/>
  <c r="N60"/>
  <c r="N74" i="62"/>
  <c r="S74" s="1"/>
  <c r="N86" i="67"/>
  <c r="S86" s="1"/>
  <c r="N82"/>
  <c r="S82" s="1"/>
  <c r="N36" i="65"/>
  <c r="N128" i="64"/>
  <c r="N43" i="58"/>
  <c r="N28" i="64"/>
  <c r="N55" i="67"/>
  <c r="S55" s="1"/>
  <c r="N50" i="63"/>
  <c r="N183" i="64"/>
  <c r="N70" i="63"/>
  <c r="H16" i="40"/>
  <c r="N29" i="70"/>
  <c r="N144" i="64"/>
  <c r="N73" i="62"/>
  <c r="S73" s="1"/>
  <c r="N55" i="63"/>
  <c r="N12" i="67"/>
  <c r="N22" i="58"/>
  <c r="N162" i="64"/>
  <c r="N31" i="70"/>
  <c r="N57" i="63"/>
  <c r="N90" i="64"/>
  <c r="N27"/>
  <c r="G14" i="30"/>
  <c r="N47" i="59"/>
  <c r="N56" i="63"/>
  <c r="N217" i="64"/>
  <c r="N28" i="58"/>
  <c r="N53"/>
  <c r="N65" i="64"/>
  <c r="N53" i="66"/>
  <c r="N27" i="59"/>
  <c r="N85" i="62"/>
  <c r="S85" s="1"/>
  <c r="N7" i="70"/>
  <c r="N64" i="67"/>
  <c r="S64" s="1"/>
  <c r="N13" i="63"/>
  <c r="N27" i="65"/>
  <c r="N9" i="58"/>
  <c r="N54" i="64"/>
  <c r="N97" i="67"/>
  <c r="S97" s="1"/>
  <c r="N13" i="64"/>
  <c r="N135"/>
  <c r="N47" i="66"/>
  <c r="N25" i="67"/>
  <c r="N132" i="64"/>
  <c r="H18" i="40"/>
  <c r="N81" i="62"/>
  <c r="S81" s="1"/>
  <c r="N27" i="70"/>
  <c r="N169" i="64"/>
  <c r="N53" i="59"/>
  <c r="N101" i="70"/>
  <c r="N67" i="64"/>
  <c r="N35"/>
  <c r="N12" i="70"/>
  <c r="N48" i="63"/>
  <c r="N24" i="64"/>
  <c r="N18" i="70"/>
  <c r="F167" i="26"/>
  <c r="N17" i="67"/>
  <c r="N42" i="59"/>
  <c r="N179" i="64"/>
  <c r="N202"/>
  <c r="N58" i="67"/>
  <c r="S58" s="1"/>
  <c r="N22"/>
  <c r="N28" i="59"/>
  <c r="N101" i="64"/>
  <c r="N59" i="66"/>
  <c r="N146" i="64"/>
  <c r="N93" i="70"/>
  <c r="N52" i="59"/>
  <c r="N50" i="58"/>
  <c r="N15" i="63"/>
  <c r="N12"/>
  <c r="F6" i="39"/>
  <c r="F12" s="1"/>
  <c r="N10" i="63"/>
  <c r="N192" i="64"/>
  <c r="N58"/>
  <c r="N126"/>
  <c r="N47" i="63"/>
  <c r="N9" i="70"/>
  <c r="N55" i="66"/>
  <c r="N185" i="64"/>
  <c r="N10"/>
  <c r="N83" i="67"/>
  <c r="S83" s="1"/>
  <c r="N105" i="62"/>
  <c r="S105" s="1"/>
  <c r="N93"/>
  <c r="S93" s="1"/>
  <c r="N11" i="65"/>
  <c r="N92" i="64"/>
  <c r="N32"/>
  <c r="N53"/>
  <c r="N188"/>
  <c r="N56" i="67"/>
  <c r="S56" s="1"/>
  <c r="N34" i="65"/>
  <c r="N63" i="63"/>
  <c r="N109" i="70"/>
  <c r="N38" i="63"/>
  <c r="N81" i="64"/>
  <c r="S81" s="1"/>
  <c r="N76" i="62"/>
  <c r="S76" s="1"/>
  <c r="N44" i="67"/>
  <c r="N48" i="59"/>
  <c r="N45" i="65"/>
  <c r="N16" i="63"/>
  <c r="N94" i="64"/>
  <c r="N32" i="59"/>
  <c r="N39" i="64"/>
  <c r="N62"/>
  <c r="N21" i="63"/>
  <c r="N61"/>
  <c r="N22" i="64"/>
  <c r="N108"/>
  <c r="N72" i="63"/>
  <c r="N16" i="64"/>
  <c r="N57" i="59"/>
  <c r="N39" i="66"/>
  <c r="N114" i="62"/>
  <c r="S114" s="1"/>
  <c r="N49" i="58"/>
  <c r="N11" i="59"/>
  <c r="N66" i="64"/>
  <c r="N64" i="62"/>
  <c r="S64" s="1"/>
  <c r="N48" i="58"/>
  <c r="N106" i="62"/>
  <c r="S106" s="1"/>
  <c r="N31" i="64"/>
  <c r="N39" i="65"/>
  <c r="N12" i="64"/>
  <c r="N41" i="59"/>
  <c r="N20" i="58"/>
  <c r="N49" i="63"/>
  <c r="N82" i="64"/>
  <c r="S82" s="1"/>
  <c r="N15" i="65"/>
  <c r="N28" i="70"/>
  <c r="N19" i="65"/>
  <c r="N102" i="64"/>
  <c r="N219"/>
  <c r="N99" i="70"/>
  <c r="N99" i="67"/>
  <c r="S99" s="1"/>
  <c r="N67" i="62"/>
  <c r="S67" s="1"/>
  <c r="N14" i="67"/>
  <c r="N85" i="64"/>
  <c r="N216"/>
  <c r="N17" i="63"/>
  <c r="N30" i="64"/>
  <c r="N13" i="59"/>
  <c r="N43" i="67"/>
  <c r="N57"/>
  <c r="S57" s="1"/>
  <c r="N57" i="65"/>
  <c r="N35" i="63"/>
  <c r="N155" i="64"/>
  <c r="N49" i="67"/>
  <c r="N125" i="64"/>
  <c r="N37" i="65"/>
  <c r="N112" i="62"/>
  <c r="S112" s="1"/>
  <c r="N33" i="64"/>
  <c r="N133"/>
  <c r="N79" i="62"/>
  <c r="S79" s="1"/>
  <c r="N21" i="67"/>
  <c r="H17" i="40"/>
  <c r="N30" i="63"/>
  <c r="N23" i="67"/>
  <c r="N115" i="70"/>
  <c r="N20" i="59"/>
  <c r="N17"/>
  <c r="N74" i="63"/>
  <c r="N11" i="67"/>
  <c r="N117" i="64"/>
  <c r="N214"/>
  <c r="F147" i="26"/>
  <c r="N17" i="64"/>
  <c r="N134"/>
  <c r="N22" i="63"/>
  <c r="N33" i="59"/>
  <c r="N31" i="58"/>
  <c r="N21" i="65"/>
  <c r="N24" i="67"/>
  <c r="N141" i="64"/>
  <c r="N31" i="65"/>
  <c r="N24" i="70"/>
  <c r="N42" i="67"/>
  <c r="N180" i="64"/>
  <c r="N14" i="63"/>
  <c r="N198" i="64"/>
  <c r="N193"/>
  <c r="N44" i="63"/>
  <c r="N65"/>
  <c r="N197" i="64"/>
  <c r="N104" i="62"/>
  <c r="S104" s="1"/>
  <c r="N112" i="70"/>
  <c r="N9" i="65"/>
  <c r="N80" i="64"/>
  <c r="S80" s="1"/>
  <c r="N84"/>
  <c r="S84" s="1"/>
  <c r="N39" i="63"/>
  <c r="N170" i="64"/>
  <c r="N18" i="67"/>
  <c r="N52" i="64"/>
  <c r="N206"/>
  <c r="N124"/>
  <c r="N24" i="59"/>
  <c r="N91" i="64"/>
  <c r="N97" i="70"/>
  <c r="N190" i="64"/>
  <c r="N100" i="70"/>
  <c r="N51" i="64"/>
  <c r="N77"/>
  <c r="S77" s="1"/>
  <c r="N40" i="59"/>
  <c r="N30" i="65"/>
  <c r="N28" i="67"/>
  <c r="N38" i="65"/>
  <c r="N49" i="59"/>
  <c r="F195" i="26"/>
  <c r="N157" i="64"/>
  <c r="N21"/>
  <c r="N85" i="67"/>
  <c r="S85" s="1"/>
  <c r="N76"/>
  <c r="S76" s="1"/>
  <c r="N73" i="63"/>
  <c r="N42" i="66"/>
  <c r="N14" i="58"/>
  <c r="N98" i="64"/>
  <c r="N113" i="70"/>
  <c r="N71" i="63"/>
  <c r="N105" i="64"/>
  <c r="N26" i="67"/>
  <c r="N67"/>
  <c r="S67" s="1"/>
  <c r="N50" i="64"/>
  <c r="N54" i="58"/>
  <c r="N53" i="63"/>
  <c r="N56" i="66"/>
  <c r="N70" i="67"/>
  <c r="S70" s="1"/>
  <c r="N30"/>
  <c r="N60"/>
  <c r="S60" s="1"/>
  <c r="N116" i="64"/>
  <c r="N145"/>
  <c r="N208"/>
  <c r="N84" i="62"/>
  <c r="S84" s="1"/>
  <c r="N111" i="64"/>
  <c r="N158"/>
  <c r="N25" i="59"/>
  <c r="N103" i="62"/>
  <c r="S103" s="1"/>
  <c r="N175" i="64"/>
  <c r="N11" i="63"/>
  <c r="N59" i="67"/>
  <c r="S59" s="1"/>
  <c r="N50" i="66"/>
  <c r="N94" i="62"/>
  <c r="N8" i="63"/>
  <c r="H13" i="40"/>
  <c r="N45" i="59"/>
  <c r="N70" i="62"/>
  <c r="S70" s="1"/>
  <c r="H8" i="40"/>
  <c r="N16" i="67"/>
  <c r="N54" i="65"/>
  <c r="N15" i="64"/>
  <c r="N42" i="58"/>
  <c r="N115" i="64"/>
  <c r="N50" i="59"/>
  <c r="N82" i="62"/>
  <c r="S82" s="1"/>
  <c r="N28" i="63"/>
  <c r="N122" i="64"/>
  <c r="N19"/>
  <c r="N80" i="62"/>
  <c r="S80" s="1"/>
  <c r="N46" i="59"/>
  <c r="N35" i="67"/>
  <c r="F64" i="26"/>
  <c r="N161" i="64"/>
  <c r="N8"/>
  <c r="N14" i="70"/>
  <c r="N52" i="65"/>
  <c r="N32" i="63"/>
  <c r="N167" i="64"/>
  <c r="N17" i="65"/>
  <c r="N54" i="59"/>
  <c r="N51" i="58"/>
  <c r="N127" i="64"/>
  <c r="N20" i="63"/>
  <c r="N98" i="70"/>
  <c r="N50" i="65"/>
  <c r="N46" i="67"/>
  <c r="N195" i="64"/>
  <c r="H14" i="40"/>
  <c r="N45" i="58"/>
  <c r="N70" i="64"/>
  <c r="N43"/>
  <c r="N129"/>
  <c r="N48" i="65"/>
  <c r="N87" i="62"/>
  <c r="S87" s="1"/>
  <c r="N83" i="64"/>
  <c r="S83" s="1"/>
  <c r="N8" i="65"/>
  <c r="N60" i="66"/>
  <c r="N59" i="63"/>
  <c r="N97" i="64"/>
  <c r="N89"/>
  <c r="N38" i="66"/>
  <c r="N68" i="62"/>
  <c r="S68" s="1"/>
  <c r="N26" i="63"/>
  <c r="N41" i="58"/>
  <c r="N57" i="64"/>
  <c r="N68" i="67"/>
  <c r="S68" s="1"/>
  <c r="N40" i="58"/>
  <c r="N121" i="64"/>
  <c r="N35" i="59"/>
  <c r="N26" i="65"/>
  <c r="N58" i="63"/>
  <c r="N98" i="62"/>
  <c r="N31" i="59"/>
  <c r="N46" i="65"/>
  <c r="N23" i="63"/>
  <c r="N14" i="59"/>
  <c r="N18"/>
  <c r="N165" i="64"/>
  <c r="N38"/>
  <c r="N7" i="59"/>
  <c r="N69" i="62"/>
  <c r="S69" s="1"/>
  <c r="N60" i="59"/>
  <c r="N11" i="64"/>
  <c r="N96" i="62"/>
  <c r="N56" i="65"/>
  <c r="N34" i="64"/>
  <c r="N88"/>
  <c r="N67" i="63"/>
  <c r="N45" i="66"/>
  <c r="N51" i="65"/>
  <c r="N47" i="64"/>
  <c r="F80" i="26"/>
  <c r="N164" i="64"/>
  <c r="N91" i="70"/>
  <c r="N38" i="58"/>
  <c r="N174" i="64"/>
  <c r="N84" i="67"/>
  <c r="S84" s="1"/>
  <c r="N40" i="64"/>
  <c r="N187"/>
  <c r="N43" i="66"/>
  <c r="N56" i="59"/>
  <c r="N13" i="65"/>
  <c r="N19" i="59"/>
  <c r="N23" i="64"/>
  <c r="N89" i="67"/>
  <c r="S89" s="1"/>
  <c r="N64" i="64"/>
  <c r="N49" i="65"/>
  <c r="N103" i="70"/>
  <c r="F131" i="26"/>
  <c r="N78" i="64"/>
  <c r="S78" s="1"/>
  <c r="N110" i="70"/>
  <c r="F95" i="26"/>
  <c r="N22" i="70"/>
  <c r="N56" i="58"/>
  <c r="N55" i="59"/>
  <c r="N9" i="67"/>
  <c r="N34" i="59"/>
  <c r="N173" i="64"/>
  <c r="N34" i="58"/>
  <c r="N91" i="67"/>
  <c r="S91" s="1"/>
  <c r="N204" i="64"/>
  <c r="N10" i="59"/>
  <c r="N93" i="64"/>
  <c r="N54" i="63"/>
  <c r="N41" i="66"/>
  <c r="N107" i="64"/>
  <c r="N40" i="67"/>
  <c r="N9" i="64"/>
  <c r="N47" i="67"/>
  <c r="N212" i="64"/>
  <c r="N33" i="70"/>
  <c r="N41" i="64"/>
  <c r="N20" i="67"/>
  <c r="N30" i="59"/>
  <c r="N15"/>
  <c r="N16"/>
  <c r="N92" i="67"/>
  <c r="S92" s="1"/>
  <c r="N160" i="64"/>
  <c r="N75" i="67"/>
  <c r="S75" s="1"/>
  <c r="N23" i="70"/>
  <c r="N215" i="64"/>
  <c r="N18" i="65"/>
  <c r="N86" i="64"/>
  <c r="N87"/>
  <c r="N19" i="63"/>
  <c r="N54" i="67"/>
  <c r="S54" s="1"/>
  <c r="N33"/>
  <c r="N111" i="62"/>
  <c r="S111" s="1"/>
  <c r="N75" i="63"/>
  <c r="N41" i="67"/>
  <c r="N65" i="62"/>
  <c r="S65" s="1"/>
  <c r="N7" i="58"/>
  <c r="N81" i="67"/>
  <c r="S81" s="1"/>
  <c r="N53"/>
  <c r="N19" i="58"/>
  <c r="N44" i="66"/>
  <c r="N130" i="64"/>
  <c r="N176"/>
  <c r="N147"/>
  <c r="N137"/>
  <c r="N8" i="58"/>
  <c r="N136" i="64"/>
  <c r="N20" i="70"/>
  <c r="N90" i="67"/>
  <c r="S90" s="1"/>
  <c r="N88" i="62"/>
  <c r="S88" s="1"/>
  <c r="N110"/>
  <c r="S110" s="1"/>
  <c r="N69" i="67"/>
  <c r="S69" s="1"/>
  <c r="N71" i="64"/>
  <c r="N209"/>
  <c r="N44" i="58"/>
  <c r="N44" i="65"/>
  <c r="N40" i="63"/>
  <c r="N68"/>
  <c r="N106" i="64"/>
  <c r="N31" i="63"/>
  <c r="N95" i="67"/>
  <c r="S95" s="1"/>
  <c r="N123" i="64"/>
  <c r="N196"/>
  <c r="N29" i="63"/>
  <c r="N191" i="64"/>
  <c r="N57" i="66"/>
  <c r="N51"/>
  <c r="N47" i="65"/>
  <c r="N23" i="58"/>
  <c r="N36" i="67"/>
  <c r="N72" i="64"/>
  <c r="N60" i="63"/>
  <c r="N38" i="67"/>
  <c r="N63"/>
  <c r="S63" s="1"/>
  <c r="N52"/>
  <c r="N36" i="63"/>
  <c r="N39" i="59"/>
  <c r="N15" i="67"/>
  <c r="N69" i="63"/>
  <c r="N33"/>
  <c r="N163" i="64"/>
  <c r="N79" i="67"/>
  <c r="S79" s="1"/>
  <c r="N218" i="64"/>
  <c r="N55"/>
  <c r="N32" i="67"/>
  <c r="N30" i="70"/>
  <c r="N59" i="65"/>
  <c r="N94" i="67"/>
  <c r="S94" s="1"/>
  <c r="N95" i="62"/>
  <c r="N46" i="64"/>
  <c r="N48" i="66"/>
  <c r="N49"/>
  <c r="N200" i="64"/>
  <c r="N114"/>
  <c r="N100"/>
  <c r="N74"/>
  <c r="N77" i="62"/>
  <c r="S77" s="1"/>
  <c r="F36" i="26"/>
  <c r="N29" i="64"/>
  <c r="F183" i="26"/>
  <c r="N12" i="65"/>
  <c r="N37" i="58"/>
  <c r="N25" i="64"/>
  <c r="N100" i="62"/>
  <c r="N140" i="64"/>
  <c r="N115" i="62"/>
  <c r="S115" s="1"/>
  <c r="N13" i="70"/>
  <c r="N93" i="67"/>
  <c r="S93" s="1"/>
  <c r="N95" i="70"/>
  <c r="N37" i="64"/>
  <c r="N18" i="58"/>
  <c r="N105" i="70"/>
  <c r="N10" i="65"/>
  <c r="H15" i="40"/>
  <c r="N33" i="58"/>
  <c r="N42" i="65"/>
  <c r="N50" i="67"/>
  <c r="N37" i="63"/>
  <c r="N102" i="62"/>
  <c r="N194" i="64"/>
  <c r="N25" i="63"/>
  <c r="N59" i="59"/>
  <c r="N96" i="67"/>
  <c r="S96" s="1"/>
  <c r="N56" i="64"/>
  <c r="N12" i="59"/>
  <c r="N23"/>
  <c r="N43" i="65"/>
  <c r="N43" i="63"/>
  <c r="N88" i="67"/>
  <c r="S88" s="1"/>
  <c r="N14" i="65"/>
  <c r="N54" i="66"/>
  <c r="N37" i="59"/>
  <c r="N66" i="63"/>
  <c r="N24" i="65"/>
  <c r="N17" i="70"/>
  <c r="N71" i="62"/>
  <c r="S71" s="1"/>
  <c r="N63" i="64"/>
  <c r="N39" i="58"/>
  <c r="N113" i="64"/>
  <c r="N46" i="66"/>
  <c r="N41" i="65"/>
  <c r="N149" i="64"/>
  <c r="N55" i="58"/>
  <c r="N36" i="66"/>
  <c r="N94" i="70"/>
  <c r="N12" i="58"/>
  <c r="N142" i="64"/>
  <c r="N27" i="58"/>
  <c r="N29" i="59"/>
  <c r="N52" i="63"/>
  <c r="N189" i="64"/>
  <c r="N16" i="70"/>
  <c r="N120" i="64"/>
  <c r="N46" i="63"/>
  <c r="N35" i="58"/>
  <c r="N36" i="59"/>
  <c r="N13" i="67"/>
  <c r="N111" i="70"/>
  <c r="N19" i="67"/>
  <c r="N40" i="65"/>
  <c r="N36" i="64"/>
  <c r="N29" i="58"/>
  <c r="N26" i="59"/>
  <c r="N99" i="64"/>
  <c r="N14"/>
  <c r="N182"/>
  <c r="N91" i="62"/>
  <c r="S91" s="1"/>
  <c r="N131" i="64"/>
  <c r="N114" i="70"/>
  <c r="N44" i="59"/>
  <c r="N16" i="65"/>
  <c r="N21" i="61"/>
  <c r="N96" i="70"/>
  <c r="N8"/>
  <c r="N96" i="64"/>
  <c r="N20" i="65"/>
  <c r="N32" i="70"/>
  <c r="N139" i="64"/>
  <c r="N52" i="58"/>
  <c r="N77" i="67"/>
  <c r="S77" s="1"/>
  <c r="N118" i="64"/>
  <c r="N64" i="63"/>
  <c r="N154" i="64"/>
  <c r="N27" i="63"/>
  <c r="N168" i="64"/>
  <c r="N156"/>
  <c r="N184"/>
  <c r="N75" i="62"/>
  <c r="S75" s="1"/>
  <c r="N109"/>
  <c r="S109" s="1"/>
  <c r="N11" i="58"/>
  <c r="F49" i="26"/>
  <c r="N24" i="63"/>
  <c r="F109" i="26"/>
  <c r="N79" i="64"/>
  <c r="S79" s="1"/>
  <c r="N51" i="67"/>
  <c r="N98"/>
  <c r="S98" s="1"/>
  <c r="N15" i="58"/>
  <c r="N109" i="64"/>
  <c r="N45"/>
  <c r="N86" i="62"/>
  <c r="S86" s="1"/>
  <c r="N36" i="58"/>
  <c r="N11" i="70"/>
  <c r="N53" i="65"/>
  <c r="N52" i="66"/>
  <c r="N65" i="67"/>
  <c r="S65" s="1"/>
  <c r="N20" i="64"/>
  <c r="H11" i="40"/>
  <c r="N21" i="59"/>
  <c r="N22"/>
  <c r="N17" i="58"/>
  <c r="N150" i="64"/>
  <c r="N102" i="70"/>
  <c r="N107"/>
  <c r="N80" i="67"/>
  <c r="S80" s="1"/>
  <c r="N8"/>
  <c r="N220" i="64"/>
  <c r="N106" i="70"/>
  <c r="N62" i="67"/>
  <c r="S62" s="1"/>
  <c r="N26" i="58"/>
  <c r="N25"/>
  <c r="N151" i="64"/>
  <c r="N49"/>
  <c r="N213"/>
  <c r="N159"/>
  <c r="N19" i="70"/>
  <c r="N87" i="67"/>
  <c r="S87" s="1"/>
  <c r="N83" i="62"/>
  <c r="S83" s="1"/>
  <c r="N58" i="66"/>
  <c r="N9" i="63"/>
  <c r="N108" i="62"/>
  <c r="S108" s="1"/>
  <c r="N62" i="63"/>
  <c r="N39" i="67"/>
  <c r="N71"/>
  <c r="S71" s="1"/>
  <c r="N178" i="64"/>
  <c r="H10" i="40"/>
  <c r="N181" i="64"/>
  <c r="N8" i="59"/>
  <c r="N59" i="64"/>
  <c r="N10" i="58"/>
  <c r="N43" i="59"/>
  <c r="N23" i="65"/>
  <c r="N44" i="64"/>
  <c r="N18"/>
  <c r="N108" i="70"/>
  <c r="N22" i="65"/>
  <c r="N31" i="67"/>
  <c r="N24" i="58"/>
  <c r="N172" i="64"/>
  <c r="N199"/>
  <c r="N166"/>
  <c r="N95"/>
  <c r="N110"/>
  <c r="N171"/>
  <c r="N55" i="65"/>
  <c r="N18" i="63"/>
  <c r="N34"/>
  <c r="N186" i="64"/>
  <c r="N113" i="62"/>
  <c r="S113" s="1"/>
  <c r="N40" i="66"/>
  <c r="N35" i="65"/>
  <c r="N58"/>
  <c r="N42" i="64"/>
  <c r="N61"/>
  <c r="N97" i="62"/>
  <c r="N10" i="70"/>
  <c r="N27" i="67"/>
  <c r="N69" i="64"/>
  <c r="N7" i="65"/>
  <c r="N13" i="58"/>
  <c r="N47"/>
  <c r="N51" i="63"/>
  <c r="N61" i="67"/>
  <c r="S61" s="1"/>
  <c r="H12" i="40"/>
  <c r="N92" i="62"/>
  <c r="S92" s="1"/>
  <c r="N37" i="66"/>
  <c r="N72" i="62"/>
  <c r="S72" s="1"/>
  <c r="N92" i="70"/>
  <c r="N25" i="65"/>
  <c r="N112" i="64"/>
  <c r="N37" i="67"/>
  <c r="N15" i="70"/>
  <c r="N10" i="67"/>
  <c r="N99" i="62"/>
  <c r="N32" i="58"/>
  <c r="N21" i="70"/>
  <c r="N74" i="67"/>
  <c r="S74" s="1"/>
  <c r="N29"/>
  <c r="N210" i="64"/>
  <c r="I31" i="26"/>
  <c r="F112" i="71"/>
  <c r="P60" i="67"/>
  <c r="U60" s="1"/>
  <c r="P15" i="70"/>
  <c r="P121" i="64"/>
  <c r="P10" i="63"/>
  <c r="P104" i="62"/>
  <c r="U104" s="1"/>
  <c r="W104" s="1"/>
  <c r="P47" i="59"/>
  <c r="P115" i="64"/>
  <c r="P17" i="63"/>
  <c r="P69" i="67"/>
  <c r="U69" s="1"/>
  <c r="P61"/>
  <c r="U61" s="1"/>
  <c r="P20" i="64"/>
  <c r="P63"/>
  <c r="P20" i="63"/>
  <c r="P98" i="64"/>
  <c r="P65" i="67"/>
  <c r="U65" s="1"/>
  <c r="P10" i="64"/>
  <c r="P101" i="62"/>
  <c r="P44" i="67"/>
  <c r="P169" i="64"/>
  <c r="P96"/>
  <c r="P103" i="62"/>
  <c r="U103" s="1"/>
  <c r="W103" s="1"/>
  <c r="P31" i="70"/>
  <c r="P179" i="64"/>
  <c r="P114" i="70"/>
  <c r="P14" i="67"/>
  <c r="P36" i="58"/>
  <c r="P45" i="63"/>
  <c r="P188" i="64"/>
  <c r="P29"/>
  <c r="P195"/>
  <c r="P37"/>
  <c r="P80" i="62"/>
  <c r="U80" s="1"/>
  <c r="W80" s="1"/>
  <c r="P74" i="63"/>
  <c r="P41" i="67"/>
  <c r="P81" i="62"/>
  <c r="U81" s="1"/>
  <c r="W81" s="1"/>
  <c r="P48" i="59"/>
  <c r="P30" i="67"/>
  <c r="P93" i="70"/>
  <c r="P39" i="58"/>
  <c r="P113" i="62"/>
  <c r="U113" s="1"/>
  <c r="W113" s="1"/>
  <c r="P28" i="64"/>
  <c r="P185"/>
  <c r="P17" i="65"/>
  <c r="P89" i="67"/>
  <c r="U89" s="1"/>
  <c r="P212" i="64"/>
  <c r="P181"/>
  <c r="P111" i="70"/>
  <c r="P159" i="64"/>
  <c r="P24" i="58"/>
  <c r="P51" i="67"/>
  <c r="P32" i="63"/>
  <c r="P24" i="67"/>
  <c r="P27" i="65"/>
  <c r="P14" i="63"/>
  <c r="P182" i="64"/>
  <c r="P77" i="67"/>
  <c r="U77" s="1"/>
  <c r="P59" i="66"/>
  <c r="P19" i="70"/>
  <c r="P36" i="67"/>
  <c r="P12" i="63"/>
  <c r="P43" i="67"/>
  <c r="P75"/>
  <c r="U75" s="1"/>
  <c r="P113" i="70"/>
  <c r="P43" i="65"/>
  <c r="P23" i="64"/>
  <c r="P114"/>
  <c r="P25"/>
  <c r="P106"/>
  <c r="P24" i="59"/>
  <c r="P170" i="64"/>
  <c r="P30"/>
  <c r="P35" i="65"/>
  <c r="P157" i="64"/>
  <c r="P66" i="67"/>
  <c r="U66" s="1"/>
  <c r="P110" i="64"/>
  <c r="P155"/>
  <c r="P29" i="70"/>
  <c r="P28" i="67"/>
  <c r="P23" i="63"/>
  <c r="P128" i="64"/>
  <c r="P54" i="67"/>
  <c r="U54" s="1"/>
  <c r="P27" i="63"/>
  <c r="P17" i="64"/>
  <c r="P26" i="59"/>
  <c r="P41"/>
  <c r="P86" i="62"/>
  <c r="U86" s="1"/>
  <c r="W86" s="1"/>
  <c r="J17" i="40"/>
  <c r="P65" i="64"/>
  <c r="P82" i="62"/>
  <c r="U82" s="1"/>
  <c r="W82" s="1"/>
  <c r="P78" i="64"/>
  <c r="U78" s="1"/>
  <c r="W78" s="1"/>
  <c r="P12" i="59"/>
  <c r="P37" i="67"/>
  <c r="P32"/>
  <c r="P43" i="63"/>
  <c r="P42" i="58"/>
  <c r="P100" i="62"/>
  <c r="P14" i="58"/>
  <c r="P20" i="70"/>
  <c r="P175" i="64"/>
  <c r="P36" i="65"/>
  <c r="P10" i="67"/>
  <c r="P57" i="59"/>
  <c r="H6" i="39"/>
  <c r="H12" s="1"/>
  <c r="P56" i="58"/>
  <c r="P28" i="65"/>
  <c r="P21" i="67"/>
  <c r="P199" i="64"/>
  <c r="P102" i="62"/>
  <c r="P98"/>
  <c r="P41" i="64"/>
  <c r="P56" i="63"/>
  <c r="P53" i="58"/>
  <c r="P26" i="64"/>
  <c r="J15" i="40"/>
  <c r="P53" i="66"/>
  <c r="P172" i="64"/>
  <c r="P63" i="63"/>
  <c r="P20" i="67"/>
  <c r="P54" i="63"/>
  <c r="P37"/>
  <c r="P26" i="70"/>
  <c r="P217" i="64"/>
  <c r="P73" i="63"/>
  <c r="P59" i="59"/>
  <c r="P112" i="64"/>
  <c r="P61"/>
  <c r="P74" i="62"/>
  <c r="U74" s="1"/>
  <c r="W74" s="1"/>
  <c r="P50" i="58"/>
  <c r="P13" i="59"/>
  <c r="P214" i="64"/>
  <c r="P173"/>
  <c r="P92" i="62"/>
  <c r="U92" s="1"/>
  <c r="W92" s="1"/>
  <c r="P36" i="66"/>
  <c r="P131" i="64"/>
  <c r="P29" i="67"/>
  <c r="P32" i="58"/>
  <c r="P58" i="63"/>
  <c r="P105" i="64"/>
  <c r="P67"/>
  <c r="P95"/>
  <c r="P54" i="65"/>
  <c r="P117" i="64"/>
  <c r="P19" i="59"/>
  <c r="P33" i="67"/>
  <c r="P50"/>
  <c r="P29" i="59"/>
  <c r="P31" i="63"/>
  <c r="P96" i="62"/>
  <c r="P37" i="58"/>
  <c r="P18" i="65"/>
  <c r="P15" i="67"/>
  <c r="P108" i="64"/>
  <c r="P28" i="58"/>
  <c r="P71" i="64"/>
  <c r="P89"/>
  <c r="P18" i="58"/>
  <c r="P108" i="70"/>
  <c r="P64" i="64"/>
  <c r="P53" i="59"/>
  <c r="P219" i="64"/>
  <c r="P86"/>
  <c r="P102"/>
  <c r="P12"/>
  <c r="P65" i="62"/>
  <c r="U65" s="1"/>
  <c r="W65" s="1"/>
  <c r="P42" i="59"/>
  <c r="P112" i="62"/>
  <c r="U112" s="1"/>
  <c r="W112" s="1"/>
  <c r="P15" i="59"/>
  <c r="P108" i="62"/>
  <c r="U108" s="1"/>
  <c r="W108" s="1"/>
  <c r="P60" i="66"/>
  <c r="P146" i="64"/>
  <c r="P52" i="58"/>
  <c r="P44" i="65"/>
  <c r="P109" i="62"/>
  <c r="U109" s="1"/>
  <c r="W109" s="1"/>
  <c r="P17" i="59"/>
  <c r="P37" i="66"/>
  <c r="P49" i="63"/>
  <c r="P38" i="66"/>
  <c r="P85" i="64"/>
  <c r="P46"/>
  <c r="P47" i="67"/>
  <c r="P74"/>
  <c r="U74" s="1"/>
  <c r="P51" i="65"/>
  <c r="P53" i="63"/>
  <c r="P44"/>
  <c r="P45" i="66"/>
  <c r="P20" i="65"/>
  <c r="P93" i="62"/>
  <c r="U93" s="1"/>
  <c r="W93" s="1"/>
  <c r="H49" i="26"/>
  <c r="P26" i="58"/>
  <c r="P94" i="64"/>
  <c r="P33" i="63"/>
  <c r="P69" i="64"/>
  <c r="P21" i="65"/>
  <c r="P60" i="64"/>
  <c r="P40" i="66"/>
  <c r="P12" i="65"/>
  <c r="P14" i="64"/>
  <c r="P73"/>
  <c r="P136"/>
  <c r="P18" i="70"/>
  <c r="P13"/>
  <c r="P210" i="64"/>
  <c r="P19" i="63"/>
  <c r="P110" i="70"/>
  <c r="P24"/>
  <c r="P45" i="64"/>
  <c r="P95" i="62"/>
  <c r="P16" i="65"/>
  <c r="P76" i="67"/>
  <c r="U76" s="1"/>
  <c r="P51" i="63"/>
  <c r="P55" i="65"/>
  <c r="P11"/>
  <c r="P48" i="63"/>
  <c r="P43" i="66"/>
  <c r="P90" i="64"/>
  <c r="H80" i="26"/>
  <c r="H195"/>
  <c r="P47" i="65"/>
  <c r="P97" i="70"/>
  <c r="P132" i="64"/>
  <c r="P218"/>
  <c r="P35"/>
  <c r="P9" i="63"/>
  <c r="H36" i="26"/>
  <c r="P64" i="67"/>
  <c r="U64" s="1"/>
  <c r="P30" i="63"/>
  <c r="P11" i="64"/>
  <c r="P109" i="70"/>
  <c r="P8" i="67"/>
  <c r="H183" i="26"/>
  <c r="P122" i="64"/>
  <c r="P27" i="70"/>
  <c r="P53" i="65"/>
  <c r="P38"/>
  <c r="P79" i="64"/>
  <c r="U79" s="1"/>
  <c r="W79" s="1"/>
  <c r="P26" i="65"/>
  <c r="P23"/>
  <c r="P164" i="64"/>
  <c r="P9" i="67"/>
  <c r="P51" i="58"/>
  <c r="P17"/>
  <c r="P85" i="62"/>
  <c r="U85" s="1"/>
  <c r="W85" s="1"/>
  <c r="P70" i="67"/>
  <c r="U70" s="1"/>
  <c r="P110" i="62"/>
  <c r="U110" s="1"/>
  <c r="W110" s="1"/>
  <c r="P141" i="64"/>
  <c r="P13" i="58"/>
  <c r="P25" i="65"/>
  <c r="P90" i="67"/>
  <c r="U90" s="1"/>
  <c r="J8" i="40"/>
  <c r="P36" i="59"/>
  <c r="P44" i="66"/>
  <c r="P18" i="59"/>
  <c r="P101" i="64"/>
  <c r="P39"/>
  <c r="P52" i="66"/>
  <c r="P19" i="65"/>
  <c r="P66" i="63"/>
  <c r="P86" i="67"/>
  <c r="U86" s="1"/>
  <c r="P58" i="64"/>
  <c r="P49" i="67"/>
  <c r="P216" i="64"/>
  <c r="P193"/>
  <c r="P22" i="58"/>
  <c r="P213" i="64"/>
  <c r="P43" i="59"/>
  <c r="P83" i="64"/>
  <c r="U83" s="1"/>
  <c r="W83" s="1"/>
  <c r="P94" i="70"/>
  <c r="P200" i="64"/>
  <c r="P111" i="62"/>
  <c r="U111" s="1"/>
  <c r="W111" s="1"/>
  <c r="P149" i="64"/>
  <c r="J18" i="40"/>
  <c r="P186" i="64"/>
  <c r="P40" i="63"/>
  <c r="P190" i="64"/>
  <c r="P38" i="67"/>
  <c r="P71" i="62"/>
  <c r="U71" s="1"/>
  <c r="W71" s="1"/>
  <c r="P91" i="67"/>
  <c r="U91" s="1"/>
  <c r="P51" i="66"/>
  <c r="P62" i="67"/>
  <c r="U62" s="1"/>
  <c r="P40"/>
  <c r="P68"/>
  <c r="U68" s="1"/>
  <c r="P46" i="59"/>
  <c r="P52" i="67"/>
  <c r="P113" i="64"/>
  <c r="P52"/>
  <c r="P134"/>
  <c r="J16" i="40"/>
  <c r="P202" i="64"/>
  <c r="P101" i="70"/>
  <c r="P215" i="64"/>
  <c r="P114" i="62"/>
  <c r="U114" s="1"/>
  <c r="W114" s="1"/>
  <c r="P67" i="67"/>
  <c r="U67" s="1"/>
  <c r="P66" i="62"/>
  <c r="U66" s="1"/>
  <c r="W66" s="1"/>
  <c r="P25" i="67"/>
  <c r="P165" i="64"/>
  <c r="P53"/>
  <c r="P24"/>
  <c r="P192"/>
  <c r="P14" i="70"/>
  <c r="P40" i="58"/>
  <c r="P30" i="65"/>
  <c r="P49" i="64"/>
  <c r="P34" i="63"/>
  <c r="P25" i="70"/>
  <c r="P69" i="62"/>
  <c r="U69" s="1"/>
  <c r="W69" s="1"/>
  <c r="P18" i="67"/>
  <c r="P46"/>
  <c r="P96"/>
  <c r="U96" s="1"/>
  <c r="P38" i="64"/>
  <c r="P18" i="63"/>
  <c r="P163" i="64"/>
  <c r="P70" i="62"/>
  <c r="U70" s="1"/>
  <c r="W70" s="1"/>
  <c r="P8" i="63"/>
  <c r="P207" i="64"/>
  <c r="P46" i="58"/>
  <c r="P103" i="70"/>
  <c r="P47" i="58"/>
  <c r="P16"/>
  <c r="P50" i="65"/>
  <c r="P19" i="64"/>
  <c r="P39" i="59"/>
  <c r="P40" i="65"/>
  <c r="P15" i="63"/>
  <c r="P87" i="67"/>
  <c r="U87" s="1"/>
  <c r="P71"/>
  <c r="U71" s="1"/>
  <c r="P16" i="70"/>
  <c r="P91"/>
  <c r="P61" i="63"/>
  <c r="P33" i="59"/>
  <c r="P42" i="64"/>
  <c r="P83" i="62"/>
  <c r="U83" s="1"/>
  <c r="W83" s="1"/>
  <c r="P20" i="58"/>
  <c r="P27" i="64"/>
  <c r="P55" i="59"/>
  <c r="P29" i="63"/>
  <c r="P162" i="64"/>
  <c r="P107" i="62"/>
  <c r="U107" s="1"/>
  <c r="W107" s="1"/>
  <c r="P97"/>
  <c r="P124" i="64"/>
  <c r="P160"/>
  <c r="P92" i="70"/>
  <c r="P183" i="64"/>
  <c r="P37" i="59"/>
  <c r="P16" i="67"/>
  <c r="P83"/>
  <c r="U83" s="1"/>
  <c r="P17" i="70"/>
  <c r="P97" i="67"/>
  <c r="U97" s="1"/>
  <c r="P76" i="62"/>
  <c r="U76" s="1"/>
  <c r="W76" s="1"/>
  <c r="P208" i="64"/>
  <c r="P11" i="59"/>
  <c r="P11" i="58"/>
  <c r="P151" i="64"/>
  <c r="P14" i="65"/>
  <c r="P25" i="59"/>
  <c r="P12" i="58"/>
  <c r="P67" i="63"/>
  <c r="P205" i="64"/>
  <c r="P36"/>
  <c r="P27" i="58"/>
  <c r="P7" i="65"/>
  <c r="P22" i="63"/>
  <c r="P87" i="62"/>
  <c r="U87" s="1"/>
  <c r="W87" s="1"/>
  <c r="P178" i="64"/>
  <c r="P18"/>
  <c r="P45" i="58"/>
  <c r="P26" i="67"/>
  <c r="P28" i="63"/>
  <c r="P111" i="64"/>
  <c r="P104" i="70"/>
  <c r="P112"/>
  <c r="P69" i="63"/>
  <c r="P209" i="64"/>
  <c r="P22" i="59"/>
  <c r="P9"/>
  <c r="P115" i="62"/>
  <c r="U115" s="1"/>
  <c r="W115" s="1"/>
  <c r="P120" i="64"/>
  <c r="P9"/>
  <c r="P154"/>
  <c r="P50" i="59"/>
  <c r="P72" i="64"/>
  <c r="P78" i="67"/>
  <c r="U78" s="1"/>
  <c r="P126" i="64"/>
  <c r="P49" i="59"/>
  <c r="P22" i="67"/>
  <c r="P62" i="64"/>
  <c r="P71" i="63"/>
  <c r="P25" i="58"/>
  <c r="P48" i="67"/>
  <c r="P49" i="58"/>
  <c r="P70" i="63"/>
  <c r="P10" i="58"/>
  <c r="P127" i="64"/>
  <c r="P16"/>
  <c r="P33" i="65"/>
  <c r="P176" i="64"/>
  <c r="J11" i="40"/>
  <c r="P9" i="70"/>
  <c r="P55" i="66"/>
  <c r="P30" i="59"/>
  <c r="P92" i="64"/>
  <c r="P64" i="63"/>
  <c r="P17" i="67"/>
  <c r="P67" i="62"/>
  <c r="U67" s="1"/>
  <c r="W67" s="1"/>
  <c r="P87" i="64"/>
  <c r="P58" i="67"/>
  <c r="U58" s="1"/>
  <c r="P22" i="64"/>
  <c r="P16" i="63"/>
  <c r="P12" i="70"/>
  <c r="P99" i="64"/>
  <c r="P198"/>
  <c r="P47"/>
  <c r="P184"/>
  <c r="P98" i="70"/>
  <c r="P24" i="63"/>
  <c r="P95" i="67"/>
  <c r="U95" s="1"/>
  <c r="P59" i="65"/>
  <c r="P43" i="64"/>
  <c r="P44" i="59"/>
  <c r="P55" i="64"/>
  <c r="P37" i="65"/>
  <c r="P158" i="64"/>
  <c r="H109" i="26"/>
  <c r="P145" i="64"/>
  <c r="P107" i="70"/>
  <c r="P125" i="64"/>
  <c r="P35" i="63"/>
  <c r="P47"/>
  <c r="P77" i="64"/>
  <c r="U77" s="1"/>
  <c r="P94" i="62"/>
  <c r="P137" i="64"/>
  <c r="P88" i="62"/>
  <c r="U88" s="1"/>
  <c r="W88" s="1"/>
  <c r="P189" i="64"/>
  <c r="P150"/>
  <c r="P31" i="59"/>
  <c r="P77" i="62"/>
  <c r="U77" s="1"/>
  <c r="W77" s="1"/>
  <c r="P59" i="64"/>
  <c r="P56" i="65"/>
  <c r="P180" i="64"/>
  <c r="P23" i="59"/>
  <c r="P33" i="70"/>
  <c r="P187" i="64"/>
  <c r="P84" i="62"/>
  <c r="U84" s="1"/>
  <c r="W84" s="1"/>
  <c r="P19" i="58"/>
  <c r="P73" i="62"/>
  <c r="U73" s="1"/>
  <c r="W73" s="1"/>
  <c r="P21" i="64"/>
  <c r="H95" i="26"/>
  <c r="P32" i="64"/>
  <c r="P21" i="63"/>
  <c r="P9" i="58"/>
  <c r="P11" i="70"/>
  <c r="J9" i="40"/>
  <c r="P22" i="70"/>
  <c r="P32" i="59"/>
  <c r="P51" i="64"/>
  <c r="P194"/>
  <c r="P57" i="67"/>
  <c r="U57" s="1"/>
  <c r="P197" i="64"/>
  <c r="P23" i="58"/>
  <c r="P26" i="63"/>
  <c r="P13" i="64"/>
  <c r="P93" i="67"/>
  <c r="U93" s="1"/>
  <c r="P57" i="65"/>
  <c r="I14" i="30"/>
  <c r="H147" i="26"/>
  <c r="P57" i="63"/>
  <c r="P91" i="62"/>
  <c r="U91" s="1"/>
  <c r="P105" i="70"/>
  <c r="P58" i="59"/>
  <c r="P39" i="65"/>
  <c r="J13" i="40"/>
  <c r="P50" i="64"/>
  <c r="P79" i="62"/>
  <c r="U79" s="1"/>
  <c r="W79" s="1"/>
  <c r="P133" i="64"/>
  <c r="P47" i="66"/>
  <c r="P20" i="59"/>
  <c r="P46" i="63"/>
  <c r="P55" i="67"/>
  <c r="U55" s="1"/>
  <c r="P70" i="64"/>
  <c r="P53" i="67"/>
  <c r="P88"/>
  <c r="U88" s="1"/>
  <c r="P72" i="62"/>
  <c r="U72" s="1"/>
  <c r="W72" s="1"/>
  <c r="P52" i="63"/>
  <c r="P45" i="59"/>
  <c r="P46" i="65"/>
  <c r="P36" i="63"/>
  <c r="P130" i="64"/>
  <c r="P42" i="67"/>
  <c r="P135" i="64"/>
  <c r="P34" i="58"/>
  <c r="P10" i="59"/>
  <c r="P38" i="63"/>
  <c r="P96" i="70"/>
  <c r="P7"/>
  <c r="P48" i="65"/>
  <c r="P55" i="58"/>
  <c r="P39" i="67"/>
  <c r="P56" i="59"/>
  <c r="J10" i="40"/>
  <c r="P54" i="64"/>
  <c r="P140"/>
  <c r="P57" i="66"/>
  <c r="P13" i="63"/>
  <c r="P10" i="70"/>
  <c r="P8" i="59"/>
  <c r="P116" i="64"/>
  <c r="P34" i="59"/>
  <c r="P68" i="64"/>
  <c r="P48" i="66"/>
  <c r="P92" i="67"/>
  <c r="U92" s="1"/>
  <c r="H131" i="26"/>
  <c r="P95" i="70"/>
  <c r="P42" i="65"/>
  <c r="P21" i="61"/>
  <c r="P8" i="64"/>
  <c r="P166"/>
  <c r="P28" i="59"/>
  <c r="P91" i="64"/>
  <c r="J14" i="40"/>
  <c r="P35" i="67"/>
  <c r="P8" i="58"/>
  <c r="P56" i="66"/>
  <c r="P63" i="67"/>
  <c r="U63" s="1"/>
  <c r="P40" i="59"/>
  <c r="P31" i="65"/>
  <c r="P97" i="64"/>
  <c r="P34" i="65"/>
  <c r="P56" i="67"/>
  <c r="U56" s="1"/>
  <c r="P11" i="63"/>
  <c r="P220" i="64"/>
  <c r="P46" i="66"/>
  <c r="P59" i="67"/>
  <c r="U59" s="1"/>
  <c r="P191" i="64"/>
  <c r="P64" i="62"/>
  <c r="U64" s="1"/>
  <c r="P8" i="65"/>
  <c r="P98" i="67"/>
  <c r="U98" s="1"/>
  <c r="P52" i="59"/>
  <c r="P171" i="64"/>
  <c r="P25" i="63"/>
  <c r="P74" i="64"/>
  <c r="P43" i="58"/>
  <c r="P22" i="65"/>
  <c r="H167" i="26"/>
  <c r="P42" i="66"/>
  <c r="P68" i="63"/>
  <c r="P123" i="64"/>
  <c r="P156"/>
  <c r="P50" i="63"/>
  <c r="P31" i="58"/>
  <c r="P161" i="64"/>
  <c r="P75" i="62"/>
  <c r="U75" s="1"/>
  <c r="W75" s="1"/>
  <c r="P84" i="67"/>
  <c r="U84" s="1"/>
  <c r="P58" i="66"/>
  <c r="P168" i="64"/>
  <c r="P75" i="63"/>
  <c r="P143" i="64"/>
  <c r="P41" i="65"/>
  <c r="P204" i="64"/>
  <c r="P11" i="67"/>
  <c r="P27"/>
  <c r="P29" i="58"/>
  <c r="P31" i="64"/>
  <c r="H64" i="26"/>
  <c r="P35" i="58"/>
  <c r="P49" i="66"/>
  <c r="P28" i="70"/>
  <c r="P13" i="65"/>
  <c r="P39" i="66"/>
  <c r="P82" i="64"/>
  <c r="U82" s="1"/>
  <c r="W82" s="1"/>
  <c r="P39" i="63"/>
  <c r="P15" i="64"/>
  <c r="P13" i="67"/>
  <c r="P15" i="58"/>
  <c r="P99" i="70"/>
  <c r="P107" i="64"/>
  <c r="P147"/>
  <c r="P40"/>
  <c r="P8" i="70"/>
  <c r="P7" i="59"/>
  <c r="P9" i="65"/>
  <c r="P196" i="64"/>
  <c r="P58" i="65"/>
  <c r="P85" i="67"/>
  <c r="U85" s="1"/>
  <c r="P80" i="64"/>
  <c r="U80" s="1"/>
  <c r="W80" s="1"/>
  <c r="P109"/>
  <c r="J12" i="40"/>
  <c r="P41" i="66"/>
  <c r="P144" i="64"/>
  <c r="P49" i="65"/>
  <c r="P66" i="64"/>
  <c r="P7" i="58"/>
  <c r="P99" i="67"/>
  <c r="U99" s="1"/>
  <c r="P206" i="64"/>
  <c r="P44"/>
  <c r="P31" i="67"/>
  <c r="P100" i="64"/>
  <c r="P15" i="65"/>
  <c r="P80" i="67"/>
  <c r="U80" s="1"/>
  <c r="P44" i="58"/>
  <c r="P174" i="64"/>
  <c r="P84"/>
  <c r="U84" s="1"/>
  <c r="W84" s="1"/>
  <c r="P33" i="58"/>
  <c r="P29" i="65"/>
  <c r="P82" i="67"/>
  <c r="U82" s="1"/>
  <c r="P167" i="64"/>
  <c r="P72" i="63"/>
  <c r="P88" i="64"/>
  <c r="P48" i="58"/>
  <c r="P65" i="63"/>
  <c r="P139" i="64"/>
  <c r="P19" i="67"/>
  <c r="P10" i="65"/>
  <c r="P54" i="58"/>
  <c r="P119" i="64"/>
  <c r="P56"/>
  <c r="P93"/>
  <c r="P51" i="59"/>
  <c r="P81" i="67"/>
  <c r="U81" s="1"/>
  <c r="P57" i="64"/>
  <c r="P45" i="65"/>
  <c r="P33" i="64"/>
  <c r="P106" i="70"/>
  <c r="P21" i="58"/>
  <c r="P24" i="65"/>
  <c r="P79" i="67"/>
  <c r="U79" s="1"/>
  <c r="P23"/>
  <c r="P50" i="66"/>
  <c r="P100" i="70"/>
  <c r="P118" i="64"/>
  <c r="P201"/>
  <c r="P106" i="62"/>
  <c r="U106" s="1"/>
  <c r="W106" s="1"/>
  <c r="P54" i="66"/>
  <c r="P16" i="59"/>
  <c r="P62" i="63"/>
  <c r="P38" i="58"/>
  <c r="P55" i="63"/>
  <c r="P41" i="58"/>
  <c r="P54" i="59"/>
  <c r="P99" i="62"/>
  <c r="P14" i="59"/>
  <c r="P105" i="62"/>
  <c r="U105" s="1"/>
  <c r="W105" s="1"/>
  <c r="P78"/>
  <c r="U78" s="1"/>
  <c r="W78" s="1"/>
  <c r="P59" i="63"/>
  <c r="P52" i="65"/>
  <c r="P102" i="70"/>
  <c r="P68" i="62"/>
  <c r="U68" s="1"/>
  <c r="W68" s="1"/>
  <c r="P115" i="70"/>
  <c r="P129" i="64"/>
  <c r="P94" i="67"/>
  <c r="U94" s="1"/>
  <c r="P23" i="70"/>
  <c r="P21"/>
  <c r="P21" i="59"/>
  <c r="P81" i="64"/>
  <c r="U81" s="1"/>
  <c r="W81" s="1"/>
  <c r="P27" i="59"/>
  <c r="P35"/>
  <c r="P32" i="70"/>
  <c r="P60" i="59"/>
  <c r="P203" i="64"/>
  <c r="P30" i="70"/>
  <c r="P34" i="64"/>
  <c r="P60" i="63"/>
  <c r="P142" i="64"/>
  <c r="P12" i="67"/>
  <c r="I19" i="26"/>
  <c r="I7" s="1"/>
  <c r="H9" i="30"/>
  <c r="F9"/>
  <c r="F157" i="71"/>
  <c r="E5" i="30"/>
  <c r="E4" s="1"/>
  <c r="F114" i="71" l="1"/>
  <c r="Q12" i="70" s="1"/>
  <c r="I374" i="69" s="1"/>
  <c r="D374" s="1"/>
  <c r="Q10" i="70"/>
  <c r="F160" i="71"/>
  <c r="Q33" i="62" s="1"/>
  <c r="J35" i="69" s="1"/>
  <c r="D35" s="1"/>
  <c r="Q30" i="62"/>
  <c r="D12" i="29"/>
  <c r="Q7" i="26"/>
  <c r="H20" i="39"/>
  <c r="D26" s="1"/>
  <c r="H19"/>
  <c r="D25" s="1"/>
  <c r="E6" i="35" s="1"/>
  <c r="F6" s="1"/>
  <c r="J344" i="69"/>
  <c r="D344" s="1"/>
  <c r="I169" i="26" s="1"/>
  <c r="I168" s="1"/>
  <c r="Q63" i="62"/>
  <c r="I32" i="54" s="1"/>
  <c r="F157" i="53"/>
  <c r="F208" i="55"/>
  <c r="Q6" i="65"/>
  <c r="M400" i="69"/>
  <c r="F31" i="53"/>
  <c r="F30"/>
  <c r="F29" s="1"/>
  <c r="F32"/>
  <c r="F34"/>
  <c r="F33"/>
  <c r="R45" i="67"/>
  <c r="J64" i="54" s="1"/>
  <c r="F10" i="30"/>
  <c r="E13"/>
  <c r="E10" s="1"/>
  <c r="D21" i="26"/>
  <c r="D6"/>
  <c r="P123" i="70"/>
  <c r="U123" s="1"/>
  <c r="W123" s="1"/>
  <c r="P13" i="60"/>
  <c r="P11" i="61"/>
  <c r="P28"/>
  <c r="J20" i="40"/>
  <c r="P11" i="60"/>
  <c r="P122" i="70"/>
  <c r="P118"/>
  <c r="U118" s="1"/>
  <c r="W118" s="1"/>
  <c r="P9" i="60"/>
  <c r="P19" i="61"/>
  <c r="P18"/>
  <c r="P14"/>
  <c r="P24"/>
  <c r="H214" i="26"/>
  <c r="P12" i="61"/>
  <c r="P8"/>
  <c r="P7" i="60"/>
  <c r="P17"/>
  <c r="P16"/>
  <c r="P10" i="61"/>
  <c r="H4" i="39"/>
  <c r="H10" s="1"/>
  <c r="H205" i="26"/>
  <c r="P119" i="70"/>
  <c r="U119" s="1"/>
  <c r="W119" s="1"/>
  <c r="P13" i="61"/>
  <c r="I12" i="30"/>
  <c r="P8" i="60"/>
  <c r="P121" i="70"/>
  <c r="U121" s="1"/>
  <c r="W121" s="1"/>
  <c r="P120"/>
  <c r="U120" s="1"/>
  <c r="W120" s="1"/>
  <c r="P16" i="61"/>
  <c r="P15" i="60"/>
  <c r="P17" i="61"/>
  <c r="P25"/>
  <c r="P12" i="60"/>
  <c r="P117" i="70"/>
  <c r="U117" s="1"/>
  <c r="J19" i="40"/>
  <c r="P10" i="60"/>
  <c r="P18"/>
  <c r="P9" i="61"/>
  <c r="E20" i="39"/>
  <c r="E19"/>
  <c r="S73" i="67"/>
  <c r="R76" i="64"/>
  <c r="R153"/>
  <c r="R90" i="62"/>
  <c r="T63"/>
  <c r="L32" i="54" s="1"/>
  <c r="W91" i="62"/>
  <c r="N17" i="60"/>
  <c r="N11" i="61"/>
  <c r="N16"/>
  <c r="F214" i="26"/>
  <c r="N9" i="61"/>
  <c r="N19"/>
  <c r="N17"/>
  <c r="N11" i="60"/>
  <c r="N8"/>
  <c r="N10" i="61"/>
  <c r="N121" i="70"/>
  <c r="S121" s="1"/>
  <c r="N16" i="60"/>
  <c r="N9"/>
  <c r="N10"/>
  <c r="H19" i="40"/>
  <c r="N8" i="61"/>
  <c r="N117" i="70"/>
  <c r="S117" s="1"/>
  <c r="G12" i="30"/>
  <c r="N24" i="61"/>
  <c r="N119" i="70"/>
  <c r="S119" s="1"/>
  <c r="N120"/>
  <c r="S120" s="1"/>
  <c r="N13" i="61"/>
  <c r="N25"/>
  <c r="N12"/>
  <c r="H20" i="40"/>
  <c r="F205" i="26"/>
  <c r="N122" i="70"/>
  <c r="N14" i="61"/>
  <c r="F4" i="39"/>
  <c r="F10" s="1"/>
  <c r="N28" i="61"/>
  <c r="N12" i="60"/>
  <c r="N18"/>
  <c r="N123" i="70"/>
  <c r="S123" s="1"/>
  <c r="N15" i="60"/>
  <c r="N18" i="61"/>
  <c r="N118" i="70"/>
  <c r="S118" s="1"/>
  <c r="N7" i="60"/>
  <c r="N13"/>
  <c r="H10" i="30"/>
  <c r="I10"/>
  <c r="M12" i="60"/>
  <c r="M118" i="70"/>
  <c r="R118" s="1"/>
  <c r="M122"/>
  <c r="M10" i="60"/>
  <c r="M8" i="61"/>
  <c r="G20" i="40"/>
  <c r="M25" i="61"/>
  <c r="M123" i="70"/>
  <c r="R123" s="1"/>
  <c r="F12" i="30"/>
  <c r="M8" i="60"/>
  <c r="M17"/>
  <c r="M16" i="61"/>
  <c r="M117" i="70"/>
  <c r="R117" s="1"/>
  <c r="M120"/>
  <c r="R120" s="1"/>
  <c r="M19" i="61"/>
  <c r="M28"/>
  <c r="R28" s="1"/>
  <c r="R27" s="1"/>
  <c r="M15" i="60"/>
  <c r="M9" i="61"/>
  <c r="M12"/>
  <c r="M10"/>
  <c r="M119" i="70"/>
  <c r="R119" s="1"/>
  <c r="M11" i="60"/>
  <c r="G19" i="40"/>
  <c r="M14" i="61"/>
  <c r="M13"/>
  <c r="E214" i="26"/>
  <c r="M18" i="61"/>
  <c r="M17"/>
  <c r="M121" i="70"/>
  <c r="R121" s="1"/>
  <c r="M18" i="60"/>
  <c r="E205" i="26"/>
  <c r="M16" i="60"/>
  <c r="M7"/>
  <c r="M13"/>
  <c r="M24" i="61"/>
  <c r="M9" i="60"/>
  <c r="M11" i="61"/>
  <c r="E4" i="39"/>
  <c r="E10" s="1"/>
  <c r="O7" i="60"/>
  <c r="O28" i="61"/>
  <c r="O10" i="60"/>
  <c r="O119" i="70"/>
  <c r="T119" s="1"/>
  <c r="O120"/>
  <c r="T120" s="1"/>
  <c r="O16" i="60"/>
  <c r="O118" i="70"/>
  <c r="T118" s="1"/>
  <c r="O9" i="61"/>
  <c r="O11" i="60"/>
  <c r="O13"/>
  <c r="O17"/>
  <c r="I19" i="40"/>
  <c r="O19" i="61"/>
  <c r="G214" i="26"/>
  <c r="O18" i="60"/>
  <c r="O15"/>
  <c r="O18" i="61"/>
  <c r="H12" i="30"/>
  <c r="O121" i="70"/>
  <c r="T121" s="1"/>
  <c r="O122"/>
  <c r="O9" i="60"/>
  <c r="O11" i="61"/>
  <c r="O8" i="60"/>
  <c r="I20" i="40"/>
  <c r="G205" i="26"/>
  <c r="G4" i="39"/>
  <c r="G10" s="1"/>
  <c r="O17" i="61"/>
  <c r="O16"/>
  <c r="O123" i="70"/>
  <c r="T123" s="1"/>
  <c r="O13" i="61"/>
  <c r="O10"/>
  <c r="O24"/>
  <c r="O12" i="60"/>
  <c r="O12" i="61"/>
  <c r="O14"/>
  <c r="O25"/>
  <c r="O117" i="70"/>
  <c r="T117" s="1"/>
  <c r="O8" i="61"/>
  <c r="G10" i="30"/>
  <c r="W77" i="64"/>
  <c r="U63" i="62"/>
  <c r="M32" i="54" s="1"/>
  <c r="W64" i="62"/>
  <c r="F19" i="39"/>
  <c r="F20"/>
  <c r="Q7" i="63"/>
  <c r="K206" i="69"/>
  <c r="F80" i="55"/>
  <c r="F79" s="1"/>
  <c r="F85"/>
  <c r="G19" i="39"/>
  <c r="G20"/>
  <c r="Q104" i="64"/>
  <c r="L302" i="69"/>
  <c r="S63" i="62"/>
  <c r="K32" i="54" s="1"/>
  <c r="U73" i="67"/>
  <c r="T73"/>
  <c r="F130" i="55"/>
  <c r="F125"/>
  <c r="F124" s="1"/>
  <c r="D302" i="69" l="1"/>
  <c r="I149" i="26" s="1"/>
  <c r="I148" s="1"/>
  <c r="L3" i="69"/>
  <c r="J50" i="54"/>
  <c r="I37"/>
  <c r="I36" s="1"/>
  <c r="Q6" i="63"/>
  <c r="Q5" s="1"/>
  <c r="G15" i="39"/>
  <c r="G16"/>
  <c r="R89" i="62"/>
  <c r="J34" i="54"/>
  <c r="J33" s="1"/>
  <c r="G92" i="53" s="1"/>
  <c r="G7" i="40"/>
  <c r="M73" i="70"/>
  <c r="M18" i="62"/>
  <c r="E5" i="39"/>
  <c r="E11" s="1"/>
  <c r="E21" i="26"/>
  <c r="M29" i="62"/>
  <c r="M21" i="66"/>
  <c r="M43" i="62"/>
  <c r="M36"/>
  <c r="M7" i="66"/>
  <c r="M60" i="70"/>
  <c r="M15" i="66"/>
  <c r="M38" i="62"/>
  <c r="M57"/>
  <c r="M51" i="70"/>
  <c r="M44"/>
  <c r="M65"/>
  <c r="M46"/>
  <c r="M14" i="66"/>
  <c r="M41" i="70"/>
  <c r="M23" i="66"/>
  <c r="M48" i="62"/>
  <c r="M22" i="66"/>
  <c r="M84" i="70"/>
  <c r="M16" i="66"/>
  <c r="M53" i="62"/>
  <c r="M13" i="66"/>
  <c r="M17" i="62"/>
  <c r="M34"/>
  <c r="M78" i="70"/>
  <c r="M58"/>
  <c r="M45" i="62"/>
  <c r="M62" i="65"/>
  <c r="M27" i="66"/>
  <c r="M30" i="62"/>
  <c r="M9"/>
  <c r="M26" i="66"/>
  <c r="M21" i="62"/>
  <c r="M43" i="70"/>
  <c r="M48"/>
  <c r="M35" i="62"/>
  <c r="M61" i="70"/>
  <c r="M53"/>
  <c r="M28" i="62"/>
  <c r="M49" i="70"/>
  <c r="M36"/>
  <c r="M13" i="62"/>
  <c r="M15"/>
  <c r="M66" i="70"/>
  <c r="M80"/>
  <c r="M61" i="65"/>
  <c r="M70" i="70"/>
  <c r="M87"/>
  <c r="M42" i="62"/>
  <c r="M58"/>
  <c r="M33" i="66"/>
  <c r="M54" i="62"/>
  <c r="M68" i="70"/>
  <c r="M74"/>
  <c r="M33" i="62"/>
  <c r="M10"/>
  <c r="M51"/>
  <c r="M25" i="66"/>
  <c r="M59" i="70"/>
  <c r="M60" i="62"/>
  <c r="M20"/>
  <c r="M24"/>
  <c r="M56"/>
  <c r="M83" i="70"/>
  <c r="M40"/>
  <c r="M54"/>
  <c r="M49" i="62"/>
  <c r="M32" i="66"/>
  <c r="M38" i="70"/>
  <c r="M85"/>
  <c r="M29" i="66"/>
  <c r="M55" i="70"/>
  <c r="M11" i="62"/>
  <c r="M17" i="66"/>
  <c r="M62" i="70"/>
  <c r="M52" i="62"/>
  <c r="M71" i="70"/>
  <c r="M26" i="62"/>
  <c r="M50" i="70"/>
  <c r="M47" i="62"/>
  <c r="M37" i="70"/>
  <c r="M46" i="62"/>
  <c r="M40"/>
  <c r="M22"/>
  <c r="M9" i="66"/>
  <c r="M64" i="70"/>
  <c r="M39" i="62"/>
  <c r="M86" i="70"/>
  <c r="M72"/>
  <c r="M79"/>
  <c r="M39"/>
  <c r="M27" i="62"/>
  <c r="M57" i="70"/>
  <c r="M88"/>
  <c r="M61" i="62"/>
  <c r="M56" i="70"/>
  <c r="M89"/>
  <c r="M12" i="62"/>
  <c r="M52" i="70"/>
  <c r="M47"/>
  <c r="M45"/>
  <c r="M30" i="66"/>
  <c r="M76" i="70"/>
  <c r="M20" i="66"/>
  <c r="M63" i="65"/>
  <c r="M24" i="66"/>
  <c r="M41" i="62"/>
  <c r="M28" i="66"/>
  <c r="M23" i="62"/>
  <c r="M82" i="70"/>
  <c r="M34" i="66"/>
  <c r="M67" i="70"/>
  <c r="M19" i="66"/>
  <c r="M69" i="70"/>
  <c r="M63"/>
  <c r="M75"/>
  <c r="G6" i="40"/>
  <c r="F13" i="30"/>
  <c r="M50" i="62"/>
  <c r="M77" i="70"/>
  <c r="M12" i="66"/>
  <c r="M42" i="70"/>
  <c r="M25" i="62"/>
  <c r="M31" i="66"/>
  <c r="M14" i="62"/>
  <c r="M55"/>
  <c r="E6" i="26"/>
  <c r="M81" i="70"/>
  <c r="M44" i="62"/>
  <c r="M19"/>
  <c r="M11" i="66"/>
  <c r="M8"/>
  <c r="M31" i="62"/>
  <c r="M10" i="66"/>
  <c r="M35" i="70"/>
  <c r="M16" i="62"/>
  <c r="M18" i="66"/>
  <c r="M59" i="62"/>
  <c r="M37"/>
  <c r="M8"/>
  <c r="M32"/>
  <c r="M62"/>
  <c r="I54" i="54"/>
  <c r="Q5" i="65"/>
  <c r="D72" i="29"/>
  <c r="D71" s="1"/>
  <c r="Q168" i="26"/>
  <c r="E16" i="35"/>
  <c r="E5"/>
  <c r="F5" s="1"/>
  <c r="F4" s="1"/>
  <c r="J32" i="69"/>
  <c r="Q7" i="62"/>
  <c r="E27" i="57"/>
  <c r="M123" i="55"/>
  <c r="E15" i="39"/>
  <c r="E16"/>
  <c r="U72" i="67"/>
  <c r="W72" s="1"/>
  <c r="M66" i="54"/>
  <c r="M65" s="1"/>
  <c r="J178" i="53" s="1"/>
  <c r="D206" i="69"/>
  <c r="I97" i="26" s="1"/>
  <c r="I96" s="1"/>
  <c r="K3" i="69"/>
  <c r="P30" i="66"/>
  <c r="P38" i="62"/>
  <c r="P55" i="70"/>
  <c r="P85"/>
  <c r="P40" i="62"/>
  <c r="P17"/>
  <c r="P20" i="66"/>
  <c r="P52" i="62"/>
  <c r="P80" i="70"/>
  <c r="P87"/>
  <c r="P35" i="62"/>
  <c r="P50"/>
  <c r="P61" i="65"/>
  <c r="P20" i="62"/>
  <c r="P11"/>
  <c r="H21" i="26"/>
  <c r="P54" i="70"/>
  <c r="P18" i="62"/>
  <c r="P63" i="65"/>
  <c r="P49" i="70"/>
  <c r="P29" i="62"/>
  <c r="P49"/>
  <c r="P22" i="66"/>
  <c r="P65" i="70"/>
  <c r="P42" i="62"/>
  <c r="P25"/>
  <c r="P21" i="66"/>
  <c r="P14"/>
  <c r="P40" i="70"/>
  <c r="P35"/>
  <c r="P29" i="66"/>
  <c r="P46" i="70"/>
  <c r="H6" i="26"/>
  <c r="P88" i="70"/>
  <c r="P39" i="62"/>
  <c r="P57" i="70"/>
  <c r="I13" i="30"/>
  <c r="P75" i="70"/>
  <c r="P37"/>
  <c r="P62" i="65"/>
  <c r="P47" i="62"/>
  <c r="P15"/>
  <c r="J6" i="40"/>
  <c r="P73" i="70"/>
  <c r="P53" i="62"/>
  <c r="P56"/>
  <c r="P22"/>
  <c r="P17" i="66"/>
  <c r="P30" i="62"/>
  <c r="P78" i="70"/>
  <c r="P60" i="62"/>
  <c r="P25" i="66"/>
  <c r="P51" i="70"/>
  <c r="P31" i="66"/>
  <c r="P83" i="70"/>
  <c r="P10" i="66"/>
  <c r="P59" i="70"/>
  <c r="P8" i="62"/>
  <c r="P32" i="66"/>
  <c r="P82" i="70"/>
  <c r="P52"/>
  <c r="P37" i="62"/>
  <c r="P68" i="70"/>
  <c r="P50"/>
  <c r="P47"/>
  <c r="P28" i="66"/>
  <c r="P43" i="62"/>
  <c r="P60" i="70"/>
  <c r="P62" i="62"/>
  <c r="P34" i="66"/>
  <c r="P79" i="70"/>
  <c r="P34" i="62"/>
  <c r="P24" i="66"/>
  <c r="P12"/>
  <c r="P36" i="62"/>
  <c r="P61" i="70"/>
  <c r="J7" i="40"/>
  <c r="P45" i="62"/>
  <c r="P9"/>
  <c r="P61"/>
  <c r="P55"/>
  <c r="P89" i="70"/>
  <c r="P59" i="62"/>
  <c r="P24"/>
  <c r="P67" i="70"/>
  <c r="P11" i="66"/>
  <c r="P10" i="62"/>
  <c r="P18" i="66"/>
  <c r="P77" i="70"/>
  <c r="P64"/>
  <c r="P33" i="62"/>
  <c r="P16" i="66"/>
  <c r="P81" i="70"/>
  <c r="P46" i="62"/>
  <c r="P56" i="70"/>
  <c r="P31" i="62"/>
  <c r="P72" i="70"/>
  <c r="P21" i="62"/>
  <c r="P19"/>
  <c r="P8" i="66"/>
  <c r="P42" i="70"/>
  <c r="P13" i="62"/>
  <c r="P51"/>
  <c r="P33" i="66"/>
  <c r="P26"/>
  <c r="P19"/>
  <c r="P28" i="62"/>
  <c r="P62" i="70"/>
  <c r="H5" i="39"/>
  <c r="H11" s="1"/>
  <c r="P71" i="70"/>
  <c r="P14" i="62"/>
  <c r="P41"/>
  <c r="P9" i="66"/>
  <c r="P48" i="62"/>
  <c r="P48" i="70"/>
  <c r="P54" i="62"/>
  <c r="P27"/>
  <c r="P86" i="70"/>
  <c r="P74"/>
  <c r="P44"/>
  <c r="P7" i="66"/>
  <c r="P27"/>
  <c r="P13"/>
  <c r="P63" i="70"/>
  <c r="P69"/>
  <c r="P41"/>
  <c r="P23" i="66"/>
  <c r="P39" i="70"/>
  <c r="P15" i="66"/>
  <c r="P38" i="70"/>
  <c r="P57" i="62"/>
  <c r="P36" i="70"/>
  <c r="P43"/>
  <c r="P70"/>
  <c r="P32" i="62"/>
  <c r="P26"/>
  <c r="P16"/>
  <c r="P12"/>
  <c r="P44"/>
  <c r="P23"/>
  <c r="P58"/>
  <c r="P58" i="70"/>
  <c r="P45"/>
  <c r="P76"/>
  <c r="P66"/>
  <c r="P84"/>
  <c r="P53"/>
  <c r="O65"/>
  <c r="G21" i="26"/>
  <c r="O38" i="70"/>
  <c r="O16" i="66"/>
  <c r="O43" i="70"/>
  <c r="O30" i="66"/>
  <c r="H13" i="30"/>
  <c r="O73" i="70"/>
  <c r="O79"/>
  <c r="O47" i="62"/>
  <c r="O29"/>
  <c r="O18" i="66"/>
  <c r="O31" i="62"/>
  <c r="O25" i="66"/>
  <c r="O16" i="62"/>
  <c r="O35" i="70"/>
  <c r="O29" i="66"/>
  <c r="O14" i="62"/>
  <c r="O60"/>
  <c r="O83" i="70"/>
  <c r="O62"/>
  <c r="O20" i="66"/>
  <c r="O76" i="70"/>
  <c r="O8" i="62"/>
  <c r="O57"/>
  <c r="O32" i="66"/>
  <c r="O84" i="70"/>
  <c r="O47"/>
  <c r="O25" i="62"/>
  <c r="O13"/>
  <c r="O48"/>
  <c r="O85" i="70"/>
  <c r="O78"/>
  <c r="O56"/>
  <c r="O15" i="66"/>
  <c r="O58" i="70"/>
  <c r="O14" i="66"/>
  <c r="O63" i="65"/>
  <c r="O45" i="70"/>
  <c r="O42"/>
  <c r="O59" i="62"/>
  <c r="O44" i="70"/>
  <c r="O36" i="62"/>
  <c r="O87" i="70"/>
  <c r="O19" i="66"/>
  <c r="O61" i="65"/>
  <c r="O15" i="62"/>
  <c r="O21"/>
  <c r="O54" i="70"/>
  <c r="O53" i="62"/>
  <c r="G5" i="39"/>
  <c r="G11" s="1"/>
  <c r="O9" i="62"/>
  <c r="O51" i="70"/>
  <c r="O77"/>
  <c r="O24" i="66"/>
  <c r="I6" i="40"/>
  <c r="O44" i="62"/>
  <c r="O80" i="70"/>
  <c r="O27" i="62"/>
  <c r="O52" i="70"/>
  <c r="O81"/>
  <c r="O23" i="66"/>
  <c r="O74" i="70"/>
  <c r="O12" i="62"/>
  <c r="O52"/>
  <c r="O34"/>
  <c r="O42"/>
  <c r="O28"/>
  <c r="O55"/>
  <c r="O62" i="65"/>
  <c r="O46" i="62"/>
  <c r="O60" i="70"/>
  <c r="O59"/>
  <c r="O58" i="62"/>
  <c r="I7" i="40"/>
  <c r="O17" i="66"/>
  <c r="O36" i="70"/>
  <c r="O46"/>
  <c r="O34" i="66"/>
  <c r="O68" i="70"/>
  <c r="O22" i="62"/>
  <c r="O39" i="70"/>
  <c r="O89"/>
  <c r="O57"/>
  <c r="O61" i="62"/>
  <c r="O11"/>
  <c r="O8" i="66"/>
  <c r="O32" i="62"/>
  <c r="O18"/>
  <c r="O20"/>
  <c r="O10" i="66"/>
  <c r="O19" i="62"/>
  <c r="O39"/>
  <c r="O86" i="70"/>
  <c r="O49"/>
  <c r="G6" i="26"/>
  <c r="O21" i="66"/>
  <c r="O54" i="62"/>
  <c r="O66" i="70"/>
  <c r="O11" i="66"/>
  <c r="O61" i="70"/>
  <c r="O10" i="62"/>
  <c r="O26"/>
  <c r="O43"/>
  <c r="O88" i="70"/>
  <c r="O33" i="66"/>
  <c r="O53" i="70"/>
  <c r="O70"/>
  <c r="O64"/>
  <c r="O12" i="66"/>
  <c r="O28"/>
  <c r="O13"/>
  <c r="O67" i="70"/>
  <c r="O9" i="66"/>
  <c r="O48" i="70"/>
  <c r="O35" i="62"/>
  <c r="O40" i="70"/>
  <c r="O27" i="66"/>
  <c r="O30" i="62"/>
  <c r="O24"/>
  <c r="O49"/>
  <c r="O71" i="70"/>
  <c r="O56" i="62"/>
  <c r="O23"/>
  <c r="O37"/>
  <c r="O50" i="70"/>
  <c r="O41"/>
  <c r="O51" i="62"/>
  <c r="O37" i="70"/>
  <c r="O69"/>
  <c r="O17" i="62"/>
  <c r="O26" i="66"/>
  <c r="O55" i="70"/>
  <c r="O63"/>
  <c r="O62" i="62"/>
  <c r="O50"/>
  <c r="O31" i="66"/>
  <c r="O40" i="62"/>
  <c r="O75" i="70"/>
  <c r="O82"/>
  <c r="O72"/>
  <c r="O7" i="66"/>
  <c r="O41" i="62"/>
  <c r="O33"/>
  <c r="O22" i="66"/>
  <c r="O45" i="62"/>
  <c r="O38"/>
  <c r="K66" i="54"/>
  <c r="K65" s="1"/>
  <c r="H178" i="53" s="1"/>
  <c r="S72" i="67"/>
  <c r="H16" i="39"/>
  <c r="D22" s="1"/>
  <c r="H15"/>
  <c r="D21" s="1"/>
  <c r="D400" i="69"/>
  <c r="I197" i="26" s="1"/>
  <c r="I196" s="1"/>
  <c r="M3" i="69"/>
  <c r="F207" i="55"/>
  <c r="F202"/>
  <c r="F201" s="1"/>
  <c r="D11" i="29"/>
  <c r="F16" i="39"/>
  <c r="F15"/>
  <c r="T72" i="67"/>
  <c r="L66" i="54"/>
  <c r="L65" s="1"/>
  <c r="I178" i="53" s="1"/>
  <c r="I47" i="54"/>
  <c r="I46" s="1"/>
  <c r="Q103" i="64"/>
  <c r="Q5" s="1"/>
  <c r="M78" i="55"/>
  <c r="E18" i="57"/>
  <c r="E19" s="1"/>
  <c r="C6" i="75" s="1"/>
  <c r="N30" i="62"/>
  <c r="N75" i="70"/>
  <c r="N36"/>
  <c r="N31" i="66"/>
  <c r="N62" i="62"/>
  <c r="N13" i="66"/>
  <c r="N49" i="62"/>
  <c r="N43"/>
  <c r="N59" i="70"/>
  <c r="N19" i="62"/>
  <c r="N53"/>
  <c r="N80" i="70"/>
  <c r="N43"/>
  <c r="N20" i="62"/>
  <c r="N42" i="70"/>
  <c r="N53"/>
  <c r="N8" i="66"/>
  <c r="N39" i="62"/>
  <c r="N33"/>
  <c r="N38"/>
  <c r="N66" i="70"/>
  <c r="N65"/>
  <c r="N88"/>
  <c r="N10" i="66"/>
  <c r="N14"/>
  <c r="N82" i="70"/>
  <c r="N21" i="62"/>
  <c r="N10"/>
  <c r="N52" i="70"/>
  <c r="N50"/>
  <c r="N86"/>
  <c r="N47"/>
  <c r="N22" i="66"/>
  <c r="G13" i="30"/>
  <c r="N55" i="70"/>
  <c r="N39"/>
  <c r="N47" i="62"/>
  <c r="N15"/>
  <c r="N26" i="66"/>
  <c r="N41" i="70"/>
  <c r="N63" i="65"/>
  <c r="N24" i="62"/>
  <c r="N25"/>
  <c r="N27"/>
  <c r="N56" i="70"/>
  <c r="N78"/>
  <c r="N35"/>
  <c r="N25" i="66"/>
  <c r="N51" i="62"/>
  <c r="F5" i="39"/>
  <c r="F11" s="1"/>
  <c r="N17" i="62"/>
  <c r="N63" i="70"/>
  <c r="N60"/>
  <c r="N31" i="62"/>
  <c r="N16"/>
  <c r="N85" i="70"/>
  <c r="H7" i="40"/>
  <c r="N57" i="70"/>
  <c r="N40"/>
  <c r="N32" i="66"/>
  <c r="F21" i="26"/>
  <c r="N60" i="62"/>
  <c r="N24" i="66"/>
  <c r="N36" i="62"/>
  <c r="N34"/>
  <c r="N21" i="66"/>
  <c r="N61" i="70"/>
  <c r="N74"/>
  <c r="N46"/>
  <c r="N8" i="62"/>
  <c r="N55"/>
  <c r="N62" i="65"/>
  <c r="N12" i="62"/>
  <c r="N61"/>
  <c r="N13"/>
  <c r="N46"/>
  <c r="N11" i="66"/>
  <c r="N26" i="62"/>
  <c r="N84" i="70"/>
  <c r="N81"/>
  <c r="N73"/>
  <c r="N33" i="66"/>
  <c r="N56" i="62"/>
  <c r="N59"/>
  <c r="N14"/>
  <c r="N11"/>
  <c r="N67" i="70"/>
  <c r="N70"/>
  <c r="N64"/>
  <c r="N30" i="66"/>
  <c r="N23"/>
  <c r="N77" i="70"/>
  <c r="N50" i="62"/>
  <c r="N48" i="70"/>
  <c r="N17" i="66"/>
  <c r="N34"/>
  <c r="N9"/>
  <c r="N22" i="62"/>
  <c r="N23"/>
  <c r="N57"/>
  <c r="N18" i="66"/>
  <c r="N79" i="70"/>
  <c r="N19" i="66"/>
  <c r="N72" i="70"/>
  <c r="N51"/>
  <c r="N28" i="62"/>
  <c r="N52"/>
  <c r="N83" i="70"/>
  <c r="N29" i="66"/>
  <c r="N37" i="70"/>
  <c r="N71"/>
  <c r="N15" i="66"/>
  <c r="N62" i="70"/>
  <c r="N18" i="62"/>
  <c r="N41"/>
  <c r="N58"/>
  <c r="N58" i="70"/>
  <c r="N54"/>
  <c r="N76"/>
  <c r="N89"/>
  <c r="N49"/>
  <c r="N37" i="62"/>
  <c r="N28" i="66"/>
  <c r="F6" i="26"/>
  <c r="N45" i="62"/>
  <c r="N69" i="70"/>
  <c r="N12" i="66"/>
  <c r="N87" i="70"/>
  <c r="N16" i="66"/>
  <c r="N27"/>
  <c r="N54" i="62"/>
  <c r="N45" i="70"/>
  <c r="N20" i="66"/>
  <c r="N42" i="62"/>
  <c r="N38" i="70"/>
  <c r="N61" i="65"/>
  <c r="N44" i="62"/>
  <c r="H6" i="40"/>
  <c r="N68" i="70"/>
  <c r="N40" i="62"/>
  <c r="N29"/>
  <c r="N35"/>
  <c r="N7" i="66"/>
  <c r="N9" i="62"/>
  <c r="N48"/>
  <c r="N44" i="70"/>
  <c r="N32" i="62"/>
  <c r="J23" i="54"/>
  <c r="J22" s="1"/>
  <c r="G48" i="53" s="1"/>
  <c r="R26" i="61"/>
  <c r="R75" i="64"/>
  <c r="J45" i="54"/>
  <c r="J44" s="1"/>
  <c r="G128" i="53" s="1"/>
  <c r="W117" i="70"/>
  <c r="I372" i="69"/>
  <c r="Q6" i="70"/>
  <c r="C70" i="72"/>
  <c r="C100"/>
  <c r="C84"/>
  <c r="H35" i="64" l="1"/>
  <c r="R35" s="1"/>
  <c r="C18" i="72"/>
  <c r="H22" i="59"/>
  <c r="R22" s="1"/>
  <c r="C31" i="72"/>
  <c r="C19"/>
  <c r="C92"/>
  <c r="C9"/>
  <c r="I9"/>
  <c r="C77"/>
  <c r="H11" i="59"/>
  <c r="R11" s="1"/>
  <c r="C69" i="72"/>
  <c r="H23" i="66"/>
  <c r="R23" s="1"/>
  <c r="C65" i="72"/>
  <c r="C55"/>
  <c r="C38"/>
  <c r="C10"/>
  <c r="C83"/>
  <c r="C12"/>
  <c r="C99"/>
  <c r="H21" i="66"/>
  <c r="R21" s="1"/>
  <c r="G47" i="53"/>
  <c r="G131" i="55"/>
  <c r="I177" i="53"/>
  <c r="I227" i="55"/>
  <c r="I226" s="1"/>
  <c r="E42" i="57"/>
  <c r="E43" s="1"/>
  <c r="C8" i="75" s="1"/>
  <c r="M200" i="55"/>
  <c r="G18" i="39"/>
  <c r="G17"/>
  <c r="J177" i="53"/>
  <c r="J227" i="55"/>
  <c r="J226" s="1"/>
  <c r="I107" i="53"/>
  <c r="I27" i="55" s="1"/>
  <c r="I15" s="1"/>
  <c r="J107" i="53"/>
  <c r="J27" i="55" s="1"/>
  <c r="J15" s="1"/>
  <c r="F51" i="29"/>
  <c r="G107" i="53"/>
  <c r="G27" i="55" s="1"/>
  <c r="G15" s="1"/>
  <c r="G9" s="1"/>
  <c r="H107" i="53"/>
  <c r="H27" i="55" s="1"/>
  <c r="H15" s="1"/>
  <c r="Q148" i="26"/>
  <c r="D66" i="29"/>
  <c r="D65" s="1"/>
  <c r="H32" i="59"/>
  <c r="R32" s="1"/>
  <c r="H16" i="64"/>
  <c r="R16" s="1"/>
  <c r="H11" i="66"/>
  <c r="R11" s="1"/>
  <c r="H23" i="59"/>
  <c r="R23" s="1"/>
  <c r="C33" i="72"/>
  <c r="H31" i="66"/>
  <c r="R31" s="1"/>
  <c r="C79" i="72"/>
  <c r="C39"/>
  <c r="H30" i="59"/>
  <c r="R30" s="1"/>
  <c r="C41" i="72"/>
  <c r="C34"/>
  <c r="C57"/>
  <c r="C20"/>
  <c r="H25" i="64"/>
  <c r="R25" s="1"/>
  <c r="C95" i="72"/>
  <c r="H14" i="66"/>
  <c r="R14" s="1"/>
  <c r="C32" i="72"/>
  <c r="C75"/>
  <c r="C74"/>
  <c r="H10" i="66"/>
  <c r="R10" s="1"/>
  <c r="F134" i="53"/>
  <c r="I40" i="54"/>
  <c r="H177" i="53"/>
  <c r="H227" i="55"/>
  <c r="H226" s="1"/>
  <c r="Q96" i="26"/>
  <c r="D48" i="29"/>
  <c r="D47" s="1"/>
  <c r="H61" i="53"/>
  <c r="J61"/>
  <c r="J108" i="55" s="1"/>
  <c r="J96" s="1"/>
  <c r="I61" i="53"/>
  <c r="I108" i="55" s="1"/>
  <c r="I96" s="1"/>
  <c r="F3" i="35"/>
  <c r="C68" i="72"/>
  <c r="H17" i="66"/>
  <c r="R17" s="1"/>
  <c r="C23" i="72"/>
  <c r="H12" i="66"/>
  <c r="R12" s="1"/>
  <c r="H28" i="64"/>
  <c r="R28" s="1"/>
  <c r="C14" i="72"/>
  <c r="C13"/>
  <c r="I13"/>
  <c r="H29" i="66"/>
  <c r="R29" s="1"/>
  <c r="C11" i="72"/>
  <c r="I11"/>
  <c r="H15" i="59"/>
  <c r="R15" s="1"/>
  <c r="H18" i="64"/>
  <c r="R18" s="1"/>
  <c r="H28" i="59"/>
  <c r="R28" s="1"/>
  <c r="H63" i="65"/>
  <c r="R63" s="1"/>
  <c r="C98" i="72"/>
  <c r="H34" i="64"/>
  <c r="R34" s="1"/>
  <c r="H45"/>
  <c r="R45" s="1"/>
  <c r="C35" i="72"/>
  <c r="C90"/>
  <c r="C93"/>
  <c r="C54"/>
  <c r="C16"/>
  <c r="I16"/>
  <c r="C30"/>
  <c r="I30"/>
  <c r="H34" i="66"/>
  <c r="R34" s="1"/>
  <c r="D372" i="69"/>
  <c r="I185" i="26" s="1"/>
  <c r="I184" s="1"/>
  <c r="I3" i="69"/>
  <c r="F18" i="39"/>
  <c r="F17"/>
  <c r="J3" i="69"/>
  <c r="D32"/>
  <c r="I35" i="54"/>
  <c r="F104" i="53"/>
  <c r="H9" i="66"/>
  <c r="R9" s="1"/>
  <c r="H20" i="64"/>
  <c r="R20" s="1"/>
  <c r="C53" i="72"/>
  <c r="C22"/>
  <c r="C43"/>
  <c r="H43" i="64"/>
  <c r="R43" s="1"/>
  <c r="H36" i="59"/>
  <c r="R36" s="1"/>
  <c r="H34"/>
  <c r="R34" s="1"/>
  <c r="H27" i="66"/>
  <c r="R27" s="1"/>
  <c r="H14" i="64"/>
  <c r="R14" s="1"/>
  <c r="C72" i="72"/>
  <c r="H8" i="59"/>
  <c r="R8" s="1"/>
  <c r="C44" i="72"/>
  <c r="C62"/>
  <c r="C67"/>
  <c r="C89"/>
  <c r="H15" i="64"/>
  <c r="R15" s="1"/>
  <c r="H30"/>
  <c r="R30" s="1"/>
  <c r="C61" i="72"/>
  <c r="C66"/>
  <c r="H62" i="65"/>
  <c r="R62" s="1"/>
  <c r="H18" i="59"/>
  <c r="R18" s="1"/>
  <c r="C52" i="72"/>
  <c r="H28" i="66"/>
  <c r="R28" s="1"/>
  <c r="C97" i="72"/>
  <c r="C63"/>
  <c r="C76"/>
  <c r="C88"/>
  <c r="H33" i="59"/>
  <c r="R33" s="1"/>
  <c r="I25" i="54"/>
  <c r="I24" s="1"/>
  <c r="Q5" i="70"/>
  <c r="G176" i="55"/>
  <c r="G175" s="1"/>
  <c r="G127" i="53"/>
  <c r="Q196" i="26"/>
  <c r="D84" i="29"/>
  <c r="D83" s="1"/>
  <c r="H18" i="39"/>
  <c r="D24" s="1"/>
  <c r="H17"/>
  <c r="D23" s="1"/>
  <c r="Q6" i="62"/>
  <c r="Q5" s="1"/>
  <c r="I31" i="54"/>
  <c r="I30" s="1"/>
  <c r="I53"/>
  <c r="E17" i="39"/>
  <c r="E18"/>
  <c r="G157" i="55"/>
  <c r="G156" s="1"/>
  <c r="G91" i="53"/>
  <c r="C86" i="72"/>
  <c r="C91"/>
  <c r="C71"/>
  <c r="C80"/>
  <c r="I104" l="1"/>
  <c r="H24" i="66"/>
  <c r="R24" s="1"/>
  <c r="C87" i="72"/>
  <c r="C37"/>
  <c r="H20" i="59"/>
  <c r="R20" s="1"/>
  <c r="C29" i="72"/>
  <c r="I29"/>
  <c r="C56"/>
  <c r="I29" i="54"/>
  <c r="F70" i="53"/>
  <c r="F54"/>
  <c r="I84" i="54"/>
  <c r="I81"/>
  <c r="I85"/>
  <c r="I80"/>
  <c r="I77"/>
  <c r="I76"/>
  <c r="I87"/>
  <c r="I78"/>
  <c r="I86"/>
  <c r="I74"/>
  <c r="H29" i="70"/>
  <c r="R29" s="1"/>
  <c r="H55" i="65"/>
  <c r="R55" s="1"/>
  <c r="H33" i="66"/>
  <c r="R33" s="1"/>
  <c r="H12" i="63"/>
  <c r="R12" s="1"/>
  <c r="H47"/>
  <c r="R47" s="1"/>
  <c r="I43" i="72"/>
  <c r="H57" i="63"/>
  <c r="R57" s="1"/>
  <c r="H22"/>
  <c r="R22" s="1"/>
  <c r="H68" i="62"/>
  <c r="R68" s="1"/>
  <c r="H95" i="70"/>
  <c r="R95" s="1"/>
  <c r="H107" i="64"/>
  <c r="R107" s="1"/>
  <c r="H180"/>
  <c r="R180" s="1"/>
  <c r="H41" i="70"/>
  <c r="R41" s="1"/>
  <c r="H14" i="62"/>
  <c r="R14" s="1"/>
  <c r="H15" i="63"/>
  <c r="R15" s="1"/>
  <c r="H50"/>
  <c r="R50" s="1"/>
  <c r="H62" i="62"/>
  <c r="R62" s="1"/>
  <c r="H89" i="70"/>
  <c r="R89" s="1"/>
  <c r="H76" i="67"/>
  <c r="R76" s="1"/>
  <c r="H51" i="64"/>
  <c r="R51" s="1"/>
  <c r="H32" i="67"/>
  <c r="R32" s="1"/>
  <c r="D14" i="73" s="1"/>
  <c r="H55" i="58"/>
  <c r="R55" s="1"/>
  <c r="H41" i="65"/>
  <c r="R41" s="1"/>
  <c r="H15" i="70"/>
  <c r="R15" s="1"/>
  <c r="H55" i="66"/>
  <c r="R55" s="1"/>
  <c r="H26" i="65"/>
  <c r="R26" s="1"/>
  <c r="H61" i="62"/>
  <c r="R61" s="1"/>
  <c r="H88" i="70"/>
  <c r="R88" s="1"/>
  <c r="H207" i="64"/>
  <c r="R207" s="1"/>
  <c r="H134"/>
  <c r="R134" s="1"/>
  <c r="H35" i="63"/>
  <c r="R35" s="1"/>
  <c r="H70"/>
  <c r="R70" s="1"/>
  <c r="H60" i="62"/>
  <c r="R60" s="1"/>
  <c r="H87" i="70"/>
  <c r="R87" s="1"/>
  <c r="H21" i="62"/>
  <c r="R21" s="1"/>
  <c r="H48" i="70"/>
  <c r="R48" s="1"/>
  <c r="H8" i="66"/>
  <c r="R8" s="1"/>
  <c r="H179" i="64"/>
  <c r="R179" s="1"/>
  <c r="H106"/>
  <c r="R106" s="1"/>
  <c r="H59" i="66"/>
  <c r="R59" s="1"/>
  <c r="H30" i="65"/>
  <c r="R30" s="1"/>
  <c r="H18" i="62"/>
  <c r="R18" s="1"/>
  <c r="H45" i="70"/>
  <c r="R45" s="1"/>
  <c r="H27"/>
  <c r="R27" s="1"/>
  <c r="H53" i="65"/>
  <c r="R53" s="1"/>
  <c r="G130" i="55"/>
  <c r="G125"/>
  <c r="G124" s="1"/>
  <c r="H16" i="65"/>
  <c r="R16" s="1"/>
  <c r="H45" i="66"/>
  <c r="R45" s="1"/>
  <c r="H47" i="62"/>
  <c r="R47" s="1"/>
  <c r="H74" i="70"/>
  <c r="R74" s="1"/>
  <c r="H53" i="66"/>
  <c r="R53" s="1"/>
  <c r="H24" i="65"/>
  <c r="R24" s="1"/>
  <c r="H51" i="63"/>
  <c r="R51" s="1"/>
  <c r="H16"/>
  <c r="R16" s="1"/>
  <c r="I9" i="55"/>
  <c r="C21" i="72"/>
  <c r="C36"/>
  <c r="C15"/>
  <c r="I15"/>
  <c r="H26" i="66"/>
  <c r="R26" s="1"/>
  <c r="C50" i="72"/>
  <c r="C49" s="1"/>
  <c r="C94"/>
  <c r="H15" i="66"/>
  <c r="R15" s="1"/>
  <c r="C78" i="72"/>
  <c r="C73" s="1"/>
  <c r="C64"/>
  <c r="C60" s="1"/>
  <c r="C59" s="1"/>
  <c r="C51"/>
  <c r="H19" i="59"/>
  <c r="R19" s="1"/>
  <c r="C26" i="72"/>
  <c r="C45"/>
  <c r="I45"/>
  <c r="H29" i="59"/>
  <c r="R29" s="1"/>
  <c r="H60" i="66"/>
  <c r="R60" s="1"/>
  <c r="H31" i="65"/>
  <c r="R31" s="1"/>
  <c r="H46" i="59"/>
  <c r="R46" s="1"/>
  <c r="H14" i="58"/>
  <c r="R14" s="1"/>
  <c r="H144" i="64"/>
  <c r="R144" s="1"/>
  <c r="H217"/>
  <c r="R217" s="1"/>
  <c r="H48" i="59"/>
  <c r="R48" s="1"/>
  <c r="H16" i="58"/>
  <c r="R16" s="1"/>
  <c r="H21" i="65"/>
  <c r="R21" s="1"/>
  <c r="H50" i="66"/>
  <c r="R50" s="1"/>
  <c r="H35" i="62"/>
  <c r="R35" s="1"/>
  <c r="H62" i="70"/>
  <c r="R62" s="1"/>
  <c r="H49" i="63"/>
  <c r="R49" s="1"/>
  <c r="H14"/>
  <c r="R14" s="1"/>
  <c r="I14" i="72"/>
  <c r="H47" i="70"/>
  <c r="R47" s="1"/>
  <c r="H20" i="62"/>
  <c r="R20" s="1"/>
  <c r="H76" i="70"/>
  <c r="R76" s="1"/>
  <c r="H49" i="62"/>
  <c r="R49" s="1"/>
  <c r="H31" i="63"/>
  <c r="R31" s="1"/>
  <c r="H66"/>
  <c r="R66" s="1"/>
  <c r="H47" i="66"/>
  <c r="R47" s="1"/>
  <c r="H18" i="65"/>
  <c r="R18" s="1"/>
  <c r="H16" i="70"/>
  <c r="R16" s="1"/>
  <c r="H42" i="65"/>
  <c r="R42" s="1"/>
  <c r="H48" i="66"/>
  <c r="R48" s="1"/>
  <c r="H19" i="65"/>
  <c r="R19" s="1"/>
  <c r="H21" i="70"/>
  <c r="R21" s="1"/>
  <c r="H47" i="65"/>
  <c r="R47" s="1"/>
  <c r="H27" i="59"/>
  <c r="R27" s="1"/>
  <c r="H52" i="66"/>
  <c r="R52" s="1"/>
  <c r="H23" i="65"/>
  <c r="R23" s="1"/>
  <c r="H46" i="63"/>
  <c r="R46" s="1"/>
  <c r="H11"/>
  <c r="R11" s="1"/>
  <c r="H49" i="58"/>
  <c r="R49" s="1"/>
  <c r="H26" i="67"/>
  <c r="R26" s="1"/>
  <c r="D8" i="73" s="1"/>
  <c r="H29" i="64"/>
  <c r="R29" s="1"/>
  <c r="H10" i="65"/>
  <c r="R10" s="1"/>
  <c r="H39" i="66"/>
  <c r="R39" s="1"/>
  <c r="H56" i="62"/>
  <c r="R56" s="1"/>
  <c r="H83" i="70"/>
  <c r="R83" s="1"/>
  <c r="H23" i="62"/>
  <c r="R23" s="1"/>
  <c r="H50" i="70"/>
  <c r="R50" s="1"/>
  <c r="H46" i="66"/>
  <c r="R46" s="1"/>
  <c r="H17" i="65"/>
  <c r="R17" s="1"/>
  <c r="J9" i="55"/>
  <c r="H151" i="64"/>
  <c r="R151" s="1"/>
  <c r="C8" i="72"/>
  <c r="H25" i="59"/>
  <c r="R25" s="1"/>
  <c r="H19" i="66"/>
  <c r="R19" s="1"/>
  <c r="C42" i="72"/>
  <c r="H63" i="70"/>
  <c r="R63" s="1"/>
  <c r="H36" i="62"/>
  <c r="R36" s="1"/>
  <c r="H21" i="63"/>
  <c r="R21" s="1"/>
  <c r="H56"/>
  <c r="R56" s="1"/>
  <c r="H73" i="64"/>
  <c r="R73" s="1"/>
  <c r="H98" i="67"/>
  <c r="R98" s="1"/>
  <c r="H58" i="66"/>
  <c r="R58" s="1"/>
  <c r="H29" i="65"/>
  <c r="R29" s="1"/>
  <c r="D78" i="29"/>
  <c r="D77" s="1"/>
  <c r="Q184" i="26"/>
  <c r="H20" i="66"/>
  <c r="R20" s="1"/>
  <c r="H51"/>
  <c r="R51" s="1"/>
  <c r="H22" i="65"/>
  <c r="R22" s="1"/>
  <c r="H13" i="63"/>
  <c r="R13" s="1"/>
  <c r="H48"/>
  <c r="R48" s="1"/>
  <c r="H58" i="70"/>
  <c r="R58" s="1"/>
  <c r="H31" i="62"/>
  <c r="R31" s="1"/>
  <c r="H37" i="65"/>
  <c r="R37" s="1"/>
  <c r="H11" i="70"/>
  <c r="R11" s="1"/>
  <c r="H15" i="65"/>
  <c r="R15" s="1"/>
  <c r="H44" i="66"/>
  <c r="R44" s="1"/>
  <c r="H32" i="70"/>
  <c r="R32" s="1"/>
  <c r="H58" i="65"/>
  <c r="R58" s="1"/>
  <c r="H27" i="67"/>
  <c r="R27" s="1"/>
  <c r="D9" i="73" s="1"/>
  <c r="H50" i="58"/>
  <c r="R50" s="1"/>
  <c r="H44" i="63"/>
  <c r="R44" s="1"/>
  <c r="H9"/>
  <c r="R9" s="1"/>
  <c r="H137" i="64"/>
  <c r="R137" s="1"/>
  <c r="H210"/>
  <c r="R210" s="1"/>
  <c r="H53" i="58"/>
  <c r="R53" s="1"/>
  <c r="H30" i="67"/>
  <c r="R30" s="1"/>
  <c r="D12" i="73" s="1"/>
  <c r="I23" i="72"/>
  <c r="H40" i="67"/>
  <c r="R40" s="1"/>
  <c r="H10" i="73" s="1"/>
  <c r="H108" i="55"/>
  <c r="H96" s="1"/>
  <c r="H9" s="1"/>
  <c r="G75" i="29"/>
  <c r="H75" s="1"/>
  <c r="I75" s="1"/>
  <c r="H100" i="70"/>
  <c r="R100" s="1"/>
  <c r="H73" i="62"/>
  <c r="R73" s="1"/>
  <c r="H52" i="63"/>
  <c r="R52" s="1"/>
  <c r="H17"/>
  <c r="R17" s="1"/>
  <c r="H205" i="64"/>
  <c r="R205" s="1"/>
  <c r="H132"/>
  <c r="R132" s="1"/>
  <c r="I33" i="72"/>
  <c r="H49" i="70"/>
  <c r="R49" s="1"/>
  <c r="H22" i="62"/>
  <c r="R22" s="1"/>
  <c r="H40" i="66"/>
  <c r="R40" s="1"/>
  <c r="H11" i="65"/>
  <c r="R11" s="1"/>
  <c r="H70" i="70"/>
  <c r="R70" s="1"/>
  <c r="H43" i="62"/>
  <c r="R43" s="1"/>
  <c r="G51" i="29"/>
  <c r="F9"/>
  <c r="H17" i="64"/>
  <c r="R17" s="1"/>
  <c r="H85" i="70"/>
  <c r="R85" s="1"/>
  <c r="H58" i="62"/>
  <c r="R58" s="1"/>
  <c r="I10" i="72"/>
  <c r="H51" i="65"/>
  <c r="R51" s="1"/>
  <c r="H25" i="70"/>
  <c r="R25" s="1"/>
  <c r="H63" i="63"/>
  <c r="R63" s="1"/>
  <c r="H28"/>
  <c r="R28" s="1"/>
  <c r="H36" i="67"/>
  <c r="R36" s="1"/>
  <c r="H6" i="73" s="1"/>
  <c r="I19" i="72"/>
  <c r="H59" i="63"/>
  <c r="R59" s="1"/>
  <c r="H24"/>
  <c r="R24" s="1"/>
  <c r="H66" i="70"/>
  <c r="R66" s="1"/>
  <c r="H39" i="62"/>
  <c r="R39" s="1"/>
  <c r="H32" i="66"/>
  <c r="R32" s="1"/>
  <c r="C25" i="72"/>
  <c r="C85"/>
  <c r="C82" s="1"/>
  <c r="H22" i="66"/>
  <c r="R22" s="1"/>
  <c r="C40" i="72"/>
  <c r="C96"/>
  <c r="C24"/>
  <c r="H16" i="66"/>
  <c r="R16" s="1"/>
  <c r="F152" i="53"/>
  <c r="H54" i="66"/>
  <c r="R54" s="1"/>
  <c r="H25" i="65"/>
  <c r="R25" s="1"/>
  <c r="I44" i="72"/>
  <c r="H43" i="65"/>
  <c r="R43" s="1"/>
  <c r="H17" i="70"/>
  <c r="R17" s="1"/>
  <c r="H38" i="65"/>
  <c r="R38" s="1"/>
  <c r="H12" i="70"/>
  <c r="R12" s="1"/>
  <c r="F24" i="55"/>
  <c r="F103" i="53"/>
  <c r="I23" i="26"/>
  <c r="I22" s="1"/>
  <c r="D3" i="69"/>
  <c r="H64" i="63"/>
  <c r="R64" s="1"/>
  <c r="H29"/>
  <c r="R29" s="1"/>
  <c r="H13" i="64"/>
  <c r="R13" s="1"/>
  <c r="H8" i="70"/>
  <c r="R8" s="1"/>
  <c r="H34" i="65"/>
  <c r="R34" s="1"/>
  <c r="H42" i="66"/>
  <c r="R42" s="1"/>
  <c r="H13" i="65"/>
  <c r="R13" s="1"/>
  <c r="H40" i="70"/>
  <c r="R40" s="1"/>
  <c r="H13" i="62"/>
  <c r="R13" s="1"/>
  <c r="H52" i="58"/>
  <c r="R52" s="1"/>
  <c r="H29" i="67"/>
  <c r="R29" s="1"/>
  <c r="D11" i="73" s="1"/>
  <c r="F182" i="55"/>
  <c r="F133" i="53"/>
  <c r="H56" i="66"/>
  <c r="R56" s="1"/>
  <c r="H27" i="65"/>
  <c r="R27" s="1"/>
  <c r="H59"/>
  <c r="R59" s="1"/>
  <c r="H33" i="70"/>
  <c r="R33" s="1"/>
  <c r="H23" i="63"/>
  <c r="R23" s="1"/>
  <c r="H58"/>
  <c r="R58" s="1"/>
  <c r="H10" i="59"/>
  <c r="R10" s="1"/>
  <c r="H33" i="65"/>
  <c r="H7" i="70"/>
  <c r="H37" i="67"/>
  <c r="R37" s="1"/>
  <c r="H7" i="73" s="1"/>
  <c r="I20" i="72"/>
  <c r="H47" i="59"/>
  <c r="R47" s="1"/>
  <c r="H15" i="58"/>
  <c r="R15" s="1"/>
  <c r="H55" i="62"/>
  <c r="R55" s="1"/>
  <c r="H82" i="70"/>
  <c r="R82" s="1"/>
  <c r="H31"/>
  <c r="R31" s="1"/>
  <c r="H57" i="65"/>
  <c r="R57" s="1"/>
  <c r="H12" i="62"/>
  <c r="R12" s="1"/>
  <c r="H39" i="70"/>
  <c r="R39" s="1"/>
  <c r="H53"/>
  <c r="R53" s="1"/>
  <c r="H26" i="62"/>
  <c r="R26" s="1"/>
  <c r="H198" i="64"/>
  <c r="R198" s="1"/>
  <c r="H125"/>
  <c r="R125" s="1"/>
  <c r="H77" i="70"/>
  <c r="R77" s="1"/>
  <c r="H50" i="62"/>
  <c r="R50" s="1"/>
  <c r="H60" i="70"/>
  <c r="R60" s="1"/>
  <c r="H33" i="62"/>
  <c r="R33" s="1"/>
  <c r="H20" i="70"/>
  <c r="R20" s="1"/>
  <c r="H46" i="65"/>
  <c r="R46" s="1"/>
  <c r="H39" i="63"/>
  <c r="R39" s="1"/>
  <c r="H74"/>
  <c r="R74" s="1"/>
  <c r="H28" i="70"/>
  <c r="R28" s="1"/>
  <c r="H54" i="65"/>
  <c r="R54" s="1"/>
  <c r="H56"/>
  <c r="R56" s="1"/>
  <c r="H30" i="70"/>
  <c r="R30" s="1"/>
  <c r="H48" i="58"/>
  <c r="R48" s="1"/>
  <c r="H25" i="67"/>
  <c r="R25" s="1"/>
  <c r="D7" i="73" s="1"/>
  <c r="H22" i="64"/>
  <c r="R22" s="1"/>
  <c r="H19" i="70"/>
  <c r="R19" s="1"/>
  <c r="H45" i="65"/>
  <c r="R45" s="1"/>
  <c r="H43" i="70"/>
  <c r="R43" s="1"/>
  <c r="H16" i="62"/>
  <c r="R16" s="1"/>
  <c r="I28" i="61"/>
  <c r="H43" i="59" l="1"/>
  <c r="R43" s="1"/>
  <c r="H11" i="58"/>
  <c r="R11" s="1"/>
  <c r="D23" i="72"/>
  <c r="D100"/>
  <c r="J100"/>
  <c r="I115" i="70"/>
  <c r="S115" s="1"/>
  <c r="D52" i="73" s="1"/>
  <c r="I29" i="59"/>
  <c r="S29" s="1"/>
  <c r="I162" i="64"/>
  <c r="S162" s="1"/>
  <c r="I27"/>
  <c r="S27" s="1"/>
  <c r="D67" i="72"/>
  <c r="D89"/>
  <c r="D70"/>
  <c r="J70"/>
  <c r="I15" i="64"/>
  <c r="S15" s="1"/>
  <c r="D55" i="72"/>
  <c r="I45" i="64"/>
  <c r="S45" s="1"/>
  <c r="I62" i="65"/>
  <c r="S62" s="1"/>
  <c r="D35" i="72"/>
  <c r="I20" i="64"/>
  <c r="S20" s="1"/>
  <c r="D53" i="72"/>
  <c r="I22" i="59"/>
  <c r="S22" s="1"/>
  <c r="D19" i="72"/>
  <c r="D92"/>
  <c r="I29" i="66"/>
  <c r="S29" s="1"/>
  <c r="D22" i="72"/>
  <c r="D33"/>
  <c r="I36" i="59"/>
  <c r="S36" s="1"/>
  <c r="I32" i="64"/>
  <c r="S32" s="1"/>
  <c r="I28" i="59"/>
  <c r="S28" s="1"/>
  <c r="D69" i="72"/>
  <c r="I8" i="59"/>
  <c r="S8" s="1"/>
  <c r="I16" i="64"/>
  <c r="S16" s="1"/>
  <c r="D56" i="72"/>
  <c r="D14"/>
  <c r="I10" i="59"/>
  <c r="S10" s="1"/>
  <c r="D93" i="72"/>
  <c r="D30"/>
  <c r="J30"/>
  <c r="I157" i="64"/>
  <c r="S157" s="1"/>
  <c r="D12" i="72"/>
  <c r="I170" i="64"/>
  <c r="S170" s="1"/>
  <c r="D74" i="72"/>
  <c r="I39" i="64"/>
  <c r="S39" s="1"/>
  <c r="H47"/>
  <c r="R47" s="1"/>
  <c r="H12" i="59"/>
  <c r="R12" s="1"/>
  <c r="R7" i="70"/>
  <c r="F181" i="55"/>
  <c r="F164"/>
  <c r="F163" s="1"/>
  <c r="H31" i="59"/>
  <c r="R31" s="1"/>
  <c r="H45" i="63"/>
  <c r="R45" s="1"/>
  <c r="H10"/>
  <c r="R10" s="1"/>
  <c r="H35" i="67"/>
  <c r="H219" i="64"/>
  <c r="R219" s="1"/>
  <c r="H146"/>
  <c r="R146" s="1"/>
  <c r="H57" i="66"/>
  <c r="R57" s="1"/>
  <c r="H28" i="65"/>
  <c r="R28" s="1"/>
  <c r="H10" i="62"/>
  <c r="R10" s="1"/>
  <c r="H37" i="70"/>
  <c r="R37" s="1"/>
  <c r="H216" i="64"/>
  <c r="R216" s="1"/>
  <c r="H143"/>
  <c r="R143" s="1"/>
  <c r="H124"/>
  <c r="R124" s="1"/>
  <c r="H197"/>
  <c r="R197" s="1"/>
  <c r="I52" i="72"/>
  <c r="I49" s="1"/>
  <c r="H209" i="64"/>
  <c r="R209" s="1"/>
  <c r="H136"/>
  <c r="R136" s="1"/>
  <c r="H9" i="65"/>
  <c r="R9" s="1"/>
  <c r="H38" i="66"/>
  <c r="R38" s="1"/>
  <c r="H17" i="59"/>
  <c r="R17" s="1"/>
  <c r="H127" i="64"/>
  <c r="R127" s="1"/>
  <c r="H200"/>
  <c r="R200" s="1"/>
  <c r="I5" i="54"/>
  <c r="I79"/>
  <c r="H25" i="63"/>
  <c r="R25" s="1"/>
  <c r="H60"/>
  <c r="R60" s="1"/>
  <c r="H54" i="59"/>
  <c r="R54" s="1"/>
  <c r="H22" i="58"/>
  <c r="R22" s="1"/>
  <c r="H17" i="62"/>
  <c r="R17" s="1"/>
  <c r="H44" i="70"/>
  <c r="R44" s="1"/>
  <c r="H42"/>
  <c r="R42" s="1"/>
  <c r="H15" i="62"/>
  <c r="R15" s="1"/>
  <c r="I12" i="72"/>
  <c r="I38" i="64"/>
  <c r="S38" s="1"/>
  <c r="D84" i="72"/>
  <c r="J84"/>
  <c r="D41"/>
  <c r="I16" i="66"/>
  <c r="S16" s="1"/>
  <c r="D18" i="72"/>
  <c r="D26"/>
  <c r="D65"/>
  <c r="D98"/>
  <c r="I34" i="64"/>
  <c r="S34" s="1"/>
  <c r="I171"/>
  <c r="S171" s="1"/>
  <c r="D61" i="72"/>
  <c r="I173" i="64"/>
  <c r="S173" s="1"/>
  <c r="D66" i="72"/>
  <c r="D20"/>
  <c r="I37" i="64"/>
  <c r="S37" s="1"/>
  <c r="D42" i="72"/>
  <c r="I41" i="64"/>
  <c r="S41" s="1"/>
  <c r="I23" i="59"/>
  <c r="S23" s="1"/>
  <c r="D9" i="72"/>
  <c r="J9"/>
  <c r="D77"/>
  <c r="I18" i="64"/>
  <c r="S18" s="1"/>
  <c r="I27" i="66"/>
  <c r="S27" s="1"/>
  <c r="I155" i="64"/>
  <c r="S155" s="1"/>
  <c r="D39" i="72"/>
  <c r="I11" i="59"/>
  <c r="S11" s="1"/>
  <c r="I30"/>
  <c r="S30" s="1"/>
  <c r="D72" i="72"/>
  <c r="I63" i="65"/>
  <c r="S63" s="1"/>
  <c r="D44" i="72"/>
  <c r="I11" i="66"/>
  <c r="S11" s="1"/>
  <c r="D31" i="72"/>
  <c r="D94"/>
  <c r="D36"/>
  <c r="I32" i="66"/>
  <c r="S32" s="1"/>
  <c r="I164" i="64"/>
  <c r="S164" s="1"/>
  <c r="D71" i="72"/>
  <c r="J71"/>
  <c r="D80"/>
  <c r="J80"/>
  <c r="D50"/>
  <c r="I26" i="66"/>
  <c r="S26" s="1"/>
  <c r="I24"/>
  <c r="S24" s="1"/>
  <c r="I156" i="64"/>
  <c r="S156" s="1"/>
  <c r="I18" i="66"/>
  <c r="S18" s="1"/>
  <c r="D15" i="72"/>
  <c r="J15"/>
  <c r="D21"/>
  <c r="I151" i="64"/>
  <c r="S151" s="1"/>
  <c r="D87" i="72"/>
  <c r="H71" i="70"/>
  <c r="R71" s="1"/>
  <c r="H44" i="62"/>
  <c r="R44" s="1"/>
  <c r="H111" i="64"/>
  <c r="R111" s="1"/>
  <c r="H184"/>
  <c r="R184" s="1"/>
  <c r="F120" i="53"/>
  <c r="F116"/>
  <c r="F118"/>
  <c r="F119"/>
  <c r="F117"/>
  <c r="F23" i="55"/>
  <c r="E7" i="57" s="1"/>
  <c r="H51" i="59"/>
  <c r="R51" s="1"/>
  <c r="H19" i="58"/>
  <c r="R19" s="1"/>
  <c r="H37" i="66"/>
  <c r="R37" s="1"/>
  <c r="H8" i="65"/>
  <c r="R8" s="1"/>
  <c r="H26" i="63"/>
  <c r="R26" s="1"/>
  <c r="H61"/>
  <c r="R61" s="1"/>
  <c r="H41" i="66"/>
  <c r="R41" s="1"/>
  <c r="H12" i="65"/>
  <c r="R12" s="1"/>
  <c r="H26" i="70"/>
  <c r="R26" s="1"/>
  <c r="H52" i="65"/>
  <c r="R52" s="1"/>
  <c r="G9" i="29"/>
  <c r="H51"/>
  <c r="H64" i="70"/>
  <c r="R64" s="1"/>
  <c r="H37" i="62"/>
  <c r="R37" s="1"/>
  <c r="H12" i="58"/>
  <c r="R12" s="1"/>
  <c r="H44" i="59"/>
  <c r="R44" s="1"/>
  <c r="H27" i="63"/>
  <c r="R27" s="1"/>
  <c r="H62"/>
  <c r="R62" s="1"/>
  <c r="H24" i="62"/>
  <c r="R24" s="1"/>
  <c r="H51" i="70"/>
  <c r="R51" s="1"/>
  <c r="H61" i="65"/>
  <c r="H21" i="59"/>
  <c r="R21" s="1"/>
  <c r="H84" i="67"/>
  <c r="R84" s="1"/>
  <c r="H59" i="64"/>
  <c r="R59" s="1"/>
  <c r="H99" i="67"/>
  <c r="R99" s="1"/>
  <c r="H74" i="64"/>
  <c r="R74" s="1"/>
  <c r="H39" i="65"/>
  <c r="R39" s="1"/>
  <c r="H13" i="70"/>
  <c r="R13" s="1"/>
  <c r="H30" i="66"/>
  <c r="R30" s="1"/>
  <c r="H54" i="58"/>
  <c r="R54" s="1"/>
  <c r="H31" i="67"/>
  <c r="R31" s="1"/>
  <c r="D13" i="73" s="1"/>
  <c r="H14" i="59"/>
  <c r="R14" s="1"/>
  <c r="F69" i="53"/>
  <c r="F144" i="55"/>
  <c r="H75" i="67"/>
  <c r="R75" s="1"/>
  <c r="H50" i="64"/>
  <c r="R50" s="1"/>
  <c r="H35" i="65"/>
  <c r="R35" s="1"/>
  <c r="H9" i="70"/>
  <c r="R9" s="1"/>
  <c r="H29" i="62"/>
  <c r="R29" s="1"/>
  <c r="H56" i="70"/>
  <c r="R56" s="1"/>
  <c r="H18" i="63"/>
  <c r="R18" s="1"/>
  <c r="H53"/>
  <c r="R53" s="1"/>
  <c r="H11" i="62"/>
  <c r="R11" s="1"/>
  <c r="H38" i="70"/>
  <c r="R38" s="1"/>
  <c r="H26" i="59"/>
  <c r="R26" s="1"/>
  <c r="C17" i="72"/>
  <c r="I75" i="54"/>
  <c r="H13" i="59"/>
  <c r="R13" s="1"/>
  <c r="I35" i="64"/>
  <c r="S35" s="1"/>
  <c r="D45" i="72"/>
  <c r="J45"/>
  <c r="I9" i="66"/>
  <c r="S9" s="1"/>
  <c r="I25" i="59"/>
  <c r="S25" s="1"/>
  <c r="D37" i="72"/>
  <c r="I22" i="66"/>
  <c r="S22" s="1"/>
  <c r="D8" i="72"/>
  <c r="D91"/>
  <c r="J91"/>
  <c r="I106" i="70"/>
  <c r="S106" s="1"/>
  <c r="D44" i="73" s="1"/>
  <c r="I44" i="64"/>
  <c r="S44" s="1"/>
  <c r="D78" i="72"/>
  <c r="S28" i="61"/>
  <c r="S27" s="1"/>
  <c r="I27"/>
  <c r="D85" i="72"/>
  <c r="I15" i="66"/>
  <c r="S15" s="1"/>
  <c r="I32" i="59"/>
  <c r="S32" s="1"/>
  <c r="I19" i="66"/>
  <c r="S19" s="1"/>
  <c r="I19" i="59"/>
  <c r="S19" s="1"/>
  <c r="D51" i="72"/>
  <c r="I21" i="61"/>
  <c r="D24" i="72"/>
  <c r="D96"/>
  <c r="D64"/>
  <c r="D29"/>
  <c r="J29"/>
  <c r="I20" i="59"/>
  <c r="S20" s="1"/>
  <c r="D86" i="72"/>
  <c r="J86"/>
  <c r="D62"/>
  <c r="D40"/>
  <c r="I168" i="64"/>
  <c r="S168" s="1"/>
  <c r="D38" i="72"/>
  <c r="I25" i="64"/>
  <c r="S25" s="1"/>
  <c r="D16" i="72"/>
  <c r="J16"/>
  <c r="D97"/>
  <c r="I174" i="64"/>
  <c r="S174" s="1"/>
  <c r="D63" i="72"/>
  <c r="D75"/>
  <c r="I21" i="66"/>
  <c r="S21" s="1"/>
  <c r="I33" i="59"/>
  <c r="S33" s="1"/>
  <c r="I166" i="64"/>
  <c r="S166" s="1"/>
  <c r="H10" i="58"/>
  <c r="R10" s="1"/>
  <c r="H42" i="59"/>
  <c r="R42" s="1"/>
  <c r="F101" i="53"/>
  <c r="F98"/>
  <c r="F99"/>
  <c r="F100"/>
  <c r="F102"/>
  <c r="H73" i="63"/>
  <c r="R73" s="1"/>
  <c r="H38"/>
  <c r="R38" s="1"/>
  <c r="F36" i="55"/>
  <c r="F35" s="1"/>
  <c r="F151" i="53"/>
  <c r="H204" i="64"/>
  <c r="R204" s="1"/>
  <c r="H131"/>
  <c r="R131" s="1"/>
  <c r="H32" i="63"/>
  <c r="R32" s="1"/>
  <c r="H67"/>
  <c r="R67" s="1"/>
  <c r="H44" i="64"/>
  <c r="R44" s="1"/>
  <c r="H65" i="62"/>
  <c r="R65" s="1"/>
  <c r="H92" i="70"/>
  <c r="R92" s="1"/>
  <c r="H40" i="59"/>
  <c r="R40" s="1"/>
  <c r="H8" i="58"/>
  <c r="R8" s="1"/>
  <c r="M9" i="29"/>
  <c r="F19" i="30"/>
  <c r="H79" i="67"/>
  <c r="R79" s="1"/>
  <c r="H54" i="64"/>
  <c r="R54" s="1"/>
  <c r="H36" i="63"/>
  <c r="R36" s="1"/>
  <c r="H71"/>
  <c r="R71" s="1"/>
  <c r="H78" i="70"/>
  <c r="R78" s="1"/>
  <c r="H51" i="62"/>
  <c r="R51" s="1"/>
  <c r="H12" i="64"/>
  <c r="H39" i="67"/>
  <c r="R39" s="1"/>
  <c r="H9" i="73" s="1"/>
  <c r="H43" i="67"/>
  <c r="R43" s="1"/>
  <c r="I26" i="72"/>
  <c r="H21" i="61"/>
  <c r="H86" i="70"/>
  <c r="R86" s="1"/>
  <c r="H59" i="62"/>
  <c r="R59" s="1"/>
  <c r="H40" i="65"/>
  <c r="R40" s="1"/>
  <c r="H14" i="70"/>
  <c r="R14" s="1"/>
  <c r="H141" i="64"/>
  <c r="R141" s="1"/>
  <c r="H214"/>
  <c r="R214" s="1"/>
  <c r="H34" i="62"/>
  <c r="R34" s="1"/>
  <c r="H61" i="70"/>
  <c r="R61" s="1"/>
  <c r="F105" i="55"/>
  <c r="F53" i="53"/>
  <c r="H215" i="64"/>
  <c r="R215" s="1"/>
  <c r="H142"/>
  <c r="R142" s="1"/>
  <c r="H43" i="66"/>
  <c r="R43" s="1"/>
  <c r="H14" i="65"/>
  <c r="R14" s="1"/>
  <c r="H75" i="63"/>
  <c r="R75" s="1"/>
  <c r="H40"/>
  <c r="R40" s="1"/>
  <c r="I39" i="72"/>
  <c r="I31"/>
  <c r="H37" i="59"/>
  <c r="R37" s="1"/>
  <c r="H21" i="64"/>
  <c r="R21" s="1"/>
  <c r="I73" i="54"/>
  <c r="I83"/>
  <c r="I82"/>
  <c r="D68" i="72"/>
  <c r="I12" i="66"/>
  <c r="S12" s="1"/>
  <c r="D34" i="72"/>
  <c r="I30" i="64"/>
  <c r="S30" s="1"/>
  <c r="I167"/>
  <c r="S167" s="1"/>
  <c r="D57" i="72"/>
  <c r="I28" i="64"/>
  <c r="S28" s="1"/>
  <c r="I176"/>
  <c r="S176" s="1"/>
  <c r="D13" i="72"/>
  <c r="J13"/>
  <c r="I161" i="64"/>
  <c r="S161" s="1"/>
  <c r="D11" i="72"/>
  <c r="J11"/>
  <c r="I31" i="66"/>
  <c r="S31" s="1"/>
  <c r="I159" i="64"/>
  <c r="S159" s="1"/>
  <c r="D43" i="72"/>
  <c r="I15" i="59"/>
  <c r="S15" s="1"/>
  <c r="I34"/>
  <c r="S34" s="1"/>
  <c r="D79" i="72"/>
  <c r="I14" i="64"/>
  <c r="S14" s="1"/>
  <c r="I23" i="66"/>
  <c r="S23" s="1"/>
  <c r="I18" i="59"/>
  <c r="S18" s="1"/>
  <c r="D90" i="72"/>
  <c r="D25"/>
  <c r="D52"/>
  <c r="D10"/>
  <c r="D54"/>
  <c r="D83"/>
  <c r="D95"/>
  <c r="I34" i="66"/>
  <c r="S34" s="1"/>
  <c r="I28"/>
  <c r="S28" s="1"/>
  <c r="I160" i="64"/>
  <c r="S160" s="1"/>
  <c r="I14" i="66"/>
  <c r="S14" s="1"/>
  <c r="D76" i="72"/>
  <c r="D32"/>
  <c r="D88"/>
  <c r="D99"/>
  <c r="I10" i="66"/>
  <c r="S10" s="1"/>
  <c r="R33" i="65"/>
  <c r="Q22" i="26"/>
  <c r="D18" i="29"/>
  <c r="I5" i="26"/>
  <c r="Q5" s="1"/>
  <c r="H27" i="62"/>
  <c r="R27" s="1"/>
  <c r="H54" i="70"/>
  <c r="R54" s="1"/>
  <c r="H42" i="67"/>
  <c r="R42" s="1"/>
  <c r="I25" i="72"/>
  <c r="H18" i="66"/>
  <c r="R18" s="1"/>
  <c r="I18" i="72"/>
  <c r="H18" i="58"/>
  <c r="R18" s="1"/>
  <c r="H50" i="59"/>
  <c r="R50" s="1"/>
  <c r="H65" i="63"/>
  <c r="R65" s="1"/>
  <c r="H30"/>
  <c r="R30" s="1"/>
  <c r="H69" i="62"/>
  <c r="R69" s="1"/>
  <c r="H96" i="70"/>
  <c r="R96" s="1"/>
  <c r="H25" i="66"/>
  <c r="R25" s="1"/>
  <c r="H33" i="64"/>
  <c r="R33" s="1"/>
  <c r="H41" i="59"/>
  <c r="R41" s="1"/>
  <c r="H9" i="58"/>
  <c r="R9" s="1"/>
  <c r="H54" i="63"/>
  <c r="R54" s="1"/>
  <c r="H19"/>
  <c r="R19" s="1"/>
  <c r="I22" i="72"/>
  <c r="H64" i="62"/>
  <c r="H91" i="70"/>
  <c r="N123" i="55"/>
  <c r="F27" i="57"/>
  <c r="F28" s="1"/>
  <c r="E5" i="75" s="1"/>
  <c r="H109" i="64"/>
  <c r="R109" s="1"/>
  <c r="H182"/>
  <c r="R182" s="1"/>
  <c r="H72"/>
  <c r="R72" s="1"/>
  <c r="H97" i="67"/>
  <c r="R97" s="1"/>
  <c r="H19" i="62"/>
  <c r="R19" s="1"/>
  <c r="H46" i="70"/>
  <c r="R46" s="1"/>
  <c r="H149" i="64"/>
  <c r="H20" i="65"/>
  <c r="R20" s="1"/>
  <c r="H49" i="66"/>
  <c r="R49" s="1"/>
  <c r="H13"/>
  <c r="R13" s="1"/>
  <c r="I35" i="72"/>
  <c r="J28" i="61"/>
  <c r="H55" i="63" l="1"/>
  <c r="R55" s="1"/>
  <c r="H20"/>
  <c r="R20" s="1"/>
  <c r="H140" i="64"/>
  <c r="R140" s="1"/>
  <c r="H213"/>
  <c r="R213" s="1"/>
  <c r="H19"/>
  <c r="R19" s="1"/>
  <c r="J29" i="66"/>
  <c r="T29" s="1"/>
  <c r="J29" i="59"/>
  <c r="T29" s="1"/>
  <c r="J40" i="67"/>
  <c r="T40" s="1"/>
  <c r="J115" i="70"/>
  <c r="T115" s="1"/>
  <c r="J35" i="64"/>
  <c r="T35" s="1"/>
  <c r="J21" i="61"/>
  <c r="J20" i="59"/>
  <c r="T20" s="1"/>
  <c r="J25"/>
  <c r="T25" s="1"/>
  <c r="J22" i="66"/>
  <c r="T22" s="1"/>
  <c r="J106" i="70"/>
  <c r="T106" s="1"/>
  <c r="J44" i="64"/>
  <c r="T44" s="1"/>
  <c r="T28" i="61"/>
  <c r="T27" s="1"/>
  <c r="J27"/>
  <c r="J15" i="66"/>
  <c r="T15" s="1"/>
  <c r="J32" i="59"/>
  <c r="T32" s="1"/>
  <c r="J19" i="66"/>
  <c r="T19" s="1"/>
  <c r="J19" i="59"/>
  <c r="T19" s="1"/>
  <c r="J168" i="64"/>
  <c r="T168" s="1"/>
  <c r="J25"/>
  <c r="T25" s="1"/>
  <c r="J112" i="70"/>
  <c r="T112" s="1"/>
  <c r="J174" i="64"/>
  <c r="T174" s="1"/>
  <c r="J24" i="58"/>
  <c r="T24" s="1"/>
  <c r="J21" i="66"/>
  <c r="T21" s="1"/>
  <c r="J33" i="59"/>
  <c r="T33" s="1"/>
  <c r="J166" i="64"/>
  <c r="T166" s="1"/>
  <c r="H25" i="62"/>
  <c r="R25" s="1"/>
  <c r="H52" i="70"/>
  <c r="R52" s="1"/>
  <c r="H183" i="64"/>
  <c r="R183" s="1"/>
  <c r="H110"/>
  <c r="R110" s="1"/>
  <c r="H45" i="59"/>
  <c r="R45" s="1"/>
  <c r="H13" i="58"/>
  <c r="R13" s="1"/>
  <c r="H133" i="64"/>
  <c r="R133" s="1"/>
  <c r="H206"/>
  <c r="R206" s="1"/>
  <c r="I24" i="72"/>
  <c r="H69" i="70"/>
  <c r="R69" s="1"/>
  <c r="H42" i="62"/>
  <c r="R42" s="1"/>
  <c r="I34" i="72"/>
  <c r="I20" i="66"/>
  <c r="S20" s="1"/>
  <c r="J83" i="72"/>
  <c r="I59" i="66"/>
  <c r="S59" s="1"/>
  <c r="I30" i="65"/>
  <c r="S30" s="1"/>
  <c r="I35" i="62"/>
  <c r="S35" s="1"/>
  <c r="I62" i="70"/>
  <c r="S62" s="1"/>
  <c r="I66" i="63"/>
  <c r="S66" s="1"/>
  <c r="I31"/>
  <c r="S31" s="1"/>
  <c r="I44" i="66"/>
  <c r="S44" s="1"/>
  <c r="I15" i="65"/>
  <c r="S15" s="1"/>
  <c r="J43" i="72"/>
  <c r="I52" i="58"/>
  <c r="S52" s="1"/>
  <c r="I29" i="67"/>
  <c r="S29" s="1"/>
  <c r="I95" i="62"/>
  <c r="S95" s="1"/>
  <c r="D54" i="73" s="1"/>
  <c r="I95" i="70"/>
  <c r="S95" s="1"/>
  <c r="I87"/>
  <c r="S87" s="1"/>
  <c r="I60" i="62"/>
  <c r="S60" s="1"/>
  <c r="I19" i="70"/>
  <c r="S19" s="1"/>
  <c r="I45" i="65"/>
  <c r="S45" s="1"/>
  <c r="H24" i="64"/>
  <c r="R24" s="1"/>
  <c r="R21" i="61"/>
  <c r="R20" s="1"/>
  <c r="J19" i="54" s="1"/>
  <c r="H20" i="61"/>
  <c r="E19" i="54" s="1"/>
  <c r="H35" i="59"/>
  <c r="R35" s="1"/>
  <c r="N35" i="55"/>
  <c r="O35" s="1"/>
  <c r="E9" i="57"/>
  <c r="I47" i="62"/>
  <c r="S47" s="1"/>
  <c r="I74" i="70"/>
  <c r="S74" s="1"/>
  <c r="J97" i="72"/>
  <c r="I112" i="70"/>
  <c r="S112" s="1"/>
  <c r="D50" i="73" s="1"/>
  <c r="I18" i="62"/>
  <c r="S18" s="1"/>
  <c r="I45" i="70"/>
  <c r="S45" s="1"/>
  <c r="I15"/>
  <c r="S15" s="1"/>
  <c r="I41" i="65"/>
  <c r="S41" s="1"/>
  <c r="I35"/>
  <c r="S35" s="1"/>
  <c r="I9" i="70"/>
  <c r="S9" s="1"/>
  <c r="I70"/>
  <c r="S70" s="1"/>
  <c r="I43" i="62"/>
  <c r="S43" s="1"/>
  <c r="I75" i="63"/>
  <c r="S75" s="1"/>
  <c r="I40"/>
  <c r="S40" s="1"/>
  <c r="I17" i="62"/>
  <c r="S17" s="1"/>
  <c r="I44" i="70"/>
  <c r="S44" s="1"/>
  <c r="I17" i="59"/>
  <c r="S17" s="1"/>
  <c r="I9" i="65"/>
  <c r="S9" s="1"/>
  <c r="I38" i="66"/>
  <c r="S38" s="1"/>
  <c r="I14" i="65"/>
  <c r="S14" s="1"/>
  <c r="I43" i="66"/>
  <c r="S43" s="1"/>
  <c r="I158" i="64"/>
  <c r="S158" s="1"/>
  <c r="I57" i="66"/>
  <c r="S57" s="1"/>
  <c r="I28" i="65"/>
  <c r="S28" s="1"/>
  <c r="I74" i="64"/>
  <c r="S74" s="1"/>
  <c r="I102"/>
  <c r="S102" s="1"/>
  <c r="H79" i="70"/>
  <c r="R79" s="1"/>
  <c r="H52" i="62"/>
  <c r="R52" s="1"/>
  <c r="H68" i="64"/>
  <c r="R68" s="1"/>
  <c r="H93" i="67"/>
  <c r="R93" s="1"/>
  <c r="F66" i="53"/>
  <c r="F8" s="1"/>
  <c r="F65"/>
  <c r="F7" s="1"/>
  <c r="F64"/>
  <c r="F68"/>
  <c r="F10" s="1"/>
  <c r="F67"/>
  <c r="F9" s="1"/>
  <c r="H18" i="70"/>
  <c r="R18" s="1"/>
  <c r="H44" i="65"/>
  <c r="R44" s="1"/>
  <c r="R61"/>
  <c r="R60" s="1"/>
  <c r="J56" i="54" s="1"/>
  <c r="H60" i="65"/>
  <c r="E56" i="54" s="1"/>
  <c r="I51" i="29"/>
  <c r="I9" s="1"/>
  <c r="H9"/>
  <c r="I41" i="66"/>
  <c r="S41" s="1"/>
  <c r="I12" i="65"/>
  <c r="S12" s="1"/>
  <c r="I31" i="67"/>
  <c r="S31" s="1"/>
  <c r="I54" i="58"/>
  <c r="S54" s="1"/>
  <c r="I29"/>
  <c r="S29" s="1"/>
  <c r="D25" i="73" s="1"/>
  <c r="I60" i="59"/>
  <c r="S60" s="1"/>
  <c r="I15" i="62"/>
  <c r="S15" s="1"/>
  <c r="I42" i="70"/>
  <c r="S42" s="1"/>
  <c r="J77" i="72"/>
  <c r="I19" i="65"/>
  <c r="S19" s="1"/>
  <c r="I48" i="66"/>
  <c r="S48" s="1"/>
  <c r="I78" i="70"/>
  <c r="S78" s="1"/>
  <c r="I51" i="62"/>
  <c r="S51" s="1"/>
  <c r="I57" i="65"/>
  <c r="S57" s="1"/>
  <c r="I31" i="70"/>
  <c r="S31" s="1"/>
  <c r="I48" i="65"/>
  <c r="S48" s="1"/>
  <c r="I22" i="70"/>
  <c r="S22" s="1"/>
  <c r="I47" i="66"/>
  <c r="S47" s="1"/>
  <c r="I18" i="65"/>
  <c r="S18" s="1"/>
  <c r="I25" i="66"/>
  <c r="S25" s="1"/>
  <c r="I98" i="62"/>
  <c r="S98" s="1"/>
  <c r="D57" i="73" s="1"/>
  <c r="I98" i="70"/>
  <c r="S98" s="1"/>
  <c r="H147" i="64"/>
  <c r="R147" s="1"/>
  <c r="H220"/>
  <c r="R220" s="1"/>
  <c r="H70"/>
  <c r="R70" s="1"/>
  <c r="H95" i="67"/>
  <c r="R95" s="1"/>
  <c r="R35"/>
  <c r="H212" i="64"/>
  <c r="R212" s="1"/>
  <c r="H139"/>
  <c r="R139" s="1"/>
  <c r="I29" i="70"/>
  <c r="S29" s="1"/>
  <c r="I55" i="65"/>
  <c r="S55" s="1"/>
  <c r="I21"/>
  <c r="S21" s="1"/>
  <c r="I50" i="66"/>
  <c r="S50" s="1"/>
  <c r="I14" i="58"/>
  <c r="S14" s="1"/>
  <c r="I46" i="59"/>
  <c r="S46" s="1"/>
  <c r="I29" i="64"/>
  <c r="S29" s="1"/>
  <c r="I20" i="62"/>
  <c r="S20" s="1"/>
  <c r="I47" i="70"/>
  <c r="S47" s="1"/>
  <c r="I172" i="64"/>
  <c r="S172" s="1"/>
  <c r="I16" i="63"/>
  <c r="S16" s="1"/>
  <c r="I51"/>
  <c r="S51" s="1"/>
  <c r="I10" i="65"/>
  <c r="S10" s="1"/>
  <c r="I39" i="66"/>
  <c r="S39" s="1"/>
  <c r="I72" i="54"/>
  <c r="I40" i="72"/>
  <c r="E5" i="57"/>
  <c r="F115" i="53"/>
  <c r="D49" i="72"/>
  <c r="D73"/>
  <c r="J162" i="64"/>
  <c r="T162" s="1"/>
  <c r="J9" i="66"/>
  <c r="T9" s="1"/>
  <c r="J161" i="64"/>
  <c r="T161" s="1"/>
  <c r="J31" i="66"/>
  <c r="T31" s="1"/>
  <c r="J159" i="64"/>
  <c r="T159" s="1"/>
  <c r="J15" i="59"/>
  <c r="T15" s="1"/>
  <c r="J34"/>
  <c r="T34" s="1"/>
  <c r="J14" i="64"/>
  <c r="T14" s="1"/>
  <c r="J23" i="66"/>
  <c r="T23" s="1"/>
  <c r="J38" i="64"/>
  <c r="T38" s="1"/>
  <c r="J30"/>
  <c r="T30" s="1"/>
  <c r="J167"/>
  <c r="T167" s="1"/>
  <c r="J28"/>
  <c r="T28" s="1"/>
  <c r="J176"/>
  <c r="T176" s="1"/>
  <c r="J18" i="59"/>
  <c r="T18" s="1"/>
  <c r="J105" i="70"/>
  <c r="T105" s="1"/>
  <c r="J42" i="67"/>
  <c r="T42" s="1"/>
  <c r="J34" i="66"/>
  <c r="T34" s="1"/>
  <c r="J28"/>
  <c r="T28" s="1"/>
  <c r="J160" i="64"/>
  <c r="T160" s="1"/>
  <c r="J14" i="66"/>
  <c r="T14" s="1"/>
  <c r="J10"/>
  <c r="T10" s="1"/>
  <c r="C7" i="72"/>
  <c r="C6" s="1"/>
  <c r="H51" i="58"/>
  <c r="R51" s="1"/>
  <c r="H28" i="67"/>
  <c r="R28" s="1"/>
  <c r="D10" i="73" s="1"/>
  <c r="H20" i="58"/>
  <c r="R20" s="1"/>
  <c r="H52" i="59"/>
  <c r="R52" s="1"/>
  <c r="H69" i="63"/>
  <c r="R69" s="1"/>
  <c r="H34"/>
  <c r="R34" s="1"/>
  <c r="R64" i="62"/>
  <c r="H41" i="67"/>
  <c r="R41" s="1"/>
  <c r="I64" i="63"/>
  <c r="S64" s="1"/>
  <c r="I29"/>
  <c r="S29" s="1"/>
  <c r="I97" i="70"/>
  <c r="S97" s="1"/>
  <c r="I97" i="62"/>
  <c r="S97" s="1"/>
  <c r="D56" i="73" s="1"/>
  <c r="I26" i="67"/>
  <c r="S26" s="1"/>
  <c r="I49" i="58"/>
  <c r="S49" s="1"/>
  <c r="I42" i="67"/>
  <c r="S42" s="1"/>
  <c r="J25" i="72"/>
  <c r="I16" i="70"/>
  <c r="S16" s="1"/>
  <c r="I42" i="65"/>
  <c r="S42" s="1"/>
  <c r="I28" i="58"/>
  <c r="S28" s="1"/>
  <c r="D24" i="73" s="1"/>
  <c r="I59" i="59"/>
  <c r="S59" s="1"/>
  <c r="I30" i="70"/>
  <c r="S30" s="1"/>
  <c r="I56" i="65"/>
  <c r="S56" s="1"/>
  <c r="I22" i="64"/>
  <c r="S22" s="1"/>
  <c r="I39" i="63"/>
  <c r="S39" s="1"/>
  <c r="I74"/>
  <c r="S74" s="1"/>
  <c r="I113" i="64"/>
  <c r="S113" s="1"/>
  <c r="F40" i="73" s="1"/>
  <c r="I186" i="64"/>
  <c r="S186" s="1"/>
  <c r="I26" i="65"/>
  <c r="S26" s="1"/>
  <c r="I55" i="66"/>
  <c r="S55" s="1"/>
  <c r="I39" i="70"/>
  <c r="S39" s="1"/>
  <c r="I12" i="62"/>
  <c r="S12" s="1"/>
  <c r="I8" i="66"/>
  <c r="S8" s="1"/>
  <c r="I142" i="64"/>
  <c r="S142" s="1"/>
  <c r="I215"/>
  <c r="S215" s="1"/>
  <c r="H37" i="63"/>
  <c r="R37" s="1"/>
  <c r="H72"/>
  <c r="R72" s="1"/>
  <c r="I16" i="58"/>
  <c r="S16" s="1"/>
  <c r="I48" i="59"/>
  <c r="S48" s="1"/>
  <c r="I60" i="66"/>
  <c r="S60" s="1"/>
  <c r="I31" i="65"/>
  <c r="S31" s="1"/>
  <c r="J75" i="72"/>
  <c r="I24" i="58"/>
  <c r="S24" s="1"/>
  <c r="D20" i="73" s="1"/>
  <c r="I42" i="59"/>
  <c r="S42" s="1"/>
  <c r="I10" i="58"/>
  <c r="S10" s="1"/>
  <c r="I55"/>
  <c r="S55" s="1"/>
  <c r="I32" i="67"/>
  <c r="S32" s="1"/>
  <c r="I56" i="70"/>
  <c r="S56" s="1"/>
  <c r="I29" i="62"/>
  <c r="S29" s="1"/>
  <c r="I28" i="70"/>
  <c r="S28" s="1"/>
  <c r="I54" i="65"/>
  <c r="S54" s="1"/>
  <c r="I102" i="62"/>
  <c r="S102" s="1"/>
  <c r="I102" i="70"/>
  <c r="S102" s="1"/>
  <c r="I108" i="64"/>
  <c r="S108" s="1"/>
  <c r="F39" i="73" s="1"/>
  <c r="I181" i="64"/>
  <c r="S181" s="1"/>
  <c r="I57" i="62"/>
  <c r="S57" s="1"/>
  <c r="I84" i="70"/>
  <c r="S84" s="1"/>
  <c r="I50" i="64"/>
  <c r="S50" s="1"/>
  <c r="I47" i="67"/>
  <c r="S47" s="1"/>
  <c r="I101" i="70"/>
  <c r="S101" s="1"/>
  <c r="I101" i="62"/>
  <c r="S101" s="1"/>
  <c r="D60" i="73" s="1"/>
  <c r="S26" i="61"/>
  <c r="K23" i="54"/>
  <c r="K22" s="1"/>
  <c r="H48" i="53" s="1"/>
  <c r="I136" i="64"/>
  <c r="S136" s="1"/>
  <c r="I209"/>
  <c r="S209" s="1"/>
  <c r="H187"/>
  <c r="R187" s="1"/>
  <c r="H114"/>
  <c r="R114" s="1"/>
  <c r="H130"/>
  <c r="R130" s="1"/>
  <c r="H203"/>
  <c r="R203" s="1"/>
  <c r="H8" i="62"/>
  <c r="H35" i="70"/>
  <c r="F143" i="55"/>
  <c r="F138"/>
  <c r="F137" s="1"/>
  <c r="H48" i="62"/>
  <c r="R48" s="1"/>
  <c r="H75" i="70"/>
  <c r="R75" s="1"/>
  <c r="I11" i="62"/>
  <c r="S11" s="1"/>
  <c r="I38" i="70"/>
  <c r="S38" s="1"/>
  <c r="I35" i="63"/>
  <c r="S35" s="1"/>
  <c r="I70"/>
  <c r="S70" s="1"/>
  <c r="I101" i="64"/>
  <c r="S101" s="1"/>
  <c r="I73"/>
  <c r="S73" s="1"/>
  <c r="I125"/>
  <c r="S125" s="1"/>
  <c r="I198"/>
  <c r="S198" s="1"/>
  <c r="I163"/>
  <c r="S163" s="1"/>
  <c r="I26"/>
  <c r="S26" s="1"/>
  <c r="I15" i="58"/>
  <c r="S15" s="1"/>
  <c r="I47" i="59"/>
  <c r="S47" s="1"/>
  <c r="I63" i="63"/>
  <c r="S63" s="1"/>
  <c r="I28"/>
  <c r="S28" s="1"/>
  <c r="I113" i="70"/>
  <c r="S113" s="1"/>
  <c r="D40" i="73" s="1"/>
  <c r="J98" i="72"/>
  <c r="J26"/>
  <c r="I43" i="67"/>
  <c r="S43" s="1"/>
  <c r="I27" i="59"/>
  <c r="S27" s="1"/>
  <c r="I17" i="66"/>
  <c r="S17" s="1"/>
  <c r="I56" i="63"/>
  <c r="S56" s="1"/>
  <c r="I21"/>
  <c r="S21" s="1"/>
  <c r="I37" i="66"/>
  <c r="S37" s="1"/>
  <c r="I8" i="65"/>
  <c r="S8" s="1"/>
  <c r="H56" i="64"/>
  <c r="R56" s="1"/>
  <c r="H81" i="67"/>
  <c r="R81" s="1"/>
  <c r="H150" i="64"/>
  <c r="R150" s="1"/>
  <c r="H80" i="70"/>
  <c r="R80" s="1"/>
  <c r="H53" i="62"/>
  <c r="R53" s="1"/>
  <c r="H218" i="64"/>
  <c r="R218" s="1"/>
  <c r="H145"/>
  <c r="R145" s="1"/>
  <c r="H24" i="59"/>
  <c r="R24" s="1"/>
  <c r="I85" i="70"/>
  <c r="S85" s="1"/>
  <c r="I58" i="62"/>
  <c r="S58" s="1"/>
  <c r="I179" i="64"/>
  <c r="S179" s="1"/>
  <c r="I106"/>
  <c r="S106" s="1"/>
  <c r="I49" i="63"/>
  <c r="S49" s="1"/>
  <c r="I14"/>
  <c r="S14" s="1"/>
  <c r="I53" i="65"/>
  <c r="S53" s="1"/>
  <c r="I27" i="70"/>
  <c r="S27" s="1"/>
  <c r="J33" i="72"/>
  <c r="I36" i="67"/>
  <c r="S36" s="1"/>
  <c r="J19" i="72"/>
  <c r="I117" i="64"/>
  <c r="S117" s="1"/>
  <c r="F43" i="73" s="1"/>
  <c r="I190" i="64"/>
  <c r="S190" s="1"/>
  <c r="I144"/>
  <c r="S144" s="1"/>
  <c r="I217"/>
  <c r="S217" s="1"/>
  <c r="I49" i="65"/>
  <c r="S49" s="1"/>
  <c r="I23" i="70"/>
  <c r="S23" s="1"/>
  <c r="I205" i="64"/>
  <c r="S205" s="1"/>
  <c r="I132"/>
  <c r="S132" s="1"/>
  <c r="J67" i="72"/>
  <c r="I175" i="64"/>
  <c r="S175" s="1"/>
  <c r="F97" i="53"/>
  <c r="F12" i="55"/>
  <c r="D60" i="72"/>
  <c r="D59" s="1"/>
  <c r="D17"/>
  <c r="I42"/>
  <c r="J12" i="66"/>
  <c r="T12" s="1"/>
  <c r="J36" i="59"/>
  <c r="T36" s="1"/>
  <c r="J32" i="64"/>
  <c r="T32" s="1"/>
  <c r="J28" i="59"/>
  <c r="T28" s="1"/>
  <c r="J8"/>
  <c r="T8" s="1"/>
  <c r="J104" i="70"/>
  <c r="T104" s="1"/>
  <c r="J15" i="64"/>
  <c r="T15" s="1"/>
  <c r="J45"/>
  <c r="T45" s="1"/>
  <c r="J62" i="65"/>
  <c r="T62" s="1"/>
  <c r="J20" i="64"/>
  <c r="T20" s="1"/>
  <c r="J22" i="59"/>
  <c r="T22" s="1"/>
  <c r="J16" i="64"/>
  <c r="T16" s="1"/>
  <c r="J10" i="59"/>
  <c r="T10" s="1"/>
  <c r="J157" i="64"/>
  <c r="T157" s="1"/>
  <c r="J170"/>
  <c r="T170" s="1"/>
  <c r="J39"/>
  <c r="T39" s="1"/>
  <c r="H53"/>
  <c r="R53" s="1"/>
  <c r="H78" i="67"/>
  <c r="R78" s="1"/>
  <c r="R149" i="64"/>
  <c r="H148"/>
  <c r="E48" i="54" s="1"/>
  <c r="H46" i="64"/>
  <c r="R46" s="1"/>
  <c r="R91" i="70"/>
  <c r="D17" i="29"/>
  <c r="D6"/>
  <c r="D5" s="1"/>
  <c r="L5" s="1"/>
  <c r="L6" s="1"/>
  <c r="L3" s="1"/>
  <c r="H36" i="70"/>
  <c r="R36" s="1"/>
  <c r="H9" i="62"/>
  <c r="R9" s="1"/>
  <c r="J99" i="72"/>
  <c r="I14" i="67"/>
  <c r="S14" s="1"/>
  <c r="I37" i="58"/>
  <c r="S37" s="1"/>
  <c r="F21" i="73" s="1"/>
  <c r="I33" i="62"/>
  <c r="S33" s="1"/>
  <c r="I60" i="70"/>
  <c r="S60" s="1"/>
  <c r="I200" i="64"/>
  <c r="S200" s="1"/>
  <c r="I127"/>
  <c r="S127" s="1"/>
  <c r="I169"/>
  <c r="S169" s="1"/>
  <c r="I47" i="63"/>
  <c r="S47" s="1"/>
  <c r="I12"/>
  <c r="S12" s="1"/>
  <c r="I33" i="65"/>
  <c r="I7" i="70"/>
  <c r="I121" i="64"/>
  <c r="S121" s="1"/>
  <c r="F47" i="73" s="1"/>
  <c r="I194" i="64"/>
  <c r="S194" s="1"/>
  <c r="I31"/>
  <c r="S31" s="1"/>
  <c r="J79" i="72"/>
  <c r="I21" i="70"/>
  <c r="S21" s="1"/>
  <c r="I47" i="65"/>
  <c r="S47" s="1"/>
  <c r="I24" i="63"/>
  <c r="S24" s="1"/>
  <c r="I59"/>
  <c r="S59" s="1"/>
  <c r="I40" i="58"/>
  <c r="S40" s="1"/>
  <c r="F23" i="73" s="1"/>
  <c r="I17" i="67"/>
  <c r="S17" s="1"/>
  <c r="I13" i="63"/>
  <c r="S13" s="1"/>
  <c r="I48"/>
  <c r="S48" s="1"/>
  <c r="H67" i="70"/>
  <c r="R67" s="1"/>
  <c r="H40" i="62"/>
  <c r="R40" s="1"/>
  <c r="H53" i="59"/>
  <c r="R53" s="1"/>
  <c r="H21" i="58"/>
  <c r="R21" s="1"/>
  <c r="H59" i="70"/>
  <c r="R59" s="1"/>
  <c r="H32" i="62"/>
  <c r="R32" s="1"/>
  <c r="H41"/>
  <c r="R41" s="1"/>
  <c r="H68" i="70"/>
  <c r="R68" s="1"/>
  <c r="R12" i="64"/>
  <c r="H65" i="70"/>
  <c r="R65" s="1"/>
  <c r="H38" i="62"/>
  <c r="R38" s="1"/>
  <c r="I51" i="66"/>
  <c r="S51" s="1"/>
  <c r="I22" i="65"/>
  <c r="S22" s="1"/>
  <c r="I17" i="64"/>
  <c r="S17" s="1"/>
  <c r="I62" i="62"/>
  <c r="S62" s="1"/>
  <c r="I89" i="70"/>
  <c r="S89" s="1"/>
  <c r="I58"/>
  <c r="S58" s="1"/>
  <c r="I31" i="62"/>
  <c r="S31" s="1"/>
  <c r="I14" i="70"/>
  <c r="S14" s="1"/>
  <c r="I40" i="65"/>
  <c r="S40" s="1"/>
  <c r="I39"/>
  <c r="S39" s="1"/>
  <c r="I13" i="70"/>
  <c r="S13" s="1"/>
  <c r="I18" i="63"/>
  <c r="S18" s="1"/>
  <c r="I53"/>
  <c r="S53" s="1"/>
  <c r="I67"/>
  <c r="S67" s="1"/>
  <c r="I32"/>
  <c r="S32" s="1"/>
  <c r="I20" i="61"/>
  <c r="F19" i="54" s="1"/>
  <c r="S21" i="61"/>
  <c r="S20" s="1"/>
  <c r="K19" i="54" s="1"/>
  <c r="I54" i="59"/>
  <c r="S54" s="1"/>
  <c r="I22" i="58"/>
  <c r="S22" s="1"/>
  <c r="I38" i="65"/>
  <c r="S38" s="1"/>
  <c r="I12" i="70"/>
  <c r="S12" s="1"/>
  <c r="J85" i="72"/>
  <c r="I26" i="61"/>
  <c r="F23" i="54"/>
  <c r="F22" s="1"/>
  <c r="I13" i="66"/>
  <c r="S13" s="1"/>
  <c r="I86" i="70"/>
  <c r="S86" s="1"/>
  <c r="I59" i="62"/>
  <c r="S59" s="1"/>
  <c r="I17" i="65"/>
  <c r="S17" s="1"/>
  <c r="I46" i="66"/>
  <c r="S46" s="1"/>
  <c r="I56" i="58"/>
  <c r="S56" s="1"/>
  <c r="I33" i="67"/>
  <c r="S33" s="1"/>
  <c r="F34" i="73" s="1"/>
  <c r="I30" i="66"/>
  <c r="S30" s="1"/>
  <c r="I91" i="70"/>
  <c r="I33" i="64"/>
  <c r="S33" s="1"/>
  <c r="I83" i="70"/>
  <c r="S83" s="1"/>
  <c r="I56" i="62"/>
  <c r="S56" s="1"/>
  <c r="I26"/>
  <c r="S26" s="1"/>
  <c r="I53" i="70"/>
  <c r="S53" s="1"/>
  <c r="J72" i="72"/>
  <c r="I44" i="67"/>
  <c r="S44" s="1"/>
  <c r="D26" i="73" s="1"/>
  <c r="I43" i="64"/>
  <c r="S43" s="1"/>
  <c r="I25" i="67"/>
  <c r="S25" s="1"/>
  <c r="I48" i="58"/>
  <c r="S48" s="1"/>
  <c r="I46" i="70"/>
  <c r="S46" s="1"/>
  <c r="I19" i="62"/>
  <c r="S19" s="1"/>
  <c r="I16" i="59"/>
  <c r="S16" s="1"/>
  <c r="J20" i="72"/>
  <c r="I37" i="67"/>
  <c r="S37" s="1"/>
  <c r="I34" i="65"/>
  <c r="S34" s="1"/>
  <c r="I8" i="70"/>
  <c r="S8" s="1"/>
  <c r="I107" i="64"/>
  <c r="S107" s="1"/>
  <c r="I180"/>
  <c r="S180" s="1"/>
  <c r="I51" i="65"/>
  <c r="S51" s="1"/>
  <c r="I25" i="70"/>
  <c r="S25" s="1"/>
  <c r="H49" i="59"/>
  <c r="R49" s="1"/>
  <c r="H17" i="58"/>
  <c r="R17" s="1"/>
  <c r="M162" i="55"/>
  <c r="E36" i="57"/>
  <c r="E37" s="1"/>
  <c r="C9" i="75" s="1"/>
  <c r="I27" i="65"/>
  <c r="S27" s="1"/>
  <c r="I56" i="66"/>
  <c r="S56" s="1"/>
  <c r="I52"/>
  <c r="S52" s="1"/>
  <c r="I23" i="65"/>
  <c r="S23" s="1"/>
  <c r="I13" i="64"/>
  <c r="S13" s="1"/>
  <c r="I41" i="70"/>
  <c r="S41" s="1"/>
  <c r="I14" i="62"/>
  <c r="S14" s="1"/>
  <c r="I33" i="66"/>
  <c r="S33" s="1"/>
  <c r="I23" i="63"/>
  <c r="S23" s="1"/>
  <c r="I58"/>
  <c r="S58" s="1"/>
  <c r="I25" i="65"/>
  <c r="S25" s="1"/>
  <c r="I54" i="66"/>
  <c r="S54" s="1"/>
  <c r="J14" i="72"/>
  <c r="I131" i="64"/>
  <c r="S131" s="1"/>
  <c r="I204"/>
  <c r="S204" s="1"/>
  <c r="I39" i="62"/>
  <c r="S39" s="1"/>
  <c r="I66" i="70"/>
  <c r="S66" s="1"/>
  <c r="I88"/>
  <c r="S88" s="1"/>
  <c r="I61" i="62"/>
  <c r="S61" s="1"/>
  <c r="I40" i="64"/>
  <c r="S40" s="1"/>
  <c r="J89" i="72"/>
  <c r="I104" i="70"/>
  <c r="S104" s="1"/>
  <c r="D42" i="73" s="1"/>
  <c r="I13" i="65"/>
  <c r="S13" s="1"/>
  <c r="I42" i="66"/>
  <c r="S42" s="1"/>
  <c r="D82" i="72"/>
  <c r="J27" i="64"/>
  <c r="T27" s="1"/>
  <c r="J43" i="67"/>
  <c r="T43" s="1"/>
  <c r="J16" i="66"/>
  <c r="T16" s="1"/>
  <c r="J23" i="59"/>
  <c r="T23" s="1"/>
  <c r="J18" i="64"/>
  <c r="T18" s="1"/>
  <c r="J27" i="66"/>
  <c r="T27" s="1"/>
  <c r="J155" i="64"/>
  <c r="T155" s="1"/>
  <c r="J11" i="59"/>
  <c r="T11" s="1"/>
  <c r="J30"/>
  <c r="T30" s="1"/>
  <c r="J63" i="65"/>
  <c r="T63" s="1"/>
  <c r="J113" i="70"/>
  <c r="T113" s="1"/>
  <c r="J34" i="64"/>
  <c r="T34" s="1"/>
  <c r="J171"/>
  <c r="T171" s="1"/>
  <c r="J173"/>
  <c r="T173" s="1"/>
  <c r="J37" i="67"/>
  <c r="T37" s="1"/>
  <c r="J37" i="64"/>
  <c r="T37" s="1"/>
  <c r="J41"/>
  <c r="T41" s="1"/>
  <c r="J11" i="66"/>
  <c r="T11" s="1"/>
  <c r="J32"/>
  <c r="T32" s="1"/>
  <c r="J164" i="64"/>
  <c r="T164" s="1"/>
  <c r="J26" i="66"/>
  <c r="T26" s="1"/>
  <c r="J24"/>
  <c r="T24" s="1"/>
  <c r="J156" i="64"/>
  <c r="T156" s="1"/>
  <c r="J18" i="66"/>
  <c r="T18" s="1"/>
  <c r="J151" i="64"/>
  <c r="T151" s="1"/>
  <c r="H80" i="67"/>
  <c r="R80" s="1"/>
  <c r="H55" i="64"/>
  <c r="R55" s="1"/>
  <c r="I114" i="70"/>
  <c r="S114" s="1"/>
  <c r="D51" i="73" s="1"/>
  <c r="I16" i="65"/>
  <c r="S16" s="1"/>
  <c r="I45" i="66"/>
  <c r="S45" s="1"/>
  <c r="I76" i="70"/>
  <c r="S76" s="1"/>
  <c r="I49" i="62"/>
  <c r="S49" s="1"/>
  <c r="J10" i="72"/>
  <c r="I12" i="64"/>
  <c r="S12" s="1"/>
  <c r="J90" i="72"/>
  <c r="I105" i="70"/>
  <c r="S105" s="1"/>
  <c r="D43" i="73" s="1"/>
  <c r="I36" i="58"/>
  <c r="S36" s="1"/>
  <c r="F20" i="73" s="1"/>
  <c r="I13" i="67"/>
  <c r="S13" s="1"/>
  <c r="I13" i="62"/>
  <c r="S13" s="1"/>
  <c r="I40" i="70"/>
  <c r="S40" s="1"/>
  <c r="I50" i="58"/>
  <c r="S50" s="1"/>
  <c r="I27" i="67"/>
  <c r="S27" s="1"/>
  <c r="I29" i="65"/>
  <c r="S29" s="1"/>
  <c r="I58" i="66"/>
  <c r="S58" s="1"/>
  <c r="I32" i="72"/>
  <c r="F104" i="55"/>
  <c r="F93"/>
  <c r="F92" s="1"/>
  <c r="H199" i="64"/>
  <c r="R199" s="1"/>
  <c r="H126"/>
  <c r="R126" s="1"/>
  <c r="I15" i="63"/>
  <c r="S15" s="1"/>
  <c r="I50"/>
  <c r="S50" s="1"/>
  <c r="I59" i="65"/>
  <c r="S59" s="1"/>
  <c r="I33" i="70"/>
  <c r="S33" s="1"/>
  <c r="I165" i="64"/>
  <c r="S165" s="1"/>
  <c r="I54" i="70"/>
  <c r="S54" s="1"/>
  <c r="I27" i="62"/>
  <c r="S27" s="1"/>
  <c r="I41" i="59"/>
  <c r="S41" s="1"/>
  <c r="I9" i="58"/>
  <c r="S9" s="1"/>
  <c r="I36" i="64"/>
  <c r="S36" s="1"/>
  <c r="I52" i="65"/>
  <c r="S52" s="1"/>
  <c r="I26" i="70"/>
  <c r="S26" s="1"/>
  <c r="I61" i="63"/>
  <c r="S61" s="1"/>
  <c r="I26"/>
  <c r="S26" s="1"/>
  <c r="J8" i="72"/>
  <c r="I21" i="62"/>
  <c r="S21" s="1"/>
  <c r="I48" i="70"/>
  <c r="S48" s="1"/>
  <c r="H84"/>
  <c r="R84" s="1"/>
  <c r="H57" i="62"/>
  <c r="R57" s="1"/>
  <c r="G19" i="30"/>
  <c r="N9" i="29"/>
  <c r="H54" i="62"/>
  <c r="R54" s="1"/>
  <c r="H81" i="70"/>
  <c r="R81" s="1"/>
  <c r="H52" i="64"/>
  <c r="R52" s="1"/>
  <c r="H77" i="67"/>
  <c r="R77" s="1"/>
  <c r="I49" i="66"/>
  <c r="S49" s="1"/>
  <c r="I20" i="65"/>
  <c r="S20" s="1"/>
  <c r="I149" i="64"/>
  <c r="I109" i="70"/>
  <c r="S109" s="1"/>
  <c r="D47" i="73" s="1"/>
  <c r="J44" i="72"/>
  <c r="I11" i="70"/>
  <c r="S11" s="1"/>
  <c r="I37" i="65"/>
  <c r="S37" s="1"/>
  <c r="I134" i="64"/>
  <c r="S134" s="1"/>
  <c r="I207"/>
  <c r="S207" s="1"/>
  <c r="I43" i="65"/>
  <c r="S43" s="1"/>
  <c r="I17" i="70"/>
  <c r="S17" s="1"/>
  <c r="I44" i="63"/>
  <c r="S44" s="1"/>
  <c r="I9"/>
  <c r="S9" s="1"/>
  <c r="I137" i="64"/>
  <c r="S137" s="1"/>
  <c r="I210"/>
  <c r="S210" s="1"/>
  <c r="I49" i="70"/>
  <c r="S49" s="1"/>
  <c r="I22" i="62"/>
  <c r="S22" s="1"/>
  <c r="I10" i="63"/>
  <c r="S10" s="1"/>
  <c r="I45"/>
  <c r="S45" s="1"/>
  <c r="I24" i="65"/>
  <c r="S24" s="1"/>
  <c r="I53" i="66"/>
  <c r="S53" s="1"/>
  <c r="I17" i="63"/>
  <c r="S17" s="1"/>
  <c r="I52"/>
  <c r="S52" s="1"/>
  <c r="I63" i="70"/>
  <c r="S63" s="1"/>
  <c r="I36" i="62"/>
  <c r="S36" s="1"/>
  <c r="I60" i="63"/>
  <c r="S60" s="1"/>
  <c r="I25"/>
  <c r="S25" s="1"/>
  <c r="I16" i="62"/>
  <c r="S16" s="1"/>
  <c r="I43" i="70"/>
  <c r="S43" s="1"/>
  <c r="I41" i="72"/>
  <c r="H67" i="62"/>
  <c r="R67" s="1"/>
  <c r="H94" i="70"/>
  <c r="R94" s="1"/>
  <c r="I11" i="63"/>
  <c r="S11" s="1"/>
  <c r="I46"/>
  <c r="S46" s="1"/>
  <c r="I48" i="67"/>
  <c r="S48" s="1"/>
  <c r="I51" i="64"/>
  <c r="S51" s="1"/>
  <c r="I20" i="70"/>
  <c r="S20" s="1"/>
  <c r="I46" i="65"/>
  <c r="S46" s="1"/>
  <c r="I30" i="67"/>
  <c r="S30" s="1"/>
  <c r="I53" i="58"/>
  <c r="S53" s="1"/>
  <c r="I50" i="70"/>
  <c r="S50" s="1"/>
  <c r="I23" i="62"/>
  <c r="S23" s="1"/>
  <c r="I58" i="65"/>
  <c r="S58" s="1"/>
  <c r="I32" i="70"/>
  <c r="S32" s="1"/>
  <c r="I22" i="63"/>
  <c r="S22" s="1"/>
  <c r="I57"/>
  <c r="S57" s="1"/>
  <c r="I50" i="62"/>
  <c r="S50" s="1"/>
  <c r="I77" i="70"/>
  <c r="S77" s="1"/>
  <c r="I11" i="65"/>
  <c r="S11" s="1"/>
  <c r="I40" i="66"/>
  <c r="S40" s="1"/>
  <c r="J55" i="72"/>
  <c r="I45" i="58"/>
  <c r="S45" s="1"/>
  <c r="I22" i="67"/>
  <c r="S22" s="1"/>
  <c r="F33" i="73" s="1"/>
  <c r="I55" i="62"/>
  <c r="S55" s="1"/>
  <c r="I82" i="70"/>
  <c r="S82" s="1"/>
  <c r="I40" i="67"/>
  <c r="S40" s="1"/>
  <c r="J23" i="72"/>
  <c r="I19" i="64"/>
  <c r="S19" s="1"/>
  <c r="I8" i="72"/>
  <c r="I219" i="64" l="1"/>
  <c r="S219" s="1"/>
  <c r="I146"/>
  <c r="S146" s="1"/>
  <c r="I37" i="63"/>
  <c r="S37" s="1"/>
  <c r="I72"/>
  <c r="S72" s="1"/>
  <c r="H47" i="58"/>
  <c r="R47" s="1"/>
  <c r="H24" i="67"/>
  <c r="R24" s="1"/>
  <c r="D6" i="73" s="1"/>
  <c r="H46" i="62"/>
  <c r="R46" s="1"/>
  <c r="H73" i="70"/>
  <c r="R73" s="1"/>
  <c r="H112" i="64"/>
  <c r="R112" s="1"/>
  <c r="H185"/>
  <c r="R185" s="1"/>
  <c r="I48" i="62"/>
  <c r="S48" s="1"/>
  <c r="I75" i="70"/>
  <c r="S75" s="1"/>
  <c r="I90" i="64"/>
  <c r="S90" s="1"/>
  <c r="I62"/>
  <c r="S62" s="1"/>
  <c r="J22" i="72"/>
  <c r="I44" i="62"/>
  <c r="S44" s="1"/>
  <c r="I71" i="70"/>
  <c r="S71" s="1"/>
  <c r="I93"/>
  <c r="S93" s="1"/>
  <c r="D39" i="73" s="1"/>
  <c r="J32" i="72"/>
  <c r="I111" i="64"/>
  <c r="S111" s="1"/>
  <c r="I184"/>
  <c r="S184" s="1"/>
  <c r="H135"/>
  <c r="R135" s="1"/>
  <c r="H208"/>
  <c r="R208" s="1"/>
  <c r="J12" i="65"/>
  <c r="T12" s="1"/>
  <c r="J41" i="66"/>
  <c r="T41" s="1"/>
  <c r="J54" i="58"/>
  <c r="T54" s="1"/>
  <c r="J31" i="67"/>
  <c r="T31" s="1"/>
  <c r="J60" i="59"/>
  <c r="T60" s="1"/>
  <c r="J29" i="58"/>
  <c r="T29" s="1"/>
  <c r="J38" i="70"/>
  <c r="T38" s="1"/>
  <c r="J11" i="62"/>
  <c r="T11" s="1"/>
  <c r="J91" i="70"/>
  <c r="J10" i="63"/>
  <c r="T10" s="1"/>
  <c r="J45"/>
  <c r="T45" s="1"/>
  <c r="J24" i="65"/>
  <c r="T24" s="1"/>
  <c r="J53" i="66"/>
  <c r="T53" s="1"/>
  <c r="J63" i="63"/>
  <c r="T63" s="1"/>
  <c r="J28"/>
  <c r="T28" s="1"/>
  <c r="J56" i="62"/>
  <c r="T56" s="1"/>
  <c r="J83" i="70"/>
  <c r="T83" s="1"/>
  <c r="J125" i="64"/>
  <c r="T125" s="1"/>
  <c r="J198"/>
  <c r="T198" s="1"/>
  <c r="J134"/>
  <c r="T134" s="1"/>
  <c r="J207"/>
  <c r="T207" s="1"/>
  <c r="J163"/>
  <c r="T163" s="1"/>
  <c r="J102"/>
  <c r="T102" s="1"/>
  <c r="J74"/>
  <c r="T74" s="1"/>
  <c r="H91" i="67"/>
  <c r="R91" s="1"/>
  <c r="H66" i="64"/>
  <c r="R66" s="1"/>
  <c r="S91" i="70"/>
  <c r="I150" i="64"/>
  <c r="S150" s="1"/>
  <c r="I54" i="63"/>
  <c r="S54" s="1"/>
  <c r="I19"/>
  <c r="S19" s="1"/>
  <c r="I41" i="67"/>
  <c r="S41" s="1"/>
  <c r="I19" i="58"/>
  <c r="S19" s="1"/>
  <c r="I51" i="59"/>
  <c r="S51" s="1"/>
  <c r="H38" i="67"/>
  <c r="J13" i="64"/>
  <c r="T13" s="1"/>
  <c r="J29" i="70"/>
  <c r="T29" s="1"/>
  <c r="J55" i="65"/>
  <c r="T55" s="1"/>
  <c r="J23" i="63"/>
  <c r="T23" s="1"/>
  <c r="J58"/>
  <c r="T58" s="1"/>
  <c r="J106" i="64"/>
  <c r="T106" s="1"/>
  <c r="J179"/>
  <c r="T179" s="1"/>
  <c r="J54" i="66"/>
  <c r="T54" s="1"/>
  <c r="J25" i="65"/>
  <c r="T25" s="1"/>
  <c r="J50" i="70"/>
  <c r="T50" s="1"/>
  <c r="J23" i="62"/>
  <c r="T23" s="1"/>
  <c r="J204" i="64"/>
  <c r="T204" s="1"/>
  <c r="J131"/>
  <c r="T131" s="1"/>
  <c r="J39" i="62"/>
  <c r="T39" s="1"/>
  <c r="J66" i="70"/>
  <c r="T66" s="1"/>
  <c r="J11" i="65"/>
  <c r="T11" s="1"/>
  <c r="J40" i="66"/>
  <c r="T40" s="1"/>
  <c r="J16" i="63"/>
  <c r="T16" s="1"/>
  <c r="J51"/>
  <c r="T51" s="1"/>
  <c r="J62" i="64"/>
  <c r="T62" s="1"/>
  <c r="J90"/>
  <c r="T90" s="1"/>
  <c r="J45" i="58"/>
  <c r="T45" s="1"/>
  <c r="J22" i="67"/>
  <c r="T22" s="1"/>
  <c r="J13" i="65"/>
  <c r="T13" s="1"/>
  <c r="J42" i="66"/>
  <c r="T42" s="1"/>
  <c r="J57" i="63"/>
  <c r="T57" s="1"/>
  <c r="J22"/>
  <c r="T22" s="1"/>
  <c r="I124" i="64"/>
  <c r="S124" s="1"/>
  <c r="I197"/>
  <c r="S197" s="1"/>
  <c r="I51" i="67"/>
  <c r="S51" s="1"/>
  <c r="I54" i="64"/>
  <c r="S54" s="1"/>
  <c r="I8" i="62"/>
  <c r="I35" i="70"/>
  <c r="I23" i="58"/>
  <c r="S23" s="1"/>
  <c r="D19" i="73" s="1"/>
  <c r="I55" i="59"/>
  <c r="S55" s="1"/>
  <c r="I50" i="65"/>
  <c r="S50" s="1"/>
  <c r="I24" i="70"/>
  <c r="S24" s="1"/>
  <c r="I57" i="64"/>
  <c r="S57" s="1"/>
  <c r="I85"/>
  <c r="R35" i="70"/>
  <c r="I12" i="59"/>
  <c r="S12" s="1"/>
  <c r="J76" i="72"/>
  <c r="H46" i="58"/>
  <c r="H23" i="67"/>
  <c r="J114" i="70"/>
  <c r="T114" s="1"/>
  <c r="J30" i="65"/>
  <c r="T30" s="1"/>
  <c r="J59" i="66"/>
  <c r="T59" s="1"/>
  <c r="J12" i="64"/>
  <c r="T12" s="1"/>
  <c r="J47" i="63"/>
  <c r="T47" s="1"/>
  <c r="J12"/>
  <c r="T12" s="1"/>
  <c r="J87" i="70"/>
  <c r="T87" s="1"/>
  <c r="J60" i="62"/>
  <c r="T60" s="1"/>
  <c r="J38"/>
  <c r="T38" s="1"/>
  <c r="J65" i="70"/>
  <c r="T65" s="1"/>
  <c r="J42" i="65"/>
  <c r="T42" s="1"/>
  <c r="J16" i="70"/>
  <c r="T16" s="1"/>
  <c r="J29" i="67"/>
  <c r="T29" s="1"/>
  <c r="J52" i="58"/>
  <c r="T52" s="1"/>
  <c r="I65" i="63"/>
  <c r="S65" s="1"/>
  <c r="I30"/>
  <c r="S30" s="1"/>
  <c r="H9" i="59"/>
  <c r="R9" s="1"/>
  <c r="I19" i="30"/>
  <c r="P9" i="29"/>
  <c r="F6" i="53"/>
  <c r="F5" s="1"/>
  <c r="F63"/>
  <c r="I61" i="65"/>
  <c r="J17" i="64"/>
  <c r="T17" s="1"/>
  <c r="J62" i="62"/>
  <c r="T62" s="1"/>
  <c r="J89" i="70"/>
  <c r="T89" s="1"/>
  <c r="J32" i="67"/>
  <c r="T32" s="1"/>
  <c r="J55" i="58"/>
  <c r="T55" s="1"/>
  <c r="J28" i="70"/>
  <c r="T28" s="1"/>
  <c r="J54" i="65"/>
  <c r="T54" s="1"/>
  <c r="J70" i="70"/>
  <c r="T70" s="1"/>
  <c r="J43" i="62"/>
  <c r="T43" s="1"/>
  <c r="T26" i="61"/>
  <c r="L23" i="54"/>
  <c r="L22" s="1"/>
  <c r="I48" i="53" s="1"/>
  <c r="J13" i="66"/>
  <c r="T13" s="1"/>
  <c r="J136" i="64"/>
  <c r="T136" s="1"/>
  <c r="J209"/>
  <c r="T209" s="1"/>
  <c r="J32" i="63"/>
  <c r="T32" s="1"/>
  <c r="J67"/>
  <c r="T67" s="1"/>
  <c r="J26" i="70"/>
  <c r="T26" s="1"/>
  <c r="J52" i="65"/>
  <c r="T52" s="1"/>
  <c r="J141" i="64"/>
  <c r="T141" s="1"/>
  <c r="J214"/>
  <c r="T214" s="1"/>
  <c r="J180"/>
  <c r="T180" s="1"/>
  <c r="J107"/>
  <c r="T107" s="1"/>
  <c r="J25" i="66"/>
  <c r="T25" s="1"/>
  <c r="J106" i="72"/>
  <c r="D145" i="26"/>
  <c r="J145" s="1"/>
  <c r="D161"/>
  <c r="J161" s="1"/>
  <c r="D118"/>
  <c r="J118" s="1"/>
  <c r="D171"/>
  <c r="J171" s="1"/>
  <c r="D146"/>
  <c r="J146" s="1"/>
  <c r="D91"/>
  <c r="J91" s="1"/>
  <c r="D114"/>
  <c r="J114" s="1"/>
  <c r="D136"/>
  <c r="J136" s="1"/>
  <c r="D38"/>
  <c r="D111"/>
  <c r="D172"/>
  <c r="J172" s="1"/>
  <c r="D150"/>
  <c r="J150" s="1"/>
  <c r="D41"/>
  <c r="J41" s="1"/>
  <c r="D219"/>
  <c r="J219" s="1"/>
  <c r="D9"/>
  <c r="J9" s="1"/>
  <c r="D188"/>
  <c r="J188" s="1"/>
  <c r="D123"/>
  <c r="J123" s="1"/>
  <c r="D175"/>
  <c r="J175" s="1"/>
  <c r="D207"/>
  <c r="D112"/>
  <c r="J112" s="1"/>
  <c r="D204"/>
  <c r="J204" s="1"/>
  <c r="D105"/>
  <c r="J105" s="1"/>
  <c r="D34"/>
  <c r="J34" s="1"/>
  <c r="D23"/>
  <c r="D53"/>
  <c r="J53" s="1"/>
  <c r="D160"/>
  <c r="J160" s="1"/>
  <c r="D169"/>
  <c r="D144"/>
  <c r="J144" s="1"/>
  <c r="D185"/>
  <c r="D39"/>
  <c r="J39" s="1"/>
  <c r="D100"/>
  <c r="J100" s="1"/>
  <c r="D33"/>
  <c r="J33" s="1"/>
  <c r="D120"/>
  <c r="J120" s="1"/>
  <c r="D75"/>
  <c r="J75" s="1"/>
  <c r="D152"/>
  <c r="J152" s="1"/>
  <c r="D28"/>
  <c r="J28" s="1"/>
  <c r="D135"/>
  <c r="J135" s="1"/>
  <c r="D191"/>
  <c r="J191" s="1"/>
  <c r="D141"/>
  <c r="J141" s="1"/>
  <c r="D177"/>
  <c r="J177" s="1"/>
  <c r="D194"/>
  <c r="J194" s="1"/>
  <c r="D83"/>
  <c r="J83" s="1"/>
  <c r="D17"/>
  <c r="J17" s="1"/>
  <c r="D85"/>
  <c r="J85" s="1"/>
  <c r="D73"/>
  <c r="J73" s="1"/>
  <c r="I21" i="64"/>
  <c r="S21" s="1"/>
  <c r="I42"/>
  <c r="S42" s="1"/>
  <c r="J62" i="72"/>
  <c r="J36"/>
  <c r="H69" i="64"/>
  <c r="R69" s="1"/>
  <c r="H94" i="67"/>
  <c r="R94" s="1"/>
  <c r="I21" i="59"/>
  <c r="S21" s="1"/>
  <c r="I109" i="64"/>
  <c r="S109" s="1"/>
  <c r="I182"/>
  <c r="S182" s="1"/>
  <c r="I64" i="70"/>
  <c r="S64" s="1"/>
  <c r="I37" i="62"/>
  <c r="S37" s="1"/>
  <c r="S149" i="64"/>
  <c r="S148" s="1"/>
  <c r="K48" i="54" s="1"/>
  <c r="I148" i="64"/>
  <c r="F48" i="54" s="1"/>
  <c r="E21" i="57"/>
  <c r="E22" s="1"/>
  <c r="C3" i="75" s="1"/>
  <c r="M91" i="55"/>
  <c r="H57" i="70"/>
  <c r="R57" s="1"/>
  <c r="H30" i="62"/>
  <c r="R30" s="1"/>
  <c r="H36" i="66"/>
  <c r="H7" i="65"/>
  <c r="J57" i="64"/>
  <c r="T57" s="1"/>
  <c r="J85"/>
  <c r="J30" i="66"/>
  <c r="T30" s="1"/>
  <c r="J42" i="70"/>
  <c r="T42" s="1"/>
  <c r="J15" i="62"/>
  <c r="T15" s="1"/>
  <c r="J33" i="64"/>
  <c r="T33" s="1"/>
  <c r="J35" i="63"/>
  <c r="T35" s="1"/>
  <c r="J70"/>
  <c r="T70" s="1"/>
  <c r="J49" i="70"/>
  <c r="T49" s="1"/>
  <c r="J22" i="62"/>
  <c r="T22" s="1"/>
  <c r="J12" i="58"/>
  <c r="T12" s="1"/>
  <c r="J44" i="59"/>
  <c r="T44" s="1"/>
  <c r="J34" i="65"/>
  <c r="T34" s="1"/>
  <c r="J8" i="70"/>
  <c r="T8" s="1"/>
  <c r="J52" i="63"/>
  <c r="T52" s="1"/>
  <c r="J17"/>
  <c r="T17" s="1"/>
  <c r="J63" i="70"/>
  <c r="T63" s="1"/>
  <c r="J36" i="62"/>
  <c r="T36" s="1"/>
  <c r="J73" i="64"/>
  <c r="T73" s="1"/>
  <c r="J101"/>
  <c r="T101" s="1"/>
  <c r="J53" i="70"/>
  <c r="T53" s="1"/>
  <c r="J26" i="62"/>
  <c r="T26" s="1"/>
  <c r="J11" i="70"/>
  <c r="T11" s="1"/>
  <c r="J37" i="65"/>
  <c r="T37" s="1"/>
  <c r="J26" i="58"/>
  <c r="T26" s="1"/>
  <c r="J57" i="59"/>
  <c r="T57" s="1"/>
  <c r="J19" i="65"/>
  <c r="T19" s="1"/>
  <c r="J48" i="66"/>
  <c r="T48" s="1"/>
  <c r="J43" i="65"/>
  <c r="T43" s="1"/>
  <c r="J17" i="70"/>
  <c r="T17" s="1"/>
  <c r="J57" i="66"/>
  <c r="T57" s="1"/>
  <c r="J28" i="65"/>
  <c r="T28" s="1"/>
  <c r="J215" i="64"/>
  <c r="T215" s="1"/>
  <c r="J142"/>
  <c r="T142" s="1"/>
  <c r="H96" i="67"/>
  <c r="R96" s="1"/>
  <c r="H71" i="64"/>
  <c r="R71" s="1"/>
  <c r="I141"/>
  <c r="S141" s="1"/>
  <c r="I214"/>
  <c r="S214" s="1"/>
  <c r="J24" i="72"/>
  <c r="I50" i="59"/>
  <c r="S50" s="1"/>
  <c r="I18" i="58"/>
  <c r="S18" s="1"/>
  <c r="I122" i="64"/>
  <c r="S122" s="1"/>
  <c r="F48" i="73" s="1"/>
  <c r="I195" i="64"/>
  <c r="S195" s="1"/>
  <c r="S33" i="65"/>
  <c r="I36" i="70"/>
  <c r="S36" s="1"/>
  <c r="I9" i="62"/>
  <c r="S9" s="1"/>
  <c r="I21" i="72"/>
  <c r="I17" s="1"/>
  <c r="J85" i="70"/>
  <c r="T85" s="1"/>
  <c r="J58" i="62"/>
  <c r="T58" s="1"/>
  <c r="J50" i="66"/>
  <c r="T50" s="1"/>
  <c r="J21" i="65"/>
  <c r="T21" s="1"/>
  <c r="J51" i="64"/>
  <c r="T51" s="1"/>
  <c r="J48" i="67"/>
  <c r="T48" s="1"/>
  <c r="J20" i="70"/>
  <c r="T20" s="1"/>
  <c r="J46" i="65"/>
  <c r="T46" s="1"/>
  <c r="J47" i="70"/>
  <c r="T47" s="1"/>
  <c r="J20" i="62"/>
  <c r="T20" s="1"/>
  <c r="J172" i="64"/>
  <c r="T172" s="1"/>
  <c r="J190"/>
  <c r="T190" s="1"/>
  <c r="J117"/>
  <c r="T117" s="1"/>
  <c r="J144"/>
  <c r="T144" s="1"/>
  <c r="J217"/>
  <c r="T217" s="1"/>
  <c r="F11" i="55"/>
  <c r="F6"/>
  <c r="F5" s="1"/>
  <c r="I24" i="62"/>
  <c r="S24" s="1"/>
  <c r="I51" i="70"/>
  <c r="S51" s="1"/>
  <c r="I19" i="67"/>
  <c r="S19" s="1"/>
  <c r="F30" i="73" s="1"/>
  <c r="I42" i="58"/>
  <c r="S42" s="1"/>
  <c r="J74" i="72"/>
  <c r="J73" s="1"/>
  <c r="I94" i="70"/>
  <c r="S94" s="1"/>
  <c r="I94" i="62"/>
  <c r="I34" i="63"/>
  <c r="S34" s="1"/>
  <c r="I69"/>
  <c r="S69" s="1"/>
  <c r="D61" i="73"/>
  <c r="S117" i="62"/>
  <c r="J38" i="72"/>
  <c r="I7"/>
  <c r="I6" s="1"/>
  <c r="J66" i="63"/>
  <c r="T66" s="1"/>
  <c r="J31"/>
  <c r="T31" s="1"/>
  <c r="J95" i="70"/>
  <c r="T95" s="1"/>
  <c r="J95" i="62"/>
  <c r="T95" s="1"/>
  <c r="J45" i="65"/>
  <c r="T45" s="1"/>
  <c r="J19" i="70"/>
  <c r="T19" s="1"/>
  <c r="J13" i="63"/>
  <c r="T13" s="1"/>
  <c r="J48"/>
  <c r="T48" s="1"/>
  <c r="J113" i="64"/>
  <c r="T113" s="1"/>
  <c r="J186"/>
  <c r="T186" s="1"/>
  <c r="J55" i="66"/>
  <c r="T55" s="1"/>
  <c r="J26" i="65"/>
  <c r="T26" s="1"/>
  <c r="J39" i="70"/>
  <c r="T39" s="1"/>
  <c r="J12" i="62"/>
  <c r="T12" s="1"/>
  <c r="J36" i="58"/>
  <c r="T36" s="1"/>
  <c r="J13" i="67"/>
  <c r="T13" s="1"/>
  <c r="J40" i="70"/>
  <c r="T40" s="1"/>
  <c r="J13" i="62"/>
  <c r="T13" s="1"/>
  <c r="J44" i="66"/>
  <c r="T44" s="1"/>
  <c r="J15" i="65"/>
  <c r="T15" s="1"/>
  <c r="J28" i="58"/>
  <c r="T28" s="1"/>
  <c r="J59" i="59"/>
  <c r="T59" s="1"/>
  <c r="H23" i="64"/>
  <c r="I10" i="62"/>
  <c r="S10" s="1"/>
  <c r="I37" i="70"/>
  <c r="S37" s="1"/>
  <c r="I14" i="59"/>
  <c r="S14" s="1"/>
  <c r="H19" i="30"/>
  <c r="O9" i="29"/>
  <c r="J51" i="66"/>
  <c r="T51" s="1"/>
  <c r="J22" i="65"/>
  <c r="T22" s="1"/>
  <c r="J50" i="63"/>
  <c r="T50" s="1"/>
  <c r="J15"/>
  <c r="T15" s="1"/>
  <c r="J74" i="70"/>
  <c r="T74" s="1"/>
  <c r="J47" i="62"/>
  <c r="T47" s="1"/>
  <c r="J10" i="58"/>
  <c r="T10" s="1"/>
  <c r="J42" i="59"/>
  <c r="T42" s="1"/>
  <c r="J165" i="64"/>
  <c r="T165" s="1"/>
  <c r="J41" i="65"/>
  <c r="T41" s="1"/>
  <c r="J15" i="70"/>
  <c r="T15" s="1"/>
  <c r="J12"/>
  <c r="T12" s="1"/>
  <c r="J38" i="65"/>
  <c r="T38" s="1"/>
  <c r="J26" i="61"/>
  <c r="G23" i="54"/>
  <c r="G22" s="1"/>
  <c r="J102" i="62"/>
  <c r="T102" s="1"/>
  <c r="J102" i="70"/>
  <c r="T102" s="1"/>
  <c r="J108" i="64"/>
  <c r="T108" s="1"/>
  <c r="J181"/>
  <c r="T181" s="1"/>
  <c r="J27" i="62"/>
  <c r="T27" s="1"/>
  <c r="J54" i="70"/>
  <c r="T54" s="1"/>
  <c r="T21" i="61"/>
  <c r="T20" s="1"/>
  <c r="L19" i="54" s="1"/>
  <c r="J20" i="61"/>
  <c r="G19" i="54" s="1"/>
  <c r="J60" i="63"/>
  <c r="T60" s="1"/>
  <c r="J25"/>
  <c r="T25" s="1"/>
  <c r="J40" i="64"/>
  <c r="T40" s="1"/>
  <c r="J17" i="66"/>
  <c r="T17" s="1"/>
  <c r="I26" i="59"/>
  <c r="S26" s="1"/>
  <c r="J78" i="72"/>
  <c r="J51"/>
  <c r="D209" i="26"/>
  <c r="J209" s="1"/>
  <c r="D213"/>
  <c r="J213" s="1"/>
  <c r="D29"/>
  <c r="J29" s="1"/>
  <c r="D170"/>
  <c r="J170" s="1"/>
  <c r="D126"/>
  <c r="J126" s="1"/>
  <c r="D11"/>
  <c r="J11" s="1"/>
  <c r="D94"/>
  <c r="J94" s="1"/>
  <c r="D90"/>
  <c r="J90" s="1"/>
  <c r="D189"/>
  <c r="J189" s="1"/>
  <c r="D129"/>
  <c r="J129" s="1"/>
  <c r="D202"/>
  <c r="J202" s="1"/>
  <c r="D176"/>
  <c r="J176" s="1"/>
  <c r="D133"/>
  <c r="D70"/>
  <c r="J70" s="1"/>
  <c r="D106"/>
  <c r="J106" s="1"/>
  <c r="D200"/>
  <c r="J200" s="1"/>
  <c r="D128"/>
  <c r="J128" s="1"/>
  <c r="D82"/>
  <c r="D174"/>
  <c r="J174" s="1"/>
  <c r="D20"/>
  <c r="J20" s="1"/>
  <c r="D66"/>
  <c r="D18"/>
  <c r="J18" s="1"/>
  <c r="D12"/>
  <c r="J12" s="1"/>
  <c r="D79"/>
  <c r="J79" s="1"/>
  <c r="D101"/>
  <c r="J101" s="1"/>
  <c r="D192"/>
  <c r="J192" s="1"/>
  <c r="D121"/>
  <c r="J121" s="1"/>
  <c r="D113"/>
  <c r="J113" s="1"/>
  <c r="D179"/>
  <c r="J179" s="1"/>
  <c r="D16"/>
  <c r="J16" s="1"/>
  <c r="D182"/>
  <c r="J182" s="1"/>
  <c r="D155"/>
  <c r="J155" s="1"/>
  <c r="D116"/>
  <c r="J116" s="1"/>
  <c r="D125"/>
  <c r="J125" s="1"/>
  <c r="D151"/>
  <c r="J151" s="1"/>
  <c r="D60"/>
  <c r="J60" s="1"/>
  <c r="D14"/>
  <c r="J14" s="1"/>
  <c r="D77"/>
  <c r="J77" s="1"/>
  <c r="D63"/>
  <c r="J63" s="1"/>
  <c r="D71"/>
  <c r="J71" s="1"/>
  <c r="D104"/>
  <c r="J104" s="1"/>
  <c r="D154"/>
  <c r="J154" s="1"/>
  <c r="D217"/>
  <c r="J217" s="1"/>
  <c r="D218"/>
  <c r="J218" s="1"/>
  <c r="D103"/>
  <c r="J103" s="1"/>
  <c r="D89"/>
  <c r="J89" s="1"/>
  <c r="J31" i="72"/>
  <c r="J94"/>
  <c r="I31" i="58"/>
  <c r="I8" i="67"/>
  <c r="I24"/>
  <c r="S24" s="1"/>
  <c r="I47" i="58"/>
  <c r="S47" s="1"/>
  <c r="I61" i="70"/>
  <c r="S61" s="1"/>
  <c r="I34" i="62"/>
  <c r="S34" s="1"/>
  <c r="E8" i="30"/>
  <c r="J56" i="58"/>
  <c r="T56" s="1"/>
  <c r="J33" i="67"/>
  <c r="T33" s="1"/>
  <c r="J46" i="70"/>
  <c r="T46" s="1"/>
  <c r="J19" i="62"/>
  <c r="T19" s="1"/>
  <c r="J57" i="65"/>
  <c r="T57" s="1"/>
  <c r="J31" i="70"/>
  <c r="T31" s="1"/>
  <c r="J43" i="64"/>
  <c r="T43" s="1"/>
  <c r="J9" i="63"/>
  <c r="T9" s="1"/>
  <c r="J44"/>
  <c r="T44" s="1"/>
  <c r="J210" i="64"/>
  <c r="T210" s="1"/>
  <c r="J137"/>
  <c r="T137" s="1"/>
  <c r="I38" i="63"/>
  <c r="S38" s="1"/>
  <c r="I73"/>
  <c r="S73" s="1"/>
  <c r="I38" i="58"/>
  <c r="S38" s="1"/>
  <c r="F22" i="73" s="1"/>
  <c r="I15" i="67"/>
  <c r="S15" s="1"/>
  <c r="J18" i="72"/>
  <c r="I12" i="58"/>
  <c r="S12" s="1"/>
  <c r="I44" i="59"/>
  <c r="S44" s="1"/>
  <c r="I68" i="63"/>
  <c r="S68" s="1"/>
  <c r="I33"/>
  <c r="S33" s="1"/>
  <c r="I120" i="64"/>
  <c r="S120" s="1"/>
  <c r="F46" i="73" s="1"/>
  <c r="I193" i="64"/>
  <c r="S193" s="1"/>
  <c r="S7" i="70"/>
  <c r="H10"/>
  <c r="H36" i="65"/>
  <c r="J56" i="66"/>
  <c r="T56" s="1"/>
  <c r="J27" i="65"/>
  <c r="T27" s="1"/>
  <c r="J23"/>
  <c r="T23" s="1"/>
  <c r="J52" i="66"/>
  <c r="T52" s="1"/>
  <c r="J11" i="63"/>
  <c r="T11" s="1"/>
  <c r="J46"/>
  <c r="T46" s="1"/>
  <c r="J41" i="70"/>
  <c r="T41" s="1"/>
  <c r="J14" i="62"/>
  <c r="T14" s="1"/>
  <c r="J33" i="66"/>
  <c r="T33" s="1"/>
  <c r="J29" i="64"/>
  <c r="T29" s="1"/>
  <c r="J55" i="62"/>
  <c r="T55" s="1"/>
  <c r="J82" i="70"/>
  <c r="T82" s="1"/>
  <c r="J42" i="58"/>
  <c r="T42" s="1"/>
  <c r="J19" i="67"/>
  <c r="T19" s="1"/>
  <c r="J49" i="63"/>
  <c r="T49" s="1"/>
  <c r="J14"/>
  <c r="T14" s="1"/>
  <c r="J98" i="70"/>
  <c r="T98" s="1"/>
  <c r="J98" i="62"/>
  <c r="T98" s="1"/>
  <c r="I37" i="72"/>
  <c r="I52" i="62"/>
  <c r="S52" s="1"/>
  <c r="I79" i="70"/>
  <c r="S79" s="1"/>
  <c r="J53" i="72"/>
  <c r="I36" i="63"/>
  <c r="S36" s="1"/>
  <c r="I71"/>
  <c r="S71" s="1"/>
  <c r="I52" i="70"/>
  <c r="S52" s="1"/>
  <c r="I25" i="62"/>
  <c r="S25" s="1"/>
  <c r="J41" i="72"/>
  <c r="I216" i="64"/>
  <c r="S216" s="1"/>
  <c r="I143"/>
  <c r="S143" s="1"/>
  <c r="H131" i="55"/>
  <c r="H47" i="53"/>
  <c r="H43" i="63"/>
  <c r="H8"/>
  <c r="J29"/>
  <c r="T29" s="1"/>
  <c r="J64"/>
  <c r="T64" s="1"/>
  <c r="J20" i="66"/>
  <c r="T20" s="1"/>
  <c r="J97" i="62"/>
  <c r="T97" s="1"/>
  <c r="J97" i="70"/>
  <c r="T97" s="1"/>
  <c r="J26" i="67"/>
  <c r="T26" s="1"/>
  <c r="J49" i="58"/>
  <c r="T49" s="1"/>
  <c r="J35" i="62"/>
  <c r="T35" s="1"/>
  <c r="J62" i="70"/>
  <c r="T62" s="1"/>
  <c r="J200" i="64"/>
  <c r="T200" s="1"/>
  <c r="J127"/>
  <c r="T127" s="1"/>
  <c r="J169"/>
  <c r="T169" s="1"/>
  <c r="J40" i="58"/>
  <c r="T40" s="1"/>
  <c r="J17" i="67"/>
  <c r="T17" s="1"/>
  <c r="J56" i="63"/>
  <c r="T56" s="1"/>
  <c r="J21"/>
  <c r="T21" s="1"/>
  <c r="J175" i="64"/>
  <c r="T175" s="1"/>
  <c r="J72"/>
  <c r="T72" s="1"/>
  <c r="J100"/>
  <c r="T100" s="1"/>
  <c r="J22"/>
  <c r="T22" s="1"/>
  <c r="J50" i="58"/>
  <c r="T50" s="1"/>
  <c r="J27" i="67"/>
  <c r="T27" s="1"/>
  <c r="J58" i="66"/>
  <c r="T58" s="1"/>
  <c r="J29" i="65"/>
  <c r="T29" s="1"/>
  <c r="J16" i="62"/>
  <c r="T16" s="1"/>
  <c r="J43" i="70"/>
  <c r="T43" s="1"/>
  <c r="I100" i="64"/>
  <c r="S100" s="1"/>
  <c r="I72"/>
  <c r="S72" s="1"/>
  <c r="I119"/>
  <c r="S119" s="1"/>
  <c r="F45" i="73" s="1"/>
  <c r="I192" i="64"/>
  <c r="S192" s="1"/>
  <c r="J48" i="59"/>
  <c r="T48" s="1"/>
  <c r="J16" i="58"/>
  <c r="T16" s="1"/>
  <c r="J47" i="64"/>
  <c r="T47" s="1"/>
  <c r="J29" i="62"/>
  <c r="T29" s="1"/>
  <c r="J56" i="70"/>
  <c r="T56" s="1"/>
  <c r="J75" i="63"/>
  <c r="T75" s="1"/>
  <c r="J40"/>
  <c r="T40" s="1"/>
  <c r="J17" i="59"/>
  <c r="T17" s="1"/>
  <c r="J59" i="62"/>
  <c r="T59" s="1"/>
  <c r="J86" i="70"/>
  <c r="T86" s="1"/>
  <c r="J35" i="65"/>
  <c r="T35" s="1"/>
  <c r="J9" i="70"/>
  <c r="T9" s="1"/>
  <c r="J47" i="67"/>
  <c r="T47" s="1"/>
  <c r="J50" i="64"/>
  <c r="T50" s="1"/>
  <c r="J9" i="58"/>
  <c r="T9" s="1"/>
  <c r="J41" i="59"/>
  <c r="T41" s="1"/>
  <c r="J36" i="64"/>
  <c r="T36" s="1"/>
  <c r="J48" i="70"/>
  <c r="T48" s="1"/>
  <c r="J21" i="62"/>
  <c r="T21" s="1"/>
  <c r="J50"/>
  <c r="T50" s="1"/>
  <c r="J77" i="70"/>
  <c r="T77" s="1"/>
  <c r="I13" i="59"/>
  <c r="S13" s="1"/>
  <c r="J104" i="72"/>
  <c r="D67" i="26"/>
  <c r="J67" s="1"/>
  <c r="D115"/>
  <c r="J115" s="1"/>
  <c r="D8"/>
  <c r="D51"/>
  <c r="D57"/>
  <c r="J57" s="1"/>
  <c r="D35"/>
  <c r="J35" s="1"/>
  <c r="D127"/>
  <c r="J127" s="1"/>
  <c r="D48"/>
  <c r="J48" s="1"/>
  <c r="D10"/>
  <c r="J10" s="1"/>
  <c r="D69"/>
  <c r="J69" s="1"/>
  <c r="D210"/>
  <c r="J210" s="1"/>
  <c r="D62"/>
  <c r="J62" s="1"/>
  <c r="D139"/>
  <c r="J139" s="1"/>
  <c r="D201"/>
  <c r="J201" s="1"/>
  <c r="D40"/>
  <c r="J40" s="1"/>
  <c r="D44"/>
  <c r="J44" s="1"/>
  <c r="D30"/>
  <c r="J30" s="1"/>
  <c r="D86"/>
  <c r="J86" s="1"/>
  <c r="D93"/>
  <c r="J93" s="1"/>
  <c r="D198"/>
  <c r="J198" s="1"/>
  <c r="D43"/>
  <c r="J43" s="1"/>
  <c r="D119"/>
  <c r="J119" s="1"/>
  <c r="D92"/>
  <c r="J92" s="1"/>
  <c r="D199"/>
  <c r="J199" s="1"/>
  <c r="D158"/>
  <c r="J158" s="1"/>
  <c r="D124"/>
  <c r="J124" s="1"/>
  <c r="D15"/>
  <c r="J15" s="1"/>
  <c r="D59"/>
  <c r="J59" s="1"/>
  <c r="D137"/>
  <c r="J137" s="1"/>
  <c r="D72"/>
  <c r="J72" s="1"/>
  <c r="D102"/>
  <c r="J102" s="1"/>
  <c r="D58"/>
  <c r="J58" s="1"/>
  <c r="D31"/>
  <c r="J31" s="1"/>
  <c r="D61"/>
  <c r="J61" s="1"/>
  <c r="D99"/>
  <c r="J99" s="1"/>
  <c r="D197"/>
  <c r="D25"/>
  <c r="J25" s="1"/>
  <c r="D108"/>
  <c r="J108" s="1"/>
  <c r="D143"/>
  <c r="J143" s="1"/>
  <c r="D87"/>
  <c r="J87" s="1"/>
  <c r="D186"/>
  <c r="J186" s="1"/>
  <c r="D42"/>
  <c r="J42" s="1"/>
  <c r="D78"/>
  <c r="J78" s="1"/>
  <c r="D211"/>
  <c r="J211" s="1"/>
  <c r="D178"/>
  <c r="J178" s="1"/>
  <c r="D156"/>
  <c r="J156" s="1"/>
  <c r="J40" i="72"/>
  <c r="I47" i="64"/>
  <c r="S47" s="1"/>
  <c r="J69" i="72"/>
  <c r="I37" i="59"/>
  <c r="S37" s="1"/>
  <c r="I72" i="70"/>
  <c r="S72" s="1"/>
  <c r="I45" i="62"/>
  <c r="S45" s="1"/>
  <c r="J87" i="72"/>
  <c r="H72" i="70"/>
  <c r="R72" s="1"/>
  <c r="H45" i="62"/>
  <c r="R45" s="1"/>
  <c r="J52" i="72"/>
  <c r="C28"/>
  <c r="C27" s="1"/>
  <c r="C5" s="1"/>
  <c r="I38" i="67"/>
  <c r="S38" s="1"/>
  <c r="J21" i="72"/>
  <c r="H55" i="70"/>
  <c r="R55" s="1"/>
  <c r="R34" s="1"/>
  <c r="J26" i="54" s="1"/>
  <c r="H28" i="62"/>
  <c r="R28" s="1"/>
  <c r="J65" i="72"/>
  <c r="J95"/>
  <c r="I39" i="67"/>
  <c r="S39" s="1"/>
  <c r="J61" i="72"/>
  <c r="I31" i="59"/>
  <c r="S31" s="1"/>
  <c r="I135" i="64"/>
  <c r="S135" s="1"/>
  <c r="I208"/>
  <c r="S208" s="1"/>
  <c r="J39" i="72"/>
  <c r="I12" i="67"/>
  <c r="S12" s="1"/>
  <c r="I35" i="58"/>
  <c r="S35" s="1"/>
  <c r="F19" i="73" s="1"/>
  <c r="I53" i="64"/>
  <c r="S53" s="1"/>
  <c r="I50" i="67"/>
  <c r="S50" s="1"/>
  <c r="J54" i="63"/>
  <c r="T54" s="1"/>
  <c r="J19"/>
  <c r="T19" s="1"/>
  <c r="J49" i="66"/>
  <c r="T49" s="1"/>
  <c r="J20" i="65"/>
  <c r="T20" s="1"/>
  <c r="J47" i="59"/>
  <c r="T47" s="1"/>
  <c r="J15" i="58"/>
  <c r="T15" s="1"/>
  <c r="J22" i="70"/>
  <c r="T22" s="1"/>
  <c r="J48" i="65"/>
  <c r="T48" s="1"/>
  <c r="J48" i="58"/>
  <c r="T48" s="1"/>
  <c r="J25" i="67"/>
  <c r="T25" s="1"/>
  <c r="J26" i="64"/>
  <c r="T26" s="1"/>
  <c r="J8" i="65"/>
  <c r="T8" s="1"/>
  <c r="J37" i="66"/>
  <c r="T37" s="1"/>
  <c r="J53" i="65"/>
  <c r="T53" s="1"/>
  <c r="J27" i="70"/>
  <c r="T27" s="1"/>
  <c r="I108"/>
  <c r="S108" s="1"/>
  <c r="D46" i="73" s="1"/>
  <c r="I35" i="67"/>
  <c r="J46" i="59"/>
  <c r="T46" s="1"/>
  <c r="J14" i="58"/>
  <c r="T14" s="1"/>
  <c r="J53"/>
  <c r="T53" s="1"/>
  <c r="J30" i="67"/>
  <c r="T30" s="1"/>
  <c r="J23" i="70"/>
  <c r="T23" s="1"/>
  <c r="J49" i="65"/>
  <c r="T49" s="1"/>
  <c r="J10"/>
  <c r="T10" s="1"/>
  <c r="J39" i="66"/>
  <c r="T39" s="1"/>
  <c r="J205" i="64"/>
  <c r="T205" s="1"/>
  <c r="J132"/>
  <c r="T132" s="1"/>
  <c r="J47" i="66"/>
  <c r="T47" s="1"/>
  <c r="J18" i="65"/>
  <c r="T18" s="1"/>
  <c r="J61" i="62"/>
  <c r="T61" s="1"/>
  <c r="J88" i="70"/>
  <c r="T88" s="1"/>
  <c r="J58" i="65"/>
  <c r="T58" s="1"/>
  <c r="J32" i="70"/>
  <c r="T32" s="1"/>
  <c r="H16" i="59"/>
  <c r="R16" s="1"/>
  <c r="I88" i="64"/>
  <c r="S88" s="1"/>
  <c r="I60"/>
  <c r="S60" s="1"/>
  <c r="J50" i="72"/>
  <c r="E30" i="57"/>
  <c r="M136" i="55"/>
  <c r="R8" i="62"/>
  <c r="H7"/>
  <c r="H33" i="63"/>
  <c r="R33" s="1"/>
  <c r="H68"/>
  <c r="R68" s="1"/>
  <c r="I201" i="64"/>
  <c r="S201" s="1"/>
  <c r="F50" i="73" s="1"/>
  <c r="I128" i="64"/>
  <c r="S128" s="1"/>
  <c r="I24" i="59"/>
  <c r="S24" s="1"/>
  <c r="J63" i="72"/>
  <c r="J57"/>
  <c r="I35" i="59"/>
  <c r="S35" s="1"/>
  <c r="I56"/>
  <c r="S56" s="1"/>
  <c r="I25" i="58"/>
  <c r="S25" s="1"/>
  <c r="D21" i="73" s="1"/>
  <c r="J16" i="65"/>
  <c r="T16" s="1"/>
  <c r="J45" i="66"/>
  <c r="T45" s="1"/>
  <c r="J14" i="67"/>
  <c r="T14" s="1"/>
  <c r="J37" i="58"/>
  <c r="T37" s="1"/>
  <c r="J33" i="62"/>
  <c r="T33" s="1"/>
  <c r="J60" i="70"/>
  <c r="T60" s="1"/>
  <c r="J49" i="62"/>
  <c r="T49" s="1"/>
  <c r="J76" i="70"/>
  <c r="T76" s="1"/>
  <c r="J33" i="65"/>
  <c r="J7" i="70"/>
  <c r="J24" i="63"/>
  <c r="T24" s="1"/>
  <c r="J59"/>
  <c r="T59" s="1"/>
  <c r="J39"/>
  <c r="T39" s="1"/>
  <c r="J74"/>
  <c r="T74" s="1"/>
  <c r="J51" i="65"/>
  <c r="T51" s="1"/>
  <c r="J25" i="70"/>
  <c r="T25" s="1"/>
  <c r="J194" i="64"/>
  <c r="T194" s="1"/>
  <c r="J121"/>
  <c r="T121" s="1"/>
  <c r="J31"/>
  <c r="T31" s="1"/>
  <c r="J30" i="70"/>
  <c r="T30" s="1"/>
  <c r="J56" i="65"/>
  <c r="T56" s="1"/>
  <c r="J47"/>
  <c r="T47" s="1"/>
  <c r="J21" i="70"/>
  <c r="T21" s="1"/>
  <c r="J8" i="66"/>
  <c r="T8" s="1"/>
  <c r="H5" i="73"/>
  <c r="I26" i="58"/>
  <c r="S26" s="1"/>
  <c r="D22" i="73" s="1"/>
  <c r="I57" i="59"/>
  <c r="S57" s="1"/>
  <c r="I9"/>
  <c r="S9" s="1"/>
  <c r="I62" i="63"/>
  <c r="S62" s="1"/>
  <c r="I27"/>
  <c r="S27" s="1"/>
  <c r="I38" i="62"/>
  <c r="S38" s="1"/>
  <c r="I65" i="70"/>
  <c r="S65" s="1"/>
  <c r="J60" i="66"/>
  <c r="T60" s="1"/>
  <c r="J31" i="65"/>
  <c r="T31" s="1"/>
  <c r="J59"/>
  <c r="T59" s="1"/>
  <c r="J33" i="70"/>
  <c r="T33" s="1"/>
  <c r="J45"/>
  <c r="T45" s="1"/>
  <c r="J18" i="62"/>
  <c r="T18" s="1"/>
  <c r="J31"/>
  <c r="T31" s="1"/>
  <c r="J58" i="70"/>
  <c r="T58" s="1"/>
  <c r="J54" i="59"/>
  <c r="T54" s="1"/>
  <c r="J22" i="58"/>
  <c r="T22" s="1"/>
  <c r="J101" i="70"/>
  <c r="T101" s="1"/>
  <c r="J101" i="62"/>
  <c r="T101" s="1"/>
  <c r="J44" i="70"/>
  <c r="T44" s="1"/>
  <c r="J17" i="62"/>
  <c r="T17" s="1"/>
  <c r="J38" i="66"/>
  <c r="T38" s="1"/>
  <c r="J9" i="65"/>
  <c r="T9" s="1"/>
  <c r="J14"/>
  <c r="T14" s="1"/>
  <c r="J43" i="66"/>
  <c r="T43" s="1"/>
  <c r="J158" i="64"/>
  <c r="T158" s="1"/>
  <c r="J40" i="65"/>
  <c r="T40" s="1"/>
  <c r="J14" i="70"/>
  <c r="T14" s="1"/>
  <c r="J39" i="65"/>
  <c r="T39" s="1"/>
  <c r="J13" i="70"/>
  <c r="T13" s="1"/>
  <c r="J18" i="63"/>
  <c r="T18" s="1"/>
  <c r="J53"/>
  <c r="T53" s="1"/>
  <c r="J61"/>
  <c r="T61" s="1"/>
  <c r="J26"/>
  <c r="T26" s="1"/>
  <c r="J27" i="59"/>
  <c r="T27" s="1"/>
  <c r="J46" i="66"/>
  <c r="T46" s="1"/>
  <c r="J17" i="65"/>
  <c r="T17" s="1"/>
  <c r="J93" i="72"/>
  <c r="J35"/>
  <c r="I9" i="64"/>
  <c r="S9" s="1"/>
  <c r="I11"/>
  <c r="S11" s="1"/>
  <c r="J12" i="72"/>
  <c r="R148" i="64"/>
  <c r="J48" i="54" s="1"/>
  <c r="J42" i="72"/>
  <c r="D98" i="26"/>
  <c r="J98" s="1"/>
  <c r="D180"/>
  <c r="J180" s="1"/>
  <c r="D130"/>
  <c r="J130" s="1"/>
  <c r="D13"/>
  <c r="J13" s="1"/>
  <c r="D134"/>
  <c r="J134" s="1"/>
  <c r="D181"/>
  <c r="J181" s="1"/>
  <c r="D138"/>
  <c r="J138" s="1"/>
  <c r="D149"/>
  <c r="D142"/>
  <c r="J142" s="1"/>
  <c r="D216"/>
  <c r="D187"/>
  <c r="J187" s="1"/>
  <c r="D212"/>
  <c r="J212" s="1"/>
  <c r="D56"/>
  <c r="J56" s="1"/>
  <c r="D52"/>
  <c r="J52" s="1"/>
  <c r="D19"/>
  <c r="J19" s="1"/>
  <c r="D97"/>
  <c r="D47"/>
  <c r="J47" s="1"/>
  <c r="D159"/>
  <c r="J159" s="1"/>
  <c r="D157"/>
  <c r="J157" s="1"/>
  <c r="D45"/>
  <c r="J45" s="1"/>
  <c r="D107"/>
  <c r="J107" s="1"/>
  <c r="D24"/>
  <c r="J24" s="1"/>
  <c r="D76"/>
  <c r="J76" s="1"/>
  <c r="D117"/>
  <c r="J117" s="1"/>
  <c r="D54"/>
  <c r="J54" s="1"/>
  <c r="D203"/>
  <c r="J203" s="1"/>
  <c r="D163"/>
  <c r="J163" s="1"/>
  <c r="D122"/>
  <c r="J122" s="1"/>
  <c r="D190"/>
  <c r="J190" s="1"/>
  <c r="D208"/>
  <c r="J208" s="1"/>
  <c r="D193"/>
  <c r="J193" s="1"/>
  <c r="D55"/>
  <c r="J55" s="1"/>
  <c r="D26"/>
  <c r="J26" s="1"/>
  <c r="D32"/>
  <c r="J32" s="1"/>
  <c r="D153"/>
  <c r="J153" s="1"/>
  <c r="D164"/>
  <c r="J164" s="1"/>
  <c r="D165"/>
  <c r="J165" s="1"/>
  <c r="D84"/>
  <c r="J84" s="1"/>
  <c r="D27"/>
  <c r="J27" s="1"/>
  <c r="D88"/>
  <c r="J88" s="1"/>
  <c r="D166"/>
  <c r="J166" s="1"/>
  <c r="D173"/>
  <c r="J173" s="1"/>
  <c r="D140"/>
  <c r="J140" s="1"/>
  <c r="D46"/>
  <c r="J46" s="1"/>
  <c r="D74"/>
  <c r="J74" s="1"/>
  <c r="D68"/>
  <c r="J68" s="1"/>
  <c r="E4" i="57"/>
  <c r="J54" i="72"/>
  <c r="K28" i="61"/>
  <c r="E31" i="57" l="1"/>
  <c r="C7" i="75" s="1"/>
  <c r="I183" i="64"/>
  <c r="S183" s="1"/>
  <c r="I110"/>
  <c r="S110" s="1"/>
  <c r="I20" i="63"/>
  <c r="S20" s="1"/>
  <c r="I55"/>
  <c r="S55" s="1"/>
  <c r="I46" i="64"/>
  <c r="S46" s="1"/>
  <c r="J92" i="70"/>
  <c r="T92" s="1"/>
  <c r="I64" i="64"/>
  <c r="S64" s="1"/>
  <c r="I92"/>
  <c r="S92" s="1"/>
  <c r="J37" i="72"/>
  <c r="J64"/>
  <c r="J40" i="59"/>
  <c r="T40" s="1"/>
  <c r="J8" i="58"/>
  <c r="T8" s="1"/>
  <c r="J11"/>
  <c r="T11" s="1"/>
  <c r="J43" i="59"/>
  <c r="T43" s="1"/>
  <c r="I11" i="67"/>
  <c r="S11" s="1"/>
  <c r="F27" i="73" s="1"/>
  <c r="I34" i="58"/>
  <c r="S34" s="1"/>
  <c r="J96" i="70"/>
  <c r="T96" s="1"/>
  <c r="J96" i="62"/>
  <c r="T96" s="1"/>
  <c r="I94" i="64"/>
  <c r="S94" s="1"/>
  <c r="I66"/>
  <c r="S66" s="1"/>
  <c r="K35"/>
  <c r="U35" s="1"/>
  <c r="W35" s="1"/>
  <c r="K104" i="70"/>
  <c r="U104" s="1"/>
  <c r="W104" s="1"/>
  <c r="K15" i="64"/>
  <c r="U15" s="1"/>
  <c r="W15" s="1"/>
  <c r="K8" i="59"/>
  <c r="U8" s="1"/>
  <c r="W8" s="1"/>
  <c r="K20"/>
  <c r="U20" s="1"/>
  <c r="W20" s="1"/>
  <c r="K63" i="65"/>
  <c r="U63" s="1"/>
  <c r="W63" s="1"/>
  <c r="K16" i="64"/>
  <c r="U16" s="1"/>
  <c r="W16" s="1"/>
  <c r="K10" i="59"/>
  <c r="U10" s="1"/>
  <c r="W10" s="1"/>
  <c r="K157" i="64"/>
  <c r="U157" s="1"/>
  <c r="W157" s="1"/>
  <c r="K170"/>
  <c r="U170" s="1"/>
  <c r="W170" s="1"/>
  <c r="K39"/>
  <c r="U39" s="1"/>
  <c r="W39" s="1"/>
  <c r="I206"/>
  <c r="S206" s="1"/>
  <c r="I133"/>
  <c r="S133" s="1"/>
  <c r="D96" i="26"/>
  <c r="J97"/>
  <c r="J96" s="1"/>
  <c r="E48" i="29" s="1"/>
  <c r="E47" s="1"/>
  <c r="D148" i="26"/>
  <c r="J149"/>
  <c r="J148" s="1"/>
  <c r="E66" i="29" s="1"/>
  <c r="E65" s="1"/>
  <c r="I17" i="58"/>
  <c r="S17" s="1"/>
  <c r="I49" i="59"/>
  <c r="S49" s="1"/>
  <c r="I18" i="70"/>
  <c r="S18" s="1"/>
  <c r="I44" i="65"/>
  <c r="S44" s="1"/>
  <c r="J61"/>
  <c r="T33"/>
  <c r="J53" i="64"/>
  <c r="T53" s="1"/>
  <c r="J50" i="67"/>
  <c r="T50" s="1"/>
  <c r="J124" i="64"/>
  <c r="T124" s="1"/>
  <c r="J197"/>
  <c r="T197" s="1"/>
  <c r="J189"/>
  <c r="T189" s="1"/>
  <c r="J116"/>
  <c r="T116" s="1"/>
  <c r="J68" i="72"/>
  <c r="I39" i="58"/>
  <c r="S39" s="1"/>
  <c r="I16" i="67"/>
  <c r="S16" s="1"/>
  <c r="F28" i="73" s="1"/>
  <c r="I41" i="58"/>
  <c r="S41" s="1"/>
  <c r="I18" i="67"/>
  <c r="S18" s="1"/>
  <c r="F29" i="73" s="1"/>
  <c r="I28" i="72"/>
  <c r="I27" s="1"/>
  <c r="I5" s="1"/>
  <c r="I111" i="70"/>
  <c r="S111" s="1"/>
  <c r="D49" i="73" s="1"/>
  <c r="J88" i="72"/>
  <c r="I23" i="64"/>
  <c r="S23" s="1"/>
  <c r="I86"/>
  <c r="S86" s="1"/>
  <c r="I58"/>
  <c r="S58" s="1"/>
  <c r="I24"/>
  <c r="S24" s="1"/>
  <c r="J21" i="59"/>
  <c r="T21" s="1"/>
  <c r="R36" i="65"/>
  <c r="R32" s="1"/>
  <c r="J55" i="54" s="1"/>
  <c r="H32" i="65"/>
  <c r="E55" i="54" s="1"/>
  <c r="J24" i="70"/>
  <c r="T24" s="1"/>
  <c r="J50" i="65"/>
  <c r="T50" s="1"/>
  <c r="J150" i="64"/>
  <c r="T150" s="1"/>
  <c r="E7" i="30"/>
  <c r="I67" i="70"/>
  <c r="S67" s="1"/>
  <c r="I40" i="62"/>
  <c r="S40" s="1"/>
  <c r="J34" i="72"/>
  <c r="I69" i="64"/>
  <c r="S69" s="1"/>
  <c r="I97"/>
  <c r="S97" s="1"/>
  <c r="I123"/>
  <c r="S123" s="1"/>
  <c r="F49" i="73" s="1"/>
  <c r="I196" i="64"/>
  <c r="S196" s="1"/>
  <c r="I188"/>
  <c r="S188" s="1"/>
  <c r="I115"/>
  <c r="S115" s="1"/>
  <c r="F41" i="73" s="1"/>
  <c r="R23" i="64"/>
  <c r="R7" s="1"/>
  <c r="H7"/>
  <c r="J43" i="58"/>
  <c r="T43" s="1"/>
  <c r="J20" i="67"/>
  <c r="T20" s="1"/>
  <c r="J36" i="63"/>
  <c r="T36" s="1"/>
  <c r="J71"/>
  <c r="T71" s="1"/>
  <c r="T85" i="64"/>
  <c r="R7" i="65"/>
  <c r="R6" s="1"/>
  <c r="H6"/>
  <c r="I52" i="59"/>
  <c r="S52" s="1"/>
  <c r="I20" i="58"/>
  <c r="S20" s="1"/>
  <c r="I89" i="64"/>
  <c r="S89" s="1"/>
  <c r="I61"/>
  <c r="S61" s="1"/>
  <c r="J111" i="26"/>
  <c r="J110" s="1"/>
  <c r="E54" i="29" s="1"/>
  <c r="E53" s="1"/>
  <c r="D110" i="26"/>
  <c r="I63" i="64"/>
  <c r="S63" s="1"/>
  <c r="I91"/>
  <c r="S91" s="1"/>
  <c r="R23" i="67"/>
  <c r="H7"/>
  <c r="J39"/>
  <c r="T39" s="1"/>
  <c r="J37" i="70"/>
  <c r="T37" s="1"/>
  <c r="J10" i="62"/>
  <c r="T10" s="1"/>
  <c r="J23" i="58"/>
  <c r="T23" s="1"/>
  <c r="J55" i="59"/>
  <c r="T55" s="1"/>
  <c r="K40" i="67"/>
  <c r="U40" s="1"/>
  <c r="K9" i="66"/>
  <c r="U9" s="1"/>
  <c r="W9" s="1"/>
  <c r="K32" i="64"/>
  <c r="U32" s="1"/>
  <c r="W32" s="1"/>
  <c r="K28" i="59"/>
  <c r="U28" s="1"/>
  <c r="W28" s="1"/>
  <c r="K12" i="66"/>
  <c r="U12" s="1"/>
  <c r="W12" s="1"/>
  <c r="K23" i="59"/>
  <c r="U23" s="1"/>
  <c r="W23" s="1"/>
  <c r="K18" i="64"/>
  <c r="U18" s="1"/>
  <c r="W18" s="1"/>
  <c r="K27" i="66"/>
  <c r="U27" s="1"/>
  <c r="W27" s="1"/>
  <c r="K155" i="64"/>
  <c r="U155" s="1"/>
  <c r="W155" s="1"/>
  <c r="K11" i="59"/>
  <c r="U11" s="1"/>
  <c r="W11" s="1"/>
  <c r="K30"/>
  <c r="U30" s="1"/>
  <c r="W30" s="1"/>
  <c r="K113" i="70"/>
  <c r="U113" s="1"/>
  <c r="W113" s="1"/>
  <c r="K34" i="64"/>
  <c r="U34" s="1"/>
  <c r="W34" s="1"/>
  <c r="K171"/>
  <c r="U171" s="1"/>
  <c r="W171" s="1"/>
  <c r="K173"/>
  <c r="U173" s="1"/>
  <c r="W173" s="1"/>
  <c r="K19" i="66"/>
  <c r="U19" s="1"/>
  <c r="W19" s="1"/>
  <c r="K41" i="64"/>
  <c r="U41" s="1"/>
  <c r="W41" s="1"/>
  <c r="K22" i="59"/>
  <c r="U22" s="1"/>
  <c r="W22" s="1"/>
  <c r="K19"/>
  <c r="U19" s="1"/>
  <c r="W19" s="1"/>
  <c r="K11" i="66"/>
  <c r="U11" s="1"/>
  <c r="W11" s="1"/>
  <c r="K32"/>
  <c r="U32" s="1"/>
  <c r="W32" s="1"/>
  <c r="K164" i="64"/>
  <c r="U164" s="1"/>
  <c r="W164" s="1"/>
  <c r="K26" i="66"/>
  <c r="U26" s="1"/>
  <c r="W26" s="1"/>
  <c r="K24"/>
  <c r="U24" s="1"/>
  <c r="W24" s="1"/>
  <c r="K156" i="64"/>
  <c r="U156" s="1"/>
  <c r="W156" s="1"/>
  <c r="K18" i="66"/>
  <c r="U18" s="1"/>
  <c r="W18" s="1"/>
  <c r="K151" i="64"/>
  <c r="U151" s="1"/>
  <c r="W151" s="1"/>
  <c r="D28" i="72"/>
  <c r="D27" s="1"/>
  <c r="I65" i="64"/>
  <c r="S65" s="1"/>
  <c r="I93"/>
  <c r="S93" s="1"/>
  <c r="I32" i="58"/>
  <c r="S32" s="1"/>
  <c r="I9" i="67"/>
  <c r="S9" s="1"/>
  <c r="F25" i="73" s="1"/>
  <c r="I21" i="67"/>
  <c r="S21" s="1"/>
  <c r="F32" i="73" s="1"/>
  <c r="I44" i="58"/>
  <c r="S44" s="1"/>
  <c r="I92" i="70"/>
  <c r="J110" i="64"/>
  <c r="T110" s="1"/>
  <c r="J183"/>
  <c r="T183" s="1"/>
  <c r="J206"/>
  <c r="T206" s="1"/>
  <c r="J133"/>
  <c r="T133" s="1"/>
  <c r="T7" i="70"/>
  <c r="I20" i="67"/>
  <c r="S20" s="1"/>
  <c r="F31" i="73" s="1"/>
  <c r="I43" i="58"/>
  <c r="S43" s="1"/>
  <c r="I100" i="70"/>
  <c r="S100" s="1"/>
  <c r="I100" i="62"/>
  <c r="S100" s="1"/>
  <c r="D59" i="73" s="1"/>
  <c r="I46" i="62"/>
  <c r="S46" s="1"/>
  <c r="I73" i="70"/>
  <c r="S73" s="1"/>
  <c r="I140" i="64"/>
  <c r="S140" s="1"/>
  <c r="I213"/>
  <c r="S213" s="1"/>
  <c r="I203"/>
  <c r="S203" s="1"/>
  <c r="I130"/>
  <c r="S130" s="1"/>
  <c r="J8" i="26"/>
  <c r="J7" s="1"/>
  <c r="D7"/>
  <c r="I28" i="67"/>
  <c r="S28" s="1"/>
  <c r="I51" i="58"/>
  <c r="S51" s="1"/>
  <c r="J21" i="64"/>
  <c r="T21" s="1"/>
  <c r="I53" i="67"/>
  <c r="S53" s="1"/>
  <c r="I56" i="64"/>
  <c r="S56" s="1"/>
  <c r="J38" i="67"/>
  <c r="T38" s="1"/>
  <c r="J24" i="59"/>
  <c r="T24" s="1"/>
  <c r="H125" i="55"/>
  <c r="H124" s="1"/>
  <c r="H130"/>
  <c r="J30" i="63"/>
  <c r="T30" s="1"/>
  <c r="J65"/>
  <c r="T65" s="1"/>
  <c r="C17" i="40"/>
  <c r="I54" i="62"/>
  <c r="S54" s="1"/>
  <c r="I81" i="70"/>
  <c r="S81" s="1"/>
  <c r="I218" i="64"/>
  <c r="S218" s="1"/>
  <c r="I145"/>
  <c r="S145" s="1"/>
  <c r="I129"/>
  <c r="S129" s="1"/>
  <c r="I202"/>
  <c r="S202" s="1"/>
  <c r="F51" i="73" s="1"/>
  <c r="J32" i="62"/>
  <c r="T32" s="1"/>
  <c r="J59" i="70"/>
  <c r="T59" s="1"/>
  <c r="I45" i="59"/>
  <c r="S45" s="1"/>
  <c r="I13" i="58"/>
  <c r="S13" s="1"/>
  <c r="J66" i="26"/>
  <c r="J65" s="1"/>
  <c r="E36" i="29" s="1"/>
  <c r="E35" s="1"/>
  <c r="D65" i="26"/>
  <c r="D132"/>
  <c r="J133"/>
  <c r="J132" s="1"/>
  <c r="E60" i="29" s="1"/>
  <c r="E59" s="1"/>
  <c r="J92" i="72"/>
  <c r="J82" s="1"/>
  <c r="J35" i="67"/>
  <c r="J120" i="64"/>
  <c r="T120" s="1"/>
  <c r="J193"/>
  <c r="T193" s="1"/>
  <c r="J192"/>
  <c r="T192" s="1"/>
  <c r="J119"/>
  <c r="T119" s="1"/>
  <c r="J184"/>
  <c r="T184" s="1"/>
  <c r="J111"/>
  <c r="T111" s="1"/>
  <c r="J44" i="58"/>
  <c r="T44" s="1"/>
  <c r="J21" i="67"/>
  <c r="T21" s="1"/>
  <c r="J38" i="58"/>
  <c r="T38" s="1"/>
  <c r="J15" i="67"/>
  <c r="T15" s="1"/>
  <c r="C18" i="40"/>
  <c r="D168" i="26"/>
  <c r="J169"/>
  <c r="J168" s="1"/>
  <c r="E72" i="29" s="1"/>
  <c r="E71" s="1"/>
  <c r="D206" i="26"/>
  <c r="J207"/>
  <c r="J206" s="1"/>
  <c r="E90" i="29" s="1"/>
  <c r="E89" s="1"/>
  <c r="I8" i="58"/>
  <c r="S8" s="1"/>
  <c r="I40" i="59"/>
  <c r="S40" s="1"/>
  <c r="C10" i="40"/>
  <c r="J14" i="59"/>
  <c r="T14" s="1"/>
  <c r="K162" i="64"/>
  <c r="U162" s="1"/>
  <c r="W162" s="1"/>
  <c r="K29" i="66"/>
  <c r="U29" s="1"/>
  <c r="W29" s="1"/>
  <c r="K36" i="59"/>
  <c r="U36" s="1"/>
  <c r="W36" s="1"/>
  <c r="K27" i="64"/>
  <c r="U27" s="1"/>
  <c r="W27" s="1"/>
  <c r="K16" i="66"/>
  <c r="U16" s="1"/>
  <c r="W16" s="1"/>
  <c r="K43" i="67"/>
  <c r="U43" s="1"/>
  <c r="K29" i="59"/>
  <c r="U29" s="1"/>
  <c r="W29" s="1"/>
  <c r="K21" i="61"/>
  <c r="K25" i="59"/>
  <c r="U25" s="1"/>
  <c r="W25" s="1"/>
  <c r="K22" i="66"/>
  <c r="U22" s="1"/>
  <c r="W22" s="1"/>
  <c r="K106" i="70"/>
  <c r="U106" s="1"/>
  <c r="W106" s="1"/>
  <c r="K44" i="64"/>
  <c r="U44" s="1"/>
  <c r="W44" s="1"/>
  <c r="K28"/>
  <c r="U28" s="1"/>
  <c r="W28" s="1"/>
  <c r="K32" i="59"/>
  <c r="U32" s="1"/>
  <c r="W32" s="1"/>
  <c r="K176" i="64"/>
  <c r="U176" s="1"/>
  <c r="W176" s="1"/>
  <c r="K20"/>
  <c r="U20" s="1"/>
  <c r="W20" s="1"/>
  <c r="K168"/>
  <c r="U168" s="1"/>
  <c r="W168" s="1"/>
  <c r="K25"/>
  <c r="U25" s="1"/>
  <c r="W25" s="1"/>
  <c r="K112" i="70"/>
  <c r="U112" s="1"/>
  <c r="W112" s="1"/>
  <c r="K174" i="64"/>
  <c r="U174" s="1"/>
  <c r="W174" s="1"/>
  <c r="K24" i="58"/>
  <c r="U24" s="1"/>
  <c r="K21" i="66"/>
  <c r="U21" s="1"/>
  <c r="W21" s="1"/>
  <c r="K33" i="59"/>
  <c r="U33" s="1"/>
  <c r="W33" s="1"/>
  <c r="K166" i="64"/>
  <c r="U166" s="1"/>
  <c r="W166" s="1"/>
  <c r="D215" i="26"/>
  <c r="J216"/>
  <c r="J215" s="1"/>
  <c r="E96" i="29" s="1"/>
  <c r="E95" s="1"/>
  <c r="I185" i="64"/>
  <c r="S185" s="1"/>
  <c r="I112"/>
  <c r="S112" s="1"/>
  <c r="J149"/>
  <c r="I96"/>
  <c r="S96" s="1"/>
  <c r="I68"/>
  <c r="S68" s="1"/>
  <c r="J34" i="58"/>
  <c r="T34" s="1"/>
  <c r="J11" i="67"/>
  <c r="T11" s="1"/>
  <c r="J18" i="58"/>
  <c r="T18" s="1"/>
  <c r="J50" i="59"/>
  <c r="T50" s="1"/>
  <c r="H99" i="70"/>
  <c r="H72" i="62"/>
  <c r="J46" i="64"/>
  <c r="T46" s="1"/>
  <c r="E31" i="54"/>
  <c r="J213" i="64"/>
  <c r="T213" s="1"/>
  <c r="J140"/>
  <c r="T140" s="1"/>
  <c r="J60"/>
  <c r="T60" s="1"/>
  <c r="J88"/>
  <c r="T88" s="1"/>
  <c r="J31" i="59"/>
  <c r="T31" s="1"/>
  <c r="J208" i="64"/>
  <c r="T208" s="1"/>
  <c r="J135"/>
  <c r="T135" s="1"/>
  <c r="H74" i="67"/>
  <c r="H49" i="64"/>
  <c r="I87"/>
  <c r="S87" s="1"/>
  <c r="I59"/>
  <c r="S59" s="1"/>
  <c r="I11" i="58"/>
  <c r="S11" s="1"/>
  <c r="I43" i="59"/>
  <c r="S43" s="1"/>
  <c r="I55" i="64"/>
  <c r="S55" s="1"/>
  <c r="I52" i="67"/>
  <c r="S52" s="1"/>
  <c r="I52" i="64"/>
  <c r="S52" s="1"/>
  <c r="I49" i="67"/>
  <c r="S49" s="1"/>
  <c r="I41" i="62"/>
  <c r="S41" s="1"/>
  <c r="I68" i="70"/>
  <c r="S68" s="1"/>
  <c r="J219" i="64"/>
  <c r="T219" s="1"/>
  <c r="J146"/>
  <c r="T146" s="1"/>
  <c r="D196" i="26"/>
  <c r="J197"/>
  <c r="J196" s="1"/>
  <c r="E84" i="29" s="1"/>
  <c r="E83" s="1"/>
  <c r="D50" i="26"/>
  <c r="J51"/>
  <c r="J50" s="1"/>
  <c r="E30" i="29" s="1"/>
  <c r="E29" s="1"/>
  <c r="I99" i="64"/>
  <c r="S99" s="1"/>
  <c r="I71"/>
  <c r="S71" s="1"/>
  <c r="J108" i="70"/>
  <c r="T108" s="1"/>
  <c r="H42" i="63"/>
  <c r="R43"/>
  <c r="R42" s="1"/>
  <c r="J68" i="70"/>
  <c r="T68" s="1"/>
  <c r="J41" i="62"/>
  <c r="T41" s="1"/>
  <c r="S31" i="58"/>
  <c r="I114" i="64"/>
  <c r="S114" s="1"/>
  <c r="I187"/>
  <c r="S187" s="1"/>
  <c r="J96" i="72"/>
  <c r="I116" i="64"/>
  <c r="S116" s="1"/>
  <c r="F42" i="73" s="1"/>
  <c r="I189" i="64"/>
  <c r="S189" s="1"/>
  <c r="J82" i="26"/>
  <c r="J81" s="1"/>
  <c r="E42" i="29" s="1"/>
  <c r="E41" s="1"/>
  <c r="D81" i="26"/>
  <c r="J53" i="59"/>
  <c r="T53" s="1"/>
  <c r="J21" i="58"/>
  <c r="T21" s="1"/>
  <c r="I67" i="64"/>
  <c r="S67" s="1"/>
  <c r="I95"/>
  <c r="S95" s="1"/>
  <c r="J70"/>
  <c r="T70" s="1"/>
  <c r="J98"/>
  <c r="T98" s="1"/>
  <c r="J37" i="59"/>
  <c r="T37" s="1"/>
  <c r="I199" i="64"/>
  <c r="S199" s="1"/>
  <c r="I126"/>
  <c r="S126" s="1"/>
  <c r="D22" i="26"/>
  <c r="J23"/>
  <c r="J22" s="1"/>
  <c r="E18" i="29" s="1"/>
  <c r="E17" s="1"/>
  <c r="I107" i="70"/>
  <c r="S107" s="1"/>
  <c r="D45" i="73" s="1"/>
  <c r="I47" i="53"/>
  <c r="I131" i="55"/>
  <c r="J27" i="63"/>
  <c r="T27" s="1"/>
  <c r="J62"/>
  <c r="T62" s="1"/>
  <c r="S61" i="65"/>
  <c r="S60" s="1"/>
  <c r="K56" i="54" s="1"/>
  <c r="I60" i="65"/>
  <c r="F56" i="54" s="1"/>
  <c r="H178" i="64"/>
  <c r="H105"/>
  <c r="J105" i="72"/>
  <c r="S85" i="64"/>
  <c r="S8" i="62"/>
  <c r="J109" i="64"/>
  <c r="T109" s="1"/>
  <c r="J182"/>
  <c r="T182" s="1"/>
  <c r="R38" i="67"/>
  <c r="H34"/>
  <c r="E63" i="54" s="1"/>
  <c r="T91" i="70"/>
  <c r="R7" i="62"/>
  <c r="J13" i="59"/>
  <c r="T13" s="1"/>
  <c r="J17" i="72"/>
  <c r="K17" s="1"/>
  <c r="L17" s="1"/>
  <c r="J44" i="67"/>
  <c r="T44" s="1"/>
  <c r="J9" i="64"/>
  <c r="T9" s="1"/>
  <c r="J110" i="70"/>
  <c r="T110" s="1"/>
  <c r="K115"/>
  <c r="U115" s="1"/>
  <c r="W115" s="1"/>
  <c r="K161" i="64"/>
  <c r="U161" s="1"/>
  <c r="W161" s="1"/>
  <c r="K31" i="66"/>
  <c r="U31" s="1"/>
  <c r="W31" s="1"/>
  <c r="K159" i="64"/>
  <c r="U159" s="1"/>
  <c r="W159" s="1"/>
  <c r="K15" i="59"/>
  <c r="U15" s="1"/>
  <c r="W15" s="1"/>
  <c r="K34"/>
  <c r="U34" s="1"/>
  <c r="W34" s="1"/>
  <c r="K14" i="64"/>
  <c r="U14" s="1"/>
  <c r="W14" s="1"/>
  <c r="K23" i="66"/>
  <c r="U23" s="1"/>
  <c r="W23" s="1"/>
  <c r="K38" i="64"/>
  <c r="U38" s="1"/>
  <c r="W38" s="1"/>
  <c r="K30"/>
  <c r="U30" s="1"/>
  <c r="W30" s="1"/>
  <c r="K167"/>
  <c r="U167" s="1"/>
  <c r="W167" s="1"/>
  <c r="K45"/>
  <c r="U45" s="1"/>
  <c r="W45" s="1"/>
  <c r="K27" i="61"/>
  <c r="U28"/>
  <c r="K62" i="65"/>
  <c r="U62" s="1"/>
  <c r="W62" s="1"/>
  <c r="K37" i="67"/>
  <c r="U37" s="1"/>
  <c r="K15" i="66"/>
  <c r="U15" s="1"/>
  <c r="W15" s="1"/>
  <c r="K37" i="64"/>
  <c r="U37" s="1"/>
  <c r="W37" s="1"/>
  <c r="K18" i="59"/>
  <c r="U18" s="1"/>
  <c r="W18" s="1"/>
  <c r="K105" i="70"/>
  <c r="U105" s="1"/>
  <c r="W105" s="1"/>
  <c r="K42" i="67"/>
  <c r="U42" s="1"/>
  <c r="K34" i="66"/>
  <c r="U34" s="1"/>
  <c r="W34" s="1"/>
  <c r="K28"/>
  <c r="U28" s="1"/>
  <c r="W28" s="1"/>
  <c r="K160" i="64"/>
  <c r="U160" s="1"/>
  <c r="W160" s="1"/>
  <c r="K14" i="66"/>
  <c r="U14" s="1"/>
  <c r="W14" s="1"/>
  <c r="K10"/>
  <c r="U10" s="1"/>
  <c r="W10" s="1"/>
  <c r="D7" i="72"/>
  <c r="D6" s="1"/>
  <c r="D5" s="1"/>
  <c r="I59" i="70"/>
  <c r="S59" s="1"/>
  <c r="I32" i="62"/>
  <c r="S32" s="1"/>
  <c r="I80" i="70"/>
  <c r="S80" s="1"/>
  <c r="I53" i="62"/>
  <c r="S53" s="1"/>
  <c r="I28"/>
  <c r="S28" s="1"/>
  <c r="I55" i="70"/>
  <c r="S55" s="1"/>
  <c r="J12" i="59"/>
  <c r="T12" s="1"/>
  <c r="J9"/>
  <c r="T9" s="1"/>
  <c r="I118" i="64"/>
  <c r="S118" s="1"/>
  <c r="F44" i="73" s="1"/>
  <c r="I191" i="64"/>
  <c r="S191" s="1"/>
  <c r="I34" i="67"/>
  <c r="F63" i="54" s="1"/>
  <c r="S35" i="67"/>
  <c r="S34" s="1"/>
  <c r="K63" i="54" s="1"/>
  <c r="I42" i="62"/>
  <c r="S42" s="1"/>
  <c r="I69" i="70"/>
  <c r="S69" s="1"/>
  <c r="J78"/>
  <c r="T78" s="1"/>
  <c r="J51" i="62"/>
  <c r="T51" s="1"/>
  <c r="I110" i="70"/>
  <c r="S110" s="1"/>
  <c r="D48" i="73" s="1"/>
  <c r="J66" i="72"/>
  <c r="J60" s="1"/>
  <c r="J59" s="1"/>
  <c r="I70" i="64"/>
  <c r="S70" s="1"/>
  <c r="I98"/>
  <c r="S98" s="1"/>
  <c r="C13" i="40"/>
  <c r="J36" i="67"/>
  <c r="T36" s="1"/>
  <c r="I58" i="59"/>
  <c r="S58" s="1"/>
  <c r="I27" i="58"/>
  <c r="S27" s="1"/>
  <c r="D23" i="73" s="1"/>
  <c r="D18" s="1"/>
  <c r="J34" i="62"/>
  <c r="T34" s="1"/>
  <c r="J61" i="70"/>
  <c r="T61" s="1"/>
  <c r="J35" i="58"/>
  <c r="T35" s="1"/>
  <c r="J12" i="67"/>
  <c r="T12" s="1"/>
  <c r="J10" i="64"/>
  <c r="T10" s="1"/>
  <c r="H7" i="63"/>
  <c r="R8"/>
  <c r="R7" s="1"/>
  <c r="J73"/>
  <c r="T73" s="1"/>
  <c r="J38"/>
  <c r="T38" s="1"/>
  <c r="R10" i="70"/>
  <c r="R6" s="1"/>
  <c r="H6"/>
  <c r="J109"/>
  <c r="T109" s="1"/>
  <c r="S8" i="67"/>
  <c r="F24" i="73" s="1"/>
  <c r="F18" s="1"/>
  <c r="B18" s="1"/>
  <c r="C69" s="1"/>
  <c r="D69" s="1"/>
  <c r="E69" s="1"/>
  <c r="I96" i="62"/>
  <c r="S96" s="1"/>
  <c r="D55" i="73" s="1"/>
  <c r="I96" i="70"/>
  <c r="S96" s="1"/>
  <c r="I147" i="64"/>
  <c r="S147" s="1"/>
  <c r="I220"/>
  <c r="S220" s="1"/>
  <c r="I103" i="70"/>
  <c r="S103" s="1"/>
  <c r="D41" i="73" s="1"/>
  <c r="J56" i="72"/>
  <c r="J49" s="1"/>
  <c r="K49" s="1"/>
  <c r="L49" s="1"/>
  <c r="J41" i="67"/>
  <c r="T41" s="1"/>
  <c r="J57" i="62"/>
  <c r="T57" s="1"/>
  <c r="J84" i="70"/>
  <c r="T84" s="1"/>
  <c r="J72" i="63"/>
  <c r="T72" s="1"/>
  <c r="J37"/>
  <c r="T37" s="1"/>
  <c r="S94" i="62"/>
  <c r="J191" i="64"/>
  <c r="T191" s="1"/>
  <c r="J118"/>
  <c r="T118" s="1"/>
  <c r="J49" i="67"/>
  <c r="T49" s="1"/>
  <c r="J52" i="64"/>
  <c r="T52" s="1"/>
  <c r="H35" i="66"/>
  <c r="E59" i="54" s="1"/>
  <c r="R36" i="66"/>
  <c r="R35" s="1"/>
  <c r="J59" i="54" s="1"/>
  <c r="I53" i="59"/>
  <c r="S53" s="1"/>
  <c r="I21" i="58"/>
  <c r="S21" s="1"/>
  <c r="I33"/>
  <c r="S33" s="1"/>
  <c r="I10" i="67"/>
  <c r="S10" s="1"/>
  <c r="F26" i="73" s="1"/>
  <c r="I212" i="64"/>
  <c r="S212" s="1"/>
  <c r="I139"/>
  <c r="S139" s="1"/>
  <c r="D184" i="26"/>
  <c r="J185"/>
  <c r="J184" s="1"/>
  <c r="E78" i="29" s="1"/>
  <c r="E77" s="1"/>
  <c r="D37" i="26"/>
  <c r="J38"/>
  <c r="J37" s="1"/>
  <c r="E24" i="29" s="1"/>
  <c r="E23" s="1"/>
  <c r="J11" i="64"/>
  <c r="T11" s="1"/>
  <c r="J25" i="58"/>
  <c r="T25" s="1"/>
  <c r="J56" i="59"/>
  <c r="T56" s="1"/>
  <c r="R46" i="58"/>
  <c r="R30" s="1"/>
  <c r="J8" i="54" s="1"/>
  <c r="H30" i="58"/>
  <c r="E8" i="54" s="1"/>
  <c r="I10" i="64"/>
  <c r="S10" s="1"/>
  <c r="S35" i="70"/>
  <c r="J42" i="64"/>
  <c r="T42" s="1"/>
  <c r="T117" i="62"/>
  <c r="J26" i="59"/>
  <c r="T26" s="1"/>
  <c r="J16"/>
  <c r="T16" s="1"/>
  <c r="H34" i="70"/>
  <c r="E26" i="54" s="1"/>
  <c r="J20" i="58" l="1"/>
  <c r="T20" s="1"/>
  <c r="J52" i="59"/>
  <c r="T52" s="1"/>
  <c r="J33" i="63"/>
  <c r="T33" s="1"/>
  <c r="J68"/>
  <c r="T68" s="1"/>
  <c r="J103" i="70"/>
  <c r="T103" s="1"/>
  <c r="J55" i="63"/>
  <c r="T55" s="1"/>
  <c r="J20"/>
  <c r="T20" s="1"/>
  <c r="J52" i="70"/>
  <c r="T52" s="1"/>
  <c r="J25" i="62"/>
  <c r="T25" s="1"/>
  <c r="J147" i="64"/>
  <c r="T147" s="1"/>
  <c r="J220"/>
  <c r="T220" s="1"/>
  <c r="J202"/>
  <c r="T202" s="1"/>
  <c r="J129"/>
  <c r="T129" s="1"/>
  <c r="J69" i="70"/>
  <c r="T69" s="1"/>
  <c r="J42" i="62"/>
  <c r="T42" s="1"/>
  <c r="J59" i="64"/>
  <c r="T59" s="1"/>
  <c r="J87"/>
  <c r="T87" s="1"/>
  <c r="J25" i="54"/>
  <c r="R6" i="63"/>
  <c r="J37" i="54"/>
  <c r="J36" s="1"/>
  <c r="J19" i="58"/>
  <c r="T19" s="1"/>
  <c r="J51" i="59"/>
  <c r="T51" s="1"/>
  <c r="I23" i="67"/>
  <c r="S23" s="1"/>
  <c r="S7" s="1"/>
  <c r="I46" i="58"/>
  <c r="S46" s="1"/>
  <c r="K76" i="70"/>
  <c r="U76" s="1"/>
  <c r="W76" s="1"/>
  <c r="K49" i="62"/>
  <c r="U49" s="1"/>
  <c r="W49" s="1"/>
  <c r="K31" i="63"/>
  <c r="U31" s="1"/>
  <c r="W31" s="1"/>
  <c r="K66"/>
  <c r="U66" s="1"/>
  <c r="W66" s="1"/>
  <c r="K12"/>
  <c r="U12" s="1"/>
  <c r="W12" s="1"/>
  <c r="K47"/>
  <c r="U47" s="1"/>
  <c r="W47" s="1"/>
  <c r="K39"/>
  <c r="U39" s="1"/>
  <c r="W39" s="1"/>
  <c r="K74"/>
  <c r="U74" s="1"/>
  <c r="W74" s="1"/>
  <c r="U27" i="61"/>
  <c r="W28"/>
  <c r="K51" i="65"/>
  <c r="U51" s="1"/>
  <c r="W51" s="1"/>
  <c r="K25" i="70"/>
  <c r="U25" s="1"/>
  <c r="W25" s="1"/>
  <c r="K194" i="64"/>
  <c r="U194" s="1"/>
  <c r="W194" s="1"/>
  <c r="K121"/>
  <c r="U121" s="1"/>
  <c r="W121" s="1"/>
  <c r="K56" i="65"/>
  <c r="U56" s="1"/>
  <c r="W56" s="1"/>
  <c r="K30" i="70"/>
  <c r="U30" s="1"/>
  <c r="W30" s="1"/>
  <c r="K22" i="64"/>
  <c r="U22" s="1"/>
  <c r="W22" s="1"/>
  <c r="J16" i="67"/>
  <c r="T16" s="1"/>
  <c r="J39" i="58"/>
  <c r="T39" s="1"/>
  <c r="J75" i="70"/>
  <c r="T75" s="1"/>
  <c r="J48" i="62"/>
  <c r="T48" s="1"/>
  <c r="J93" i="70"/>
  <c r="J47" i="58"/>
  <c r="T47" s="1"/>
  <c r="J24" i="67"/>
  <c r="T24" s="1"/>
  <c r="J143" i="64"/>
  <c r="T143" s="1"/>
  <c r="J216"/>
  <c r="T216" s="1"/>
  <c r="J130"/>
  <c r="T130" s="1"/>
  <c r="J203"/>
  <c r="T203" s="1"/>
  <c r="H7" i="59"/>
  <c r="H104" i="64"/>
  <c r="R105"/>
  <c r="R104" s="1"/>
  <c r="J188"/>
  <c r="T188" s="1"/>
  <c r="J115"/>
  <c r="T115" s="1"/>
  <c r="R74" i="67"/>
  <c r="R73" s="1"/>
  <c r="H73"/>
  <c r="C16" i="40"/>
  <c r="J19" i="64"/>
  <c r="T19" s="1"/>
  <c r="K22" i="65"/>
  <c r="U22" s="1"/>
  <c r="W22" s="1"/>
  <c r="K51" i="66"/>
  <c r="U51" s="1"/>
  <c r="W51" s="1"/>
  <c r="K89" i="70"/>
  <c r="U89" s="1"/>
  <c r="W89" s="1"/>
  <c r="K62" i="62"/>
  <c r="U62" s="1"/>
  <c r="W62" s="1"/>
  <c r="K217" i="64"/>
  <c r="U217" s="1"/>
  <c r="W217" s="1"/>
  <c r="K144"/>
  <c r="U144" s="1"/>
  <c r="W144" s="1"/>
  <c r="K17" i="62"/>
  <c r="U17" s="1"/>
  <c r="W17" s="1"/>
  <c r="K44" i="70"/>
  <c r="U44" s="1"/>
  <c r="W44" s="1"/>
  <c r="K43" i="66"/>
  <c r="U43" s="1"/>
  <c r="W43" s="1"/>
  <c r="K14" i="65"/>
  <c r="U14" s="1"/>
  <c r="W14" s="1"/>
  <c r="K13" i="66"/>
  <c r="U13" s="1"/>
  <c r="W13" s="1"/>
  <c r="K86" i="70"/>
  <c r="U86" s="1"/>
  <c r="W86" s="1"/>
  <c r="K59" i="62"/>
  <c r="U59" s="1"/>
  <c r="W59" s="1"/>
  <c r="K136" i="64"/>
  <c r="U136" s="1"/>
  <c r="W136" s="1"/>
  <c r="K209"/>
  <c r="U209" s="1"/>
  <c r="W209" s="1"/>
  <c r="K27" i="62"/>
  <c r="U27" s="1"/>
  <c r="W27" s="1"/>
  <c r="K54" i="70"/>
  <c r="U54" s="1"/>
  <c r="W54" s="1"/>
  <c r="K13"/>
  <c r="U13" s="1"/>
  <c r="W13" s="1"/>
  <c r="K39" i="65"/>
  <c r="U39" s="1"/>
  <c r="W39" s="1"/>
  <c r="K18" i="63"/>
  <c r="U18" s="1"/>
  <c r="W18" s="1"/>
  <c r="K53"/>
  <c r="U53" s="1"/>
  <c r="W53" s="1"/>
  <c r="K36" i="64"/>
  <c r="U36" s="1"/>
  <c r="W36" s="1"/>
  <c r="K61" i="63"/>
  <c r="U61" s="1"/>
  <c r="W61" s="1"/>
  <c r="K26"/>
  <c r="U26" s="1"/>
  <c r="W26" s="1"/>
  <c r="K74" i="64"/>
  <c r="U74" s="1"/>
  <c r="W74" s="1"/>
  <c r="K102"/>
  <c r="U102" s="1"/>
  <c r="W102" s="1"/>
  <c r="K26"/>
  <c r="U26" s="1"/>
  <c r="W26" s="1"/>
  <c r="J53" i="67"/>
  <c r="T53" s="1"/>
  <c r="J56" i="64"/>
  <c r="T56" s="1"/>
  <c r="J35" i="59"/>
  <c r="T35" s="1"/>
  <c r="O123" i="55"/>
  <c r="G27" i="57"/>
  <c r="G28" s="1"/>
  <c r="G5" i="75" s="1"/>
  <c r="E12" i="29"/>
  <c r="J5" i="26"/>
  <c r="J9" i="62"/>
  <c r="T9" s="1"/>
  <c r="J36" i="70"/>
  <c r="T36" s="1"/>
  <c r="I46" i="67"/>
  <c r="I49" i="64"/>
  <c r="K41" i="66"/>
  <c r="U41" s="1"/>
  <c r="W41" s="1"/>
  <c r="K12" i="65"/>
  <c r="U12" s="1"/>
  <c r="W12" s="1"/>
  <c r="K30" i="66"/>
  <c r="U30" s="1"/>
  <c r="W30" s="1"/>
  <c r="K91" i="70"/>
  <c r="K35" i="63"/>
  <c r="U35" s="1"/>
  <c r="W35" s="1"/>
  <c r="K70"/>
  <c r="U70" s="1"/>
  <c r="W70" s="1"/>
  <c r="K190" i="64"/>
  <c r="U190" s="1"/>
  <c r="W190" s="1"/>
  <c r="K117"/>
  <c r="U117" s="1"/>
  <c r="W117" s="1"/>
  <c r="K11" i="65"/>
  <c r="U11" s="1"/>
  <c r="W11" s="1"/>
  <c r="K40" i="66"/>
  <c r="U40" s="1"/>
  <c r="W40" s="1"/>
  <c r="K47" i="59"/>
  <c r="U47" s="1"/>
  <c r="W47" s="1"/>
  <c r="K15" i="58"/>
  <c r="U15" s="1"/>
  <c r="W15" s="1"/>
  <c r="K17" i="63"/>
  <c r="U17" s="1"/>
  <c r="W17" s="1"/>
  <c r="K52"/>
  <c r="U52" s="1"/>
  <c r="W52" s="1"/>
  <c r="K36" i="62"/>
  <c r="U36" s="1"/>
  <c r="W36" s="1"/>
  <c r="K63" i="70"/>
  <c r="U63" s="1"/>
  <c r="W63" s="1"/>
  <c r="K26" i="58"/>
  <c r="U26" s="1"/>
  <c r="W26" s="1"/>
  <c r="K57" i="59"/>
  <c r="U57" s="1"/>
  <c r="W57" s="1"/>
  <c r="K32" i="70"/>
  <c r="U32" s="1"/>
  <c r="W32" s="1"/>
  <c r="K58" i="65"/>
  <c r="U58" s="1"/>
  <c r="W58" s="1"/>
  <c r="J94" i="62"/>
  <c r="J94" i="70"/>
  <c r="T94" s="1"/>
  <c r="C12" i="40"/>
  <c r="E62" i="54"/>
  <c r="E61" s="1"/>
  <c r="H6" i="67"/>
  <c r="R5" i="65"/>
  <c r="J54" i="54"/>
  <c r="J53" s="1"/>
  <c r="J42"/>
  <c r="J212" i="64"/>
  <c r="T212" s="1"/>
  <c r="J139"/>
  <c r="T139" s="1"/>
  <c r="J18" i="67"/>
  <c r="T18" s="1"/>
  <c r="J41" i="58"/>
  <c r="T41" s="1"/>
  <c r="J58" i="59"/>
  <c r="T58" s="1"/>
  <c r="J27" i="58"/>
  <c r="T27" s="1"/>
  <c r="K46" i="65"/>
  <c r="U46" s="1"/>
  <c r="W46" s="1"/>
  <c r="K20" i="70"/>
  <c r="U20" s="1"/>
  <c r="W20" s="1"/>
  <c r="K15" i="67"/>
  <c r="U15" s="1"/>
  <c r="K38" i="58"/>
  <c r="U38" s="1"/>
  <c r="W38" s="1"/>
  <c r="K56" i="62"/>
  <c r="U56" s="1"/>
  <c r="W56" s="1"/>
  <c r="K83" i="70"/>
  <c r="U83" s="1"/>
  <c r="W83" s="1"/>
  <c r="K16"/>
  <c r="U16" s="1"/>
  <c r="W16" s="1"/>
  <c r="K42" i="65"/>
  <c r="U42" s="1"/>
  <c r="W42" s="1"/>
  <c r="K181" i="64"/>
  <c r="U181" s="1"/>
  <c r="W181" s="1"/>
  <c r="K108"/>
  <c r="U108" s="1"/>
  <c r="W108" s="1"/>
  <c r="K14" i="63"/>
  <c r="U14" s="1"/>
  <c r="W14" s="1"/>
  <c r="K49"/>
  <c r="U49" s="1"/>
  <c r="W49" s="1"/>
  <c r="K55" i="62"/>
  <c r="U55" s="1"/>
  <c r="W55" s="1"/>
  <c r="K82" i="70"/>
  <c r="U82" s="1"/>
  <c r="W82" s="1"/>
  <c r="K48"/>
  <c r="U48" s="1"/>
  <c r="W48" s="1"/>
  <c r="K21" i="62"/>
  <c r="U21" s="1"/>
  <c r="W21" s="1"/>
  <c r="S76" i="64"/>
  <c r="I30" i="58"/>
  <c r="F8" i="54" s="1"/>
  <c r="J94" i="64"/>
  <c r="T94" s="1"/>
  <c r="J66"/>
  <c r="T66" s="1"/>
  <c r="J18" i="70"/>
  <c r="T18" s="1"/>
  <c r="J44" i="65"/>
  <c r="T44" s="1"/>
  <c r="J126" i="64"/>
  <c r="T126" s="1"/>
  <c r="J199"/>
  <c r="T199" s="1"/>
  <c r="J72" i="70"/>
  <c r="T72" s="1"/>
  <c r="J45" i="62"/>
  <c r="T45" s="1"/>
  <c r="D53" i="73"/>
  <c r="E25" i="54"/>
  <c r="J17" i="58"/>
  <c r="T17" s="1"/>
  <c r="J49" i="59"/>
  <c r="T49" s="1"/>
  <c r="K64" i="63"/>
  <c r="U64" s="1"/>
  <c r="W64" s="1"/>
  <c r="K29"/>
  <c r="U29" s="1"/>
  <c r="W29" s="1"/>
  <c r="K45" i="66"/>
  <c r="U45" s="1"/>
  <c r="W45" s="1"/>
  <c r="K16" i="65"/>
  <c r="U16" s="1"/>
  <c r="W16" s="1"/>
  <c r="K60" i="70"/>
  <c r="U60" s="1"/>
  <c r="W60" s="1"/>
  <c r="K33" i="62"/>
  <c r="U33" s="1"/>
  <c r="W33" s="1"/>
  <c r="K26" i="67"/>
  <c r="U26" s="1"/>
  <c r="K49" i="58"/>
  <c r="U49" s="1"/>
  <c r="W49" s="1"/>
  <c r="K127" i="64"/>
  <c r="U127" s="1"/>
  <c r="W127" s="1"/>
  <c r="K200"/>
  <c r="U200" s="1"/>
  <c r="W200" s="1"/>
  <c r="K182"/>
  <c r="U182" s="1"/>
  <c r="W182" s="1"/>
  <c r="K109"/>
  <c r="U109" s="1"/>
  <c r="W109" s="1"/>
  <c r="K48" i="63"/>
  <c r="U48" s="1"/>
  <c r="W48" s="1"/>
  <c r="K13"/>
  <c r="U13" s="1"/>
  <c r="W13" s="1"/>
  <c r="K39" i="70"/>
  <c r="U39" s="1"/>
  <c r="W39" s="1"/>
  <c r="K12" i="62"/>
  <c r="U12" s="1"/>
  <c r="W12" s="1"/>
  <c r="C7" i="40"/>
  <c r="J64" i="64"/>
  <c r="T64" s="1"/>
  <c r="J92"/>
  <c r="T92" s="1"/>
  <c r="C15" i="40"/>
  <c r="I130" i="55"/>
  <c r="I125"/>
  <c r="I124" s="1"/>
  <c r="J99" i="64"/>
  <c r="T99" s="1"/>
  <c r="J71"/>
  <c r="T71" s="1"/>
  <c r="H41" i="63"/>
  <c r="E39" i="54"/>
  <c r="E38" s="1"/>
  <c r="R49" i="64"/>
  <c r="R48" s="1"/>
  <c r="J43" i="54" s="1"/>
  <c r="H48" i="64"/>
  <c r="E43" i="54" s="1"/>
  <c r="J32" i="58"/>
  <c r="T32" s="1"/>
  <c r="J9" i="67"/>
  <c r="T9" s="1"/>
  <c r="K50" i="63"/>
  <c r="U50" s="1"/>
  <c r="W50" s="1"/>
  <c r="K15"/>
  <c r="U15" s="1"/>
  <c r="W15" s="1"/>
  <c r="K74" i="70"/>
  <c r="U74" s="1"/>
  <c r="W74" s="1"/>
  <c r="K47" i="62"/>
  <c r="U47" s="1"/>
  <c r="W47" s="1"/>
  <c r="K55" i="58"/>
  <c r="U55" s="1"/>
  <c r="W55" s="1"/>
  <c r="K32" i="67"/>
  <c r="U32" s="1"/>
  <c r="K27" i="63"/>
  <c r="U27" s="1"/>
  <c r="W27" s="1"/>
  <c r="K62"/>
  <c r="U62" s="1"/>
  <c r="W62" s="1"/>
  <c r="K165" i="64"/>
  <c r="U165" s="1"/>
  <c r="W165" s="1"/>
  <c r="K58" i="70"/>
  <c r="U58" s="1"/>
  <c r="W58" s="1"/>
  <c r="K31" i="62"/>
  <c r="U31" s="1"/>
  <c r="W31" s="1"/>
  <c r="K38" i="65"/>
  <c r="U38" s="1"/>
  <c r="W38" s="1"/>
  <c r="K12" i="70"/>
  <c r="U12" s="1"/>
  <c r="W12" s="1"/>
  <c r="K45" i="63"/>
  <c r="U45" s="1"/>
  <c r="W45" s="1"/>
  <c r="K10"/>
  <c r="U10" s="1"/>
  <c r="W10" s="1"/>
  <c r="K16"/>
  <c r="U16" s="1"/>
  <c r="W16" s="1"/>
  <c r="K51"/>
  <c r="U51" s="1"/>
  <c r="W51" s="1"/>
  <c r="K60"/>
  <c r="U60" s="1"/>
  <c r="W60" s="1"/>
  <c r="K25"/>
  <c r="U25" s="1"/>
  <c r="W25" s="1"/>
  <c r="K57" i="66"/>
  <c r="U57" s="1"/>
  <c r="W57" s="1"/>
  <c r="K28" i="65"/>
  <c r="U28" s="1"/>
  <c r="W28" s="1"/>
  <c r="K142" i="64"/>
  <c r="U142" s="1"/>
  <c r="W142" s="1"/>
  <c r="K215"/>
  <c r="U215" s="1"/>
  <c r="W215" s="1"/>
  <c r="K134"/>
  <c r="U134" s="1"/>
  <c r="W134" s="1"/>
  <c r="K207"/>
  <c r="U207" s="1"/>
  <c r="W207" s="1"/>
  <c r="K17" i="70"/>
  <c r="U17" s="1"/>
  <c r="W17" s="1"/>
  <c r="K43" i="65"/>
  <c r="U43" s="1"/>
  <c r="W43" s="1"/>
  <c r="K17" i="66"/>
  <c r="U17" s="1"/>
  <c r="W17" s="1"/>
  <c r="K27" i="70"/>
  <c r="U27" s="1"/>
  <c r="W27" s="1"/>
  <c r="K53" i="65"/>
  <c r="U53" s="1"/>
  <c r="W53" s="1"/>
  <c r="K40" i="64"/>
  <c r="U40" s="1"/>
  <c r="W40" s="1"/>
  <c r="K8" i="66"/>
  <c r="U8" s="1"/>
  <c r="W8" s="1"/>
  <c r="K180" i="64"/>
  <c r="U180" s="1"/>
  <c r="W180" s="1"/>
  <c r="K107"/>
  <c r="U107" s="1"/>
  <c r="W107" s="1"/>
  <c r="J73" i="70"/>
  <c r="T73" s="1"/>
  <c r="J46" i="62"/>
  <c r="T46" s="1"/>
  <c r="J8"/>
  <c r="J35" i="70"/>
  <c r="J31" i="58"/>
  <c r="J8" i="67"/>
  <c r="I10" i="70"/>
  <c r="I36" i="65"/>
  <c r="J28" i="72"/>
  <c r="J27" s="1"/>
  <c r="K27" s="1"/>
  <c r="L27" s="1"/>
  <c r="K54" i="58"/>
  <c r="U54" s="1"/>
  <c r="W54" s="1"/>
  <c r="K31" i="67"/>
  <c r="U31" s="1"/>
  <c r="K150" i="64"/>
  <c r="U150" s="1"/>
  <c r="W150" s="1"/>
  <c r="K20" i="65"/>
  <c r="U20" s="1"/>
  <c r="W20" s="1"/>
  <c r="K49" i="66"/>
  <c r="U49" s="1"/>
  <c r="W49" s="1"/>
  <c r="K15" i="62"/>
  <c r="U15" s="1"/>
  <c r="W15" s="1"/>
  <c r="K42" i="70"/>
  <c r="U42" s="1"/>
  <c r="W42" s="1"/>
  <c r="K33" i="64"/>
  <c r="U33" s="1"/>
  <c r="W33" s="1"/>
  <c r="K28" i="63"/>
  <c r="U28" s="1"/>
  <c r="W28" s="1"/>
  <c r="K63"/>
  <c r="U63" s="1"/>
  <c r="W63" s="1"/>
  <c r="K163" i="64"/>
  <c r="U163" s="1"/>
  <c r="W163" s="1"/>
  <c r="K210"/>
  <c r="U210" s="1"/>
  <c r="W210" s="1"/>
  <c r="K137"/>
  <c r="U137" s="1"/>
  <c r="W137" s="1"/>
  <c r="K43" i="70"/>
  <c r="U43" s="1"/>
  <c r="W43" s="1"/>
  <c r="K16" i="62"/>
  <c r="U16" s="1"/>
  <c r="W16" s="1"/>
  <c r="J64" i="70"/>
  <c r="T64" s="1"/>
  <c r="J37" i="62"/>
  <c r="T37" s="1"/>
  <c r="J100" i="70"/>
  <c r="T100" s="1"/>
  <c r="J100" i="62"/>
  <c r="T100" s="1"/>
  <c r="E54" i="54"/>
  <c r="E53" s="1"/>
  <c r="H5" i="65"/>
  <c r="E42" i="54"/>
  <c r="H6" i="64"/>
  <c r="J28" i="67"/>
  <c r="T28" s="1"/>
  <c r="J51" i="58"/>
  <c r="T51" s="1"/>
  <c r="J86" i="64"/>
  <c r="J58"/>
  <c r="T58" s="1"/>
  <c r="J60" i="65"/>
  <c r="G56" i="54" s="1"/>
  <c r="T61" i="65"/>
  <c r="T60" s="1"/>
  <c r="L56" i="54" s="1"/>
  <c r="K13" i="64"/>
  <c r="U13" s="1"/>
  <c r="W13" s="1"/>
  <c r="K29" i="70"/>
  <c r="U29" s="1"/>
  <c r="W29" s="1"/>
  <c r="K55" i="65"/>
  <c r="U55" s="1"/>
  <c r="W55" s="1"/>
  <c r="K58" i="62"/>
  <c r="U58" s="1"/>
  <c r="W58" s="1"/>
  <c r="K85" i="70"/>
  <c r="U85" s="1"/>
  <c r="W85" s="1"/>
  <c r="K33" i="66"/>
  <c r="U33" s="1"/>
  <c r="W33" s="1"/>
  <c r="K48" i="67"/>
  <c r="U48" s="1"/>
  <c r="K51" i="64"/>
  <c r="U51" s="1"/>
  <c r="W51" s="1"/>
  <c r="K29"/>
  <c r="U29" s="1"/>
  <c r="W29" s="1"/>
  <c r="K131"/>
  <c r="U131" s="1"/>
  <c r="W131" s="1"/>
  <c r="K204"/>
  <c r="U204" s="1"/>
  <c r="W204" s="1"/>
  <c r="K172"/>
  <c r="U172" s="1"/>
  <c r="W172" s="1"/>
  <c r="K102" i="62"/>
  <c r="U102" s="1"/>
  <c r="K102" i="70"/>
  <c r="U102" s="1"/>
  <c r="W102" s="1"/>
  <c r="K36" i="58"/>
  <c r="U36" s="1"/>
  <c r="W36" s="1"/>
  <c r="K13" i="67"/>
  <c r="U13" s="1"/>
  <c r="K40" i="65"/>
  <c r="U40" s="1"/>
  <c r="W40" s="1"/>
  <c r="K14" i="70"/>
  <c r="U14" s="1"/>
  <c r="W14" s="1"/>
  <c r="K49" i="65"/>
  <c r="U49" s="1"/>
  <c r="W49" s="1"/>
  <c r="K23" i="70"/>
  <c r="U23" s="1"/>
  <c r="W23" s="1"/>
  <c r="K42" i="58"/>
  <c r="U42" s="1"/>
  <c r="W42" s="1"/>
  <c r="K19" i="67"/>
  <c r="U19" s="1"/>
  <c r="K47" i="66"/>
  <c r="U47" s="1"/>
  <c r="W47" s="1"/>
  <c r="K18" i="65"/>
  <c r="U18" s="1"/>
  <c r="W18" s="1"/>
  <c r="I7" i="67"/>
  <c r="I76" i="64"/>
  <c r="D5" i="26"/>
  <c r="J54" i="62"/>
  <c r="T54" s="1"/>
  <c r="J81" i="70"/>
  <c r="T81" s="1"/>
  <c r="J63" i="64"/>
  <c r="T63" s="1"/>
  <c r="J91"/>
  <c r="T91" s="1"/>
  <c r="J89"/>
  <c r="T89" s="1"/>
  <c r="J61"/>
  <c r="T61" s="1"/>
  <c r="J112"/>
  <c r="T112" s="1"/>
  <c r="J185"/>
  <c r="T185" s="1"/>
  <c r="J24" i="62"/>
  <c r="T24" s="1"/>
  <c r="J51" i="70"/>
  <c r="T51" s="1"/>
  <c r="I154" i="64"/>
  <c r="J7" i="72"/>
  <c r="J6" s="1"/>
  <c r="J5" s="1"/>
  <c r="K5" s="1"/>
  <c r="L5" s="1"/>
  <c r="K20" i="66"/>
  <c r="U20" s="1"/>
  <c r="W20" s="1"/>
  <c r="K37" i="58"/>
  <c r="U37" s="1"/>
  <c r="W37" s="1"/>
  <c r="K14" i="67"/>
  <c r="U14" s="1"/>
  <c r="K97" i="62"/>
  <c r="U97" s="1"/>
  <c r="W97" s="1"/>
  <c r="K97" i="70"/>
  <c r="U97" s="1"/>
  <c r="W97" s="1"/>
  <c r="K31" i="59"/>
  <c r="U31" s="1"/>
  <c r="W31" s="1"/>
  <c r="K101" i="62"/>
  <c r="U101" s="1"/>
  <c r="W101" s="1"/>
  <c r="K101" i="70"/>
  <c r="U101" s="1"/>
  <c r="W101" s="1"/>
  <c r="K186" i="64"/>
  <c r="U186" s="1"/>
  <c r="W186" s="1"/>
  <c r="K113"/>
  <c r="U113" s="1"/>
  <c r="W113" s="1"/>
  <c r="K55" i="66"/>
  <c r="U55" s="1"/>
  <c r="W55" s="1"/>
  <c r="K26" i="65"/>
  <c r="U26" s="1"/>
  <c r="W26" s="1"/>
  <c r="K56" i="63"/>
  <c r="U56" s="1"/>
  <c r="W56" s="1"/>
  <c r="K21"/>
  <c r="U21" s="1"/>
  <c r="W21" s="1"/>
  <c r="K175" i="64"/>
  <c r="U175" s="1"/>
  <c r="W175" s="1"/>
  <c r="K31"/>
  <c r="U31" s="1"/>
  <c r="W31" s="1"/>
  <c r="K44" i="66"/>
  <c r="U44" s="1"/>
  <c r="W44" s="1"/>
  <c r="K15" i="65"/>
  <c r="U15" s="1"/>
  <c r="W15" s="1"/>
  <c r="K28" i="58"/>
  <c r="U28" s="1"/>
  <c r="W28" s="1"/>
  <c r="K59" i="59"/>
  <c r="U59" s="1"/>
  <c r="W59" s="1"/>
  <c r="J195" i="64"/>
  <c r="T195" s="1"/>
  <c r="J122"/>
  <c r="T122" s="1"/>
  <c r="J196"/>
  <c r="T196" s="1"/>
  <c r="J123"/>
  <c r="T123" s="1"/>
  <c r="J97"/>
  <c r="T97" s="1"/>
  <c r="J69"/>
  <c r="T69" s="1"/>
  <c r="R41" i="63"/>
  <c r="J39" i="54"/>
  <c r="J38" s="1"/>
  <c r="G110" i="53" s="1"/>
  <c r="C11" i="40"/>
  <c r="R99" i="70"/>
  <c r="R90" s="1"/>
  <c r="J27" i="54" s="1"/>
  <c r="H90" i="70"/>
  <c r="E27" i="54" s="1"/>
  <c r="K31" i="65"/>
  <c r="U31" s="1"/>
  <c r="W31" s="1"/>
  <c r="K60" i="66"/>
  <c r="U60" s="1"/>
  <c r="W60" s="1"/>
  <c r="K59" i="65"/>
  <c r="U59" s="1"/>
  <c r="W59" s="1"/>
  <c r="K33" i="70"/>
  <c r="U33" s="1"/>
  <c r="W33" s="1"/>
  <c r="K60" i="62"/>
  <c r="U60" s="1"/>
  <c r="W60" s="1"/>
  <c r="K87" i="70"/>
  <c r="U87" s="1"/>
  <c r="W87" s="1"/>
  <c r="K17" i="59"/>
  <c r="U17" s="1"/>
  <c r="W17" s="1"/>
  <c r="K35" i="65"/>
  <c r="U35" s="1"/>
  <c r="W35" s="1"/>
  <c r="K9" i="70"/>
  <c r="U9" s="1"/>
  <c r="W9" s="1"/>
  <c r="K47" i="67"/>
  <c r="U47" s="1"/>
  <c r="K50" i="64"/>
  <c r="U50" s="1"/>
  <c r="W50" s="1"/>
  <c r="K9" i="58"/>
  <c r="U9" s="1"/>
  <c r="W9" s="1"/>
  <c r="K41" i="59"/>
  <c r="U41" s="1"/>
  <c r="W41" s="1"/>
  <c r="K20" i="61"/>
  <c r="H19" i="54" s="1"/>
  <c r="U21" i="61"/>
  <c r="K88" i="70"/>
  <c r="U88" s="1"/>
  <c r="W88" s="1"/>
  <c r="K61" i="62"/>
  <c r="U61" s="1"/>
  <c r="W61" s="1"/>
  <c r="K27" i="59"/>
  <c r="U27" s="1"/>
  <c r="W27" s="1"/>
  <c r="J69" i="63"/>
  <c r="T69" s="1"/>
  <c r="J34"/>
  <c r="T34" s="1"/>
  <c r="J54" i="64"/>
  <c r="T54" s="1"/>
  <c r="J51" i="67"/>
  <c r="T51" s="1"/>
  <c r="J111" i="70"/>
  <c r="T111" s="1"/>
  <c r="J201" i="64"/>
  <c r="T201" s="1"/>
  <c r="J128"/>
  <c r="T128" s="1"/>
  <c r="I43" i="63"/>
  <c r="I8"/>
  <c r="K56" i="58"/>
  <c r="U56" s="1"/>
  <c r="W56" s="1"/>
  <c r="K33" i="67"/>
  <c r="U33" s="1"/>
  <c r="K38" i="70"/>
  <c r="U38" s="1"/>
  <c r="W38" s="1"/>
  <c r="K11" i="62"/>
  <c r="U11" s="1"/>
  <c r="W11" s="1"/>
  <c r="K95"/>
  <c r="U95" s="1"/>
  <c r="W95" s="1"/>
  <c r="K95" i="70"/>
  <c r="U95" s="1"/>
  <c r="W95" s="1"/>
  <c r="K49"/>
  <c r="U49" s="1"/>
  <c r="W49" s="1"/>
  <c r="K22" i="62"/>
  <c r="U22" s="1"/>
  <c r="W22" s="1"/>
  <c r="K24" i="65"/>
  <c r="U24" s="1"/>
  <c r="W24" s="1"/>
  <c r="K53" i="66"/>
  <c r="U53" s="1"/>
  <c r="W53" s="1"/>
  <c r="K34" i="65"/>
  <c r="U34" s="1"/>
  <c r="W34" s="1"/>
  <c r="K8" i="70"/>
  <c r="U8" s="1"/>
  <c r="W8" s="1"/>
  <c r="K48" i="65"/>
  <c r="U48" s="1"/>
  <c r="W48" s="1"/>
  <c r="K22" i="70"/>
  <c r="U22" s="1"/>
  <c r="W22" s="1"/>
  <c r="K125" i="64"/>
  <c r="U125" s="1"/>
  <c r="W125" s="1"/>
  <c r="K198"/>
  <c r="U198" s="1"/>
  <c r="W198" s="1"/>
  <c r="K43"/>
  <c r="U43" s="1"/>
  <c r="W43" s="1"/>
  <c r="K46" i="66"/>
  <c r="U46" s="1"/>
  <c r="W46" s="1"/>
  <c r="K17" i="65"/>
  <c r="U17" s="1"/>
  <c r="W17" s="1"/>
  <c r="K57" i="63"/>
  <c r="U57" s="1"/>
  <c r="W57" s="1"/>
  <c r="K22"/>
  <c r="U22" s="1"/>
  <c r="W22" s="1"/>
  <c r="J107" i="70"/>
  <c r="T107" s="1"/>
  <c r="I30" i="62"/>
  <c r="S30" s="1"/>
  <c r="I57" i="70"/>
  <c r="K52" i="66"/>
  <c r="U52" s="1"/>
  <c r="W52" s="1"/>
  <c r="K23" i="65"/>
  <c r="U23" s="1"/>
  <c r="W23" s="1"/>
  <c r="K14" i="62"/>
  <c r="U14" s="1"/>
  <c r="W14" s="1"/>
  <c r="K41" i="70"/>
  <c r="U41" s="1"/>
  <c r="W41" s="1"/>
  <c r="K50" i="66"/>
  <c r="U50" s="1"/>
  <c r="W50" s="1"/>
  <c r="K21" i="65"/>
  <c r="U21" s="1"/>
  <c r="W21" s="1"/>
  <c r="K58" i="63"/>
  <c r="U58" s="1"/>
  <c r="W58" s="1"/>
  <c r="K23"/>
  <c r="U23" s="1"/>
  <c r="W23" s="1"/>
  <c r="K46" i="59"/>
  <c r="U46" s="1"/>
  <c r="W46" s="1"/>
  <c r="K14" i="58"/>
  <c r="U14" s="1"/>
  <c r="W14" s="1"/>
  <c r="K25" i="65"/>
  <c r="U25" s="1"/>
  <c r="W25" s="1"/>
  <c r="K54" i="66"/>
  <c r="U54" s="1"/>
  <c r="W54" s="1"/>
  <c r="K50" i="70"/>
  <c r="U50" s="1"/>
  <c r="W50" s="1"/>
  <c r="K23" i="62"/>
  <c r="U23" s="1"/>
  <c r="W23" s="1"/>
  <c r="K39"/>
  <c r="U39" s="1"/>
  <c r="W39" s="1"/>
  <c r="K66" i="70"/>
  <c r="U66" s="1"/>
  <c r="W66" s="1"/>
  <c r="K26" i="62"/>
  <c r="U26" s="1"/>
  <c r="W26" s="1"/>
  <c r="K53" i="70"/>
  <c r="U53" s="1"/>
  <c r="W53" s="1"/>
  <c r="K13" i="62"/>
  <c r="U13" s="1"/>
  <c r="W13" s="1"/>
  <c r="K40" i="70"/>
  <c r="U40" s="1"/>
  <c r="W40" s="1"/>
  <c r="I7" i="62"/>
  <c r="K44" i="67"/>
  <c r="U44" s="1"/>
  <c r="J55" i="70"/>
  <c r="T55" s="1"/>
  <c r="J28" i="62"/>
  <c r="T28" s="1"/>
  <c r="J44"/>
  <c r="T44" s="1"/>
  <c r="J71" i="70"/>
  <c r="T71" s="1"/>
  <c r="J218" i="64"/>
  <c r="T218" s="1"/>
  <c r="J145"/>
  <c r="T145" s="1"/>
  <c r="J65"/>
  <c r="T65" s="1"/>
  <c r="J93"/>
  <c r="T93" s="1"/>
  <c r="J114"/>
  <c r="T114" s="1"/>
  <c r="J187"/>
  <c r="T187" s="1"/>
  <c r="J67"/>
  <c r="T67" s="1"/>
  <c r="J95"/>
  <c r="T95" s="1"/>
  <c r="J23"/>
  <c r="T23" s="1"/>
  <c r="H6" i="63"/>
  <c r="H5" s="1"/>
  <c r="E37" i="54"/>
  <c r="E36" s="1"/>
  <c r="E35" s="1"/>
  <c r="K114" i="70"/>
  <c r="U114" s="1"/>
  <c r="W114" s="1"/>
  <c r="K56" i="59"/>
  <c r="U56" s="1"/>
  <c r="W56" s="1"/>
  <c r="K25" i="58"/>
  <c r="U25" s="1"/>
  <c r="W25" s="1"/>
  <c r="K59" i="66"/>
  <c r="U59" s="1"/>
  <c r="W59" s="1"/>
  <c r="K30" i="65"/>
  <c r="U30" s="1"/>
  <c r="W30" s="1"/>
  <c r="K62" i="70"/>
  <c r="U62" s="1"/>
  <c r="W62" s="1"/>
  <c r="K35" i="62"/>
  <c r="U35" s="1"/>
  <c r="W35" s="1"/>
  <c r="K169" i="64"/>
  <c r="U169" s="1"/>
  <c r="W169" s="1"/>
  <c r="K7" i="70"/>
  <c r="K33" i="65"/>
  <c r="K40" i="63"/>
  <c r="U40" s="1"/>
  <c r="W40" s="1"/>
  <c r="K75"/>
  <c r="U75" s="1"/>
  <c r="W75" s="1"/>
  <c r="H23" i="54"/>
  <c r="H22" s="1"/>
  <c r="K26" i="61"/>
  <c r="K100" i="64"/>
  <c r="U100" s="1"/>
  <c r="W100" s="1"/>
  <c r="K72"/>
  <c r="U72" s="1"/>
  <c r="W72" s="1"/>
  <c r="K27" i="67"/>
  <c r="U27" s="1"/>
  <c r="K50" i="58"/>
  <c r="U50" s="1"/>
  <c r="W50" s="1"/>
  <c r="K58" i="66"/>
  <c r="U58" s="1"/>
  <c r="W58" s="1"/>
  <c r="K29" i="65"/>
  <c r="U29" s="1"/>
  <c r="W29" s="1"/>
  <c r="J67" i="70"/>
  <c r="T67" s="1"/>
  <c r="J40" i="62"/>
  <c r="T40" s="1"/>
  <c r="R6"/>
  <c r="R5" s="1"/>
  <c r="J31" i="54"/>
  <c r="H8" i="73"/>
  <c r="H4" s="1"/>
  <c r="R34" i="67"/>
  <c r="J63" i="54" s="1"/>
  <c r="R178" i="64"/>
  <c r="R177" s="1"/>
  <c r="H177"/>
  <c r="J53" i="62"/>
  <c r="T53" s="1"/>
  <c r="J80" i="70"/>
  <c r="T80" s="1"/>
  <c r="J13" i="58"/>
  <c r="T13" s="1"/>
  <c r="J45" i="59"/>
  <c r="T45" s="1"/>
  <c r="R72" i="62"/>
  <c r="R63" s="1"/>
  <c r="J32" i="54" s="1"/>
  <c r="H63" i="62"/>
  <c r="J148" i="64"/>
  <c r="G48" i="54" s="1"/>
  <c r="T149" i="64"/>
  <c r="T148" s="1"/>
  <c r="L48" i="54" s="1"/>
  <c r="J24" i="64"/>
  <c r="T24" s="1"/>
  <c r="K16" i="58"/>
  <c r="U16" s="1"/>
  <c r="W16" s="1"/>
  <c r="K48" i="59"/>
  <c r="U48" s="1"/>
  <c r="W48" s="1"/>
  <c r="K17" i="64"/>
  <c r="U17" s="1"/>
  <c r="W17" s="1"/>
  <c r="K47"/>
  <c r="U47" s="1"/>
  <c r="W47" s="1"/>
  <c r="K18" i="62"/>
  <c r="U18" s="1"/>
  <c r="W18" s="1"/>
  <c r="K45" i="70"/>
  <c r="U45" s="1"/>
  <c r="W45" s="1"/>
  <c r="K15"/>
  <c r="U15" s="1"/>
  <c r="W15" s="1"/>
  <c r="K41" i="65"/>
  <c r="U41" s="1"/>
  <c r="W41" s="1"/>
  <c r="K29" i="62"/>
  <c r="U29" s="1"/>
  <c r="W29" s="1"/>
  <c r="K56" i="70"/>
  <c r="U56" s="1"/>
  <c r="W56" s="1"/>
  <c r="K54" i="65"/>
  <c r="U54" s="1"/>
  <c r="W54" s="1"/>
  <c r="K28" i="70"/>
  <c r="U28" s="1"/>
  <c r="W28" s="1"/>
  <c r="K70"/>
  <c r="U70" s="1"/>
  <c r="W70" s="1"/>
  <c r="K43" i="62"/>
  <c r="U43" s="1"/>
  <c r="W43" s="1"/>
  <c r="K46" i="70"/>
  <c r="U46" s="1"/>
  <c r="W46" s="1"/>
  <c r="K19" i="62"/>
  <c r="U19" s="1"/>
  <c r="W19" s="1"/>
  <c r="K19" i="70"/>
  <c r="U19" s="1"/>
  <c r="W19" s="1"/>
  <c r="K45" i="65"/>
  <c r="U45" s="1"/>
  <c r="W45" s="1"/>
  <c r="K17" i="67"/>
  <c r="U17" s="1"/>
  <c r="K40" i="58"/>
  <c r="U40" s="1"/>
  <c r="W40" s="1"/>
  <c r="K9" i="65"/>
  <c r="U9" s="1"/>
  <c r="W9" s="1"/>
  <c r="K38" i="66"/>
  <c r="U38" s="1"/>
  <c r="W38" s="1"/>
  <c r="K158" i="64"/>
  <c r="U158" s="1"/>
  <c r="W158" s="1"/>
  <c r="K32" i="63"/>
  <c r="U32" s="1"/>
  <c r="W32" s="1"/>
  <c r="K67"/>
  <c r="U67" s="1"/>
  <c r="W67" s="1"/>
  <c r="K52" i="65"/>
  <c r="U52" s="1"/>
  <c r="W52" s="1"/>
  <c r="K26" i="70"/>
  <c r="U26" s="1"/>
  <c r="W26" s="1"/>
  <c r="K11" i="64"/>
  <c r="U11" s="1"/>
  <c r="W11" s="1"/>
  <c r="K25" i="66"/>
  <c r="U25" s="1"/>
  <c r="W25" s="1"/>
  <c r="K37"/>
  <c r="U37" s="1"/>
  <c r="W37" s="1"/>
  <c r="K8" i="65"/>
  <c r="U8" s="1"/>
  <c r="W8" s="1"/>
  <c r="K48" i="58"/>
  <c r="U48" s="1"/>
  <c r="W48" s="1"/>
  <c r="K25" i="67"/>
  <c r="U25" s="1"/>
  <c r="K42" i="64"/>
  <c r="U42" s="1"/>
  <c r="W42" s="1"/>
  <c r="J52" i="62"/>
  <c r="T52" s="1"/>
  <c r="J79" i="70"/>
  <c r="T79" s="1"/>
  <c r="H39" i="59"/>
  <c r="H7" i="58"/>
  <c r="J33"/>
  <c r="T33" s="1"/>
  <c r="J10" i="67"/>
  <c r="T10" s="1"/>
  <c r="J34"/>
  <c r="G63" i="54" s="1"/>
  <c r="T35" i="67"/>
  <c r="T34" s="1"/>
  <c r="L63" i="54" s="1"/>
  <c r="S92" i="70"/>
  <c r="J96" i="64"/>
  <c r="T96" s="1"/>
  <c r="J68"/>
  <c r="T68" s="1"/>
  <c r="J55"/>
  <c r="T55" s="1"/>
  <c r="J52" i="67"/>
  <c r="T52" s="1"/>
  <c r="I7" i="65"/>
  <c r="I36" i="66"/>
  <c r="K60" i="59"/>
  <c r="U60" s="1"/>
  <c r="W60" s="1"/>
  <c r="K29" i="58"/>
  <c r="U29" s="1"/>
  <c r="W29" s="1"/>
  <c r="K24" i="63"/>
  <c r="U24" s="1"/>
  <c r="W24" s="1"/>
  <c r="K59"/>
  <c r="U59" s="1"/>
  <c r="W59" s="1"/>
  <c r="K54" i="59"/>
  <c r="U54" s="1"/>
  <c r="W54" s="1"/>
  <c r="K22" i="58"/>
  <c r="U22" s="1"/>
  <c r="W22" s="1"/>
  <c r="K57" i="65"/>
  <c r="U57" s="1"/>
  <c r="W57" s="1"/>
  <c r="K31" i="70"/>
  <c r="U31" s="1"/>
  <c r="W31" s="1"/>
  <c r="K11"/>
  <c r="U11" s="1"/>
  <c r="W11" s="1"/>
  <c r="K37" i="65"/>
  <c r="U37" s="1"/>
  <c r="W37" s="1"/>
  <c r="K19"/>
  <c r="U19" s="1"/>
  <c r="W19" s="1"/>
  <c r="K48" i="66"/>
  <c r="U48" s="1"/>
  <c r="W48" s="1"/>
  <c r="K9" i="63"/>
  <c r="U9" s="1"/>
  <c r="W9" s="1"/>
  <c r="K44"/>
  <c r="U44" s="1"/>
  <c r="W44" s="1"/>
  <c r="K98" i="62"/>
  <c r="U98" s="1"/>
  <c r="W98" s="1"/>
  <c r="K98" i="70"/>
  <c r="U98" s="1"/>
  <c r="W98" s="1"/>
  <c r="K47" i="65"/>
  <c r="U47" s="1"/>
  <c r="W47" s="1"/>
  <c r="K21" i="70"/>
  <c r="U21" s="1"/>
  <c r="W21" s="1"/>
  <c r="D5" i="73"/>
  <c r="D4" s="1"/>
  <c r="R7" i="67"/>
  <c r="K56" i="66"/>
  <c r="U56" s="1"/>
  <c r="W56" s="1"/>
  <c r="K27" i="65"/>
  <c r="U27" s="1"/>
  <c r="W27" s="1"/>
  <c r="K46" i="63"/>
  <c r="U46" s="1"/>
  <c r="W46" s="1"/>
  <c r="K11"/>
  <c r="U11" s="1"/>
  <c r="W11" s="1"/>
  <c r="K179" i="64"/>
  <c r="U179" s="1"/>
  <c r="W179" s="1"/>
  <c r="K106"/>
  <c r="U106" s="1"/>
  <c r="W106" s="1"/>
  <c r="K53" i="58"/>
  <c r="U53" s="1"/>
  <c r="W53" s="1"/>
  <c r="K30" i="67"/>
  <c r="U30" s="1"/>
  <c r="K20" i="62"/>
  <c r="U20" s="1"/>
  <c r="W20" s="1"/>
  <c r="K47" i="70"/>
  <c r="U47" s="1"/>
  <c r="W47" s="1"/>
  <c r="K73" i="64"/>
  <c r="U73" s="1"/>
  <c r="W73" s="1"/>
  <c r="K101"/>
  <c r="U101" s="1"/>
  <c r="W101" s="1"/>
  <c r="K39" i="66"/>
  <c r="U39" s="1"/>
  <c r="W39" s="1"/>
  <c r="K10" i="65"/>
  <c r="U10" s="1"/>
  <c r="W10" s="1"/>
  <c r="K90" i="64"/>
  <c r="U90" s="1"/>
  <c r="W90" s="1"/>
  <c r="K62"/>
  <c r="U62" s="1"/>
  <c r="W62" s="1"/>
  <c r="K22" i="67"/>
  <c r="U22" s="1"/>
  <c r="K45" i="58"/>
  <c r="U45" s="1"/>
  <c r="W45" s="1"/>
  <c r="K205" i="64"/>
  <c r="U205" s="1"/>
  <c r="W205" s="1"/>
  <c r="K132"/>
  <c r="U132" s="1"/>
  <c r="W132" s="1"/>
  <c r="K13" i="65"/>
  <c r="U13" s="1"/>
  <c r="W13" s="1"/>
  <c r="K42" i="66"/>
  <c r="U42" s="1"/>
  <c r="W42" s="1"/>
  <c r="K77" i="70"/>
  <c r="U77" s="1"/>
  <c r="W77" s="1"/>
  <c r="K50" i="62"/>
  <c r="U50" s="1"/>
  <c r="W50" s="1"/>
  <c r="K52" i="58"/>
  <c r="U52" s="1"/>
  <c r="W52" s="1"/>
  <c r="K29" i="67"/>
  <c r="U29" s="1"/>
  <c r="S7" i="62"/>
  <c r="S30" i="58"/>
  <c r="K8" i="54" s="1"/>
  <c r="F38" i="73"/>
  <c r="K21" i="67" l="1"/>
  <c r="U21" s="1"/>
  <c r="K44" i="58"/>
  <c r="U44" s="1"/>
  <c r="W44" s="1"/>
  <c r="K140" i="64"/>
  <c r="U140" s="1"/>
  <c r="W140" s="1"/>
  <c r="K213"/>
  <c r="U213" s="1"/>
  <c r="W213" s="1"/>
  <c r="K220"/>
  <c r="U220" s="1"/>
  <c r="W220" s="1"/>
  <c r="K147"/>
  <c r="U147" s="1"/>
  <c r="W147" s="1"/>
  <c r="K36" i="70"/>
  <c r="U36" s="1"/>
  <c r="W36" s="1"/>
  <c r="K9" i="62"/>
  <c r="U9" s="1"/>
  <c r="W9" s="1"/>
  <c r="K9" i="59"/>
  <c r="U9" s="1"/>
  <c r="W9" s="1"/>
  <c r="I7"/>
  <c r="K28" i="62"/>
  <c r="U28" s="1"/>
  <c r="W28" s="1"/>
  <c r="K55" i="70"/>
  <c r="U55" s="1"/>
  <c r="W55" s="1"/>
  <c r="S7" i="65"/>
  <c r="S6" s="1"/>
  <c r="I6"/>
  <c r="K12" i="67"/>
  <c r="U12" s="1"/>
  <c r="K35" i="58"/>
  <c r="U35" s="1"/>
  <c r="W35" s="1"/>
  <c r="K38" i="62"/>
  <c r="U38" s="1"/>
  <c r="W38" s="1"/>
  <c r="K65" i="70"/>
  <c r="U65" s="1"/>
  <c r="W65" s="1"/>
  <c r="K78"/>
  <c r="U78" s="1"/>
  <c r="W78" s="1"/>
  <c r="K51" i="62"/>
  <c r="U51" s="1"/>
  <c r="W51" s="1"/>
  <c r="I99" i="70"/>
  <c r="I99" i="62"/>
  <c r="J7" i="65"/>
  <c r="J36" i="66"/>
  <c r="K17" i="58"/>
  <c r="U17" s="1"/>
  <c r="W17" s="1"/>
  <c r="K49" i="59"/>
  <c r="U49" s="1"/>
  <c r="W49" s="1"/>
  <c r="K24" i="70"/>
  <c r="U24" s="1"/>
  <c r="W24" s="1"/>
  <c r="K50" i="65"/>
  <c r="U50" s="1"/>
  <c r="W50" s="1"/>
  <c r="K61" i="70"/>
  <c r="U61" s="1"/>
  <c r="W61" s="1"/>
  <c r="K34" i="62"/>
  <c r="U34" s="1"/>
  <c r="W34" s="1"/>
  <c r="G30" i="55"/>
  <c r="G29" s="1"/>
  <c r="F8" i="57" s="1"/>
  <c r="G109" i="53"/>
  <c r="I153" i="64"/>
  <c r="S154"/>
  <c r="S153" s="1"/>
  <c r="K36" i="67"/>
  <c r="U36" s="1"/>
  <c r="T35" i="70"/>
  <c r="K50" i="59"/>
  <c r="U50" s="1"/>
  <c r="W50" s="1"/>
  <c r="K18" i="58"/>
  <c r="U18" s="1"/>
  <c r="W18" s="1"/>
  <c r="P123" i="55"/>
  <c r="H27" i="57"/>
  <c r="H28" s="1"/>
  <c r="I5" i="75" s="1"/>
  <c r="K23" i="58"/>
  <c r="U23" s="1"/>
  <c r="W23" s="1"/>
  <c r="K55" i="59"/>
  <c r="U55" s="1"/>
  <c r="W55" s="1"/>
  <c r="K12"/>
  <c r="U12" s="1"/>
  <c r="W12" s="1"/>
  <c r="K14"/>
  <c r="U14" s="1"/>
  <c r="W14" s="1"/>
  <c r="I48" i="64"/>
  <c r="F43" i="54" s="1"/>
  <c r="S49" i="64"/>
  <c r="S48" s="1"/>
  <c r="K43" i="54" s="1"/>
  <c r="K10" i="58"/>
  <c r="U10" s="1"/>
  <c r="W10" s="1"/>
  <c r="K42" i="59"/>
  <c r="U42" s="1"/>
  <c r="W42" s="1"/>
  <c r="J66" i="54"/>
  <c r="J65" s="1"/>
  <c r="G178" i="53" s="1"/>
  <c r="R72" i="67"/>
  <c r="H103" i="64"/>
  <c r="H5" s="1"/>
  <c r="E47" i="54"/>
  <c r="E46" s="1"/>
  <c r="T93" i="70"/>
  <c r="K62" i="54"/>
  <c r="J41"/>
  <c r="K85" i="64"/>
  <c r="K57"/>
  <c r="U57" s="1"/>
  <c r="W57" s="1"/>
  <c r="C9" i="40"/>
  <c r="S6" i="62"/>
  <c r="K31" i="54"/>
  <c r="K30" s="1"/>
  <c r="K8" i="62"/>
  <c r="K35" i="70"/>
  <c r="K39" i="67"/>
  <c r="U39" s="1"/>
  <c r="K39" i="58"/>
  <c r="U39" s="1"/>
  <c r="W39" s="1"/>
  <c r="K16" i="67"/>
  <c r="U16" s="1"/>
  <c r="S36" i="66"/>
  <c r="S35" s="1"/>
  <c r="K59" i="54" s="1"/>
  <c r="I35" i="66"/>
  <c r="F59" i="54" s="1"/>
  <c r="R39" i="59"/>
  <c r="R38" s="1"/>
  <c r="J11" i="54" s="1"/>
  <c r="H38" i="59"/>
  <c r="E11" i="54" s="1"/>
  <c r="K130" i="64"/>
  <c r="U130" s="1"/>
  <c r="W130" s="1"/>
  <c r="K203"/>
  <c r="U203" s="1"/>
  <c r="W203" s="1"/>
  <c r="U7" i="70"/>
  <c r="K53" i="59"/>
  <c r="U53" s="1"/>
  <c r="W53" s="1"/>
  <c r="K21" i="58"/>
  <c r="U21" s="1"/>
  <c r="W21" s="1"/>
  <c r="K10" i="62"/>
  <c r="U10" s="1"/>
  <c r="W10" s="1"/>
  <c r="K37" i="70"/>
  <c r="U37" s="1"/>
  <c r="W37" s="1"/>
  <c r="S57"/>
  <c r="S34" s="1"/>
  <c r="K26" i="54" s="1"/>
  <c r="I34" i="70"/>
  <c r="F26" i="54" s="1"/>
  <c r="I42" i="63"/>
  <c r="S43"/>
  <c r="S42" s="1"/>
  <c r="K124" i="64"/>
  <c r="U124" s="1"/>
  <c r="W124" s="1"/>
  <c r="K197"/>
  <c r="U197" s="1"/>
  <c r="W197" s="1"/>
  <c r="K193"/>
  <c r="U193" s="1"/>
  <c r="W193" s="1"/>
  <c r="K120"/>
  <c r="U120" s="1"/>
  <c r="W120" s="1"/>
  <c r="K96" i="62"/>
  <c r="U96" s="1"/>
  <c r="W96" s="1"/>
  <c r="K96" i="70"/>
  <c r="U96" s="1"/>
  <c r="W96" s="1"/>
  <c r="K61" i="65"/>
  <c r="D14" i="40"/>
  <c r="K21" i="64"/>
  <c r="U21" s="1"/>
  <c r="W21" s="1"/>
  <c r="F62" i="54"/>
  <c r="S10" i="70"/>
  <c r="S6" s="1"/>
  <c r="I6"/>
  <c r="K41" i="67"/>
  <c r="U41" s="1"/>
  <c r="K57" i="62"/>
  <c r="U57" s="1"/>
  <c r="W57" s="1"/>
  <c r="K84" i="70"/>
  <c r="U84" s="1"/>
  <c r="W84" s="1"/>
  <c r="K111" i="64"/>
  <c r="U111" s="1"/>
  <c r="W111" s="1"/>
  <c r="K184"/>
  <c r="U184" s="1"/>
  <c r="W184" s="1"/>
  <c r="J46" i="58"/>
  <c r="T46" s="1"/>
  <c r="J23" i="67"/>
  <c r="T23" s="1"/>
  <c r="J49" i="64"/>
  <c r="J46" i="67"/>
  <c r="K21" i="59"/>
  <c r="U21" s="1"/>
  <c r="W21" s="1"/>
  <c r="K30" i="63"/>
  <c r="U30" s="1"/>
  <c r="W30" s="1"/>
  <c r="K65"/>
  <c r="U65" s="1"/>
  <c r="W65" s="1"/>
  <c r="T94" i="62"/>
  <c r="U91" i="70"/>
  <c r="D11" i="40"/>
  <c r="H72" i="67"/>
  <c r="H5" s="1"/>
  <c r="E66" i="54"/>
  <c r="E65" s="1"/>
  <c r="E60" s="1"/>
  <c r="J47"/>
  <c r="J46" s="1"/>
  <c r="G134" i="53" s="1"/>
  <c r="R103" i="64"/>
  <c r="W27" i="61"/>
  <c r="U26"/>
  <c r="W26" s="1"/>
  <c r="M23" i="54"/>
  <c r="M22" s="1"/>
  <c r="J48" i="53" s="1"/>
  <c r="J30" i="54"/>
  <c r="K37" i="59"/>
  <c r="U37" s="1"/>
  <c r="W37" s="1"/>
  <c r="K13"/>
  <c r="U13" s="1"/>
  <c r="W13" s="1"/>
  <c r="K12" i="64"/>
  <c r="U12" s="1"/>
  <c r="W12" s="1"/>
  <c r="K49" i="67"/>
  <c r="U49" s="1"/>
  <c r="K52" i="64"/>
  <c r="U52" s="1"/>
  <c r="W52" s="1"/>
  <c r="K149"/>
  <c r="K38" i="67"/>
  <c r="U38" s="1"/>
  <c r="K16" i="59"/>
  <c r="U16" s="1"/>
  <c r="W16" s="1"/>
  <c r="K43"/>
  <c r="U43" s="1"/>
  <c r="W43" s="1"/>
  <c r="K11" i="58"/>
  <c r="U11" s="1"/>
  <c r="W11" s="1"/>
  <c r="J62" i="54"/>
  <c r="J61" s="1"/>
  <c r="R6" i="67"/>
  <c r="R5" s="1"/>
  <c r="D18" i="40"/>
  <c r="H6" i="58"/>
  <c r="R7"/>
  <c r="R6" s="1"/>
  <c r="K69" i="63"/>
  <c r="U69" s="1"/>
  <c r="W69" s="1"/>
  <c r="K34"/>
  <c r="U34" s="1"/>
  <c r="W34" s="1"/>
  <c r="K69" i="64"/>
  <c r="U69" s="1"/>
  <c r="W69" s="1"/>
  <c r="K97"/>
  <c r="U97" s="1"/>
  <c r="W97" s="1"/>
  <c r="E32" i="54"/>
  <c r="E30" s="1"/>
  <c r="E29" s="1"/>
  <c r="H6" i="62"/>
  <c r="H5" s="1"/>
  <c r="J51" i="54"/>
  <c r="J49" s="1"/>
  <c r="G140" i="53" s="1"/>
  <c r="R152" i="64"/>
  <c r="U33" i="65"/>
  <c r="J103" i="72"/>
  <c r="J102" s="1"/>
  <c r="J36" i="65"/>
  <c r="J10" i="70"/>
  <c r="D7" i="40"/>
  <c r="K12" i="58"/>
  <c r="U12" s="1"/>
  <c r="W12" s="1"/>
  <c r="K44" i="59"/>
  <c r="U44" s="1"/>
  <c r="W44" s="1"/>
  <c r="S8" i="63"/>
  <c r="S7" s="1"/>
  <c r="I7"/>
  <c r="F45" i="54"/>
  <c r="F44" s="1"/>
  <c r="I75" i="64"/>
  <c r="W102" i="62"/>
  <c r="U117"/>
  <c r="S36" i="65"/>
  <c r="S32" s="1"/>
  <c r="K55" i="54" s="1"/>
  <c r="I32" i="65"/>
  <c r="F55" i="54" s="1"/>
  <c r="T31" i="58"/>
  <c r="T30" s="1"/>
  <c r="L8" i="54" s="1"/>
  <c r="J30" i="58"/>
  <c r="G8" i="54" s="1"/>
  <c r="K45"/>
  <c r="K44" s="1"/>
  <c r="H128" i="53" s="1"/>
  <c r="S75" i="64"/>
  <c r="G152" i="53"/>
  <c r="K54" i="63"/>
  <c r="U54" s="1"/>
  <c r="W54" s="1"/>
  <c r="K19"/>
  <c r="U19" s="1"/>
  <c r="W19" s="1"/>
  <c r="H6" i="59"/>
  <c r="R7"/>
  <c r="R6" s="1"/>
  <c r="D10" i="40"/>
  <c r="I105" i="64"/>
  <c r="I178"/>
  <c r="H7" i="66"/>
  <c r="K108" i="70"/>
  <c r="U108" s="1"/>
  <c r="W108" s="1"/>
  <c r="E41" i="54"/>
  <c r="K9" i="64"/>
  <c r="U9" s="1"/>
  <c r="W9" s="1"/>
  <c r="R5" i="63"/>
  <c r="E51" i="54"/>
  <c r="E49" s="1"/>
  <c r="H152" i="64"/>
  <c r="I8"/>
  <c r="J8" i="63"/>
  <c r="J43"/>
  <c r="J154" i="64"/>
  <c r="F31" i="54"/>
  <c r="F30" s="1"/>
  <c r="I6" i="62"/>
  <c r="K36" i="63"/>
  <c r="U36" s="1"/>
  <c r="W36" s="1"/>
  <c r="K71"/>
  <c r="U71" s="1"/>
  <c r="W71" s="1"/>
  <c r="K109" i="70"/>
  <c r="U109" s="1"/>
  <c r="W109" s="1"/>
  <c r="D12" i="40"/>
  <c r="U20" i="61"/>
  <c r="M19" i="54" s="1"/>
  <c r="W21" i="61"/>
  <c r="K24" i="59"/>
  <c r="U24" s="1"/>
  <c r="W24" s="1"/>
  <c r="K141" i="64"/>
  <c r="U141" s="1"/>
  <c r="W141" s="1"/>
  <c r="K214"/>
  <c r="U214" s="1"/>
  <c r="W214" s="1"/>
  <c r="K133"/>
  <c r="U133" s="1"/>
  <c r="W133" s="1"/>
  <c r="K206"/>
  <c r="U206" s="1"/>
  <c r="W206" s="1"/>
  <c r="K35" i="67"/>
  <c r="K73" i="63"/>
  <c r="U73" s="1"/>
  <c r="W73" s="1"/>
  <c r="K38"/>
  <c r="U38" s="1"/>
  <c r="W38" s="1"/>
  <c r="T86" i="64"/>
  <c r="T76" s="1"/>
  <c r="J76"/>
  <c r="D17" i="40"/>
  <c r="T8" i="67"/>
  <c r="T7" s="1"/>
  <c r="J7"/>
  <c r="J7" i="62"/>
  <c r="T8"/>
  <c r="J57" i="70"/>
  <c r="T57" s="1"/>
  <c r="T34" s="1"/>
  <c r="L26" i="54" s="1"/>
  <c r="J30" i="62"/>
  <c r="T30" s="1"/>
  <c r="I45" i="67"/>
  <c r="S46"/>
  <c r="S45" s="1"/>
  <c r="K64" i="54" s="1"/>
  <c r="E6" i="29"/>
  <c r="E11"/>
  <c r="C8" i="40"/>
  <c r="J35" i="54"/>
  <c r="G104" i="53"/>
  <c r="R6" i="64"/>
  <c r="R5" s="1"/>
  <c r="K110" i="70" l="1"/>
  <c r="U110" s="1"/>
  <c r="W110" s="1"/>
  <c r="K94" i="64"/>
  <c r="U94" s="1"/>
  <c r="W94" s="1"/>
  <c r="K66"/>
  <c r="U66" s="1"/>
  <c r="W66" s="1"/>
  <c r="K18" i="67"/>
  <c r="U18" s="1"/>
  <c r="K41" i="58"/>
  <c r="U41" s="1"/>
  <c r="W41" s="1"/>
  <c r="K46" i="64"/>
  <c r="U46" s="1"/>
  <c r="W46" s="1"/>
  <c r="K185"/>
  <c r="U185" s="1"/>
  <c r="W185" s="1"/>
  <c r="K112"/>
  <c r="U112" s="1"/>
  <c r="W112" s="1"/>
  <c r="K199"/>
  <c r="U199" s="1"/>
  <c r="W199" s="1"/>
  <c r="K126"/>
  <c r="U126" s="1"/>
  <c r="W126" s="1"/>
  <c r="I7" i="58"/>
  <c r="I39" i="59"/>
  <c r="K13" i="58"/>
  <c r="U13" s="1"/>
  <c r="W13" s="1"/>
  <c r="K45" i="59"/>
  <c r="U45" s="1"/>
  <c r="W45" s="1"/>
  <c r="K55" i="64"/>
  <c r="U55" s="1"/>
  <c r="W55" s="1"/>
  <c r="K52" i="67"/>
  <c r="U52" s="1"/>
  <c r="K92" i="64"/>
  <c r="U92" s="1"/>
  <c r="W92" s="1"/>
  <c r="K64"/>
  <c r="U64" s="1"/>
  <c r="W64" s="1"/>
  <c r="K40" i="59"/>
  <c r="U40" s="1"/>
  <c r="W40" s="1"/>
  <c r="K8" i="58"/>
  <c r="U8" s="1"/>
  <c r="W8" s="1"/>
  <c r="K26" i="59"/>
  <c r="U26" s="1"/>
  <c r="W26" s="1"/>
  <c r="K50" i="67"/>
  <c r="U50" s="1"/>
  <c r="K53" i="64"/>
  <c r="U53" s="1"/>
  <c r="W53" s="1"/>
  <c r="K37" i="63"/>
  <c r="U37" s="1"/>
  <c r="W37" s="1"/>
  <c r="K72"/>
  <c r="U72" s="1"/>
  <c r="W72" s="1"/>
  <c r="K75" i="70"/>
  <c r="U75" s="1"/>
  <c r="W75" s="1"/>
  <c r="K48" i="62"/>
  <c r="U48" s="1"/>
  <c r="W48" s="1"/>
  <c r="L45" i="54"/>
  <c r="L44" s="1"/>
  <c r="I128" i="53" s="1"/>
  <c r="T75" i="64"/>
  <c r="T43" i="63"/>
  <c r="T42" s="1"/>
  <c r="J42"/>
  <c r="K79" i="70"/>
  <c r="U79" s="1"/>
  <c r="W79" s="1"/>
  <c r="K52" i="62"/>
  <c r="U52" s="1"/>
  <c r="W52" s="1"/>
  <c r="K189" i="64"/>
  <c r="U189" s="1"/>
  <c r="W189" s="1"/>
  <c r="K116"/>
  <c r="U116" s="1"/>
  <c r="W116" s="1"/>
  <c r="H6" i="66"/>
  <c r="R7"/>
  <c r="R6" s="1"/>
  <c r="E10" i="54"/>
  <c r="E9" s="1"/>
  <c r="H5" i="59"/>
  <c r="E17" i="40"/>
  <c r="W33" i="65"/>
  <c r="J7" i="54"/>
  <c r="R5" i="58"/>
  <c r="K148" i="64"/>
  <c r="H48" i="54" s="1"/>
  <c r="U149" i="64"/>
  <c r="K8" i="67"/>
  <c r="K31" i="58"/>
  <c r="H17" i="60"/>
  <c r="H18" i="61"/>
  <c r="R18" s="1"/>
  <c r="H12" i="60"/>
  <c r="H25" i="61"/>
  <c r="R25" s="1"/>
  <c r="H122" i="70"/>
  <c r="H13" i="61"/>
  <c r="R13" s="1"/>
  <c r="K10" i="64"/>
  <c r="U10" s="1"/>
  <c r="W10" s="1"/>
  <c r="K10" i="67"/>
  <c r="U10" s="1"/>
  <c r="K33" i="58"/>
  <c r="U33" s="1"/>
  <c r="W33" s="1"/>
  <c r="K96" i="64"/>
  <c r="U96" s="1"/>
  <c r="W96" s="1"/>
  <c r="K68"/>
  <c r="U68" s="1"/>
  <c r="W68" s="1"/>
  <c r="J47" i="53"/>
  <c r="J131" i="55"/>
  <c r="G182"/>
  <c r="G181" s="1"/>
  <c r="G133" i="53"/>
  <c r="J45" i="67"/>
  <c r="G64" i="54" s="1"/>
  <c r="T46" i="67"/>
  <c r="T45" s="1"/>
  <c r="L64" i="54" s="1"/>
  <c r="F25"/>
  <c r="K195" i="64"/>
  <c r="U195" s="1"/>
  <c r="W195" s="1"/>
  <c r="K122"/>
  <c r="U122" s="1"/>
  <c r="W122" s="1"/>
  <c r="K20" i="63"/>
  <c r="U20" s="1"/>
  <c r="W20" s="1"/>
  <c r="K55"/>
  <c r="U55" s="1"/>
  <c r="W55" s="1"/>
  <c r="I41"/>
  <c r="F39" i="54"/>
  <c r="F38" s="1"/>
  <c r="H70" i="53"/>
  <c r="K24" i="62"/>
  <c r="U24" s="1"/>
  <c r="W24" s="1"/>
  <c r="K51" i="70"/>
  <c r="U51" s="1"/>
  <c r="W51" s="1"/>
  <c r="K72"/>
  <c r="U72" s="1"/>
  <c r="W72" s="1"/>
  <c r="K45" i="62"/>
  <c r="U45" s="1"/>
  <c r="W45" s="1"/>
  <c r="K51" i="67"/>
  <c r="U51" s="1"/>
  <c r="K54" i="64"/>
  <c r="U54" s="1"/>
  <c r="W54" s="1"/>
  <c r="K68" i="63"/>
  <c r="U68" s="1"/>
  <c r="W68" s="1"/>
  <c r="K33"/>
  <c r="U33" s="1"/>
  <c r="W33" s="1"/>
  <c r="J35" i="66"/>
  <c r="G59" i="54" s="1"/>
  <c r="T36" i="66"/>
  <c r="T35" s="1"/>
  <c r="L59" i="54" s="1"/>
  <c r="S99" i="70"/>
  <c r="S90" s="1"/>
  <c r="K27" i="54" s="1"/>
  <c r="I90" i="70"/>
  <c r="F27" i="54" s="1"/>
  <c r="H7" i="60"/>
  <c r="H8" i="61"/>
  <c r="T7" i="62"/>
  <c r="S6" i="67"/>
  <c r="S5" s="1"/>
  <c r="K81" i="70"/>
  <c r="U81" s="1"/>
  <c r="W81" s="1"/>
  <c r="K54" i="62"/>
  <c r="U54" s="1"/>
  <c r="W54" s="1"/>
  <c r="K61" i="64"/>
  <c r="U61" s="1"/>
  <c r="W61" s="1"/>
  <c r="K89"/>
  <c r="U89" s="1"/>
  <c r="W89" s="1"/>
  <c r="K71" i="70"/>
  <c r="U71" s="1"/>
  <c r="W71" s="1"/>
  <c r="K44" i="62"/>
  <c r="U44" s="1"/>
  <c r="W44" s="1"/>
  <c r="F64" i="54"/>
  <c r="F61" s="1"/>
  <c r="F60" s="1"/>
  <c r="W45" i="67"/>
  <c r="E7" i="40"/>
  <c r="L62" i="54"/>
  <c r="L61" s="1"/>
  <c r="J75" i="64"/>
  <c r="G45" i="54"/>
  <c r="G44" s="1"/>
  <c r="E12" i="40"/>
  <c r="I7" i="64"/>
  <c r="S8"/>
  <c r="S7" s="1"/>
  <c r="K119"/>
  <c r="U119" s="1"/>
  <c r="W119" s="1"/>
  <c r="K192"/>
  <c r="U192" s="1"/>
  <c r="W192" s="1"/>
  <c r="K110"/>
  <c r="U110" s="1"/>
  <c r="W110" s="1"/>
  <c r="K183"/>
  <c r="U183" s="1"/>
  <c r="W183" s="1"/>
  <c r="I104"/>
  <c r="S105"/>
  <c r="S104" s="1"/>
  <c r="R5" i="59"/>
  <c r="J10" i="54"/>
  <c r="J9" s="1"/>
  <c r="H176" i="55"/>
  <c r="H175" s="1"/>
  <c r="H127" i="53"/>
  <c r="K67" i="64"/>
  <c r="U67" s="1"/>
  <c r="W67" s="1"/>
  <c r="K95"/>
  <c r="U95" s="1"/>
  <c r="W95" s="1"/>
  <c r="K41" i="62"/>
  <c r="U41" s="1"/>
  <c r="W41" s="1"/>
  <c r="K68" i="70"/>
  <c r="U68" s="1"/>
  <c r="W68" s="1"/>
  <c r="K24" i="64"/>
  <c r="U24" s="1"/>
  <c r="W24" s="1"/>
  <c r="K59" i="70"/>
  <c r="U59" s="1"/>
  <c r="W59" s="1"/>
  <c r="K32" i="62"/>
  <c r="U32" s="1"/>
  <c r="W32" s="1"/>
  <c r="K188" i="64"/>
  <c r="U188" s="1"/>
  <c r="W188" s="1"/>
  <c r="K115"/>
  <c r="U115" s="1"/>
  <c r="W115" s="1"/>
  <c r="G70" i="53"/>
  <c r="J29" i="54"/>
  <c r="W91" i="70"/>
  <c r="E11" i="40"/>
  <c r="K39" i="54"/>
  <c r="K38" s="1"/>
  <c r="H110" i="53" s="1"/>
  <c r="S41" i="63"/>
  <c r="K91" i="64"/>
  <c r="U91" s="1"/>
  <c r="W91" s="1"/>
  <c r="K63"/>
  <c r="U63" s="1"/>
  <c r="W63" s="1"/>
  <c r="U8" i="62"/>
  <c r="K47" i="58"/>
  <c r="U47" s="1"/>
  <c r="W47" s="1"/>
  <c r="K24" i="67"/>
  <c r="U24" s="1"/>
  <c r="U85" i="64"/>
  <c r="K71"/>
  <c r="U71" s="1"/>
  <c r="W71" s="1"/>
  <c r="K99"/>
  <c r="U99" s="1"/>
  <c r="W99" s="1"/>
  <c r="K93"/>
  <c r="U93" s="1"/>
  <c r="W93" s="1"/>
  <c r="K65"/>
  <c r="U65" s="1"/>
  <c r="W65" s="1"/>
  <c r="K46" i="62"/>
  <c r="U46" s="1"/>
  <c r="W46" s="1"/>
  <c r="K73" i="70"/>
  <c r="U73" s="1"/>
  <c r="W73" s="1"/>
  <c r="G177" i="53"/>
  <c r="G227" i="55"/>
  <c r="G226" s="1"/>
  <c r="K145" i="64"/>
  <c r="U145" s="1"/>
  <c r="W145" s="1"/>
  <c r="K218"/>
  <c r="U218" s="1"/>
  <c r="W218" s="1"/>
  <c r="F50" i="54"/>
  <c r="E18" i="40"/>
  <c r="S99" i="62"/>
  <c r="I90"/>
  <c r="K54" i="54"/>
  <c r="K53" s="1"/>
  <c r="S5" i="65"/>
  <c r="H9" i="60"/>
  <c r="H10" i="61"/>
  <c r="R10" s="1"/>
  <c r="H24"/>
  <c r="I6" i="59"/>
  <c r="S7"/>
  <c r="S6" s="1"/>
  <c r="K9" i="67"/>
  <c r="U9" s="1"/>
  <c r="K32" i="58"/>
  <c r="U32" s="1"/>
  <c r="W32" s="1"/>
  <c r="K216" i="64"/>
  <c r="U216" s="1"/>
  <c r="W216" s="1"/>
  <c r="K143"/>
  <c r="U143" s="1"/>
  <c r="W143" s="1"/>
  <c r="K103" i="70"/>
  <c r="U103" s="1"/>
  <c r="W103" s="1"/>
  <c r="K58" i="64"/>
  <c r="U58" s="1"/>
  <c r="W58" s="1"/>
  <c r="K86"/>
  <c r="U86" s="1"/>
  <c r="W86" s="1"/>
  <c r="J6" i="67"/>
  <c r="J5" s="1"/>
  <c r="G62" i="54"/>
  <c r="G61" s="1"/>
  <c r="G60" s="1"/>
  <c r="K208" i="64"/>
  <c r="U208" s="1"/>
  <c r="W208" s="1"/>
  <c r="K135"/>
  <c r="U135" s="1"/>
  <c r="W135" s="1"/>
  <c r="K44" i="65"/>
  <c r="U44" s="1"/>
  <c r="W44" s="1"/>
  <c r="K18" i="70"/>
  <c r="U18" s="1"/>
  <c r="W18" s="1"/>
  <c r="K87" i="64"/>
  <c r="U87" s="1"/>
  <c r="W87" s="1"/>
  <c r="K59"/>
  <c r="U59" s="1"/>
  <c r="W59" s="1"/>
  <c r="T154"/>
  <c r="T153" s="1"/>
  <c r="J153"/>
  <c r="D13" i="40"/>
  <c r="H12" i="61"/>
  <c r="R12" s="1"/>
  <c r="H11" i="60"/>
  <c r="S178" i="64"/>
  <c r="S177" s="1"/>
  <c r="K51" i="54" s="1"/>
  <c r="I177" i="64"/>
  <c r="F51" i="54" s="1"/>
  <c r="S6" i="63"/>
  <c r="K37" i="54"/>
  <c r="K36" s="1"/>
  <c r="K92" i="70"/>
  <c r="T36" i="65"/>
  <c r="T32" s="1"/>
  <c r="L55" i="54" s="1"/>
  <c r="J32" i="65"/>
  <c r="G55" i="54" s="1"/>
  <c r="G195" i="55"/>
  <c r="G139" i="53"/>
  <c r="G172"/>
  <c r="J60" i="54"/>
  <c r="H11" i="61"/>
  <c r="R11" s="1"/>
  <c r="H10" i="60"/>
  <c r="K56" i="64"/>
  <c r="U56" s="1"/>
  <c r="W56" s="1"/>
  <c r="K53" i="67"/>
  <c r="U53" s="1"/>
  <c r="K70" i="64"/>
  <c r="U70" s="1"/>
  <c r="W70" s="1"/>
  <c r="K98"/>
  <c r="U98" s="1"/>
  <c r="W98" s="1"/>
  <c r="K67" i="70"/>
  <c r="U67" s="1"/>
  <c r="W67" s="1"/>
  <c r="K40" i="62"/>
  <c r="U40" s="1"/>
  <c r="W40" s="1"/>
  <c r="E10" i="40"/>
  <c r="U61" i="65"/>
  <c r="K60"/>
  <c r="H56" i="54" s="1"/>
  <c r="K114" i="64"/>
  <c r="U114" s="1"/>
  <c r="W114" s="1"/>
  <c r="K187"/>
  <c r="U187" s="1"/>
  <c r="W187" s="1"/>
  <c r="K93" i="70"/>
  <c r="U93" s="1"/>
  <c r="W93" s="1"/>
  <c r="U35"/>
  <c r="K37" i="62"/>
  <c r="U37" s="1"/>
  <c r="W37" s="1"/>
  <c r="K64" i="70"/>
  <c r="U64" s="1"/>
  <c r="W64" s="1"/>
  <c r="K34" i="58"/>
  <c r="U34" s="1"/>
  <c r="W34" s="1"/>
  <c r="K11" i="67"/>
  <c r="U11" s="1"/>
  <c r="K19" i="58"/>
  <c r="U19" s="1"/>
  <c r="W19" s="1"/>
  <c r="K51" i="59"/>
  <c r="U51" s="1"/>
  <c r="W51" s="1"/>
  <c r="K212" i="64"/>
  <c r="U212" s="1"/>
  <c r="W212" s="1"/>
  <c r="K139"/>
  <c r="U139" s="1"/>
  <c r="W139" s="1"/>
  <c r="K43" i="58"/>
  <c r="U43" s="1"/>
  <c r="W43" s="1"/>
  <c r="K20" i="67"/>
  <c r="U20" s="1"/>
  <c r="K60" i="64"/>
  <c r="U60" s="1"/>
  <c r="W60" s="1"/>
  <c r="K88"/>
  <c r="U88" s="1"/>
  <c r="W88" s="1"/>
  <c r="H8" i="60"/>
  <c r="H9" i="61"/>
  <c r="R9" s="1"/>
  <c r="G122" i="53"/>
  <c r="J40" i="54"/>
  <c r="J105" i="64"/>
  <c r="J178"/>
  <c r="K51" i="58"/>
  <c r="U51" s="1"/>
  <c r="W51" s="1"/>
  <c r="K28" i="67"/>
  <c r="U28" s="1"/>
  <c r="S152" i="64"/>
  <c r="K50" i="54"/>
  <c r="D16" i="40"/>
  <c r="F54" i="54"/>
  <c r="F53" s="1"/>
  <c r="I5" i="65"/>
  <c r="D8" i="40"/>
  <c r="K25" i="62"/>
  <c r="U25" s="1"/>
  <c r="W25" s="1"/>
  <c r="K52" i="70"/>
  <c r="U52" s="1"/>
  <c r="W52" s="1"/>
  <c r="I6" i="67"/>
  <c r="I5" s="1"/>
  <c r="J34" i="70"/>
  <c r="G26" i="54" s="1"/>
  <c r="K35" i="59"/>
  <c r="U35" s="1"/>
  <c r="W35" s="1"/>
  <c r="K23" i="64"/>
  <c r="U23" s="1"/>
  <c r="W23" s="1"/>
  <c r="K100" i="70"/>
  <c r="U100" s="1"/>
  <c r="W100" s="1"/>
  <c r="K100" i="62"/>
  <c r="U100" s="1"/>
  <c r="W100" s="1"/>
  <c r="G103" i="53"/>
  <c r="G24" i="55"/>
  <c r="G23" s="1"/>
  <c r="F7" i="57" s="1"/>
  <c r="E16" i="30"/>
  <c r="E5" i="29"/>
  <c r="J8" i="64"/>
  <c r="G31" i="54"/>
  <c r="G30" s="1"/>
  <c r="J6" i="62"/>
  <c r="U35" i="67"/>
  <c r="U34" s="1"/>
  <c r="M63" i="54" s="1"/>
  <c r="K34" i="67"/>
  <c r="H63" i="54" s="1"/>
  <c r="K53" i="62"/>
  <c r="U53" s="1"/>
  <c r="W53" s="1"/>
  <c r="K80" i="70"/>
  <c r="U80" s="1"/>
  <c r="W80" s="1"/>
  <c r="E14" i="40"/>
  <c r="T8" i="63"/>
  <c r="T7" s="1"/>
  <c r="J7"/>
  <c r="K123" i="64"/>
  <c r="U123" s="1"/>
  <c r="W123" s="1"/>
  <c r="K196"/>
  <c r="U196" s="1"/>
  <c r="W196" s="1"/>
  <c r="K58" i="59"/>
  <c r="U58" s="1"/>
  <c r="W58" s="1"/>
  <c r="K27" i="58"/>
  <c r="U27" s="1"/>
  <c r="W27" s="1"/>
  <c r="D15" i="40"/>
  <c r="G151" i="53"/>
  <c r="G36" i="55"/>
  <c r="G35" s="1"/>
  <c r="F9" i="57" s="1"/>
  <c r="K107" i="70"/>
  <c r="U107" s="1"/>
  <c r="W107" s="1"/>
  <c r="I6" i="63"/>
  <c r="I5" s="1"/>
  <c r="F37" i="54"/>
  <c r="F36" s="1"/>
  <c r="F35" s="1"/>
  <c r="T10" i="70"/>
  <c r="T6" s="1"/>
  <c r="J6"/>
  <c r="H5" i="58"/>
  <c r="E7" i="54"/>
  <c r="E6" s="1"/>
  <c r="K146" i="64"/>
  <c r="U146" s="1"/>
  <c r="W146" s="1"/>
  <c r="K219"/>
  <c r="U219" s="1"/>
  <c r="W219" s="1"/>
  <c r="K42" i="62"/>
  <c r="U42" s="1"/>
  <c r="W42" s="1"/>
  <c r="K69" i="70"/>
  <c r="U69" s="1"/>
  <c r="W69" s="1"/>
  <c r="H13" i="60"/>
  <c r="H14" i="61"/>
  <c r="R14" s="1"/>
  <c r="K19" i="64"/>
  <c r="U19" s="1"/>
  <c r="W19" s="1"/>
  <c r="K191"/>
  <c r="U191" s="1"/>
  <c r="W191" s="1"/>
  <c r="K118"/>
  <c r="U118" s="1"/>
  <c r="W118" s="1"/>
  <c r="K94" i="62"/>
  <c r="K94" i="70"/>
  <c r="U94" s="1"/>
  <c r="W94" s="1"/>
  <c r="J48" i="64"/>
  <c r="G43" i="54" s="1"/>
  <c r="T49" i="64"/>
  <c r="T48" s="1"/>
  <c r="L43" i="54" s="1"/>
  <c r="K25"/>
  <c r="J99" i="70"/>
  <c r="J99" i="62"/>
  <c r="J7" i="59"/>
  <c r="W7" i="70"/>
  <c r="K20" i="58"/>
  <c r="U20" s="1"/>
  <c r="W20" s="1"/>
  <c r="K52" i="59"/>
  <c r="U52" s="1"/>
  <c r="W52" s="1"/>
  <c r="H15" i="60"/>
  <c r="H16" i="61"/>
  <c r="H16" i="60"/>
  <c r="H17" i="61"/>
  <c r="R17" s="1"/>
  <c r="K111" i="70"/>
  <c r="U111" s="1"/>
  <c r="W111" s="1"/>
  <c r="K128" i="64"/>
  <c r="U128" s="1"/>
  <c r="W128" s="1"/>
  <c r="K201"/>
  <c r="U201" s="1"/>
  <c r="W201" s="1"/>
  <c r="K129"/>
  <c r="U129" s="1"/>
  <c r="W129" s="1"/>
  <c r="K202"/>
  <c r="U202" s="1"/>
  <c r="W202" s="1"/>
  <c r="J6" i="65"/>
  <c r="T7"/>
  <c r="T6" s="1"/>
  <c r="H19" i="61"/>
  <c r="R19" s="1"/>
  <c r="H18" i="60"/>
  <c r="E40" i="54"/>
  <c r="K61"/>
  <c r="E146" i="26" l="1"/>
  <c r="E143"/>
  <c r="K143" s="1"/>
  <c r="E97"/>
  <c r="E32"/>
  <c r="K32" s="1"/>
  <c r="E135"/>
  <c r="K135" s="1"/>
  <c r="E182"/>
  <c r="K182" s="1"/>
  <c r="E87"/>
  <c r="K87" s="1"/>
  <c r="E208"/>
  <c r="K208" s="1"/>
  <c r="E45"/>
  <c r="K45" s="1"/>
  <c r="E189"/>
  <c r="K189" s="1"/>
  <c r="E186"/>
  <c r="K186" s="1"/>
  <c r="E165"/>
  <c r="K165" s="1"/>
  <c r="E161"/>
  <c r="K161" s="1"/>
  <c r="E30"/>
  <c r="K30" s="1"/>
  <c r="E26"/>
  <c r="K26" s="1"/>
  <c r="E55"/>
  <c r="K55" s="1"/>
  <c r="E88"/>
  <c r="K88" s="1"/>
  <c r="E100"/>
  <c r="K100" s="1"/>
  <c r="E194"/>
  <c r="K194" s="1"/>
  <c r="E102"/>
  <c r="K102" s="1"/>
  <c r="E89"/>
  <c r="K89" s="1"/>
  <c r="E114"/>
  <c r="K114" s="1"/>
  <c r="E145"/>
  <c r="K145" s="1"/>
  <c r="E113"/>
  <c r="K113" s="1"/>
  <c r="E197"/>
  <c r="E51"/>
  <c r="E213"/>
  <c r="E157"/>
  <c r="K157" s="1"/>
  <c r="E178"/>
  <c r="K178" s="1"/>
  <c r="E92"/>
  <c r="K92" s="1"/>
  <c r="E71"/>
  <c r="K71" s="1"/>
  <c r="E190"/>
  <c r="K190" s="1"/>
  <c r="E85"/>
  <c r="K85" s="1"/>
  <c r="E158"/>
  <c r="K158" s="1"/>
  <c r="E202"/>
  <c r="K202" s="1"/>
  <c r="E170"/>
  <c r="K170" s="1"/>
  <c r="E125"/>
  <c r="K125" s="1"/>
  <c r="E84"/>
  <c r="K84" s="1"/>
  <c r="E8"/>
  <c r="E155"/>
  <c r="K155" s="1"/>
  <c r="E136"/>
  <c r="K136" s="1"/>
  <c r="E101"/>
  <c r="K101" s="1"/>
  <c r="E79"/>
  <c r="K79" s="1"/>
  <c r="E27"/>
  <c r="K27" s="1"/>
  <c r="E56"/>
  <c r="K56" s="1"/>
  <c r="E70"/>
  <c r="K70" s="1"/>
  <c r="E35"/>
  <c r="E210"/>
  <c r="K210" s="1"/>
  <c r="E129"/>
  <c r="E181"/>
  <c r="K181" s="1"/>
  <c r="E128"/>
  <c r="K128" s="1"/>
  <c r="E12"/>
  <c r="K12" s="1"/>
  <c r="E117"/>
  <c r="K117" s="1"/>
  <c r="E104"/>
  <c r="K104" s="1"/>
  <c r="E54"/>
  <c r="K54" s="1"/>
  <c r="E46"/>
  <c r="K46" s="1"/>
  <c r="E209"/>
  <c r="K209" s="1"/>
  <c r="E160"/>
  <c r="K160" s="1"/>
  <c r="E86"/>
  <c r="K86" s="1"/>
  <c r="E60"/>
  <c r="K60" s="1"/>
  <c r="E72"/>
  <c r="K72" s="1"/>
  <c r="E199"/>
  <c r="K199" s="1"/>
  <c r="E67"/>
  <c r="K67" s="1"/>
  <c r="E9"/>
  <c r="K9" s="1"/>
  <c r="E58"/>
  <c r="K58" s="1"/>
  <c r="E66"/>
  <c r="E141"/>
  <c r="K141" s="1"/>
  <c r="E33"/>
  <c r="K33" s="1"/>
  <c r="E112"/>
  <c r="K112" s="1"/>
  <c r="E204"/>
  <c r="K204" s="1"/>
  <c r="E130"/>
  <c r="K130" s="1"/>
  <c r="E153"/>
  <c r="K153" s="1"/>
  <c r="E53"/>
  <c r="K53" s="1"/>
  <c r="E119"/>
  <c r="K119" s="1"/>
  <c r="E164"/>
  <c r="K164" s="1"/>
  <c r="E10"/>
  <c r="K10" s="1"/>
  <c r="E200"/>
  <c r="K200" s="1"/>
  <c r="E68"/>
  <c r="K68" s="1"/>
  <c r="E124"/>
  <c r="K124" s="1"/>
  <c r="E44"/>
  <c r="K44" s="1"/>
  <c r="E211"/>
  <c r="K211" s="1"/>
  <c r="E41"/>
  <c r="K41" s="1"/>
  <c r="E175"/>
  <c r="K175" s="1"/>
  <c r="E57"/>
  <c r="K57" s="1"/>
  <c r="E15"/>
  <c r="K15" s="1"/>
  <c r="E154"/>
  <c r="K154" s="1"/>
  <c r="E212"/>
  <c r="K212" s="1"/>
  <c r="E78"/>
  <c r="K78" s="1"/>
  <c r="E172"/>
  <c r="K172" s="1"/>
  <c r="E139"/>
  <c r="K139" s="1"/>
  <c r="E177"/>
  <c r="K177" s="1"/>
  <c r="E13"/>
  <c r="K13" s="1"/>
  <c r="E20"/>
  <c r="E188"/>
  <c r="K188" s="1"/>
  <c r="E47"/>
  <c r="K47" s="1"/>
  <c r="E16"/>
  <c r="K16" s="1"/>
  <c r="E152"/>
  <c r="K152" s="1"/>
  <c r="E91"/>
  <c r="K91" s="1"/>
  <c r="E201"/>
  <c r="K201" s="1"/>
  <c r="E28"/>
  <c r="K28" s="1"/>
  <c r="E48"/>
  <c r="E73"/>
  <c r="K73" s="1"/>
  <c r="E120"/>
  <c r="K120" s="1"/>
  <c r="E144"/>
  <c r="K144" s="1"/>
  <c r="E103"/>
  <c r="K103" s="1"/>
  <c r="E93"/>
  <c r="K93" s="1"/>
  <c r="E82"/>
  <c r="E83"/>
  <c r="K83" s="1"/>
  <c r="E140"/>
  <c r="K140" s="1"/>
  <c r="E180"/>
  <c r="K180" s="1"/>
  <c r="E171"/>
  <c r="K171" s="1"/>
  <c r="E105"/>
  <c r="K105" s="1"/>
  <c r="E191"/>
  <c r="K191" s="1"/>
  <c r="E133"/>
  <c r="E76"/>
  <c r="K76" s="1"/>
  <c r="E121"/>
  <c r="K121" s="1"/>
  <c r="E24"/>
  <c r="K24" s="1"/>
  <c r="E137"/>
  <c r="K137" s="1"/>
  <c r="E75"/>
  <c r="K75" s="1"/>
  <c r="E98"/>
  <c r="K98" s="1"/>
  <c r="E156"/>
  <c r="K156" s="1"/>
  <c r="E69"/>
  <c r="K69" s="1"/>
  <c r="E187"/>
  <c r="K187" s="1"/>
  <c r="E217"/>
  <c r="K217" s="1"/>
  <c r="E34"/>
  <c r="K34" s="1"/>
  <c r="E127"/>
  <c r="K127" s="1"/>
  <c r="E176"/>
  <c r="K176" s="1"/>
  <c r="E23"/>
  <c r="E62"/>
  <c r="K62" s="1"/>
  <c r="E107"/>
  <c r="K107" s="1"/>
  <c r="E150"/>
  <c r="K150" s="1"/>
  <c r="E11"/>
  <c r="K11" s="1"/>
  <c r="E52"/>
  <c r="K52" s="1"/>
  <c r="E63"/>
  <c r="K63" s="1"/>
  <c r="E43"/>
  <c r="K43" s="1"/>
  <c r="E166"/>
  <c r="K166" s="1"/>
  <c r="E19"/>
  <c r="K19" s="1"/>
  <c r="E111"/>
  <c r="E123"/>
  <c r="K123" s="1"/>
  <c r="E134"/>
  <c r="K134" s="1"/>
  <c r="E18"/>
  <c r="K18" s="1"/>
  <c r="E138"/>
  <c r="K138" s="1"/>
  <c r="E59"/>
  <c r="K59" s="1"/>
  <c r="E115"/>
  <c r="K115" s="1"/>
  <c r="E169"/>
  <c r="E118"/>
  <c r="K118" s="1"/>
  <c r="E29"/>
  <c r="K29" s="1"/>
  <c r="E38"/>
  <c r="E179"/>
  <c r="K179" s="1"/>
  <c r="E192"/>
  <c r="K192" s="1"/>
  <c r="E40"/>
  <c r="K40" s="1"/>
  <c r="E61"/>
  <c r="K61" s="1"/>
  <c r="E25"/>
  <c r="K25" s="1"/>
  <c r="E77"/>
  <c r="K77" s="1"/>
  <c r="E151"/>
  <c r="K151" s="1"/>
  <c r="E74"/>
  <c r="K74" s="1"/>
  <c r="E163"/>
  <c r="K163" s="1"/>
  <c r="E108"/>
  <c r="E198"/>
  <c r="K198" s="1"/>
  <c r="E216"/>
  <c r="E142"/>
  <c r="K142" s="1"/>
  <c r="E173"/>
  <c r="K173" s="1"/>
  <c r="E174"/>
  <c r="K174" s="1"/>
  <c r="E185"/>
  <c r="E149"/>
  <c r="E99"/>
  <c r="K99" s="1"/>
  <c r="E219"/>
  <c r="E14"/>
  <c r="K14" s="1"/>
  <c r="E94"/>
  <c r="E42"/>
  <c r="K42" s="1"/>
  <c r="E90"/>
  <c r="K90" s="1"/>
  <c r="E122"/>
  <c r="K122" s="1"/>
  <c r="E159"/>
  <c r="K159" s="1"/>
  <c r="E116"/>
  <c r="K116" s="1"/>
  <c r="E39"/>
  <c r="K39" s="1"/>
  <c r="E193"/>
  <c r="K193" s="1"/>
  <c r="E106"/>
  <c r="K106" s="1"/>
  <c r="E31"/>
  <c r="K31" s="1"/>
  <c r="E207"/>
  <c r="E218"/>
  <c r="K218" s="1"/>
  <c r="E126"/>
  <c r="K126" s="1"/>
  <c r="E203"/>
  <c r="K203" s="1"/>
  <c r="E17"/>
  <c r="K17" s="1"/>
  <c r="K60" i="54"/>
  <c r="H172" i="53"/>
  <c r="G54" i="54"/>
  <c r="G53" s="1"/>
  <c r="J5" i="65"/>
  <c r="R15" i="60"/>
  <c r="H14"/>
  <c r="E14" i="54" s="1"/>
  <c r="H30" i="60"/>
  <c r="T99" i="62"/>
  <c r="T90" s="1"/>
  <c r="J90"/>
  <c r="U94"/>
  <c r="E15" i="30"/>
  <c r="E21"/>
  <c r="E15" i="40"/>
  <c r="G170" i="55"/>
  <c r="G121" i="53"/>
  <c r="G171"/>
  <c r="G221" i="55"/>
  <c r="G50" i="54"/>
  <c r="F10"/>
  <c r="K47"/>
  <c r="K46" s="1"/>
  <c r="H134" i="53" s="1"/>
  <c r="S103" i="64"/>
  <c r="C19" i="40"/>
  <c r="H27" i="60"/>
  <c r="R12"/>
  <c r="U31" i="58"/>
  <c r="G39" i="54"/>
  <c r="G38" s="1"/>
  <c r="J41" i="63"/>
  <c r="K10" i="70"/>
  <c r="K36" i="65"/>
  <c r="S7" i="58"/>
  <c r="S6" s="1"/>
  <c r="I6"/>
  <c r="K49" i="54"/>
  <c r="H140" i="53" s="1"/>
  <c r="S5" i="63"/>
  <c r="F49" i="54"/>
  <c r="K76" i="64"/>
  <c r="T6" i="67"/>
  <c r="T5" s="1"/>
  <c r="T5" i="65"/>
  <c r="L54" i="54"/>
  <c r="L53" s="1"/>
  <c r="I152" i="53" s="1"/>
  <c r="R16" i="61"/>
  <c r="R15" s="1"/>
  <c r="J18" i="54" s="1"/>
  <c r="H15" i="61"/>
  <c r="E18" i="54" s="1"/>
  <c r="E16" i="40"/>
  <c r="H28" i="60"/>
  <c r="R13"/>
  <c r="L25" i="54"/>
  <c r="L37"/>
  <c r="L36" s="1"/>
  <c r="T6" i="63"/>
  <c r="T5" s="1"/>
  <c r="H104" i="53"/>
  <c r="K35" i="54"/>
  <c r="R11" i="60"/>
  <c r="H26"/>
  <c r="J39" i="59"/>
  <c r="J7" i="58"/>
  <c r="K10" i="54"/>
  <c r="H24" i="60"/>
  <c r="R9"/>
  <c r="D58" i="73"/>
  <c r="D38" s="1"/>
  <c r="S90" i="62"/>
  <c r="C6" i="40"/>
  <c r="I7" i="66"/>
  <c r="I176" i="55"/>
  <c r="I175" s="1"/>
  <c r="I127" i="53"/>
  <c r="K7" i="65"/>
  <c r="K36" i="66"/>
  <c r="K49" i="64"/>
  <c r="K46" i="67"/>
  <c r="I38" i="59"/>
  <c r="F11" i="54" s="1"/>
  <c r="F9" s="1"/>
  <c r="S39" i="59"/>
  <c r="S38" s="1"/>
  <c r="K11" i="54" s="1"/>
  <c r="K9" s="1"/>
  <c r="H18" i="53" s="1"/>
  <c r="I152" i="64"/>
  <c r="T7" i="59"/>
  <c r="T6" s="1"/>
  <c r="J6"/>
  <c r="G25" i="54"/>
  <c r="J6" i="63"/>
  <c r="G37" i="54"/>
  <c r="G36" s="1"/>
  <c r="G35" s="1"/>
  <c r="T8" i="64"/>
  <c r="T7" s="1"/>
  <c r="J7"/>
  <c r="G102" i="53"/>
  <c r="G99"/>
  <c r="G101"/>
  <c r="G98"/>
  <c r="G100"/>
  <c r="J104" i="64"/>
  <c r="T105"/>
  <c r="T104" s="1"/>
  <c r="R8" i="60"/>
  <c r="H23"/>
  <c r="W35" i="70"/>
  <c r="G189" i="55"/>
  <c r="G188" s="1"/>
  <c r="F39" i="57" s="1"/>
  <c r="G194" i="55"/>
  <c r="U92" i="70"/>
  <c r="F34" i="54"/>
  <c r="F33" s="1"/>
  <c r="F29" s="1"/>
  <c r="I89" i="62"/>
  <c r="I5" s="1"/>
  <c r="H30" i="55"/>
  <c r="H29" s="1"/>
  <c r="G8" i="57" s="1"/>
  <c r="H109" i="53"/>
  <c r="G18"/>
  <c r="I6" i="64"/>
  <c r="F42" i="54"/>
  <c r="F41" s="1"/>
  <c r="K154" i="64"/>
  <c r="L31" i="54"/>
  <c r="L30" s="1"/>
  <c r="T6" i="62"/>
  <c r="H6" i="60"/>
  <c r="R7"/>
  <c r="H22"/>
  <c r="R122" i="70"/>
  <c r="R116" s="1"/>
  <c r="H128"/>
  <c r="H116"/>
  <c r="R17" i="60"/>
  <c r="H32"/>
  <c r="W149" i="64"/>
  <c r="U148"/>
  <c r="M48" i="54" s="1"/>
  <c r="E58"/>
  <c r="E57" s="1"/>
  <c r="H5" i="66"/>
  <c r="D9" i="40"/>
  <c r="H33" i="60"/>
  <c r="R18"/>
  <c r="H31"/>
  <c r="R16"/>
  <c r="E8" i="40"/>
  <c r="T99" i="70"/>
  <c r="T90" s="1"/>
  <c r="L27" i="54" s="1"/>
  <c r="J90" i="70"/>
  <c r="G27" i="54" s="1"/>
  <c r="E13" i="40"/>
  <c r="K23" i="67"/>
  <c r="U23" s="1"/>
  <c r="K46" i="58"/>
  <c r="U46" s="1"/>
  <c r="W46" s="1"/>
  <c r="J177" i="64"/>
  <c r="G51" i="54" s="1"/>
  <c r="T178" i="64"/>
  <c r="T177" s="1"/>
  <c r="L51" i="54" s="1"/>
  <c r="U60" i="65"/>
  <c r="M56" i="54" s="1"/>
  <c r="W61" i="65"/>
  <c r="R10" i="60"/>
  <c r="H25"/>
  <c r="L50" i="54"/>
  <c r="K57" i="70"/>
  <c r="U57" s="1"/>
  <c r="W57" s="1"/>
  <c r="K30" i="62"/>
  <c r="U30" s="1"/>
  <c r="W30" s="1"/>
  <c r="H23" i="61"/>
  <c r="R24"/>
  <c r="R23" s="1"/>
  <c r="H152" i="53"/>
  <c r="W85" i="64"/>
  <c r="U76"/>
  <c r="W8" i="62"/>
  <c r="G69" i="53"/>
  <c r="G144" i="55"/>
  <c r="I103" i="64"/>
  <c r="F47" i="54"/>
  <c r="F46" s="1"/>
  <c r="S6" i="64"/>
  <c r="S5" s="1"/>
  <c r="K42" i="54"/>
  <c r="K41" s="1"/>
  <c r="I172" i="53"/>
  <c r="L60" i="54"/>
  <c r="H7" i="61"/>
  <c r="R8"/>
  <c r="R7" s="1"/>
  <c r="H69" i="53"/>
  <c r="H144" i="55"/>
  <c r="J125"/>
  <c r="J124" s="1"/>
  <c r="J130"/>
  <c r="U8" i="67"/>
  <c r="J6" i="54"/>
  <c r="R5" i="66"/>
  <c r="J58" i="54"/>
  <c r="J57" s="1"/>
  <c r="L39"/>
  <c r="L38" s="1"/>
  <c r="I110" i="53" s="1"/>
  <c r="T41" i="63"/>
  <c r="K8"/>
  <c r="K43"/>
  <c r="H5" i="60" l="1"/>
  <c r="E13" i="54"/>
  <c r="E12" s="1"/>
  <c r="U154" i="64"/>
  <c r="K153"/>
  <c r="G17" i="53"/>
  <c r="G73" i="55"/>
  <c r="W92" i="70"/>
  <c r="G47" i="54"/>
  <c r="G46" s="1"/>
  <c r="J103" i="64"/>
  <c r="G10" i="54"/>
  <c r="K7" i="59"/>
  <c r="G68" i="53"/>
  <c r="G66"/>
  <c r="G64"/>
  <c r="G67"/>
  <c r="G65"/>
  <c r="I12" i="61"/>
  <c r="S12" s="1"/>
  <c r="I11" i="60"/>
  <c r="F14" i="40"/>
  <c r="L42" i="54"/>
  <c r="L41" s="1"/>
  <c r="T6" i="64"/>
  <c r="I10" i="60"/>
  <c r="I11" i="61"/>
  <c r="S11" s="1"/>
  <c r="U36" i="66"/>
  <c r="K35"/>
  <c r="H59" i="54" s="1"/>
  <c r="E9" i="40"/>
  <c r="H24" i="55"/>
  <c r="H23" s="1"/>
  <c r="G7" i="57" s="1"/>
  <c r="H103" i="53"/>
  <c r="I36" i="55"/>
  <c r="I35" s="1"/>
  <c r="H9" i="57" s="1"/>
  <c r="I151" i="53"/>
  <c r="I24" i="61"/>
  <c r="I10"/>
  <c r="S10" s="1"/>
  <c r="I9" i="60"/>
  <c r="H45" i="54"/>
  <c r="H44" s="1"/>
  <c r="K75" i="64"/>
  <c r="I5" i="58"/>
  <c r="F7" i="54"/>
  <c r="F6" s="1"/>
  <c r="U10" i="70"/>
  <c r="K6"/>
  <c r="G215" i="55"/>
  <c r="G214" s="1"/>
  <c r="G220"/>
  <c r="L34" i="54"/>
  <c r="L33" s="1"/>
  <c r="I92" i="53" s="1"/>
  <c r="T89" i="62"/>
  <c r="K207" i="26"/>
  <c r="E206"/>
  <c r="E81"/>
  <c r="K82"/>
  <c r="K8"/>
  <c r="E7"/>
  <c r="K97"/>
  <c r="E96"/>
  <c r="K34" i="70"/>
  <c r="H26" i="54" s="1"/>
  <c r="K7" i="67"/>
  <c r="K30" i="58"/>
  <c r="H8" i="54" s="1"/>
  <c r="I5" i="59"/>
  <c r="F12" i="40"/>
  <c r="I30" i="55"/>
  <c r="I29" s="1"/>
  <c r="H8" i="57" s="1"/>
  <c r="I109" i="53"/>
  <c r="R6" i="61"/>
  <c r="J17" i="54"/>
  <c r="K8" i="64"/>
  <c r="U7" i="65"/>
  <c r="K6"/>
  <c r="S7" i="66"/>
  <c r="S6" s="1"/>
  <c r="I6"/>
  <c r="T7" i="58"/>
  <c r="T6" s="1"/>
  <c r="J6"/>
  <c r="E28" i="54"/>
  <c r="E24" s="1"/>
  <c r="H5" i="70"/>
  <c r="L47" i="54"/>
  <c r="L46" s="1"/>
  <c r="I134" i="53" s="1"/>
  <c r="T103" i="64"/>
  <c r="F11" i="40"/>
  <c r="U8" i="63"/>
  <c r="K7"/>
  <c r="H143" i="55"/>
  <c r="H122" i="53"/>
  <c r="K40" i="54"/>
  <c r="G143" i="55"/>
  <c r="G138"/>
  <c r="G137" s="1"/>
  <c r="W76" i="64"/>
  <c r="M45" i="54"/>
  <c r="M44" s="1"/>
  <c r="J128" i="53" s="1"/>
  <c r="U75" i="64"/>
  <c r="R22" i="61"/>
  <c r="J21" i="54"/>
  <c r="J20" s="1"/>
  <c r="G42" i="53" s="1"/>
  <c r="F7" i="40"/>
  <c r="I7" i="60"/>
  <c r="I8" i="61"/>
  <c r="L29" i="54"/>
  <c r="I70" i="53"/>
  <c r="J6" i="64"/>
  <c r="G42" i="54"/>
  <c r="G41" s="1"/>
  <c r="F18" i="40"/>
  <c r="F7" i="30"/>
  <c r="I122" i="70"/>
  <c r="I13" i="61"/>
  <c r="S13" s="1"/>
  <c r="I12" i="60"/>
  <c r="I25" i="61"/>
  <c r="S25" s="1"/>
  <c r="I16" i="60"/>
  <c r="I17" i="61"/>
  <c r="S17" s="1"/>
  <c r="H139" i="53"/>
  <c r="H195" i="55"/>
  <c r="U36" i="65"/>
  <c r="K32"/>
  <c r="H55" i="54" s="1"/>
  <c r="W31" i="58"/>
  <c r="U30"/>
  <c r="H133" i="53"/>
  <c r="H182" i="55"/>
  <c r="H181" s="1"/>
  <c r="G164"/>
  <c r="G163" s="1"/>
  <c r="G169"/>
  <c r="J89" i="62"/>
  <c r="J5" s="1"/>
  <c r="G34" i="54"/>
  <c r="G33" s="1"/>
  <c r="G29" s="1"/>
  <c r="K216" i="26"/>
  <c r="E215"/>
  <c r="K38"/>
  <c r="E37"/>
  <c r="E22"/>
  <c r="K23"/>
  <c r="R6" i="60"/>
  <c r="U34" i="70"/>
  <c r="M26" i="54" s="1"/>
  <c r="U7" i="67"/>
  <c r="T152" i="64"/>
  <c r="H21" i="60"/>
  <c r="I5" i="64"/>
  <c r="G97" i="53"/>
  <c r="K7" i="62"/>
  <c r="G49" i="54"/>
  <c r="R14" i="60"/>
  <c r="J14" i="54" s="1"/>
  <c r="E184" i="26"/>
  <c r="K45" i="67"/>
  <c r="H64" i="54" s="1"/>
  <c r="U46" i="67"/>
  <c r="U45" s="1"/>
  <c r="M64" i="54" s="1"/>
  <c r="S5" i="58"/>
  <c r="K7" i="54"/>
  <c r="E21"/>
  <c r="E20" s="1"/>
  <c r="H22" i="61"/>
  <c r="U43" i="63"/>
  <c r="K42"/>
  <c r="G158" i="53"/>
  <c r="G12"/>
  <c r="I27" i="57"/>
  <c r="I28" s="1"/>
  <c r="K5" i="75" s="1"/>
  <c r="Q123" i="55"/>
  <c r="E17" i="54"/>
  <c r="H6" i="61"/>
  <c r="I221" i="55"/>
  <c r="I171" i="53"/>
  <c r="H36" i="55"/>
  <c r="H35" s="1"/>
  <c r="G9" i="57" s="1"/>
  <c r="H151" i="53"/>
  <c r="F10" i="40"/>
  <c r="I8" i="60"/>
  <c r="I9" i="61"/>
  <c r="S9" s="1"/>
  <c r="J28" i="54"/>
  <c r="J24" s="1"/>
  <c r="R5" i="70"/>
  <c r="K105" i="64"/>
  <c r="K178"/>
  <c r="K7" i="58"/>
  <c r="K39" i="59"/>
  <c r="L10" i="54"/>
  <c r="I17" i="60"/>
  <c r="I18" i="61"/>
  <c r="S18" s="1"/>
  <c r="H17" i="53"/>
  <c r="H73" i="55"/>
  <c r="K48" i="64"/>
  <c r="H43" i="54" s="1"/>
  <c r="U49" i="64"/>
  <c r="C5" i="40"/>
  <c r="C20" s="1"/>
  <c r="K34" i="54"/>
  <c r="K33" s="1"/>
  <c r="S89" i="62"/>
  <c r="S5" s="1"/>
  <c r="T39" i="59"/>
  <c r="T38" s="1"/>
  <c r="L11" i="54" s="1"/>
  <c r="J38" i="59"/>
  <c r="G11" i="54" s="1"/>
  <c r="L35"/>
  <c r="I104" i="53"/>
  <c r="F17" i="40"/>
  <c r="K99" i="70"/>
  <c r="K99" i="62"/>
  <c r="G118" i="53"/>
  <c r="G120"/>
  <c r="G119"/>
  <c r="G117"/>
  <c r="G116"/>
  <c r="H171"/>
  <c r="H221" i="55"/>
  <c r="J7" i="66"/>
  <c r="U7" i="62"/>
  <c r="L49" i="54"/>
  <c r="I140" i="53" s="1"/>
  <c r="T5" i="62"/>
  <c r="F40" i="54"/>
  <c r="J5" i="63"/>
  <c r="S5" i="59"/>
  <c r="F13" i="26"/>
  <c r="L13" s="1"/>
  <c r="F86"/>
  <c r="L86" s="1"/>
  <c r="F140"/>
  <c r="L140" s="1"/>
  <c r="F218"/>
  <c r="L218" s="1"/>
  <c r="F145"/>
  <c r="L145" s="1"/>
  <c r="F29"/>
  <c r="L29" s="1"/>
  <c r="F187"/>
  <c r="L187" s="1"/>
  <c r="F201"/>
  <c r="L201" s="1"/>
  <c r="F92"/>
  <c r="L92" s="1"/>
  <c r="F186"/>
  <c r="L186" s="1"/>
  <c r="F121"/>
  <c r="L121" s="1"/>
  <c r="F32"/>
  <c r="L32" s="1"/>
  <c r="F52"/>
  <c r="L52" s="1"/>
  <c r="F188"/>
  <c r="L188" s="1"/>
  <c r="F16"/>
  <c r="L16" s="1"/>
  <c r="F122"/>
  <c r="L122" s="1"/>
  <c r="F27"/>
  <c r="L27" s="1"/>
  <c r="F129"/>
  <c r="F51"/>
  <c r="F189"/>
  <c r="L189" s="1"/>
  <c r="F163"/>
  <c r="L163" s="1"/>
  <c r="F159"/>
  <c r="L159" s="1"/>
  <c r="F105"/>
  <c r="L105" s="1"/>
  <c r="F126"/>
  <c r="L126" s="1"/>
  <c r="F144"/>
  <c r="L144" s="1"/>
  <c r="F178"/>
  <c r="L178" s="1"/>
  <c r="F60"/>
  <c r="L60" s="1"/>
  <c r="F54"/>
  <c r="L54" s="1"/>
  <c r="F102"/>
  <c r="L102" s="1"/>
  <c r="F123"/>
  <c r="L123" s="1"/>
  <c r="F43"/>
  <c r="L43" s="1"/>
  <c r="F135"/>
  <c r="L135" s="1"/>
  <c r="F151"/>
  <c r="L151" s="1"/>
  <c r="F152"/>
  <c r="L152" s="1"/>
  <c r="F104"/>
  <c r="L104" s="1"/>
  <c r="F76"/>
  <c r="L76" s="1"/>
  <c r="F82"/>
  <c r="F91"/>
  <c r="L91" s="1"/>
  <c r="F164"/>
  <c r="L164" s="1"/>
  <c r="F88"/>
  <c r="L88" s="1"/>
  <c r="J152" i="64"/>
  <c r="E148" i="26"/>
  <c r="E168"/>
  <c r="E196"/>
  <c r="G167" i="53"/>
  <c r="G170"/>
  <c r="G168"/>
  <c r="G166"/>
  <c r="G165" s="1"/>
  <c r="G169"/>
  <c r="W94" i="62"/>
  <c r="E110" i="26"/>
  <c r="K111"/>
  <c r="K133"/>
  <c r="E132"/>
  <c r="I15" i="60"/>
  <c r="I16" i="61"/>
  <c r="I18" i="60"/>
  <c r="I19" i="61"/>
  <c r="S19" s="1"/>
  <c r="I14"/>
  <c r="S14" s="1"/>
  <c r="I13" i="60"/>
  <c r="F194" i="26"/>
  <c r="L194" s="1"/>
  <c r="F180"/>
  <c r="L180" s="1"/>
  <c r="F78"/>
  <c r="L78" s="1"/>
  <c r="F24"/>
  <c r="L24" s="1"/>
  <c r="F108"/>
  <c r="F120"/>
  <c r="L120" s="1"/>
  <c r="F41"/>
  <c r="L41" s="1"/>
  <c r="F28"/>
  <c r="L28" s="1"/>
  <c r="F161"/>
  <c r="L161" s="1"/>
  <c r="F23"/>
  <c r="F127"/>
  <c r="L127" s="1"/>
  <c r="F59"/>
  <c r="L59" s="1"/>
  <c r="F191"/>
  <c r="L191" s="1"/>
  <c r="F137"/>
  <c r="L137" s="1"/>
  <c r="F118"/>
  <c r="L118" s="1"/>
  <c r="F61"/>
  <c r="L61" s="1"/>
  <c r="F153"/>
  <c r="L153" s="1"/>
  <c r="F208"/>
  <c r="L208" s="1"/>
  <c r="F74"/>
  <c r="L74" s="1"/>
  <c r="F133"/>
  <c r="F38"/>
  <c r="F20"/>
  <c r="F200"/>
  <c r="L200" s="1"/>
  <c r="F217"/>
  <c r="L217" s="1"/>
  <c r="F136"/>
  <c r="L136" s="1"/>
  <c r="F30"/>
  <c r="L30" s="1"/>
  <c r="F71"/>
  <c r="L71" s="1"/>
  <c r="F210"/>
  <c r="L210" s="1"/>
  <c r="F199"/>
  <c r="L199" s="1"/>
  <c r="F9"/>
  <c r="L9" s="1"/>
  <c r="F66"/>
  <c r="F55"/>
  <c r="L55" s="1"/>
  <c r="F134"/>
  <c r="L134" s="1"/>
  <c r="F173"/>
  <c r="L173" s="1"/>
  <c r="F57"/>
  <c r="L57" s="1"/>
  <c r="F190"/>
  <c r="L190" s="1"/>
  <c r="F79"/>
  <c r="L79" s="1"/>
  <c r="F157"/>
  <c r="L157" s="1"/>
  <c r="F169"/>
  <c r="F213"/>
  <c r="F84"/>
  <c r="L84" s="1"/>
  <c r="F94"/>
  <c r="F62"/>
  <c r="L62" s="1"/>
  <c r="F154"/>
  <c r="L154" s="1"/>
  <c r="F216"/>
  <c r="F143"/>
  <c r="L143" s="1"/>
  <c r="H29" i="60"/>
  <c r="E65" i="26"/>
  <c r="E50"/>
  <c r="F5" i="30"/>
  <c r="F4"/>
  <c r="L23" i="26" l="1"/>
  <c r="S15" i="60"/>
  <c r="I30"/>
  <c r="I14"/>
  <c r="F14" i="54" s="1"/>
  <c r="J6" i="66"/>
  <c r="T7"/>
  <c r="T6" s="1"/>
  <c r="F16" i="40"/>
  <c r="I24" i="55"/>
  <c r="I23" s="1"/>
  <c r="H7" i="57" s="1"/>
  <c r="I103" i="53"/>
  <c r="U48" i="64"/>
  <c r="W49"/>
  <c r="F9" i="40"/>
  <c r="U178" i="64"/>
  <c r="K177"/>
  <c r="H51" i="54" s="1"/>
  <c r="I215" i="55"/>
  <c r="I214" s="1"/>
  <c r="I220"/>
  <c r="J12" i="61"/>
  <c r="T12" s="1"/>
  <c r="J11" i="60"/>
  <c r="W36" i="65"/>
  <c r="U32"/>
  <c r="M55" i="54" s="1"/>
  <c r="I31" i="60"/>
  <c r="S16"/>
  <c r="S122" i="70"/>
  <c r="S116" s="1"/>
  <c r="I128"/>
  <c r="I116"/>
  <c r="I144" i="55"/>
  <c r="I69" i="53"/>
  <c r="I22" i="60"/>
  <c r="I6"/>
  <c r="S7"/>
  <c r="G41" i="53"/>
  <c r="G118" i="55"/>
  <c r="H170"/>
  <c r="H121" i="53"/>
  <c r="W8" i="63"/>
  <c r="U7"/>
  <c r="J5" i="58"/>
  <c r="G7" i="54"/>
  <c r="G6" s="1"/>
  <c r="K5" i="65"/>
  <c r="H54" i="54"/>
  <c r="H53" s="1"/>
  <c r="J16"/>
  <c r="J82"/>
  <c r="K149" i="26" s="1"/>
  <c r="K148" s="1"/>
  <c r="H25" i="54"/>
  <c r="S24" i="61"/>
  <c r="S23" s="1"/>
  <c r="I23"/>
  <c r="D6" i="40"/>
  <c r="J12" i="60"/>
  <c r="J122" i="70"/>
  <c r="J13" i="61"/>
  <c r="T13" s="1"/>
  <c r="J25"/>
  <c r="T25" s="1"/>
  <c r="J14"/>
  <c r="T14" s="1"/>
  <c r="J13" i="60"/>
  <c r="F114" i="26"/>
  <c r="L114" s="1"/>
  <c r="F181"/>
  <c r="L181" s="1"/>
  <c r="F99"/>
  <c r="L99" s="1"/>
  <c r="F100"/>
  <c r="L100" s="1"/>
  <c r="F117"/>
  <c r="L117" s="1"/>
  <c r="F90"/>
  <c r="L90" s="1"/>
  <c r="F160"/>
  <c r="L160" s="1"/>
  <c r="F165"/>
  <c r="L165" s="1"/>
  <c r="F42"/>
  <c r="L42" s="1"/>
  <c r="F15"/>
  <c r="L15" s="1"/>
  <c r="F89"/>
  <c r="L89" s="1"/>
  <c r="F45"/>
  <c r="L45" s="1"/>
  <c r="F172"/>
  <c r="L172" s="1"/>
  <c r="F179"/>
  <c r="L179" s="1"/>
  <c r="F197"/>
  <c r="F106"/>
  <c r="L106" s="1"/>
  <c r="F219"/>
  <c r="F11"/>
  <c r="L11" s="1"/>
  <c r="F34"/>
  <c r="L34" s="1"/>
  <c r="F63"/>
  <c r="L63" s="1"/>
  <c r="F72"/>
  <c r="L72" s="1"/>
  <c r="F146"/>
  <c r="F198"/>
  <c r="L198" s="1"/>
  <c r="F48"/>
  <c r="I15" i="61"/>
  <c r="F18" i="54" s="1"/>
  <c r="S16" i="61"/>
  <c r="S15" s="1"/>
  <c r="K18" i="54" s="1"/>
  <c r="I195" i="55"/>
  <c r="I139" i="53"/>
  <c r="F15" i="40"/>
  <c r="G54" i="53"/>
  <c r="I168"/>
  <c r="I166"/>
  <c r="I167"/>
  <c r="I170"/>
  <c r="I169"/>
  <c r="G11"/>
  <c r="G18" i="55"/>
  <c r="W43" i="63"/>
  <c r="U42"/>
  <c r="R5" i="60"/>
  <c r="J13" i="54"/>
  <c r="J12" s="1"/>
  <c r="S8" i="61"/>
  <c r="S7" s="1"/>
  <c r="I7"/>
  <c r="J127" i="53"/>
  <c r="J176" i="55"/>
  <c r="J175" s="1"/>
  <c r="H37" i="54"/>
  <c r="H36" s="1"/>
  <c r="K6" i="63"/>
  <c r="J24" i="61"/>
  <c r="J10"/>
  <c r="T10" s="1"/>
  <c r="J9" i="60"/>
  <c r="S5" i="66"/>
  <c r="K58" i="54"/>
  <c r="K57" s="1"/>
  <c r="K7" i="64"/>
  <c r="U8"/>
  <c r="J16" i="61"/>
  <c r="J15" i="60"/>
  <c r="F45" i="57"/>
  <c r="N213" i="55"/>
  <c r="H101" i="53"/>
  <c r="H100"/>
  <c r="H99"/>
  <c r="H102"/>
  <c r="H98"/>
  <c r="U35" i="66"/>
  <c r="M59" i="54" s="1"/>
  <c r="W36" i="66"/>
  <c r="L40" i="54"/>
  <c r="I122" i="53"/>
  <c r="I26" i="60"/>
  <c r="S11"/>
  <c r="G67" i="55"/>
  <c r="G66" s="1"/>
  <c r="G72"/>
  <c r="G115" i="53"/>
  <c r="T5" i="59"/>
  <c r="F31" i="26"/>
  <c r="L31" s="1"/>
  <c r="F209"/>
  <c r="L209" s="1"/>
  <c r="F17"/>
  <c r="L17" s="1"/>
  <c r="F53"/>
  <c r="L53" s="1"/>
  <c r="F69"/>
  <c r="L69" s="1"/>
  <c r="F14"/>
  <c r="L14" s="1"/>
  <c r="F73"/>
  <c r="L73" s="1"/>
  <c r="F170"/>
  <c r="L170" s="1"/>
  <c r="F97"/>
  <c r="F19"/>
  <c r="L19" s="1"/>
  <c r="F182"/>
  <c r="L182" s="1"/>
  <c r="F177"/>
  <c r="L177" s="1"/>
  <c r="J5" i="64"/>
  <c r="F211" i="26"/>
  <c r="L211" s="1"/>
  <c r="F12"/>
  <c r="L12" s="1"/>
  <c r="F138"/>
  <c r="L138" s="1"/>
  <c r="F202"/>
  <c r="L202" s="1"/>
  <c r="F98"/>
  <c r="L98" s="1"/>
  <c r="F46"/>
  <c r="L46" s="1"/>
  <c r="F75"/>
  <c r="L75" s="1"/>
  <c r="F128"/>
  <c r="L128" s="1"/>
  <c r="F124"/>
  <c r="L124" s="1"/>
  <c r="F93"/>
  <c r="L93" s="1"/>
  <c r="F207"/>
  <c r="F58"/>
  <c r="L58" s="1"/>
  <c r="G63" i="53"/>
  <c r="L133" i="26"/>
  <c r="I28" i="60"/>
  <c r="S13"/>
  <c r="H169" i="53"/>
  <c r="H168"/>
  <c r="H166"/>
  <c r="H167"/>
  <c r="H170"/>
  <c r="U99" i="70"/>
  <c r="K90"/>
  <c r="H27" i="54" s="1"/>
  <c r="H72" i="55"/>
  <c r="H67"/>
  <c r="H66" s="1"/>
  <c r="K6" i="58"/>
  <c r="U7"/>
  <c r="E82" i="54"/>
  <c r="E74"/>
  <c r="E76"/>
  <c r="E73"/>
  <c r="E78"/>
  <c r="E81"/>
  <c r="E85"/>
  <c r="E87"/>
  <c r="E16"/>
  <c r="E15" s="1"/>
  <c r="E5" s="1"/>
  <c r="E79"/>
  <c r="E86"/>
  <c r="E84"/>
  <c r="E83"/>
  <c r="E77"/>
  <c r="E80"/>
  <c r="E75"/>
  <c r="H39"/>
  <c r="H38" s="1"/>
  <c r="K41" i="63"/>
  <c r="J17" i="61"/>
  <c r="T17" s="1"/>
  <c r="J16" i="60"/>
  <c r="J8"/>
  <c r="J9" i="61"/>
  <c r="T9" s="1"/>
  <c r="K6" i="54"/>
  <c r="F8" i="30"/>
  <c r="F36" i="57"/>
  <c r="F37" s="1"/>
  <c r="E9" i="75" s="1"/>
  <c r="N162" i="55"/>
  <c r="I27" i="60"/>
  <c r="S12"/>
  <c r="D19" i="40"/>
  <c r="I5" i="66"/>
  <c r="F58" i="54"/>
  <c r="F57" s="1"/>
  <c r="F13" i="40"/>
  <c r="H62" i="54"/>
  <c r="H61" s="1"/>
  <c r="H60" s="1"/>
  <c r="K6" i="67"/>
  <c r="K5" s="1"/>
  <c r="S9" i="60"/>
  <c r="I24"/>
  <c r="U7" i="59"/>
  <c r="K6"/>
  <c r="W154" i="64"/>
  <c r="U153"/>
  <c r="J10" i="60"/>
  <c r="J11" i="61"/>
  <c r="T11" s="1"/>
  <c r="F112" i="26"/>
  <c r="L112" s="1"/>
  <c r="F176"/>
  <c r="L176" s="1"/>
  <c r="F142"/>
  <c r="L142" s="1"/>
  <c r="F25"/>
  <c r="L25" s="1"/>
  <c r="L9" i="54"/>
  <c r="F44" i="26"/>
  <c r="L44" s="1"/>
  <c r="F83"/>
  <c r="L83" s="1"/>
  <c r="F174"/>
  <c r="L174" s="1"/>
  <c r="F171"/>
  <c r="L171" s="1"/>
  <c r="F116"/>
  <c r="L116" s="1"/>
  <c r="F111"/>
  <c r="F141"/>
  <c r="L141" s="1"/>
  <c r="F113"/>
  <c r="L113" s="1"/>
  <c r="F56"/>
  <c r="L56" s="1"/>
  <c r="F8"/>
  <c r="F156"/>
  <c r="L156" s="1"/>
  <c r="G40" i="54"/>
  <c r="F119" i="26"/>
  <c r="L119" s="1"/>
  <c r="F212"/>
  <c r="L212" s="1"/>
  <c r="F175"/>
  <c r="L175" s="1"/>
  <c r="F107"/>
  <c r="L107" s="1"/>
  <c r="F87"/>
  <c r="L87" s="1"/>
  <c r="F101"/>
  <c r="L101" s="1"/>
  <c r="F47"/>
  <c r="L47" s="1"/>
  <c r="F125"/>
  <c r="L125" s="1"/>
  <c r="F115"/>
  <c r="L115" s="1"/>
  <c r="F35"/>
  <c r="F203"/>
  <c r="L203" s="1"/>
  <c r="E5"/>
  <c r="T5" i="64"/>
  <c r="J5" i="59"/>
  <c r="L216" i="26"/>
  <c r="F215"/>
  <c r="L38"/>
  <c r="I33" i="60"/>
  <c r="S18"/>
  <c r="J19" i="61"/>
  <c r="T19" s="1"/>
  <c r="J18" i="60"/>
  <c r="L82" i="26"/>
  <c r="M31" i="54"/>
  <c r="M30" s="1"/>
  <c r="U6" i="62"/>
  <c r="H215" i="55"/>
  <c r="H214" s="1"/>
  <c r="H220"/>
  <c r="U99" i="62"/>
  <c r="K90"/>
  <c r="H92" i="53"/>
  <c r="K29" i="54"/>
  <c r="I32" i="60"/>
  <c r="S17"/>
  <c r="U39" i="59"/>
  <c r="K38"/>
  <c r="H11" i="54" s="1"/>
  <c r="U105" i="64"/>
  <c r="K104"/>
  <c r="I23" i="60"/>
  <c r="S8"/>
  <c r="G208" i="55"/>
  <c r="G157" i="53"/>
  <c r="J18" i="61"/>
  <c r="T18" s="1"/>
  <c r="J17" i="60"/>
  <c r="J7"/>
  <c r="J8" i="61"/>
  <c r="K6" i="62"/>
  <c r="H31" i="54"/>
  <c r="H30" s="1"/>
  <c r="M62"/>
  <c r="M61" s="1"/>
  <c r="U6" i="67"/>
  <c r="W30" i="58"/>
  <c r="M8" i="54"/>
  <c r="H194" i="55"/>
  <c r="H189"/>
  <c r="H188" s="1"/>
  <c r="F30" i="57"/>
  <c r="N136" i="55"/>
  <c r="I133" i="53"/>
  <c r="I182" i="55"/>
  <c r="I181" s="1"/>
  <c r="T5" i="58"/>
  <c r="L7" i="54"/>
  <c r="W7" i="65"/>
  <c r="Z3" s="1"/>
  <c r="U6"/>
  <c r="I157" i="55"/>
  <c r="I156" s="1"/>
  <c r="I91" i="53"/>
  <c r="W10" i="70"/>
  <c r="U6"/>
  <c r="I25" i="60"/>
  <c r="S10"/>
  <c r="F8" i="40"/>
  <c r="K152" i="64"/>
  <c r="H50" i="54"/>
  <c r="H49" s="1"/>
  <c r="F192" i="26"/>
  <c r="L192" s="1"/>
  <c r="H5" i="61"/>
  <c r="F139" i="26"/>
  <c r="L139" s="1"/>
  <c r="F26"/>
  <c r="L26" s="1"/>
  <c r="F130"/>
  <c r="L130" s="1"/>
  <c r="F39"/>
  <c r="L39" s="1"/>
  <c r="F193"/>
  <c r="L193" s="1"/>
  <c r="F67"/>
  <c r="L67" s="1"/>
  <c r="F149"/>
  <c r="F70"/>
  <c r="L70" s="1"/>
  <c r="F158"/>
  <c r="L158" s="1"/>
  <c r="F68"/>
  <c r="L68" s="1"/>
  <c r="F40"/>
  <c r="L40" s="1"/>
  <c r="R5" i="61"/>
  <c r="F155" i="26"/>
  <c r="L155" s="1"/>
  <c r="F18"/>
  <c r="L18" s="1"/>
  <c r="F10"/>
  <c r="L10" s="1"/>
  <c r="F166"/>
  <c r="L166" s="1"/>
  <c r="F150"/>
  <c r="L150" s="1"/>
  <c r="F85"/>
  <c r="L85" s="1"/>
  <c r="F185"/>
  <c r="F184" s="1"/>
  <c r="F77"/>
  <c r="L77" s="1"/>
  <c r="F33"/>
  <c r="L33" s="1"/>
  <c r="F204"/>
  <c r="L204" s="1"/>
  <c r="F103"/>
  <c r="L103" s="1"/>
  <c r="G9" i="54"/>
  <c r="F31" i="57" l="1"/>
  <c r="E7" i="75" s="1"/>
  <c r="U38" i="59"/>
  <c r="M11" i="54" s="1"/>
  <c r="W39" i="59"/>
  <c r="H91" i="53"/>
  <c r="H157" i="55"/>
  <c r="G45" i="57"/>
  <c r="O213" i="55"/>
  <c r="H10" i="54"/>
  <c r="K5" i="59"/>
  <c r="T8" i="60"/>
  <c r="J23"/>
  <c r="F96" i="26"/>
  <c r="L97"/>
  <c r="F53" i="57"/>
  <c r="F54" s="1"/>
  <c r="F46"/>
  <c r="E13" i="75" s="1"/>
  <c r="U7" i="64"/>
  <c r="W8"/>
  <c r="T9" i="60"/>
  <c r="J24"/>
  <c r="S6" i="61"/>
  <c r="K17" i="54"/>
  <c r="J27" i="60"/>
  <c r="T12"/>
  <c r="J15" i="54"/>
  <c r="G36" i="53"/>
  <c r="H164" i="55"/>
  <c r="H163" s="1"/>
  <c r="H169"/>
  <c r="F13" i="54"/>
  <c r="F12" s="1"/>
  <c r="I5" i="60"/>
  <c r="F28" i="54"/>
  <c r="F24" s="1"/>
  <c r="I5" i="70"/>
  <c r="U177" i="64"/>
  <c r="W178"/>
  <c r="F81" i="26"/>
  <c r="F65"/>
  <c r="H35" i="54"/>
  <c r="U5" i="67"/>
  <c r="W6"/>
  <c r="E19" i="40"/>
  <c r="L6" i="54"/>
  <c r="T17" i="60"/>
  <c r="J32"/>
  <c r="I18" i="53"/>
  <c r="G15" i="57"/>
  <c r="G16" s="1"/>
  <c r="G10" i="75" s="1"/>
  <c r="O65" i="55"/>
  <c r="F15" i="57"/>
  <c r="F16" s="1"/>
  <c r="N65" i="55"/>
  <c r="T16" i="61"/>
  <c r="T15" s="1"/>
  <c r="L18" i="54" s="1"/>
  <c r="J15" i="61"/>
  <c r="G18" i="54" s="1"/>
  <c r="F17"/>
  <c r="I6" i="61"/>
  <c r="M39" i="54"/>
  <c r="M38" s="1"/>
  <c r="J110" i="53" s="1"/>
  <c r="U41" i="63"/>
  <c r="E6" i="40"/>
  <c r="J28" i="60"/>
  <c r="T13"/>
  <c r="T122" i="70"/>
  <c r="T116" s="1"/>
  <c r="J116"/>
  <c r="J128"/>
  <c r="G7" i="30"/>
  <c r="R148" i="26"/>
  <c r="K15" i="40" s="1"/>
  <c r="F66" i="29"/>
  <c r="F65" s="1"/>
  <c r="H118" i="53"/>
  <c r="H120"/>
  <c r="H117"/>
  <c r="H119"/>
  <c r="H116"/>
  <c r="I138" i="55"/>
  <c r="I137" s="1"/>
  <c r="I143"/>
  <c r="T11" i="60"/>
  <c r="J26"/>
  <c r="G58" i="54"/>
  <c r="G57" s="1"/>
  <c r="J5" i="66"/>
  <c r="H9" i="54"/>
  <c r="F132" i="26"/>
  <c r="F50"/>
  <c r="K5" i="63"/>
  <c r="I165" i="53"/>
  <c r="S6" i="60"/>
  <c r="F22" i="26"/>
  <c r="J6" i="60"/>
  <c r="T7"/>
  <c r="J22"/>
  <c r="G202" i="55"/>
  <c r="G201" s="1"/>
  <c r="G207"/>
  <c r="W105" i="64"/>
  <c r="U104"/>
  <c r="W99" i="62"/>
  <c r="U90"/>
  <c r="J70" i="53"/>
  <c r="W153" i="64"/>
  <c r="M50" i="54"/>
  <c r="U152" i="64"/>
  <c r="W152" s="1"/>
  <c r="H12" i="53"/>
  <c r="K5" i="58"/>
  <c r="H7" i="54"/>
  <c r="H6" s="1"/>
  <c r="W99" i="70"/>
  <c r="U90"/>
  <c r="M27" i="54" s="1"/>
  <c r="K7" i="66"/>
  <c r="I121" i="53"/>
  <c r="I170" i="55"/>
  <c r="J30" i="60"/>
  <c r="J14"/>
  <c r="G14" i="54" s="1"/>
  <c r="T15" i="60"/>
  <c r="H158" i="53"/>
  <c r="T24" i="61"/>
  <c r="T23" s="1"/>
  <c r="J23"/>
  <c r="G12" i="55"/>
  <c r="G17"/>
  <c r="F6" i="57" s="1"/>
  <c r="F5" s="1"/>
  <c r="G105" i="55"/>
  <c r="G104" s="1"/>
  <c r="G53" i="53"/>
  <c r="G18" i="26"/>
  <c r="M18" s="1"/>
  <c r="G180"/>
  <c r="M180" s="1"/>
  <c r="G20"/>
  <c r="G113"/>
  <c r="M113" s="1"/>
  <c r="G203"/>
  <c r="M203" s="1"/>
  <c r="G62"/>
  <c r="M62" s="1"/>
  <c r="G156"/>
  <c r="M156" s="1"/>
  <c r="G39"/>
  <c r="M39" s="1"/>
  <c r="G211"/>
  <c r="M211" s="1"/>
  <c r="G152"/>
  <c r="M152" s="1"/>
  <c r="G86"/>
  <c r="M86" s="1"/>
  <c r="G176"/>
  <c r="M176" s="1"/>
  <c r="G108"/>
  <c r="G90"/>
  <c r="M90" s="1"/>
  <c r="G63"/>
  <c r="M63" s="1"/>
  <c r="G158"/>
  <c r="M158" s="1"/>
  <c r="G57"/>
  <c r="M57" s="1"/>
  <c r="G61"/>
  <c r="M61" s="1"/>
  <c r="G87"/>
  <c r="M87" s="1"/>
  <c r="G94"/>
  <c r="G208"/>
  <c r="M208" s="1"/>
  <c r="G31"/>
  <c r="M31" s="1"/>
  <c r="G172"/>
  <c r="M172" s="1"/>
  <c r="G82"/>
  <c r="G97"/>
  <c r="G48"/>
  <c r="G118"/>
  <c r="M118" s="1"/>
  <c r="G210"/>
  <c r="M210" s="1"/>
  <c r="G56"/>
  <c r="M56" s="1"/>
  <c r="G154"/>
  <c r="M154" s="1"/>
  <c r="G59"/>
  <c r="M59" s="1"/>
  <c r="G150"/>
  <c r="M150" s="1"/>
  <c r="G126"/>
  <c r="M126" s="1"/>
  <c r="G129"/>
  <c r="G177"/>
  <c r="M177" s="1"/>
  <c r="G157"/>
  <c r="M157" s="1"/>
  <c r="G92"/>
  <c r="M92" s="1"/>
  <c r="G106"/>
  <c r="M106" s="1"/>
  <c r="G188"/>
  <c r="M188" s="1"/>
  <c r="G103"/>
  <c r="M103" s="1"/>
  <c r="G11"/>
  <c r="M11" s="1"/>
  <c r="G77"/>
  <c r="M77" s="1"/>
  <c r="G170"/>
  <c r="M170" s="1"/>
  <c r="G24"/>
  <c r="M24" s="1"/>
  <c r="G191"/>
  <c r="M191" s="1"/>
  <c r="G34"/>
  <c r="M34" s="1"/>
  <c r="G78"/>
  <c r="M78" s="1"/>
  <c r="G182"/>
  <c r="M182" s="1"/>
  <c r="G125"/>
  <c r="M125" s="1"/>
  <c r="G219"/>
  <c r="G216"/>
  <c r="G19"/>
  <c r="M19" s="1"/>
  <c r="G93"/>
  <c r="M93" s="1"/>
  <c r="G133"/>
  <c r="G101"/>
  <c r="M101" s="1"/>
  <c r="G115"/>
  <c r="M115" s="1"/>
  <c r="G70"/>
  <c r="M70" s="1"/>
  <c r="G25"/>
  <c r="M25" s="1"/>
  <c r="G55"/>
  <c r="M55" s="1"/>
  <c r="G198"/>
  <c r="M198" s="1"/>
  <c r="G84"/>
  <c r="M84" s="1"/>
  <c r="G186"/>
  <c r="M186" s="1"/>
  <c r="G160"/>
  <c r="M160" s="1"/>
  <c r="G104"/>
  <c r="M104" s="1"/>
  <c r="G38"/>
  <c r="G27"/>
  <c r="M27" s="1"/>
  <c r="G130"/>
  <c r="M130" s="1"/>
  <c r="G127"/>
  <c r="M127" s="1"/>
  <c r="G185"/>
  <c r="G201"/>
  <c r="M201" s="1"/>
  <c r="G140"/>
  <c r="M140" s="1"/>
  <c r="G212"/>
  <c r="M212" s="1"/>
  <c r="G16"/>
  <c r="M16" s="1"/>
  <c r="G165"/>
  <c r="M165" s="1"/>
  <c r="G151"/>
  <c r="M151" s="1"/>
  <c r="G30"/>
  <c r="M30" s="1"/>
  <c r="G99"/>
  <c r="M99" s="1"/>
  <c r="G204"/>
  <c r="M204" s="1"/>
  <c r="G116"/>
  <c r="M116" s="1"/>
  <c r="G122"/>
  <c r="M122" s="1"/>
  <c r="G199"/>
  <c r="M199" s="1"/>
  <c r="G46"/>
  <c r="M46" s="1"/>
  <c r="G119"/>
  <c r="M119" s="1"/>
  <c r="G202"/>
  <c r="M202" s="1"/>
  <c r="G146"/>
  <c r="G28"/>
  <c r="M28" s="1"/>
  <c r="G105"/>
  <c r="M105" s="1"/>
  <c r="G71"/>
  <c r="M71" s="1"/>
  <c r="G145"/>
  <c r="M145" s="1"/>
  <c r="G13"/>
  <c r="M13" s="1"/>
  <c r="G68"/>
  <c r="M68" s="1"/>
  <c r="G128"/>
  <c r="M128" s="1"/>
  <c r="G44"/>
  <c r="M44" s="1"/>
  <c r="G72"/>
  <c r="M72" s="1"/>
  <c r="G45"/>
  <c r="M45" s="1"/>
  <c r="G51"/>
  <c r="G8"/>
  <c r="G134"/>
  <c r="M134" s="1"/>
  <c r="G137"/>
  <c r="M137" s="1"/>
  <c r="G111"/>
  <c r="G10"/>
  <c r="M10" s="1"/>
  <c r="G136"/>
  <c r="M136" s="1"/>
  <c r="G33"/>
  <c r="M33" s="1"/>
  <c r="G40"/>
  <c r="M40" s="1"/>
  <c r="G124"/>
  <c r="M124" s="1"/>
  <c r="G47"/>
  <c r="M47" s="1"/>
  <c r="G181"/>
  <c r="M181" s="1"/>
  <c r="G217"/>
  <c r="M217" s="1"/>
  <c r="G100"/>
  <c r="M100" s="1"/>
  <c r="G42"/>
  <c r="M42" s="1"/>
  <c r="G102"/>
  <c r="M102" s="1"/>
  <c r="G159"/>
  <c r="M159" s="1"/>
  <c r="G32"/>
  <c r="M32" s="1"/>
  <c r="G178"/>
  <c r="M178" s="1"/>
  <c r="G83"/>
  <c r="M83" s="1"/>
  <c r="G143"/>
  <c r="M143" s="1"/>
  <c r="G166"/>
  <c r="M166" s="1"/>
  <c r="G66"/>
  <c r="G190"/>
  <c r="M190" s="1"/>
  <c r="G85"/>
  <c r="M85" s="1"/>
  <c r="G138"/>
  <c r="M138" s="1"/>
  <c r="G117"/>
  <c r="M117" s="1"/>
  <c r="G194"/>
  <c r="M194" s="1"/>
  <c r="G43"/>
  <c r="M43" s="1"/>
  <c r="G135"/>
  <c r="M135" s="1"/>
  <c r="G179"/>
  <c r="M179" s="1"/>
  <c r="G193"/>
  <c r="M193" s="1"/>
  <c r="G189"/>
  <c r="M189" s="1"/>
  <c r="G98"/>
  <c r="M98" s="1"/>
  <c r="G26"/>
  <c r="M26" s="1"/>
  <c r="G9"/>
  <c r="M9" s="1"/>
  <c r="G73"/>
  <c r="M73" s="1"/>
  <c r="G88"/>
  <c r="M88" s="1"/>
  <c r="G209"/>
  <c r="M209" s="1"/>
  <c r="G23"/>
  <c r="G175"/>
  <c r="M175" s="1"/>
  <c r="G41"/>
  <c r="M41" s="1"/>
  <c r="G54"/>
  <c r="M54" s="1"/>
  <c r="G91"/>
  <c r="M91" s="1"/>
  <c r="G67"/>
  <c r="M67" s="1"/>
  <c r="G155"/>
  <c r="M155" s="1"/>
  <c r="G161"/>
  <c r="M161" s="1"/>
  <c r="G58"/>
  <c r="M58" s="1"/>
  <c r="G53"/>
  <c r="M53" s="1"/>
  <c r="G218"/>
  <c r="M218" s="1"/>
  <c r="G187"/>
  <c r="M187" s="1"/>
  <c r="G173"/>
  <c r="M173" s="1"/>
  <c r="G121"/>
  <c r="M121" s="1"/>
  <c r="G213"/>
  <c r="G17"/>
  <c r="M17" s="1"/>
  <c r="G76"/>
  <c r="M76" s="1"/>
  <c r="G144"/>
  <c r="M144" s="1"/>
  <c r="G74"/>
  <c r="M74" s="1"/>
  <c r="G149"/>
  <c r="G29"/>
  <c r="M29" s="1"/>
  <c r="G123"/>
  <c r="M123" s="1"/>
  <c r="G52"/>
  <c r="M52" s="1"/>
  <c r="G141"/>
  <c r="M141" s="1"/>
  <c r="G200"/>
  <c r="M200" s="1"/>
  <c r="G14"/>
  <c r="M14" s="1"/>
  <c r="G153"/>
  <c r="M153" s="1"/>
  <c r="G207"/>
  <c r="G15"/>
  <c r="M15" s="1"/>
  <c r="G35"/>
  <c r="G12"/>
  <c r="M12" s="1"/>
  <c r="G89"/>
  <c r="M89" s="1"/>
  <c r="G107"/>
  <c r="M107" s="1"/>
  <c r="G120"/>
  <c r="M120" s="1"/>
  <c r="G192"/>
  <c r="M192" s="1"/>
  <c r="G79"/>
  <c r="M79" s="1"/>
  <c r="G197"/>
  <c r="G196" s="1"/>
  <c r="G163"/>
  <c r="M163" s="1"/>
  <c r="G69"/>
  <c r="M69" s="1"/>
  <c r="G169"/>
  <c r="G171"/>
  <c r="M171" s="1"/>
  <c r="G139"/>
  <c r="M139" s="1"/>
  <c r="G174"/>
  <c r="M174" s="1"/>
  <c r="G75"/>
  <c r="M75" s="1"/>
  <c r="G114"/>
  <c r="M114" s="1"/>
  <c r="G60"/>
  <c r="M60" s="1"/>
  <c r="G112"/>
  <c r="M112" s="1"/>
  <c r="G142"/>
  <c r="M142" s="1"/>
  <c r="G164"/>
  <c r="M164" s="1"/>
  <c r="D5" i="40"/>
  <c r="D20" s="1"/>
  <c r="K21" i="54"/>
  <c r="K20" s="1"/>
  <c r="H42" i="53" s="1"/>
  <c r="S22" i="61"/>
  <c r="I67" i="53"/>
  <c r="I65"/>
  <c r="I64"/>
  <c r="I66"/>
  <c r="I68"/>
  <c r="K28" i="54"/>
  <c r="K24" s="1"/>
  <c r="S5" i="70"/>
  <c r="H45" i="57"/>
  <c r="P213" i="55"/>
  <c r="I99" i="53"/>
  <c r="I100"/>
  <c r="I101"/>
  <c r="I102"/>
  <c r="I98"/>
  <c r="T5" i="66"/>
  <c r="L58" i="54"/>
  <c r="L57" s="1"/>
  <c r="I158" i="53" s="1"/>
  <c r="Z3" i="70"/>
  <c r="F37" i="26"/>
  <c r="H97" i="53"/>
  <c r="AC3" i="63"/>
  <c r="S14" i="60"/>
  <c r="K14" i="54" s="1"/>
  <c r="M25"/>
  <c r="U5" i="65"/>
  <c r="M54" i="54"/>
  <c r="M53" s="1"/>
  <c r="O187" i="55"/>
  <c r="G39" i="57"/>
  <c r="G40" s="1"/>
  <c r="G12" i="75" s="1"/>
  <c r="M60" i="54"/>
  <c r="N60" s="1"/>
  <c r="J172" i="53"/>
  <c r="T8" i="61"/>
  <c r="T7" s="1"/>
  <c r="J7"/>
  <c r="K103" i="64"/>
  <c r="H47" i="54"/>
  <c r="H46" s="1"/>
  <c r="K89" i="62"/>
  <c r="K5" s="1"/>
  <c r="H34" i="54"/>
  <c r="H33" s="1"/>
  <c r="H29" s="1"/>
  <c r="J33" i="60"/>
  <c r="T18"/>
  <c r="F7" i="26"/>
  <c r="L8"/>
  <c r="F110"/>
  <c r="L111"/>
  <c r="T10" i="60"/>
  <c r="J25"/>
  <c r="U6" i="59"/>
  <c r="W7"/>
  <c r="J31" i="60"/>
  <c r="T16"/>
  <c r="U6" i="58"/>
  <c r="W7"/>
  <c r="L207" i="26"/>
  <c r="F206"/>
  <c r="K6" i="64"/>
  <c r="K5" s="1"/>
  <c r="H42" i="54"/>
  <c r="H41" s="1"/>
  <c r="H40" s="1"/>
  <c r="G24" i="53"/>
  <c r="J80" i="54"/>
  <c r="K129" i="26" s="1"/>
  <c r="K110" s="1"/>
  <c r="J83" i="54"/>
  <c r="K169" i="26" s="1"/>
  <c r="K168" s="1"/>
  <c r="J81" i="54"/>
  <c r="K146" i="26" s="1"/>
  <c r="K132" s="1"/>
  <c r="J86" i="54"/>
  <c r="K213" i="26" s="1"/>
  <c r="K206" s="1"/>
  <c r="J73" i="54"/>
  <c r="J87"/>
  <c r="K219" i="26" s="1"/>
  <c r="K215" s="1"/>
  <c r="J78" i="54"/>
  <c r="K94" i="26" s="1"/>
  <c r="K81" s="1"/>
  <c r="J84" i="54"/>
  <c r="K185" i="26" s="1"/>
  <c r="K184" s="1"/>
  <c r="J77" i="54"/>
  <c r="K66" i="26" s="1"/>
  <c r="K65" s="1"/>
  <c r="J85" i="54"/>
  <c r="K197" i="26" s="1"/>
  <c r="K196" s="1"/>
  <c r="J74" i="54"/>
  <c r="K35" i="26" s="1"/>
  <c r="K22" s="1"/>
  <c r="J79" i="54"/>
  <c r="K108" i="26" s="1"/>
  <c r="K96" s="1"/>
  <c r="J76" i="54"/>
  <c r="K51" i="26" s="1"/>
  <c r="K50" s="1"/>
  <c r="J75" i="54"/>
  <c r="K48" i="26" s="1"/>
  <c r="K37" s="1"/>
  <c r="J5" i="54"/>
  <c r="I189" i="55"/>
  <c r="I188" s="1"/>
  <c r="I194"/>
  <c r="F21" i="54"/>
  <c r="F20" s="1"/>
  <c r="I22" i="61"/>
  <c r="U6" i="63"/>
  <c r="U5" s="1"/>
  <c r="M37" i="54"/>
  <c r="M36" s="1"/>
  <c r="G112" i="55"/>
  <c r="G111" s="1"/>
  <c r="G117"/>
  <c r="M43" i="54"/>
  <c r="W48" i="64"/>
  <c r="G8" i="30"/>
  <c r="F148" i="26"/>
  <c r="E72" i="54"/>
  <c r="H165" i="53"/>
  <c r="F168" i="26"/>
  <c r="F196"/>
  <c r="I21" i="60"/>
  <c r="I29"/>
  <c r="G4" i="30"/>
  <c r="G5"/>
  <c r="R37" i="26" l="1"/>
  <c r="K8" i="40" s="1"/>
  <c r="F24" i="29"/>
  <c r="F23" s="1"/>
  <c r="R215" i="26"/>
  <c r="F96" i="29"/>
  <c r="F95" s="1"/>
  <c r="F72"/>
  <c r="F71" s="1"/>
  <c r="R168" i="26"/>
  <c r="K16" i="40" s="1"/>
  <c r="G17" i="54"/>
  <c r="J6" i="61"/>
  <c r="H54" i="53"/>
  <c r="M8" i="26"/>
  <c r="G7"/>
  <c r="M38"/>
  <c r="G37"/>
  <c r="G96"/>
  <c r="M97"/>
  <c r="K6" i="66"/>
  <c r="U7"/>
  <c r="E5" i="40"/>
  <c r="E20" s="1"/>
  <c r="K10" i="60"/>
  <c r="K11" i="61"/>
  <c r="U11" s="1"/>
  <c r="W11" s="1"/>
  <c r="M51" i="54"/>
  <c r="W177" i="64"/>
  <c r="M42" i="54"/>
  <c r="M41" s="1"/>
  <c r="U6" i="64"/>
  <c r="H68" i="53"/>
  <c r="H67"/>
  <c r="H66"/>
  <c r="H65"/>
  <c r="H64"/>
  <c r="K17" i="61"/>
  <c r="U17" s="1"/>
  <c r="W17" s="1"/>
  <c r="K16" i="60"/>
  <c r="K16" i="61"/>
  <c r="K15" i="60"/>
  <c r="K9" i="61"/>
  <c r="U9" s="1"/>
  <c r="W9" s="1"/>
  <c r="K8" i="60"/>
  <c r="I97" i="53"/>
  <c r="G184" i="26"/>
  <c r="J29" i="60"/>
  <c r="T6"/>
  <c r="H115" i="53"/>
  <c r="I5" i="61"/>
  <c r="S5"/>
  <c r="N110" i="55"/>
  <c r="F24" i="57"/>
  <c r="F25" s="1"/>
  <c r="E4" i="75" s="1"/>
  <c r="H8" i="30"/>
  <c r="R196" i="26"/>
  <c r="K18" i="40" s="1"/>
  <c r="F84" i="29"/>
  <c r="F83" s="1"/>
  <c r="R22" i="26"/>
  <c r="K7" i="40" s="1"/>
  <c r="F18" i="29"/>
  <c r="F17" s="1"/>
  <c r="F4" i="73"/>
  <c r="B4" s="1"/>
  <c r="C68" s="1"/>
  <c r="D68" s="1"/>
  <c r="E68" s="1"/>
  <c r="F42" i="29"/>
  <c r="F41" s="1"/>
  <c r="R81" i="26"/>
  <c r="K11" i="40" s="1"/>
  <c r="F60" i="29"/>
  <c r="F59" s="1"/>
  <c r="R132" i="26"/>
  <c r="K14" i="40" s="1"/>
  <c r="G86" i="55"/>
  <c r="G23" i="53"/>
  <c r="M7" i="54"/>
  <c r="U5" i="58"/>
  <c r="W6"/>
  <c r="Z3" s="1"/>
  <c r="M10" i="54"/>
  <c r="U5" i="59"/>
  <c r="H118" i="55"/>
  <c r="H41" i="53"/>
  <c r="M207" i="26"/>
  <c r="G206"/>
  <c r="M133"/>
  <c r="G132"/>
  <c r="T22" i="61"/>
  <c r="L21" i="54"/>
  <c r="L20" s="1"/>
  <c r="I42" i="53" s="1"/>
  <c r="H11"/>
  <c r="H18" i="55"/>
  <c r="J69" i="53"/>
  <c r="J144" i="55"/>
  <c r="M47" i="54"/>
  <c r="M46" s="1"/>
  <c r="J134" i="53" s="1"/>
  <c r="U103" i="64"/>
  <c r="K19" i="61"/>
  <c r="U19" s="1"/>
  <c r="W19" s="1"/>
  <c r="K18" i="60"/>
  <c r="H30" i="57"/>
  <c r="P136" i="55"/>
  <c r="L28" i="54"/>
  <c r="L24" s="1"/>
  <c r="I54" i="53" s="1"/>
  <c r="T5" i="70"/>
  <c r="J30" i="55"/>
  <c r="J29" s="1"/>
  <c r="I8" i="57" s="1"/>
  <c r="J109" i="53"/>
  <c r="K17" i="60"/>
  <c r="K18" i="61"/>
  <c r="U18" s="1"/>
  <c r="W18" s="1"/>
  <c r="G99" i="55"/>
  <c r="G35" i="53"/>
  <c r="K82" i="54"/>
  <c r="L149" i="26" s="1"/>
  <c r="L148" s="1"/>
  <c r="K16" i="54"/>
  <c r="H156" i="55"/>
  <c r="H138"/>
  <c r="H137" s="1"/>
  <c r="K12" i="61"/>
  <c r="U12" s="1"/>
  <c r="W12" s="1"/>
  <c r="K11" i="60"/>
  <c r="K8" i="61"/>
  <c r="K7" i="60"/>
  <c r="I63" i="53"/>
  <c r="G168" i="26"/>
  <c r="G148"/>
  <c r="G65"/>
  <c r="J21" i="60"/>
  <c r="Z3" i="64"/>
  <c r="J104" i="53"/>
  <c r="M35" i="54"/>
  <c r="N35" s="1"/>
  <c r="P187" i="55"/>
  <c r="H39" i="57"/>
  <c r="H40" s="1"/>
  <c r="I12" i="75" s="1"/>
  <c r="R96" i="26"/>
  <c r="K12" i="40" s="1"/>
  <c r="F48" i="29"/>
  <c r="F47" s="1"/>
  <c r="F78"/>
  <c r="F77" s="1"/>
  <c r="R184" i="26"/>
  <c r="K17" i="40" s="1"/>
  <c r="F90" i="29"/>
  <c r="F89" s="1"/>
  <c r="R206" i="26"/>
  <c r="K19" i="40" s="1"/>
  <c r="J221" i="55"/>
  <c r="J171" i="53"/>
  <c r="J152"/>
  <c r="N53" i="54"/>
  <c r="I208" i="55"/>
  <c r="I157" i="53"/>
  <c r="H53" i="57"/>
  <c r="H54" s="1"/>
  <c r="H46"/>
  <c r="I13" i="75" s="1"/>
  <c r="M23" i="26"/>
  <c r="G22"/>
  <c r="M216"/>
  <c r="G215"/>
  <c r="G21" i="54"/>
  <c r="G20" s="1"/>
  <c r="J22" i="61"/>
  <c r="I120" i="53"/>
  <c r="I118"/>
  <c r="I116"/>
  <c r="I119"/>
  <c r="I117"/>
  <c r="N200" i="55"/>
  <c r="F42" i="57"/>
  <c r="F43" s="1"/>
  <c r="E8" i="75" s="1"/>
  <c r="K13" i="60"/>
  <c r="K14" i="61"/>
  <c r="U14" s="1"/>
  <c r="W14" s="1"/>
  <c r="G28" i="54"/>
  <c r="G24" s="1"/>
  <c r="J5" i="70"/>
  <c r="H7" i="30"/>
  <c r="G36" i="57"/>
  <c r="G37" s="1"/>
  <c r="G9" i="75" s="1"/>
  <c r="O162" i="55"/>
  <c r="G46" i="57"/>
  <c r="G13" i="75" s="1"/>
  <c r="G53" i="57"/>
  <c r="G54" s="1"/>
  <c r="T14" i="60"/>
  <c r="L14" i="54" s="1"/>
  <c r="M9"/>
  <c r="R50" i="26"/>
  <c r="K9" i="40" s="1"/>
  <c r="F30" i="29"/>
  <c r="F29" s="1"/>
  <c r="R65" i="26"/>
  <c r="K10" i="40" s="1"/>
  <c r="F36" i="29"/>
  <c r="F35" s="1"/>
  <c r="K20" i="26"/>
  <c r="K7" s="1"/>
  <c r="J72" i="54"/>
  <c r="F54" i="29"/>
  <c r="F53" s="1"/>
  <c r="R110" i="26"/>
  <c r="K13" i="40" s="1"/>
  <c r="T6" i="61"/>
  <c r="T5" s="1"/>
  <c r="L17" i="54"/>
  <c r="G110" i="26"/>
  <c r="M111"/>
  <c r="G81"/>
  <c r="M82"/>
  <c r="G11" i="55"/>
  <c r="H208"/>
  <c r="H157" i="53"/>
  <c r="I169" i="55"/>
  <c r="I164"/>
  <c r="I163" s="1"/>
  <c r="U89" i="62"/>
  <c r="W90"/>
  <c r="M34" i="54"/>
  <c r="M33" s="1"/>
  <c r="J5" i="60"/>
  <c r="G13" i="54"/>
  <c r="G12" s="1"/>
  <c r="K122" i="70"/>
  <c r="K12" i="60"/>
  <c r="K13" i="61"/>
  <c r="U13" s="1"/>
  <c r="W13" s="1"/>
  <c r="K25"/>
  <c r="U25" s="1"/>
  <c r="W25" s="1"/>
  <c r="S5" i="60"/>
  <c r="K13" i="54"/>
  <c r="K12" s="1"/>
  <c r="F81"/>
  <c r="F75"/>
  <c r="F78"/>
  <c r="F74"/>
  <c r="F85"/>
  <c r="F73"/>
  <c r="F80"/>
  <c r="F87"/>
  <c r="F79"/>
  <c r="F86"/>
  <c r="F83"/>
  <c r="F77"/>
  <c r="F82"/>
  <c r="F16"/>
  <c r="F15" s="1"/>
  <c r="F5" s="1"/>
  <c r="F84"/>
  <c r="F76"/>
  <c r="I73" i="55"/>
  <c r="I17" i="53"/>
  <c r="I12"/>
  <c r="K10" i="61"/>
  <c r="U10" s="1"/>
  <c r="W10" s="1"/>
  <c r="K24"/>
  <c r="K9" i="60"/>
  <c r="F5" i="26"/>
  <c r="G50"/>
  <c r="M49" i="54"/>
  <c r="J140" i="53" s="1"/>
  <c r="Z3" i="59"/>
  <c r="H4" i="30"/>
  <c r="H5"/>
  <c r="H31" i="57" l="1"/>
  <c r="I7" i="75" s="1"/>
  <c r="K24" i="60"/>
  <c r="U9"/>
  <c r="W9" s="1"/>
  <c r="I72" i="55"/>
  <c r="I67"/>
  <c r="I66" s="1"/>
  <c r="P162"/>
  <c r="H36" i="57"/>
  <c r="H37" s="1"/>
  <c r="I9" i="75" s="1"/>
  <c r="J18" i="53"/>
  <c r="N9" i="54"/>
  <c r="I207" i="55"/>
  <c r="I202"/>
  <c r="I201" s="1"/>
  <c r="J220"/>
  <c r="J215"/>
  <c r="J214" s="1"/>
  <c r="K7" i="61"/>
  <c r="U8"/>
  <c r="G93" i="55"/>
  <c r="G92" s="1"/>
  <c r="G98"/>
  <c r="J133" i="53"/>
  <c r="J182" i="55"/>
  <c r="J181" s="1"/>
  <c r="H12"/>
  <c r="H17"/>
  <c r="G6" i="57" s="1"/>
  <c r="G5" s="1"/>
  <c r="I118" i="55"/>
  <c r="I41" i="53"/>
  <c r="M6" i="54"/>
  <c r="U16" i="60"/>
  <c r="W16" s="1"/>
  <c r="K31"/>
  <c r="M40" i="54"/>
  <c r="J122" i="53"/>
  <c r="K25" i="60"/>
  <c r="U10"/>
  <c r="W10" s="1"/>
  <c r="K5" i="66"/>
  <c r="H58" i="54"/>
  <c r="H57" s="1"/>
  <c r="H105" i="55"/>
  <c r="H104" s="1"/>
  <c r="H53" i="53"/>
  <c r="I115"/>
  <c r="I18" i="55"/>
  <c r="I11" i="53"/>
  <c r="H201" i="26"/>
  <c r="N201" s="1"/>
  <c r="H16"/>
  <c r="N16" s="1"/>
  <c r="H139"/>
  <c r="N139" s="1"/>
  <c r="H143"/>
  <c r="N143" s="1"/>
  <c r="H108"/>
  <c r="H119"/>
  <c r="N119" s="1"/>
  <c r="H172"/>
  <c r="N172" s="1"/>
  <c r="H114"/>
  <c r="N114" s="1"/>
  <c r="H155"/>
  <c r="N155" s="1"/>
  <c r="H27"/>
  <c r="N27" s="1"/>
  <c r="H180"/>
  <c r="N180" s="1"/>
  <c r="H58"/>
  <c r="N58" s="1"/>
  <c r="H92"/>
  <c r="N92" s="1"/>
  <c r="H66"/>
  <c r="H136"/>
  <c r="N136" s="1"/>
  <c r="H137"/>
  <c r="N137" s="1"/>
  <c r="H20"/>
  <c r="H75"/>
  <c r="N75" s="1"/>
  <c r="H46"/>
  <c r="N46" s="1"/>
  <c r="H62"/>
  <c r="N62" s="1"/>
  <c r="H41"/>
  <c r="N41" s="1"/>
  <c r="H90"/>
  <c r="N90" s="1"/>
  <c r="H31"/>
  <c r="N31" s="1"/>
  <c r="H166"/>
  <c r="N166" s="1"/>
  <c r="H219"/>
  <c r="H10"/>
  <c r="N10" s="1"/>
  <c r="H163"/>
  <c r="N163" s="1"/>
  <c r="H212"/>
  <c r="N212" s="1"/>
  <c r="H116"/>
  <c r="N116" s="1"/>
  <c r="H207"/>
  <c r="H218"/>
  <c r="N218" s="1"/>
  <c r="H38"/>
  <c r="H135"/>
  <c r="N135" s="1"/>
  <c r="H54"/>
  <c r="N54" s="1"/>
  <c r="H190"/>
  <c r="N190" s="1"/>
  <c r="H211"/>
  <c r="N211" s="1"/>
  <c r="H144"/>
  <c r="N144" s="1"/>
  <c r="H146"/>
  <c r="H104"/>
  <c r="N104" s="1"/>
  <c r="H12"/>
  <c r="N12" s="1"/>
  <c r="H103"/>
  <c r="N103" s="1"/>
  <c r="H78"/>
  <c r="N78" s="1"/>
  <c r="H216"/>
  <c r="H17"/>
  <c r="N17" s="1"/>
  <c r="H13"/>
  <c r="N13" s="1"/>
  <c r="H197"/>
  <c r="H99"/>
  <c r="N99" s="1"/>
  <c r="H8"/>
  <c r="H105"/>
  <c r="N105" s="1"/>
  <c r="H102"/>
  <c r="N102" s="1"/>
  <c r="H57"/>
  <c r="N57" s="1"/>
  <c r="H217"/>
  <c r="N217" s="1"/>
  <c r="H182"/>
  <c r="N182" s="1"/>
  <c r="H120"/>
  <c r="N120" s="1"/>
  <c r="H47"/>
  <c r="N47" s="1"/>
  <c r="H199"/>
  <c r="N199" s="1"/>
  <c r="H129"/>
  <c r="H187"/>
  <c r="N187" s="1"/>
  <c r="H73"/>
  <c r="N73" s="1"/>
  <c r="H156"/>
  <c r="N156" s="1"/>
  <c r="H157"/>
  <c r="N157" s="1"/>
  <c r="H43"/>
  <c r="N43" s="1"/>
  <c r="H193"/>
  <c r="N193" s="1"/>
  <c r="H63"/>
  <c r="N63" s="1"/>
  <c r="H151"/>
  <c r="N151" s="1"/>
  <c r="H61"/>
  <c r="N61" s="1"/>
  <c r="H112"/>
  <c r="N112" s="1"/>
  <c r="H106"/>
  <c r="N106" s="1"/>
  <c r="H76"/>
  <c r="N76" s="1"/>
  <c r="H111"/>
  <c r="H125"/>
  <c r="N125" s="1"/>
  <c r="H202"/>
  <c r="N202" s="1"/>
  <c r="H192"/>
  <c r="N192" s="1"/>
  <c r="H123"/>
  <c r="N123" s="1"/>
  <c r="H176"/>
  <c r="N176" s="1"/>
  <c r="H189"/>
  <c r="N189" s="1"/>
  <c r="H191"/>
  <c r="N191" s="1"/>
  <c r="H24"/>
  <c r="N24" s="1"/>
  <c r="H128"/>
  <c r="N128" s="1"/>
  <c r="H118"/>
  <c r="N118" s="1"/>
  <c r="H161"/>
  <c r="N161" s="1"/>
  <c r="H115"/>
  <c r="N115" s="1"/>
  <c r="H208"/>
  <c r="N208" s="1"/>
  <c r="H84"/>
  <c r="N84" s="1"/>
  <c r="H188"/>
  <c r="N188" s="1"/>
  <c r="H149"/>
  <c r="H153"/>
  <c r="N153" s="1"/>
  <c r="H97"/>
  <c r="H150"/>
  <c r="N150" s="1"/>
  <c r="H25"/>
  <c r="N25" s="1"/>
  <c r="H198"/>
  <c r="N198" s="1"/>
  <c r="H79"/>
  <c r="N79" s="1"/>
  <c r="H26"/>
  <c r="N26" s="1"/>
  <c r="H138"/>
  <c r="N138" s="1"/>
  <c r="H87"/>
  <c r="N87" s="1"/>
  <c r="H42"/>
  <c r="N42" s="1"/>
  <c r="H56"/>
  <c r="N56" s="1"/>
  <c r="H100"/>
  <c r="N100" s="1"/>
  <c r="H35"/>
  <c r="H126"/>
  <c r="N126" s="1"/>
  <c r="H159"/>
  <c r="N159" s="1"/>
  <c r="H179"/>
  <c r="N179" s="1"/>
  <c r="H203"/>
  <c r="N203" s="1"/>
  <c r="H91"/>
  <c r="N91" s="1"/>
  <c r="H67"/>
  <c r="N67" s="1"/>
  <c r="H45"/>
  <c r="N45" s="1"/>
  <c r="H33"/>
  <c r="N33" s="1"/>
  <c r="H186"/>
  <c r="N186" s="1"/>
  <c r="H69"/>
  <c r="N69" s="1"/>
  <c r="H29"/>
  <c r="N29" s="1"/>
  <c r="H204"/>
  <c r="N204" s="1"/>
  <c r="H142"/>
  <c r="N142" s="1"/>
  <c r="H39"/>
  <c r="N39" s="1"/>
  <c r="H19"/>
  <c r="N19" s="1"/>
  <c r="H83"/>
  <c r="N83" s="1"/>
  <c r="H98"/>
  <c r="N98" s="1"/>
  <c r="H14"/>
  <c r="N14" s="1"/>
  <c r="H74"/>
  <c r="N74" s="1"/>
  <c r="H145"/>
  <c r="N145" s="1"/>
  <c r="H170"/>
  <c r="N170" s="1"/>
  <c r="H68"/>
  <c r="N68" s="1"/>
  <c r="H51"/>
  <c r="H134"/>
  <c r="N134" s="1"/>
  <c r="H124"/>
  <c r="N124" s="1"/>
  <c r="H121"/>
  <c r="N121" s="1"/>
  <c r="H15"/>
  <c r="N15" s="1"/>
  <c r="H86"/>
  <c r="N86" s="1"/>
  <c r="H174"/>
  <c r="N174" s="1"/>
  <c r="H53"/>
  <c r="N53" s="1"/>
  <c r="H152"/>
  <c r="N152" s="1"/>
  <c r="H200"/>
  <c r="N200" s="1"/>
  <c r="H28"/>
  <c r="N28" s="1"/>
  <c r="H23"/>
  <c r="H59"/>
  <c r="N59" s="1"/>
  <c r="H40"/>
  <c r="N40" s="1"/>
  <c r="H113"/>
  <c r="N113" s="1"/>
  <c r="H18"/>
  <c r="N18" s="1"/>
  <c r="H209"/>
  <c r="N209" s="1"/>
  <c r="H34"/>
  <c r="N34" s="1"/>
  <c r="H55"/>
  <c r="N55" s="1"/>
  <c r="H171"/>
  <c r="N171" s="1"/>
  <c r="H52"/>
  <c r="N52" s="1"/>
  <c r="H71"/>
  <c r="N71" s="1"/>
  <c r="H117"/>
  <c r="N117" s="1"/>
  <c r="H32"/>
  <c r="N32" s="1"/>
  <c r="H178"/>
  <c r="N178" s="1"/>
  <c r="H89"/>
  <c r="N89" s="1"/>
  <c r="H169"/>
  <c r="H9"/>
  <c r="N9" s="1"/>
  <c r="H213"/>
  <c r="H93"/>
  <c r="N93" s="1"/>
  <c r="H44"/>
  <c r="N44" s="1"/>
  <c r="H77"/>
  <c r="N77" s="1"/>
  <c r="H72"/>
  <c r="N72" s="1"/>
  <c r="H101"/>
  <c r="N101" s="1"/>
  <c r="H154"/>
  <c r="N154" s="1"/>
  <c r="H11"/>
  <c r="N11" s="1"/>
  <c r="H85"/>
  <c r="N85" s="1"/>
  <c r="H140"/>
  <c r="N140" s="1"/>
  <c r="H107"/>
  <c r="N107" s="1"/>
  <c r="H158"/>
  <c r="N158" s="1"/>
  <c r="H160"/>
  <c r="N160" s="1"/>
  <c r="H130"/>
  <c r="N130" s="1"/>
  <c r="H133"/>
  <c r="H181"/>
  <c r="N181" s="1"/>
  <c r="H122"/>
  <c r="N122" s="1"/>
  <c r="H70"/>
  <c r="N70" s="1"/>
  <c r="H82"/>
  <c r="H173"/>
  <c r="N173" s="1"/>
  <c r="H30"/>
  <c r="N30" s="1"/>
  <c r="H175"/>
  <c r="N175" s="1"/>
  <c r="H94"/>
  <c r="H48"/>
  <c r="H165"/>
  <c r="N165" s="1"/>
  <c r="H141"/>
  <c r="N141" s="1"/>
  <c r="H60"/>
  <c r="N60" s="1"/>
  <c r="H164"/>
  <c r="N164" s="1"/>
  <c r="H194"/>
  <c r="N194" s="1"/>
  <c r="H210"/>
  <c r="N210" s="1"/>
  <c r="H127"/>
  <c r="N127" s="1"/>
  <c r="H88"/>
  <c r="N88" s="1"/>
  <c r="H185"/>
  <c r="H184" s="1"/>
  <c r="H177"/>
  <c r="N177" s="1"/>
  <c r="W89" i="62"/>
  <c r="Z3" s="1"/>
  <c r="U5"/>
  <c r="H207" i="55"/>
  <c r="H202"/>
  <c r="H201" s="1"/>
  <c r="K28" i="60"/>
  <c r="U13"/>
  <c r="W13" s="1"/>
  <c r="J166" i="53"/>
  <c r="J169"/>
  <c r="J170"/>
  <c r="J168"/>
  <c r="J167"/>
  <c r="K6" i="60"/>
  <c r="U7"/>
  <c r="K22"/>
  <c r="G30" i="57"/>
  <c r="O136" i="55"/>
  <c r="G30" i="53"/>
  <c r="G33"/>
  <c r="G9" s="1"/>
  <c r="G31"/>
  <c r="G7" s="1"/>
  <c r="G32"/>
  <c r="G8" s="1"/>
  <c r="G34"/>
  <c r="G10" s="1"/>
  <c r="F6" i="40"/>
  <c r="H117" i="55"/>
  <c r="H112"/>
  <c r="H111" s="1"/>
  <c r="G85"/>
  <c r="G80"/>
  <c r="K23" i="60"/>
  <c r="U8"/>
  <c r="W8" s="1"/>
  <c r="U16" i="61"/>
  <c r="K15"/>
  <c r="H18" i="54" s="1"/>
  <c r="W7" i="66"/>
  <c r="Z3" s="1"/>
  <c r="U6"/>
  <c r="F72" i="54"/>
  <c r="U5" i="64"/>
  <c r="K128" i="70"/>
  <c r="U122"/>
  <c r="K116"/>
  <c r="L16" i="54"/>
  <c r="L82"/>
  <c r="M149" i="26" s="1"/>
  <c r="M148" s="1"/>
  <c r="R7"/>
  <c r="K6" i="40" s="1"/>
  <c r="F12" i="29"/>
  <c r="K5" i="26"/>
  <c r="R5" s="1"/>
  <c r="K5" i="40" s="1"/>
  <c r="J151" i="53"/>
  <c r="J36" i="55"/>
  <c r="J35" s="1"/>
  <c r="I9" i="57" s="1"/>
  <c r="J24" i="55"/>
  <c r="J23" s="1"/>
  <c r="I7" i="57" s="1"/>
  <c r="J103" i="53"/>
  <c r="F19" i="40"/>
  <c r="S148" i="26"/>
  <c r="L15" i="40" s="1"/>
  <c r="G66" i="29"/>
  <c r="G65" s="1"/>
  <c r="K32" i="60"/>
  <c r="U17"/>
  <c r="W17" s="1"/>
  <c r="I105" i="55"/>
  <c r="I104" s="1"/>
  <c r="I53" i="53"/>
  <c r="K30" i="60"/>
  <c r="U15"/>
  <c r="K14"/>
  <c r="H14" i="54" s="1"/>
  <c r="G87"/>
  <c r="G86"/>
  <c r="G75"/>
  <c r="G80"/>
  <c r="G85"/>
  <c r="G73"/>
  <c r="G76"/>
  <c r="G79"/>
  <c r="G81"/>
  <c r="G78"/>
  <c r="G16"/>
  <c r="G15" s="1"/>
  <c r="G5" s="1"/>
  <c r="G74"/>
  <c r="G83"/>
  <c r="G82"/>
  <c r="G84"/>
  <c r="G77"/>
  <c r="H63" i="53"/>
  <c r="J195" i="55"/>
  <c r="J139" i="53"/>
  <c r="K23" i="61"/>
  <c r="U24"/>
  <c r="H24" i="53"/>
  <c r="K79" i="54"/>
  <c r="L108" i="26" s="1"/>
  <c r="L96" s="1"/>
  <c r="U12" i="60"/>
  <c r="W12" s="1"/>
  <c r="K27"/>
  <c r="J92" i="53"/>
  <c r="M29" i="54"/>
  <c r="K26" i="60"/>
  <c r="U11"/>
  <c r="W11" s="1"/>
  <c r="K15" i="54"/>
  <c r="K80" s="1"/>
  <c r="L129" i="26" s="1"/>
  <c r="L110" s="1"/>
  <c r="H36" i="53"/>
  <c r="U18" i="60"/>
  <c r="W18" s="1"/>
  <c r="K33"/>
  <c r="J143" i="55"/>
  <c r="L13" i="54"/>
  <c r="L12" s="1"/>
  <c r="T5" i="60"/>
  <c r="G5" i="26"/>
  <c r="J5" i="61"/>
  <c r="G31" i="57" l="1"/>
  <c r="G7" i="75" s="1"/>
  <c r="S110" i="26"/>
  <c r="L13" i="40" s="1"/>
  <c r="G54" i="29"/>
  <c r="G53" s="1"/>
  <c r="N23" i="26"/>
  <c r="H22"/>
  <c r="U7" i="61"/>
  <c r="W8"/>
  <c r="P200" i="55"/>
  <c r="H42" i="57"/>
  <c r="H43" s="1"/>
  <c r="I8" i="75" s="1"/>
  <c r="G48" i="29"/>
  <c r="G47" s="1"/>
  <c r="S96" i="26"/>
  <c r="L12" i="40" s="1"/>
  <c r="W122" i="70"/>
  <c r="U116"/>
  <c r="G79" i="55"/>
  <c r="G6"/>
  <c r="G5" s="1"/>
  <c r="I7" i="30"/>
  <c r="G29" i="53"/>
  <c r="G6"/>
  <c r="G5" s="1"/>
  <c r="U6" i="60"/>
  <c r="W7"/>
  <c r="N111" i="26"/>
  <c r="H110"/>
  <c r="H206"/>
  <c r="N207"/>
  <c r="J12" i="53"/>
  <c r="N6" i="54"/>
  <c r="H11" i="55"/>
  <c r="N91"/>
  <c r="F21" i="57"/>
  <c r="F22" s="1"/>
  <c r="E3" i="75" s="1"/>
  <c r="J73" i="55"/>
  <c r="J17" i="53"/>
  <c r="K81" i="54"/>
  <c r="L146" i="26" s="1"/>
  <c r="L132" s="1"/>
  <c r="H50"/>
  <c r="H148"/>
  <c r="H196"/>
  <c r="H65"/>
  <c r="H66" i="29"/>
  <c r="H65" s="1"/>
  <c r="T148" i="26"/>
  <c r="M15" i="40" s="1"/>
  <c r="W16" i="61"/>
  <c r="U15"/>
  <c r="M18" i="54" s="1"/>
  <c r="F5" i="40"/>
  <c r="F20" s="1"/>
  <c r="H99" i="55"/>
  <c r="H35" i="53"/>
  <c r="J157" i="55"/>
  <c r="J91" i="53"/>
  <c r="N216" i="26"/>
  <c r="H215"/>
  <c r="I45" i="57"/>
  <c r="Q213" i="55"/>
  <c r="H15" i="57"/>
  <c r="H16" s="1"/>
  <c r="I10" i="75" s="1"/>
  <c r="P65" i="55"/>
  <c r="K77" i="54"/>
  <c r="L66" i="26" s="1"/>
  <c r="L65" s="1"/>
  <c r="K74" i="54"/>
  <c r="L35" i="26" s="1"/>
  <c r="L22" s="1"/>
  <c r="K5" i="54"/>
  <c r="K86"/>
  <c r="L213" i="26" s="1"/>
  <c r="L206" s="1"/>
  <c r="G72" i="54"/>
  <c r="N40"/>
  <c r="H13"/>
  <c r="H12" s="1"/>
  <c r="K5" i="60"/>
  <c r="H21" i="54"/>
  <c r="H20" s="1"/>
  <c r="K22" i="61"/>
  <c r="I24" i="53"/>
  <c r="L81" i="54"/>
  <c r="M146" i="26" s="1"/>
  <c r="M132" s="1"/>
  <c r="L5" i="54"/>
  <c r="W24" i="61"/>
  <c r="U23"/>
  <c r="F6" i="29"/>
  <c r="F11"/>
  <c r="H28" i="54"/>
  <c r="H24" s="1"/>
  <c r="K5" i="70"/>
  <c r="O200" i="55"/>
  <c r="G42" i="57"/>
  <c r="G43" s="1"/>
  <c r="G8" i="75" s="1"/>
  <c r="H23" i="53"/>
  <c r="H86" i="55"/>
  <c r="J194"/>
  <c r="J189"/>
  <c r="J188" s="1"/>
  <c r="W15" i="60"/>
  <c r="U14"/>
  <c r="M14" i="54" s="1"/>
  <c r="J101" i="53"/>
  <c r="J102"/>
  <c r="J98"/>
  <c r="J99"/>
  <c r="J100"/>
  <c r="I36"/>
  <c r="L15" i="54"/>
  <c r="L79" s="1"/>
  <c r="M108" i="26" s="1"/>
  <c r="M96" s="1"/>
  <c r="U5" i="66"/>
  <c r="M58" i="54"/>
  <c r="M57" s="1"/>
  <c r="G24" i="57"/>
  <c r="G25" s="1"/>
  <c r="G4" i="75" s="1"/>
  <c r="O110" i="55"/>
  <c r="H81" i="26"/>
  <c r="N82"/>
  <c r="H132"/>
  <c r="N133"/>
  <c r="H96"/>
  <c r="N97"/>
  <c r="H7"/>
  <c r="N8"/>
  <c r="N38"/>
  <c r="H37"/>
  <c r="I12" i="55"/>
  <c r="I17"/>
  <c r="H6" i="57" s="1"/>
  <c r="H5" s="1"/>
  <c r="J121" i="53"/>
  <c r="J170" i="55"/>
  <c r="I117"/>
  <c r="I112"/>
  <c r="I111" s="1"/>
  <c r="K6" i="61"/>
  <c r="K5" s="1"/>
  <c r="H17" i="54"/>
  <c r="K84"/>
  <c r="L185" i="26" s="1"/>
  <c r="L184" s="1"/>
  <c r="K85" i="54"/>
  <c r="L197" i="26" s="1"/>
  <c r="L196" s="1"/>
  <c r="K78" i="54"/>
  <c r="L94" i="26" s="1"/>
  <c r="L81" s="1"/>
  <c r="K76" i="54"/>
  <c r="L51" i="26" s="1"/>
  <c r="L50" s="1"/>
  <c r="K83" i="54"/>
  <c r="L169" i="26" s="1"/>
  <c r="L168" s="1"/>
  <c r="K29" i="60"/>
  <c r="K21"/>
  <c r="N29" i="54"/>
  <c r="K87"/>
  <c r="L219" i="26" s="1"/>
  <c r="L215" s="1"/>
  <c r="K73" i="54"/>
  <c r="K75"/>
  <c r="L48" i="26" s="1"/>
  <c r="L37" s="1"/>
  <c r="K20" i="40"/>
  <c r="J165" i="53"/>
  <c r="H168" i="26"/>
  <c r="I4" i="30"/>
  <c r="I5"/>
  <c r="G96" i="29" l="1"/>
  <c r="G95" s="1"/>
  <c r="S215" i="26"/>
  <c r="G42" i="29"/>
  <c r="G41" s="1"/>
  <c r="S81" i="26"/>
  <c r="L11" i="40" s="1"/>
  <c r="J119" i="53"/>
  <c r="J118"/>
  <c r="J116"/>
  <c r="J120"/>
  <c r="J117"/>
  <c r="F16" i="30"/>
  <c r="F5" i="29"/>
  <c r="M5" s="1"/>
  <c r="M6" s="1"/>
  <c r="S65" i="26"/>
  <c r="L10" i="40" s="1"/>
  <c r="G36" i="29"/>
  <c r="G35" s="1"/>
  <c r="J68" i="53"/>
  <c r="J64"/>
  <c r="J66"/>
  <c r="J65"/>
  <c r="J67"/>
  <c r="J18" i="55"/>
  <c r="J11" i="53"/>
  <c r="F18" i="57"/>
  <c r="N78" i="55"/>
  <c r="U6" i="61"/>
  <c r="M17" i="54"/>
  <c r="L77"/>
  <c r="M66" i="26" s="1"/>
  <c r="M65" s="1"/>
  <c r="L84" i="54"/>
  <c r="M185" i="26" s="1"/>
  <c r="M184" s="1"/>
  <c r="L78" i="54"/>
  <c r="M94" i="26" s="1"/>
  <c r="M81" s="1"/>
  <c r="L85" i="54"/>
  <c r="M197" i="26" s="1"/>
  <c r="M196" s="1"/>
  <c r="K72" i="54"/>
  <c r="L20" i="26"/>
  <c r="L7" s="1"/>
  <c r="H74" i="54"/>
  <c r="H73"/>
  <c r="H81"/>
  <c r="H80"/>
  <c r="H77"/>
  <c r="H16"/>
  <c r="H15" s="1"/>
  <c r="H5" s="1"/>
  <c r="H87"/>
  <c r="H76"/>
  <c r="H86"/>
  <c r="H78"/>
  <c r="H84"/>
  <c r="H75"/>
  <c r="H85"/>
  <c r="H79"/>
  <c r="H83"/>
  <c r="H82"/>
  <c r="J164" i="55"/>
  <c r="J163" s="1"/>
  <c r="J169"/>
  <c r="J158" i="53"/>
  <c r="N57" i="54"/>
  <c r="H60" i="29"/>
  <c r="H59" s="1"/>
  <c r="T132" i="26"/>
  <c r="M14" i="40" s="1"/>
  <c r="S22" i="26"/>
  <c r="L7" i="40" s="1"/>
  <c r="G18" i="29"/>
  <c r="G17" s="1"/>
  <c r="H98" i="55"/>
  <c r="H93"/>
  <c r="H92" s="1"/>
  <c r="G60" i="29"/>
  <c r="G59" s="1"/>
  <c r="H38" i="73"/>
  <c r="B38" s="1"/>
  <c r="C70" s="1"/>
  <c r="D70" s="1"/>
  <c r="E70" s="1"/>
  <c r="S132" i="26"/>
  <c r="L14" i="40" s="1"/>
  <c r="L76" i="54"/>
  <c r="M51" i="26" s="1"/>
  <c r="M50" s="1"/>
  <c r="L75" i="54"/>
  <c r="M48" i="26" s="1"/>
  <c r="M37" s="1"/>
  <c r="Z3" i="61"/>
  <c r="G72" i="29"/>
  <c r="G71" s="1"/>
  <c r="S168" i="26"/>
  <c r="L16" i="40" s="1"/>
  <c r="I8" i="30"/>
  <c r="G24" i="29"/>
  <c r="G23" s="1"/>
  <c r="S37" i="26"/>
  <c r="L8" i="40" s="1"/>
  <c r="G30" i="29"/>
  <c r="G29" s="1"/>
  <c r="S50" i="26"/>
  <c r="L9" i="40" s="1"/>
  <c r="S184" i="26"/>
  <c r="L17" i="40" s="1"/>
  <c r="G78" i="29"/>
  <c r="G77" s="1"/>
  <c r="I11" i="55"/>
  <c r="I35" i="53"/>
  <c r="I99" i="55"/>
  <c r="Q187"/>
  <c r="I39" i="57"/>
  <c r="H30" i="53"/>
  <c r="H31"/>
  <c r="H7" s="1"/>
  <c r="H34"/>
  <c r="H10" s="1"/>
  <c r="H32"/>
  <c r="H8" s="1"/>
  <c r="H33"/>
  <c r="H9" s="1"/>
  <c r="U5" i="60"/>
  <c r="M13" i="54"/>
  <c r="M12" s="1"/>
  <c r="H5" i="26"/>
  <c r="L80" i="54"/>
  <c r="M129" i="26" s="1"/>
  <c r="M110" s="1"/>
  <c r="L74" i="54"/>
  <c r="M35" i="26" s="1"/>
  <c r="M22" s="1"/>
  <c r="L73" i="54"/>
  <c r="G84" i="29"/>
  <c r="G83" s="1"/>
  <c r="S196" i="26"/>
  <c r="L18" i="40" s="1"/>
  <c r="P110" i="55"/>
  <c r="H24" i="57"/>
  <c r="H25" s="1"/>
  <c r="I4" i="75" s="1"/>
  <c r="T96" i="26"/>
  <c r="M12" i="40" s="1"/>
  <c r="H48" i="29"/>
  <c r="H47" s="1"/>
  <c r="H80" i="55"/>
  <c r="H85"/>
  <c r="M21" i="54"/>
  <c r="M20" s="1"/>
  <c r="J42" i="53" s="1"/>
  <c r="U22" i="61"/>
  <c r="I23" i="53"/>
  <c r="I86" i="55"/>
  <c r="G90" i="29"/>
  <c r="G89" s="1"/>
  <c r="S206" i="26"/>
  <c r="L19" i="40" s="1"/>
  <c r="B61" i="57"/>
  <c r="I46"/>
  <c r="I53"/>
  <c r="I54" s="1"/>
  <c r="J156" i="55"/>
  <c r="J138"/>
  <c r="J137" s="1"/>
  <c r="J72"/>
  <c r="J67"/>
  <c r="J66" s="1"/>
  <c r="M28" i="54"/>
  <c r="M24" s="1"/>
  <c r="U5" i="70"/>
  <c r="J97" i="53"/>
  <c r="L87" i="54"/>
  <c r="M219" i="26" s="1"/>
  <c r="M215" s="1"/>
  <c r="L86" i="54"/>
  <c r="M213" i="26" s="1"/>
  <c r="M206" s="1"/>
  <c r="L83" i="54"/>
  <c r="M169" i="26" s="1"/>
  <c r="M168" s="1"/>
  <c r="Z3" i="60"/>
  <c r="T168" i="26" l="1"/>
  <c r="M16" i="40" s="1"/>
  <c r="H72" i="29"/>
  <c r="H71" s="1"/>
  <c r="I61" i="57"/>
  <c r="K13" i="75"/>
  <c r="J118" i="55"/>
  <c r="J41" i="53"/>
  <c r="I40" i="57"/>
  <c r="B62"/>
  <c r="T50" i="26"/>
  <c r="M9" i="40" s="1"/>
  <c r="H30" i="29"/>
  <c r="H29" s="1"/>
  <c r="G21" i="57"/>
  <c r="G22" s="1"/>
  <c r="G3" i="75" s="1"/>
  <c r="O91" i="55"/>
  <c r="H84" i="29"/>
  <c r="H83" s="1"/>
  <c r="T196" i="26"/>
  <c r="M18" i="40" s="1"/>
  <c r="M82" i="54"/>
  <c r="N149" i="26" s="1"/>
  <c r="N148" s="1"/>
  <c r="M16" i="54"/>
  <c r="H72"/>
  <c r="H54" i="29"/>
  <c r="H53" s="1"/>
  <c r="T110" i="26"/>
  <c r="M13" i="40" s="1"/>
  <c r="H29" i="53"/>
  <c r="H6"/>
  <c r="H5" s="1"/>
  <c r="I30"/>
  <c r="I32"/>
  <c r="I8" s="1"/>
  <c r="I34"/>
  <c r="I10" s="1"/>
  <c r="I33"/>
  <c r="I9" s="1"/>
  <c r="I31"/>
  <c r="I7" s="1"/>
  <c r="H24" i="29"/>
  <c r="H23" s="1"/>
  <c r="T37" i="26"/>
  <c r="M8" i="40" s="1"/>
  <c r="J157" i="53"/>
  <c r="J208" i="55"/>
  <c r="H36" i="29"/>
  <c r="H35" s="1"/>
  <c r="T65" i="26"/>
  <c r="M10" i="40" s="1"/>
  <c r="F19" i="57"/>
  <c r="E6" i="75" s="1"/>
  <c r="F4" i="57"/>
  <c r="F15" i="30"/>
  <c r="F21"/>
  <c r="H96" i="29"/>
  <c r="H95" s="1"/>
  <c r="T215" i="26"/>
  <c r="J54" i="53"/>
  <c r="N24" i="54"/>
  <c r="H79" i="55"/>
  <c r="H6"/>
  <c r="H18" i="29"/>
  <c r="H17" s="1"/>
  <c r="T22" i="26"/>
  <c r="M7" i="40" s="1"/>
  <c r="I98" i="55"/>
  <c r="I93"/>
  <c r="I92" s="1"/>
  <c r="L5" i="26"/>
  <c r="S5" s="1"/>
  <c r="L5" i="40" s="1"/>
  <c r="G12" i="29"/>
  <c r="S7" i="26"/>
  <c r="L6" i="40" s="1"/>
  <c r="T184" i="26"/>
  <c r="M17" i="40" s="1"/>
  <c r="H78" i="29"/>
  <c r="H77" s="1"/>
  <c r="J17" i="55"/>
  <c r="I6" i="57" s="1"/>
  <c r="I5" s="1"/>
  <c r="J12" i="55"/>
  <c r="J63" i="53"/>
  <c r="J115"/>
  <c r="I15" i="57"/>
  <c r="I16" s="1"/>
  <c r="K10" i="75" s="1"/>
  <c r="Q65" i="55"/>
  <c r="T206" i="26"/>
  <c r="M19" i="40" s="1"/>
  <c r="H90" i="29"/>
  <c r="H89" s="1"/>
  <c r="I30" i="57"/>
  <c r="Q136" i="55"/>
  <c r="I85"/>
  <c r="I80"/>
  <c r="M20" i="26"/>
  <c r="M7" s="1"/>
  <c r="L72" i="54"/>
  <c r="J24" i="53"/>
  <c r="N12" i="54"/>
  <c r="I36" i="57"/>
  <c r="Q162" i="55"/>
  <c r="H42" i="29"/>
  <c r="H41" s="1"/>
  <c r="T81" i="26"/>
  <c r="M11" i="40" s="1"/>
  <c r="U5" i="61"/>
  <c r="I79" i="55" l="1"/>
  <c r="I6"/>
  <c r="I5" s="1"/>
  <c r="J105"/>
  <c r="J104" s="1"/>
  <c r="J53" i="53"/>
  <c r="J112" i="55"/>
  <c r="J111" s="1"/>
  <c r="J117"/>
  <c r="L20" i="40"/>
  <c r="B60" i="57"/>
  <c r="I37"/>
  <c r="T7" i="26"/>
  <c r="M6" i="40" s="1"/>
  <c r="H12" i="29"/>
  <c r="M5" i="26"/>
  <c r="T5" s="1"/>
  <c r="M5" i="40" s="1"/>
  <c r="I31" i="57"/>
  <c r="B59"/>
  <c r="G6" i="29"/>
  <c r="G11"/>
  <c r="F22" i="30"/>
  <c r="C8" i="41"/>
  <c r="J207" i="55"/>
  <c r="J202"/>
  <c r="J201" s="1"/>
  <c r="I29" i="53"/>
  <c r="I6"/>
  <c r="I5" s="1"/>
  <c r="J11" i="55"/>
  <c r="G18" i="57"/>
  <c r="O78" i="55"/>
  <c r="U148" i="26"/>
  <c r="N15" i="40" s="1"/>
  <c r="I66" i="29"/>
  <c r="I65" s="1"/>
  <c r="I62" i="57"/>
  <c r="K12" i="75"/>
  <c r="J23" i="53"/>
  <c r="J86" i="55"/>
  <c r="H21" i="57"/>
  <c r="H22" s="1"/>
  <c r="I3" i="75" s="1"/>
  <c r="P91" i="55"/>
  <c r="L7"/>
  <c r="H5"/>
  <c r="J36" i="53"/>
  <c r="M15" i="54"/>
  <c r="G5" i="29" l="1"/>
  <c r="N5" s="1"/>
  <c r="N6" s="1"/>
  <c r="G16" i="30"/>
  <c r="H6" i="29"/>
  <c r="H11"/>
  <c r="J35" i="53"/>
  <c r="J99" i="55"/>
  <c r="I42" i="57"/>
  <c r="I43" s="1"/>
  <c r="K8" i="75" s="1"/>
  <c r="Q200" i="55"/>
  <c r="Q110"/>
  <c r="I24" i="57"/>
  <c r="I25" s="1"/>
  <c r="K4" i="75" s="1"/>
  <c r="H18" i="57"/>
  <c r="P78" i="55"/>
  <c r="M20" i="40"/>
  <c r="N15" i="54"/>
  <c r="M85"/>
  <c r="N197" i="26" s="1"/>
  <c r="N196" s="1"/>
  <c r="M73" i="54"/>
  <c r="M76"/>
  <c r="N51" i="26" s="1"/>
  <c r="N50" s="1"/>
  <c r="M5" i="54"/>
  <c r="M80"/>
  <c r="N129" i="26" s="1"/>
  <c r="N110" s="1"/>
  <c r="M83" i="54"/>
  <c r="N169" i="26" s="1"/>
  <c r="N168" s="1"/>
  <c r="M74" i="54"/>
  <c r="N35" i="26" s="1"/>
  <c r="N22" s="1"/>
  <c r="M78" i="54"/>
  <c r="N94" i="26" s="1"/>
  <c r="N81" s="1"/>
  <c r="M75" i="54"/>
  <c r="N48" i="26" s="1"/>
  <c r="N37" s="1"/>
  <c r="M86" i="54"/>
  <c r="N213" i="26" s="1"/>
  <c r="N206" s="1"/>
  <c r="M77" i="54"/>
  <c r="N66" i="26" s="1"/>
  <c r="N65" s="1"/>
  <c r="M87" i="54"/>
  <c r="N219" i="26" s="1"/>
  <c r="N215" s="1"/>
  <c r="M84" i="54"/>
  <c r="N185" i="26" s="1"/>
  <c r="N184" s="1"/>
  <c r="M79" i="54"/>
  <c r="N108" i="26" s="1"/>
  <c r="N96" s="1"/>
  <c r="M81" i="54"/>
  <c r="N146" i="26" s="1"/>
  <c r="N132" s="1"/>
  <c r="I59" i="57"/>
  <c r="K7" i="75"/>
  <c r="I60" i="57"/>
  <c r="K9" i="75"/>
  <c r="J85" i="55"/>
  <c r="J80"/>
  <c r="G19" i="57"/>
  <c r="G6" i="75" s="1"/>
  <c r="G4" i="57"/>
  <c r="C9" i="41"/>
  <c r="C12" s="1"/>
  <c r="C11"/>
  <c r="I48" i="29" l="1"/>
  <c r="I47" s="1"/>
  <c r="U96" i="26"/>
  <c r="N12" i="40" s="1"/>
  <c r="I90" i="29"/>
  <c r="I89" s="1"/>
  <c r="U206" i="26"/>
  <c r="N19" i="40" s="1"/>
  <c r="U168" i="26"/>
  <c r="N16" i="40" s="1"/>
  <c r="I72" i="29"/>
  <c r="I71" s="1"/>
  <c r="N20" i="26"/>
  <c r="N7" s="1"/>
  <c r="M72" i="54"/>
  <c r="J79" i="55"/>
  <c r="U65" i="26"/>
  <c r="N10" i="40" s="1"/>
  <c r="I36" i="29"/>
  <c r="I35" s="1"/>
  <c r="U22" i="26"/>
  <c r="N7" i="40" s="1"/>
  <c r="I18" i="29"/>
  <c r="I17" s="1"/>
  <c r="I30"/>
  <c r="I29" s="1"/>
  <c r="U50" i="26"/>
  <c r="N9" i="40" s="1"/>
  <c r="J33" i="53"/>
  <c r="J9" s="1"/>
  <c r="J30"/>
  <c r="J31"/>
  <c r="J7" s="1"/>
  <c r="J34"/>
  <c r="J10" s="1"/>
  <c r="J32"/>
  <c r="J8" s="1"/>
  <c r="G15" i="30"/>
  <c r="G21"/>
  <c r="I60" i="29"/>
  <c r="I59" s="1"/>
  <c r="U132" i="26"/>
  <c r="N14" i="40" s="1"/>
  <c r="I96" i="29"/>
  <c r="I95" s="1"/>
  <c r="U215" i="26"/>
  <c r="U81"/>
  <c r="N11" i="40" s="1"/>
  <c r="I42" i="29"/>
  <c r="I41" s="1"/>
  <c r="J93" i="55"/>
  <c r="J92" s="1"/>
  <c r="J98"/>
  <c r="H5" i="29"/>
  <c r="O5" s="1"/>
  <c r="O6" s="1"/>
  <c r="H16" i="30"/>
  <c r="U184" i="26"/>
  <c r="N17" i="40" s="1"/>
  <c r="I78" i="29"/>
  <c r="I77" s="1"/>
  <c r="U37" i="26"/>
  <c r="N8" i="40" s="1"/>
  <c r="I24" i="29"/>
  <c r="I23" s="1"/>
  <c r="I54"/>
  <c r="I53" s="1"/>
  <c r="U110" i="26"/>
  <c r="N13" i="40" s="1"/>
  <c r="U196" i="26"/>
  <c r="N18" i="40" s="1"/>
  <c r="I84" i="29"/>
  <c r="I83" s="1"/>
  <c r="H19" i="57"/>
  <c r="I6" i="75" s="1"/>
  <c r="H4" i="57"/>
  <c r="I21" l="1"/>
  <c r="Q91" i="55"/>
  <c r="J29" i="53"/>
  <c r="J6"/>
  <c r="J5" s="1"/>
  <c r="J6" i="55"/>
  <c r="J5" s="1"/>
  <c r="H15" i="30"/>
  <c r="H21"/>
  <c r="I18" i="57"/>
  <c r="Q78" i="55"/>
  <c r="D8" i="41"/>
  <c r="G22" i="30"/>
  <c r="I12" i="29"/>
  <c r="U7" i="26"/>
  <c r="N6" i="40" s="1"/>
  <c r="N5" i="26"/>
  <c r="U5" s="1"/>
  <c r="N5" i="40" s="1"/>
  <c r="N20" s="1"/>
  <c r="N72" i="54"/>
  <c r="D9" i="41" l="1"/>
  <c r="D12" s="1"/>
  <c r="D11"/>
  <c r="K5" i="55"/>
  <c r="L5"/>
  <c r="B58" i="57"/>
  <c r="I22"/>
  <c r="H22" i="30"/>
  <c r="E8" i="41"/>
  <c r="O72" i="54"/>
  <c r="I6" i="29"/>
  <c r="I11"/>
  <c r="I19" i="57"/>
  <c r="K6" i="75" s="1"/>
  <c r="I4" i="57"/>
  <c r="K5" i="53"/>
  <c r="I5" i="29" l="1"/>
  <c r="I16" i="30"/>
  <c r="I58" i="57"/>
  <c r="K3" i="75"/>
  <c r="E11" i="41"/>
  <c r="C21" s="1"/>
  <c r="E21" s="1"/>
  <c r="E9"/>
  <c r="E12" s="1"/>
  <c r="P5" i="29" l="1"/>
  <c r="P6" s="1"/>
  <c r="L5" i="53"/>
  <c r="I15" i="30"/>
  <c r="I21"/>
  <c r="I22" l="1"/>
  <c r="F8" i="41"/>
  <c r="F9" l="1"/>
  <c r="F12" s="1"/>
  <c r="F11"/>
  <c r="C22" s="1"/>
  <c r="E22" s="1"/>
</calcChain>
</file>

<file path=xl/comments1.xml><?xml version="1.0" encoding="utf-8"?>
<comments xmlns="http://schemas.openxmlformats.org/spreadsheetml/2006/main">
  <authors>
    <author>withus</author>
  </authors>
  <commentList>
    <comment ref="AA3" authorId="0">
      <text>
        <r>
          <rPr>
            <b/>
            <sz val="9"/>
            <color indexed="81"/>
            <rFont val="Tahoma"/>
            <family val="2"/>
          </rPr>
          <t>withus:</t>
        </r>
        <r>
          <rPr>
            <sz val="9"/>
            <color indexed="81"/>
            <rFont val="Tahoma"/>
            <family val="2"/>
          </rPr>
          <t xml:space="preserve">
1: </t>
        </r>
        <r>
          <rPr>
            <sz val="9"/>
            <color indexed="81"/>
            <rFont val="돋움"/>
            <family val="3"/>
            <charset val="129"/>
          </rPr>
          <t xml:space="preserve">상월분구-노성급수
0: 상월분구-연산급수
</t>
        </r>
      </text>
    </comment>
  </commentList>
</comments>
</file>

<file path=xl/sharedStrings.xml><?xml version="1.0" encoding="utf-8"?>
<sst xmlns="http://schemas.openxmlformats.org/spreadsheetml/2006/main" count="11128" uniqueCount="2655">
  <si>
    <t>구 분</t>
    <phoneticPr fontId="3" type="noConversion"/>
  </si>
  <si>
    <t>2000년</t>
    <phoneticPr fontId="3" type="noConversion"/>
  </si>
  <si>
    <t>2001년</t>
    <phoneticPr fontId="3" type="noConversion"/>
  </si>
  <si>
    <t>2002년</t>
  </si>
  <si>
    <t>2003년</t>
  </si>
  <si>
    <t>2004년</t>
  </si>
  <si>
    <t>2005년</t>
  </si>
  <si>
    <t>2006년</t>
  </si>
  <si>
    <t>2007년</t>
  </si>
  <si>
    <t>2008년</t>
  </si>
  <si>
    <t>2009년</t>
  </si>
  <si>
    <t>2010년</t>
  </si>
  <si>
    <t>총인구
(인)</t>
    <phoneticPr fontId="3" type="noConversion"/>
  </si>
  <si>
    <t>급수인구
(인)</t>
    <phoneticPr fontId="3" type="noConversion"/>
  </si>
  <si>
    <t>급수량(㎥/년)</t>
    <phoneticPr fontId="3" type="noConversion"/>
  </si>
  <si>
    <t>계</t>
    <phoneticPr fontId="3" type="noConversion"/>
  </si>
  <si>
    <t>유효수량</t>
    <phoneticPr fontId="3" type="noConversion"/>
  </si>
  <si>
    <t>무효수량</t>
    <phoneticPr fontId="3" type="noConversion"/>
  </si>
  <si>
    <t>급수량(㎥/일)</t>
    <phoneticPr fontId="3" type="noConversion"/>
  </si>
  <si>
    <t>보급율</t>
    <phoneticPr fontId="3" type="noConversion"/>
  </si>
  <si>
    <t>1인 1일
급수량
(ℓpcd)</t>
    <phoneticPr fontId="3" type="noConversion"/>
  </si>
  <si>
    <t>1인 1일
사용량
(ℓpcd)</t>
    <phoneticPr fontId="3" type="noConversion"/>
  </si>
  <si>
    <t>소계</t>
    <phoneticPr fontId="3" type="noConversion"/>
  </si>
  <si>
    <t>유수수량</t>
    <phoneticPr fontId="3" type="noConversion"/>
  </si>
  <si>
    <t>유효무수수량</t>
    <phoneticPr fontId="3" type="noConversion"/>
  </si>
  <si>
    <t>조정감액수량</t>
    <phoneticPr fontId="3" type="noConversion"/>
  </si>
  <si>
    <t>누수량</t>
    <phoneticPr fontId="3" type="noConversion"/>
  </si>
  <si>
    <t>유수율</t>
    <phoneticPr fontId="3" type="noConversion"/>
  </si>
  <si>
    <t>무수율</t>
    <phoneticPr fontId="3" type="noConversion"/>
  </si>
  <si>
    <t>누수율</t>
    <phoneticPr fontId="3" type="noConversion"/>
  </si>
  <si>
    <t>비 고</t>
    <phoneticPr fontId="3" type="noConversion"/>
  </si>
  <si>
    <t>◎ 인제군 상수도 급수현황(최근10년)</t>
    <phoneticPr fontId="3" type="noConversion"/>
  </si>
  <si>
    <t>급수사용량(㎥/년)</t>
    <phoneticPr fontId="3" type="noConversion"/>
  </si>
  <si>
    <t>계</t>
    <phoneticPr fontId="3" type="noConversion"/>
  </si>
  <si>
    <t>구 분</t>
    <phoneticPr fontId="3" type="noConversion"/>
  </si>
  <si>
    <t>가정용</t>
    <phoneticPr fontId="3" type="noConversion"/>
  </si>
  <si>
    <t>업무용</t>
    <phoneticPr fontId="3" type="noConversion"/>
  </si>
  <si>
    <t>영업용
(일반용)</t>
    <phoneticPr fontId="3" type="noConversion"/>
  </si>
  <si>
    <t>욕탕1종
(대중탕용)</t>
    <phoneticPr fontId="3" type="noConversion"/>
  </si>
  <si>
    <t>욕탕2종</t>
    <phoneticPr fontId="3" type="noConversion"/>
  </si>
  <si>
    <t>공업용</t>
    <phoneticPr fontId="3" type="noConversion"/>
  </si>
  <si>
    <t>기타</t>
    <phoneticPr fontId="3" type="noConversion"/>
  </si>
  <si>
    <t>급수사용량(㎥/일)</t>
    <phoneticPr fontId="3" type="noConversion"/>
  </si>
  <si>
    <t>비 고</t>
    <phoneticPr fontId="3" type="noConversion"/>
  </si>
  <si>
    <t>1인 1일 사용량
(ℓpcd)</t>
    <phoneticPr fontId="3" type="noConversion"/>
  </si>
  <si>
    <t>영업용</t>
    <phoneticPr fontId="3" type="noConversion"/>
  </si>
  <si>
    <t>가정용</t>
    <phoneticPr fontId="3" type="noConversion"/>
  </si>
  <si>
    <t>군부대</t>
    <phoneticPr fontId="3" type="noConversion"/>
  </si>
  <si>
    <t>인제군
통계연보</t>
    <phoneticPr fontId="3" type="noConversion"/>
  </si>
  <si>
    <t>영업용</t>
    <phoneticPr fontId="3" type="noConversion"/>
  </si>
  <si>
    <t>급수인구</t>
    <phoneticPr fontId="3" type="noConversion"/>
  </si>
  <si>
    <t>계</t>
    <phoneticPr fontId="3" type="noConversion"/>
  </si>
  <si>
    <t>가정용</t>
    <phoneticPr fontId="3" type="noConversion"/>
  </si>
  <si>
    <t>급수사용량(㎥/년)</t>
    <phoneticPr fontId="3" type="noConversion"/>
  </si>
  <si>
    <t>1인 1일 사용량 (ℓpcd)</t>
    <phoneticPr fontId="3" type="noConversion"/>
  </si>
  <si>
    <t>구 분</t>
    <phoneticPr fontId="3" type="noConversion"/>
  </si>
  <si>
    <t>영 업 용</t>
    <phoneticPr fontId="3" type="noConversion"/>
  </si>
  <si>
    <t>구 분</t>
  </si>
  <si>
    <t>금 회 계 획</t>
  </si>
  <si>
    <t>계</t>
  </si>
  <si>
    <t>자연적 증가</t>
  </si>
  <si>
    <t>사회적 증가</t>
  </si>
  <si>
    <t>군부대 증가</t>
  </si>
  <si>
    <t>-</t>
  </si>
  <si>
    <t>인제읍</t>
  </si>
  <si>
    <t>남면</t>
  </si>
  <si>
    <t>북면</t>
  </si>
  <si>
    <t>기린면</t>
  </si>
  <si>
    <t>서화면</t>
  </si>
  <si>
    <t>상남면</t>
  </si>
  <si>
    <t>원단위</t>
  </si>
  <si>
    <t>일평균</t>
  </si>
  <si>
    <t>일최대</t>
  </si>
  <si>
    <t>비 고</t>
  </si>
  <si>
    <t>비 고</t>
    <phoneticPr fontId="3" type="noConversion"/>
  </si>
  <si>
    <t>일평균</t>
    <phoneticPr fontId="3" type="noConversion"/>
  </si>
  <si>
    <t>일최대</t>
    <phoneticPr fontId="3" type="noConversion"/>
  </si>
  <si>
    <t>계획급수량</t>
    <phoneticPr fontId="3" type="noConversion"/>
  </si>
  <si>
    <t>공업용수</t>
    <phoneticPr fontId="3" type="noConversion"/>
  </si>
  <si>
    <t>기타용수</t>
    <phoneticPr fontId="3" type="noConversion"/>
  </si>
  <si>
    <t>관광용수</t>
    <phoneticPr fontId="3" type="noConversion"/>
  </si>
  <si>
    <t>군대용수</t>
    <phoneticPr fontId="3" type="noConversion"/>
  </si>
  <si>
    <t>계(일최대)</t>
    <phoneticPr fontId="3" type="noConversion"/>
  </si>
  <si>
    <t>구 분</t>
    <phoneticPr fontId="3" type="noConversion"/>
  </si>
  <si>
    <t>비 고</t>
    <phoneticPr fontId="3" type="noConversion"/>
  </si>
  <si>
    <t>생활용수</t>
    <phoneticPr fontId="3" type="noConversion"/>
  </si>
  <si>
    <t>계획인구
(인)</t>
    <phoneticPr fontId="3" type="noConversion"/>
  </si>
  <si>
    <t>급수보급율</t>
    <phoneticPr fontId="3" type="noConversion"/>
  </si>
  <si>
    <t>급수인구</t>
    <phoneticPr fontId="3" type="noConversion"/>
  </si>
  <si>
    <t>인제읍, 북면</t>
    <phoneticPr fontId="3" type="noConversion"/>
  </si>
  <si>
    <t>남면 외</t>
    <phoneticPr fontId="3" type="noConversion"/>
  </si>
  <si>
    <t>유수율</t>
    <phoneticPr fontId="3" type="noConversion"/>
  </si>
  <si>
    <t>사용량
원단위</t>
    <phoneticPr fontId="3" type="noConversion"/>
  </si>
  <si>
    <t>급수량
원단위</t>
    <phoneticPr fontId="3" type="noConversion"/>
  </si>
  <si>
    <t>첨두부하율</t>
    <phoneticPr fontId="3" type="noConversion"/>
  </si>
  <si>
    <t>일최대
급수량
원단위</t>
    <phoneticPr fontId="3" type="noConversion"/>
  </si>
  <si>
    <t>생활용수</t>
    <phoneticPr fontId="3" type="noConversion"/>
  </si>
  <si>
    <t>계획인구
(인)</t>
    <phoneticPr fontId="3" type="noConversion"/>
  </si>
  <si>
    <t>사용량
원단위</t>
    <phoneticPr fontId="3" type="noConversion"/>
  </si>
  <si>
    <t>인제읍, 북면</t>
    <phoneticPr fontId="3" type="noConversion"/>
  </si>
  <si>
    <t>급수보급율</t>
    <phoneticPr fontId="3" type="noConversion"/>
  </si>
  <si>
    <t>남면 외</t>
    <phoneticPr fontId="3" type="noConversion"/>
  </si>
  <si>
    <t>급수인구</t>
    <phoneticPr fontId="3" type="noConversion"/>
  </si>
  <si>
    <t>첨두부하율</t>
    <phoneticPr fontId="3" type="noConversion"/>
  </si>
  <si>
    <t>일평균</t>
    <phoneticPr fontId="3" type="noConversion"/>
  </si>
  <si>
    <t>일최대</t>
    <phoneticPr fontId="3" type="noConversion"/>
  </si>
  <si>
    <t>계획급수량</t>
    <phoneticPr fontId="3" type="noConversion"/>
  </si>
  <si>
    <t>공업용수</t>
    <phoneticPr fontId="3" type="noConversion"/>
  </si>
  <si>
    <t>기타용수</t>
    <phoneticPr fontId="3" type="noConversion"/>
  </si>
  <si>
    <t>관광용수</t>
    <phoneticPr fontId="3" type="noConversion"/>
  </si>
  <si>
    <t>군대용수</t>
    <phoneticPr fontId="3" type="noConversion"/>
  </si>
  <si>
    <t>계(일최대)</t>
    <phoneticPr fontId="3" type="noConversion"/>
  </si>
  <si>
    <t>사용량 원단위</t>
    <phoneticPr fontId="3" type="noConversion"/>
  </si>
  <si>
    <t>급수량 원단위</t>
    <phoneticPr fontId="3" type="noConversion"/>
  </si>
  <si>
    <t>2015년</t>
    <phoneticPr fontId="3" type="noConversion"/>
  </si>
  <si>
    <t>2020년</t>
    <phoneticPr fontId="3" type="noConversion"/>
  </si>
  <si>
    <t>2025년</t>
    <phoneticPr fontId="3" type="noConversion"/>
  </si>
  <si>
    <t>2030년</t>
    <phoneticPr fontId="3" type="noConversion"/>
  </si>
  <si>
    <t>일최대 급수량 원단위</t>
    <phoneticPr fontId="3" type="noConversion"/>
  </si>
  <si>
    <t>2015년</t>
    <phoneticPr fontId="3" type="noConversion"/>
  </si>
  <si>
    <t>2020년</t>
    <phoneticPr fontId="3" type="noConversion"/>
  </si>
  <si>
    <t>2025년</t>
    <phoneticPr fontId="3" type="noConversion"/>
  </si>
  <si>
    <t>2030년</t>
    <phoneticPr fontId="3" type="noConversion"/>
  </si>
  <si>
    <t>일평균 공업용수량</t>
  </si>
  <si>
    <t>용수량</t>
  </si>
  <si>
    <t>일평균 공업용수량</t>
    <phoneticPr fontId="3" type="noConversion"/>
  </si>
  <si>
    <t>분담율</t>
  </si>
  <si>
    <t>비고</t>
  </si>
  <si>
    <t>합 계</t>
  </si>
  <si>
    <t>숙박객</t>
  </si>
  <si>
    <t>일귀객</t>
  </si>
  <si>
    <t>남 면</t>
  </si>
  <si>
    <t>북 면</t>
  </si>
  <si>
    <t>북 면
(용대리)</t>
    <phoneticPr fontId="3" type="noConversion"/>
  </si>
  <si>
    <t>가정용수 원단위</t>
    <phoneticPr fontId="3" type="noConversion"/>
  </si>
  <si>
    <t>관광용수
원단위</t>
    <phoneticPr fontId="3" type="noConversion"/>
  </si>
  <si>
    <t>숙박객</t>
    <phoneticPr fontId="3" type="noConversion"/>
  </si>
  <si>
    <t>일귀객</t>
    <phoneticPr fontId="3" type="noConversion"/>
  </si>
  <si>
    <t>◎ 읍ㆍ면별</t>
    <phoneticPr fontId="3" type="noConversion"/>
  </si>
  <si>
    <t>가정용수
원단위</t>
    <phoneticPr fontId="3" type="noConversion"/>
  </si>
  <si>
    <t>관광용수
원단위
(인제읍, 북면)</t>
    <phoneticPr fontId="3" type="noConversion"/>
  </si>
  <si>
    <t>관광용수
원단위
(남면 외)</t>
    <phoneticPr fontId="3" type="noConversion"/>
  </si>
  <si>
    <t>◎ 용도별</t>
    <phoneticPr fontId="3" type="noConversion"/>
  </si>
  <si>
    <t>-</t>
    <phoneticPr fontId="3" type="noConversion"/>
  </si>
  <si>
    <t>◎ 읍ㆍ면별 숙박객</t>
    <phoneticPr fontId="3" type="noConversion"/>
  </si>
  <si>
    <t>◎ 용도별 숙박객</t>
    <phoneticPr fontId="3" type="noConversion"/>
  </si>
  <si>
    <t>◎ 전체 소비량</t>
    <phoneticPr fontId="3" type="noConversion"/>
  </si>
  <si>
    <t>◎ 전체 소비량 숙박객</t>
    <phoneticPr fontId="3" type="noConversion"/>
  </si>
  <si>
    <t>◎ 용도별 일귀객</t>
    <phoneticPr fontId="3" type="noConversion"/>
  </si>
  <si>
    <t>◎ 전체 소비량 일귀객</t>
    <phoneticPr fontId="3" type="noConversion"/>
  </si>
  <si>
    <t>일귀객</t>
    <phoneticPr fontId="3" type="noConversion"/>
  </si>
  <si>
    <t>◎ 읍ㆍ면별 일귀객</t>
    <phoneticPr fontId="3" type="noConversion"/>
  </si>
  <si>
    <t>숙박객</t>
    <phoneticPr fontId="3" type="noConversion"/>
  </si>
  <si>
    <t>계</t>
    <phoneticPr fontId="3" type="noConversion"/>
  </si>
  <si>
    <t>인제군</t>
  </si>
  <si>
    <t>북면(용대리)</t>
  </si>
  <si>
    <t>군부대인구</t>
  </si>
  <si>
    <t>급 수 율</t>
  </si>
  <si>
    <t>급수 군부대인구</t>
  </si>
  <si>
    <t>◎ 인제군 전체</t>
    <phoneticPr fontId="3" type="noConversion"/>
  </si>
  <si>
    <t>2015년</t>
    <phoneticPr fontId="3" type="noConversion"/>
  </si>
  <si>
    <t>2020년</t>
    <phoneticPr fontId="3" type="noConversion"/>
  </si>
  <si>
    <t>2025년</t>
    <phoneticPr fontId="3" type="noConversion"/>
  </si>
  <si>
    <t>2030년</t>
    <phoneticPr fontId="3" type="noConversion"/>
  </si>
  <si>
    <t>◎ 인제읍</t>
    <phoneticPr fontId="3" type="noConversion"/>
  </si>
  <si>
    <t>급수량 원단위
(ℓpcd)</t>
    <phoneticPr fontId="3" type="noConversion"/>
  </si>
  <si>
    <t>급수량
(㎥/일)</t>
    <phoneticPr fontId="3" type="noConversion"/>
  </si>
  <si>
    <t>◎ 남면</t>
    <phoneticPr fontId="3" type="noConversion"/>
  </si>
  <si>
    <t>◎ 북면</t>
    <phoneticPr fontId="3" type="noConversion"/>
  </si>
  <si>
    <t>◎ 북면(용대리)</t>
    <phoneticPr fontId="3" type="noConversion"/>
  </si>
  <si>
    <t>◎ 기린면</t>
    <phoneticPr fontId="3" type="noConversion"/>
  </si>
  <si>
    <t>◎ 서화면</t>
    <phoneticPr fontId="3" type="noConversion"/>
  </si>
  <si>
    <t>◎ 상남면</t>
    <phoneticPr fontId="3" type="noConversion"/>
  </si>
  <si>
    <t>실 사용량</t>
    <phoneticPr fontId="3" type="noConversion"/>
  </si>
  <si>
    <t>5년평균</t>
    <phoneticPr fontId="3" type="noConversion"/>
  </si>
  <si>
    <t>구 분</t>
    <phoneticPr fontId="3" type="noConversion"/>
  </si>
  <si>
    <t>유수율</t>
    <phoneticPr fontId="3" type="noConversion"/>
  </si>
  <si>
    <t>급수량 원단위</t>
    <phoneticPr fontId="3" type="noConversion"/>
  </si>
  <si>
    <t>-</t>
    <phoneticPr fontId="3" type="noConversion"/>
  </si>
  <si>
    <t>급수량
원단위</t>
    <phoneticPr fontId="3" type="noConversion"/>
  </si>
  <si>
    <t>기린면</t>
    <phoneticPr fontId="3" type="noConversion"/>
  </si>
  <si>
    <t>인제군</t>
    <phoneticPr fontId="3" type="noConversion"/>
  </si>
  <si>
    <t>인제읍</t>
    <phoneticPr fontId="3" type="noConversion"/>
  </si>
  <si>
    <t>남면</t>
    <phoneticPr fontId="3" type="noConversion"/>
  </si>
  <si>
    <t>북면</t>
    <phoneticPr fontId="3" type="noConversion"/>
  </si>
  <si>
    <t>북면(용대리)</t>
    <phoneticPr fontId="3" type="noConversion"/>
  </si>
  <si>
    <t>서화면</t>
    <phoneticPr fontId="3" type="noConversion"/>
  </si>
  <si>
    <t>상남면</t>
    <phoneticPr fontId="3" type="noConversion"/>
  </si>
  <si>
    <t>계획인구</t>
    <phoneticPr fontId="3" type="noConversion"/>
  </si>
  <si>
    <t>일최대 급수원단위</t>
    <phoneticPr fontId="3" type="noConversion"/>
  </si>
  <si>
    <t>일최대 급수량</t>
    <phoneticPr fontId="3" type="noConversion"/>
  </si>
  <si>
    <t>비 고</t>
    <phoneticPr fontId="3" type="noConversion"/>
  </si>
  <si>
    <t>◎ 인제군 전체</t>
    <phoneticPr fontId="3" type="noConversion"/>
  </si>
  <si>
    <t>2015년</t>
    <phoneticPr fontId="3" type="noConversion"/>
  </si>
  <si>
    <t>2020년</t>
    <phoneticPr fontId="3" type="noConversion"/>
  </si>
  <si>
    <t>2025년</t>
    <phoneticPr fontId="3" type="noConversion"/>
  </si>
  <si>
    <t>2030년</t>
    <phoneticPr fontId="3" type="noConversion"/>
  </si>
  <si>
    <t>구 분</t>
    <phoneticPr fontId="3" type="noConversion"/>
  </si>
  <si>
    <t>5년평균</t>
    <phoneticPr fontId="3" type="noConversion"/>
  </si>
  <si>
    <t>실 사용량</t>
    <phoneticPr fontId="3" type="noConversion"/>
  </si>
  <si>
    <t>유수율</t>
    <phoneticPr fontId="3" type="noConversion"/>
  </si>
  <si>
    <t>급수량 원단위</t>
    <phoneticPr fontId="3" type="noConversion"/>
  </si>
  <si>
    <t>◎ 인제읍</t>
    <phoneticPr fontId="3" type="noConversion"/>
  </si>
  <si>
    <t>급수량 원단위
(ℓpcd)</t>
    <phoneticPr fontId="3" type="noConversion"/>
  </si>
  <si>
    <t>급수량
(㎥/일)</t>
    <phoneticPr fontId="3" type="noConversion"/>
  </si>
  <si>
    <t>◎ 남면</t>
    <phoneticPr fontId="3" type="noConversion"/>
  </si>
  <si>
    <t>◎ 북면</t>
    <phoneticPr fontId="3" type="noConversion"/>
  </si>
  <si>
    <t>◎ 북면(용대리)</t>
    <phoneticPr fontId="3" type="noConversion"/>
  </si>
  <si>
    <t>◎ 기린면</t>
    <phoneticPr fontId="3" type="noConversion"/>
  </si>
  <si>
    <t>◎ 서화면</t>
    <phoneticPr fontId="3" type="noConversion"/>
  </si>
  <si>
    <t>◎ 상남면</t>
    <phoneticPr fontId="3" type="noConversion"/>
  </si>
  <si>
    <t>구 분</t>
    <phoneticPr fontId="3" type="noConversion"/>
  </si>
  <si>
    <t>비 고</t>
    <phoneticPr fontId="3" type="noConversion"/>
  </si>
  <si>
    <t>급수인구</t>
    <phoneticPr fontId="3" type="noConversion"/>
  </si>
  <si>
    <t>계획인구</t>
    <phoneticPr fontId="3" type="noConversion"/>
  </si>
  <si>
    <t>일최대 급수원단위</t>
    <phoneticPr fontId="3" type="noConversion"/>
  </si>
  <si>
    <t>일최대 급수량</t>
    <phoneticPr fontId="3" type="noConversion"/>
  </si>
  <si>
    <t>계</t>
    <phoneticPr fontId="3" type="noConversion"/>
  </si>
  <si>
    <t>구 분</t>
    <phoneticPr fontId="3" type="noConversion"/>
  </si>
  <si>
    <t>비 고</t>
    <phoneticPr fontId="3" type="noConversion"/>
  </si>
  <si>
    <t>2015년</t>
    <phoneticPr fontId="3" type="noConversion"/>
  </si>
  <si>
    <t>2020년</t>
    <phoneticPr fontId="3" type="noConversion"/>
  </si>
  <si>
    <t>2025년</t>
    <phoneticPr fontId="3" type="noConversion"/>
  </si>
  <si>
    <t>2030년</t>
    <phoneticPr fontId="3" type="noConversion"/>
  </si>
  <si>
    <t>생활용수</t>
    <phoneticPr fontId="3" type="noConversion"/>
  </si>
  <si>
    <t>계획인구
(인)</t>
    <phoneticPr fontId="3" type="noConversion"/>
  </si>
  <si>
    <t>-</t>
    <phoneticPr fontId="3" type="noConversion"/>
  </si>
  <si>
    <t>급수보급율</t>
    <phoneticPr fontId="3" type="noConversion"/>
  </si>
  <si>
    <t>사용량 원단위</t>
    <phoneticPr fontId="3" type="noConversion"/>
  </si>
  <si>
    <t>유수율</t>
    <phoneticPr fontId="3" type="noConversion"/>
  </si>
  <si>
    <t>급수량 원단위</t>
    <phoneticPr fontId="3" type="noConversion"/>
  </si>
  <si>
    <t>급수인구</t>
    <phoneticPr fontId="3" type="noConversion"/>
  </si>
  <si>
    <t>첨두부하율</t>
    <phoneticPr fontId="3" type="noConversion"/>
  </si>
  <si>
    <t>일최대 급수량 원단위</t>
    <phoneticPr fontId="3" type="noConversion"/>
  </si>
  <si>
    <t>급수량
원단위</t>
    <phoneticPr fontId="3" type="noConversion"/>
  </si>
  <si>
    <t>일평균</t>
    <phoneticPr fontId="3" type="noConversion"/>
  </si>
  <si>
    <t>일최대</t>
    <phoneticPr fontId="3" type="noConversion"/>
  </si>
  <si>
    <t>계획급수량</t>
    <phoneticPr fontId="3" type="noConversion"/>
  </si>
  <si>
    <t>공업용수</t>
    <phoneticPr fontId="3" type="noConversion"/>
  </si>
  <si>
    <t>기타용수</t>
    <phoneticPr fontId="3" type="noConversion"/>
  </si>
  <si>
    <t>관광용수</t>
    <phoneticPr fontId="3" type="noConversion"/>
  </si>
  <si>
    <t>군대용수</t>
    <phoneticPr fontId="3" type="noConversion"/>
  </si>
  <si>
    <t>계(일최대)</t>
    <phoneticPr fontId="3" type="noConversion"/>
  </si>
  <si>
    <t>초안</t>
    <phoneticPr fontId="3" type="noConversion"/>
  </si>
  <si>
    <t>수정안</t>
    <phoneticPr fontId="3" type="noConversion"/>
  </si>
  <si>
    <t>증감</t>
    <phoneticPr fontId="3" type="noConversion"/>
  </si>
  <si>
    <t>계</t>
    <phoneticPr fontId="3" type="noConversion"/>
  </si>
  <si>
    <t>계 획 인 구
(인)</t>
    <phoneticPr fontId="3" type="noConversion"/>
  </si>
  <si>
    <t>원단위
(㎥/천㎡․일)</t>
    <phoneticPr fontId="3" type="noConversion"/>
  </si>
  <si>
    <t>용수량
(㎥/일)</t>
    <phoneticPr fontId="3" type="noConversion"/>
  </si>
  <si>
    <t>2015년</t>
    <phoneticPr fontId="3" type="noConversion"/>
  </si>
  <si>
    <t>2020년</t>
    <phoneticPr fontId="3" type="noConversion"/>
  </si>
  <si>
    <t>2025년</t>
    <phoneticPr fontId="3" type="noConversion"/>
  </si>
  <si>
    <t>2030년</t>
    <phoneticPr fontId="3" type="noConversion"/>
  </si>
  <si>
    <t>급수량
원단위</t>
    <phoneticPr fontId="3" type="noConversion"/>
  </si>
  <si>
    <t>일평균 급수원단위</t>
    <phoneticPr fontId="3" type="noConversion"/>
  </si>
  <si>
    <t>일평균 급수량</t>
    <phoneticPr fontId="3" type="noConversion"/>
  </si>
  <si>
    <t>당 초 계 획</t>
    <phoneticPr fontId="3" type="noConversion"/>
  </si>
  <si>
    <t>생활용수</t>
  </si>
  <si>
    <t>공업용수</t>
  </si>
  <si>
    <t>관광용수</t>
  </si>
  <si>
    <t>군대용수</t>
  </si>
  <si>
    <t>금 회 계 획</t>
    <phoneticPr fontId="3" type="noConversion"/>
  </si>
  <si>
    <t>◎ 읍ㆍ면별 숙박객</t>
    <phoneticPr fontId="3" type="noConversion"/>
  </si>
  <si>
    <t>◎ 읍ㆍ면별 일귀객</t>
    <phoneticPr fontId="3" type="noConversion"/>
  </si>
  <si>
    <t>◎ 읍ㆍ면별 관광용수</t>
    <phoneticPr fontId="3" type="noConversion"/>
  </si>
  <si>
    <t>1계절형</t>
    <phoneticPr fontId="3" type="noConversion"/>
  </si>
  <si>
    <t>2계절형</t>
    <phoneticPr fontId="3" type="noConversion"/>
  </si>
  <si>
    <t>3계절형</t>
    <phoneticPr fontId="3" type="noConversion"/>
  </si>
  <si>
    <t>4계절형</t>
    <phoneticPr fontId="3" type="noConversion"/>
  </si>
  <si>
    <t>전국계획</t>
    <phoneticPr fontId="3" type="noConversion"/>
  </si>
  <si>
    <t>1/8</t>
    <phoneticPr fontId="3" type="noConversion"/>
  </si>
  <si>
    <t>1/15</t>
    <phoneticPr fontId="3" type="noConversion"/>
  </si>
  <si>
    <t>1/30</t>
    <phoneticPr fontId="3" type="noConversion"/>
  </si>
  <si>
    <t>1/50</t>
    <phoneticPr fontId="3" type="noConversion"/>
  </si>
  <si>
    <t>체제시간</t>
    <phoneticPr fontId="3" type="noConversion"/>
  </si>
  <si>
    <t>회전율</t>
    <phoneticPr fontId="3" type="noConversion"/>
  </si>
  <si>
    <t>1시간</t>
    <phoneticPr fontId="3" type="noConversion"/>
  </si>
  <si>
    <t>2시간</t>
    <phoneticPr fontId="3" type="noConversion"/>
  </si>
  <si>
    <t>3시간</t>
  </si>
  <si>
    <t>4시간</t>
  </si>
  <si>
    <t>5시간</t>
  </si>
  <si>
    <t>6시간</t>
  </si>
  <si>
    <t>7시간</t>
  </si>
  <si>
    <t>8시간</t>
  </si>
  <si>
    <t>1/4</t>
    <phoneticPr fontId="3" type="noConversion"/>
  </si>
  <si>
    <t>1/2.5</t>
    <phoneticPr fontId="3" type="noConversion"/>
  </si>
  <si>
    <t>1/2</t>
    <phoneticPr fontId="3" type="noConversion"/>
  </si>
  <si>
    <t>1/1.7</t>
    <phoneticPr fontId="3" type="noConversion"/>
  </si>
  <si>
    <t>1/1.5</t>
    <phoneticPr fontId="3" type="noConversion"/>
  </si>
  <si>
    <t>1/1.4</t>
    <phoneticPr fontId="3" type="noConversion"/>
  </si>
  <si>
    <t>1/1.3</t>
    <phoneticPr fontId="3" type="noConversion"/>
  </si>
  <si>
    <t>1/1.2</t>
    <phoneticPr fontId="3" type="noConversion"/>
  </si>
  <si>
    <t>면적</t>
    <phoneticPr fontId="3" type="noConversion"/>
  </si>
  <si>
    <t>이용가능
면적율(%)</t>
    <phoneticPr fontId="3" type="noConversion"/>
  </si>
  <si>
    <t>원단위</t>
    <phoneticPr fontId="3" type="noConversion"/>
  </si>
  <si>
    <t>시설중복
이용율</t>
    <phoneticPr fontId="3" type="noConversion"/>
  </si>
  <si>
    <t>일최대
이용인구</t>
    <phoneticPr fontId="3" type="noConversion"/>
  </si>
  <si>
    <t>한석산</t>
    <phoneticPr fontId="3" type="noConversion"/>
  </si>
  <si>
    <t>오토</t>
    <phoneticPr fontId="3" type="noConversion"/>
  </si>
  <si>
    <t>내설악</t>
    <phoneticPr fontId="3" type="noConversion"/>
  </si>
  <si>
    <t>최대일율</t>
    <phoneticPr fontId="3" type="noConversion"/>
  </si>
  <si>
    <t>계</t>
    <phoneticPr fontId="3" type="noConversion"/>
  </si>
  <si>
    <t>※ 최대일율</t>
    <phoneticPr fontId="3" type="noConversion"/>
  </si>
  <si>
    <t>※ 회전율</t>
    <phoneticPr fontId="3" type="noConversion"/>
  </si>
  <si>
    <t>1계절형</t>
    <phoneticPr fontId="3" type="noConversion"/>
  </si>
  <si>
    <t>병력</t>
    <phoneticPr fontId="3" type="noConversion"/>
  </si>
  <si>
    <t>일반</t>
    <phoneticPr fontId="3" type="noConversion"/>
  </si>
  <si>
    <t>장교</t>
    <phoneticPr fontId="3" type="noConversion"/>
  </si>
  <si>
    <t>산출병력</t>
    <phoneticPr fontId="3" type="noConversion"/>
  </si>
  <si>
    <t>백분율</t>
    <phoneticPr fontId="3" type="noConversion"/>
  </si>
  <si>
    <t>비고</t>
    <phoneticPr fontId="3" type="noConversion"/>
  </si>
  <si>
    <t>영외거주인구</t>
    <phoneticPr fontId="3" type="noConversion"/>
  </si>
  <si>
    <t>주민등록
여부구분</t>
    <phoneticPr fontId="3" type="noConversion"/>
  </si>
  <si>
    <t>등록자</t>
    <phoneticPr fontId="3" type="noConversion"/>
  </si>
  <si>
    <t>미등록자</t>
    <phoneticPr fontId="3" type="noConversion"/>
  </si>
  <si>
    <t>결혼여부</t>
    <phoneticPr fontId="3" type="noConversion"/>
  </si>
  <si>
    <t>미혼</t>
    <phoneticPr fontId="3" type="noConversion"/>
  </si>
  <si>
    <t>기혼</t>
    <phoneticPr fontId="3" type="noConversion"/>
  </si>
  <si>
    <t>기혼자 부양가족</t>
    <phoneticPr fontId="3" type="noConversion"/>
  </si>
  <si>
    <t>세대3인</t>
    <phoneticPr fontId="3" type="noConversion"/>
  </si>
  <si>
    <t>군인 유입인구</t>
    <phoneticPr fontId="3" type="noConversion"/>
  </si>
  <si>
    <t>1. 원통농공단지</t>
    <phoneticPr fontId="3" type="noConversion"/>
  </si>
  <si>
    <t>구 분</t>
    <phoneticPr fontId="3" type="noConversion"/>
  </si>
  <si>
    <t>종업원수(A)</t>
    <phoneticPr fontId="3" type="noConversion"/>
  </si>
  <si>
    <t>인제군 거주 종업원수(B)</t>
    <phoneticPr fontId="3" type="noConversion"/>
  </si>
  <si>
    <t>계획인구 적용</t>
    <phoneticPr fontId="3" type="noConversion"/>
  </si>
  <si>
    <t>2015년</t>
    <phoneticPr fontId="3" type="noConversion"/>
  </si>
  <si>
    <t>비 고</t>
    <phoneticPr fontId="3" type="noConversion"/>
  </si>
  <si>
    <t>2020년</t>
    <phoneticPr fontId="3" type="noConversion"/>
  </si>
  <si>
    <t>2025년</t>
    <phoneticPr fontId="3" type="noConversion"/>
  </si>
  <si>
    <t>2030년</t>
    <phoneticPr fontId="3" type="noConversion"/>
  </si>
  <si>
    <t>입주율</t>
    <phoneticPr fontId="3" type="noConversion"/>
  </si>
  <si>
    <t>계획인구</t>
  </si>
  <si>
    <t>개발계획인구</t>
    <phoneticPr fontId="3" type="noConversion"/>
  </si>
  <si>
    <t>기혼률 : B의67%
동반가족수 : 1.4인</t>
    <phoneticPr fontId="3" type="noConversion"/>
  </si>
  <si>
    <t>동반가족수(C)</t>
    <phoneticPr fontId="3" type="noConversion"/>
  </si>
  <si>
    <t>(B)+(C)</t>
    <phoneticPr fontId="3" type="noConversion"/>
  </si>
  <si>
    <t>2. 한석산 개발게획</t>
    <phoneticPr fontId="3" type="noConversion"/>
  </si>
  <si>
    <t>3. 인제 오토테마파크 개발게획</t>
    <phoneticPr fontId="3" type="noConversion"/>
  </si>
  <si>
    <t>4. 내설악 용대관광지 개발게획</t>
    <phoneticPr fontId="3" type="noConversion"/>
  </si>
  <si>
    <t>위 치</t>
  </si>
  <si>
    <t>개발계획명</t>
  </si>
  <si>
    <t>목표년도</t>
  </si>
  <si>
    <t>세대수</t>
  </si>
  <si>
    <t>제2037부대 관사</t>
  </si>
  <si>
    <t>2012년</t>
  </si>
  <si>
    <t>3.0인/세대</t>
  </si>
  <si>
    <t>과학화전투훈련단</t>
  </si>
  <si>
    <t>2014년</t>
  </si>
  <si>
    <t>독신자숙소</t>
  </si>
  <si>
    <t>제1862부대 관사</t>
  </si>
  <si>
    <t>제3723부대 관사</t>
  </si>
  <si>
    <t>세륭스카이빌</t>
  </si>
  <si>
    <t>군부대 관사</t>
  </si>
  <si>
    <t>계획인구 적용</t>
    <phoneticPr fontId="3" type="noConversion"/>
  </si>
  <si>
    <t>(B)+(C)</t>
    <phoneticPr fontId="3" type="noConversion"/>
  </si>
  <si>
    <t>5. 군부대 관사</t>
    <phoneticPr fontId="3" type="noConversion"/>
  </si>
  <si>
    <t>10-11년관사 및 
병영시설 BTL사업</t>
    <phoneticPr fontId="3" type="noConversion"/>
  </si>
  <si>
    <t>2014년</t>
    <phoneticPr fontId="3" type="noConversion"/>
  </si>
  <si>
    <t>군부대관사</t>
  </si>
  <si>
    <t>관광개발</t>
  </si>
  <si>
    <t>소 계</t>
  </si>
  <si>
    <t>원통농공단지</t>
  </si>
  <si>
    <t>구 분</t>
    <phoneticPr fontId="3" type="noConversion"/>
  </si>
  <si>
    <t>2015년</t>
    <phoneticPr fontId="3" type="noConversion"/>
  </si>
  <si>
    <t>2020년</t>
    <phoneticPr fontId="3" type="noConversion"/>
  </si>
  <si>
    <t>2025년</t>
    <phoneticPr fontId="3" type="noConversion"/>
  </si>
  <si>
    <t>2030년</t>
    <phoneticPr fontId="3" type="noConversion"/>
  </si>
  <si>
    <t>비 고</t>
    <phoneticPr fontId="3" type="noConversion"/>
  </si>
  <si>
    <t>북 면(용대리)</t>
    <phoneticPr fontId="3" type="noConversion"/>
  </si>
  <si>
    <t>6. 개발계획에 따른 유입인구</t>
    <phoneticPr fontId="3" type="noConversion"/>
  </si>
  <si>
    <t>◎ 군부대 유입인구 산정</t>
    <phoneticPr fontId="3" type="noConversion"/>
  </si>
  <si>
    <t>급수량
원단위</t>
    <phoneticPr fontId="3" type="noConversion"/>
  </si>
  <si>
    <t>일최대
급수량
원단위</t>
    <phoneticPr fontId="3" type="noConversion"/>
  </si>
  <si>
    <t>목표년도</t>
    <phoneticPr fontId="3" type="noConversion"/>
  </si>
  <si>
    <t>급수현황 및 행정구역 면적</t>
    <phoneticPr fontId="3" type="noConversion"/>
  </si>
  <si>
    <t>초안보고서</t>
    <phoneticPr fontId="3" type="noConversion"/>
  </si>
  <si>
    <t>기준년도</t>
    <phoneticPr fontId="3" type="noConversion"/>
  </si>
  <si>
    <t>1단계</t>
    <phoneticPr fontId="3" type="noConversion"/>
  </si>
  <si>
    <t>2단계</t>
    <phoneticPr fontId="3" type="noConversion"/>
  </si>
  <si>
    <t>3단계</t>
    <phoneticPr fontId="3" type="noConversion"/>
  </si>
  <si>
    <t>4단계</t>
    <phoneticPr fontId="3" type="noConversion"/>
  </si>
  <si>
    <t>2009년</t>
    <phoneticPr fontId="3" type="noConversion"/>
  </si>
  <si>
    <t>보완계획</t>
    <phoneticPr fontId="3" type="noConversion"/>
  </si>
  <si>
    <t>인구</t>
    <phoneticPr fontId="3" type="noConversion"/>
  </si>
  <si>
    <t>계획인구</t>
    <phoneticPr fontId="3" type="noConversion"/>
  </si>
  <si>
    <t>보급률(%)</t>
    <phoneticPr fontId="3" type="noConversion"/>
  </si>
  <si>
    <t>2010년</t>
    <phoneticPr fontId="3" type="noConversion"/>
  </si>
  <si>
    <t>읍제읍, 북면</t>
    <phoneticPr fontId="3" type="noConversion"/>
  </si>
  <si>
    <t>유수율(%)</t>
    <phoneticPr fontId="3" type="noConversion"/>
  </si>
  <si>
    <t>급수량
원단위
(Lpcd)</t>
    <phoneticPr fontId="3" type="noConversion"/>
  </si>
  <si>
    <t>인제군</t>
    <phoneticPr fontId="3" type="noConversion"/>
  </si>
  <si>
    <t>-</t>
    <phoneticPr fontId="3" type="noConversion"/>
  </si>
  <si>
    <t>합 계</t>
    <phoneticPr fontId="3" type="noConversion"/>
  </si>
  <si>
    <t>생활용수</t>
    <phoneticPr fontId="3" type="noConversion"/>
  </si>
  <si>
    <t>공업용수</t>
    <phoneticPr fontId="3" type="noConversion"/>
  </si>
  <si>
    <t>합 계</t>
    <phoneticPr fontId="3" type="noConversion"/>
  </si>
  <si>
    <t>덕산</t>
    <phoneticPr fontId="3" type="noConversion"/>
  </si>
  <si>
    <t>부평</t>
    <phoneticPr fontId="3" type="noConversion"/>
  </si>
  <si>
    <t>용대</t>
    <phoneticPr fontId="3" type="noConversion"/>
  </si>
  <si>
    <t>현리</t>
    <phoneticPr fontId="3" type="noConversion"/>
  </si>
  <si>
    <t>천도</t>
    <phoneticPr fontId="3" type="noConversion"/>
  </si>
  <si>
    <t>서화(공사중)</t>
    <phoneticPr fontId="3" type="noConversion"/>
  </si>
  <si>
    <t>상남</t>
    <phoneticPr fontId="3" type="noConversion"/>
  </si>
  <si>
    <t>정수장
시설용량
(㎥/일)</t>
    <phoneticPr fontId="3" type="noConversion"/>
  </si>
  <si>
    <t>(2000)</t>
    <phoneticPr fontId="3" type="noConversion"/>
  </si>
  <si>
    <t>계획
일최대
수요량
(㎥/일)</t>
    <phoneticPr fontId="3" type="noConversion"/>
  </si>
  <si>
    <t>◎ 자연적 인구</t>
    <phoneticPr fontId="3" type="noConversion"/>
  </si>
  <si>
    <t>◎ 사회적 인구</t>
    <phoneticPr fontId="3" type="noConversion"/>
  </si>
  <si>
    <t>구분</t>
    <phoneticPr fontId="3" type="noConversion"/>
  </si>
  <si>
    <t>2010년</t>
    <phoneticPr fontId="3" type="noConversion"/>
  </si>
  <si>
    <t>인구비율</t>
    <phoneticPr fontId="3" type="noConversion"/>
  </si>
  <si>
    <t>비고</t>
    <phoneticPr fontId="3" type="noConversion"/>
  </si>
  <si>
    <t>북면
(월학2,3리)</t>
    <phoneticPr fontId="3" type="noConversion"/>
  </si>
  <si>
    <t>북면
(용대리)</t>
    <phoneticPr fontId="3" type="noConversion"/>
  </si>
  <si>
    <t>인제군</t>
    <phoneticPr fontId="3" type="noConversion"/>
  </si>
  <si>
    <t>북면
(용대리)</t>
  </si>
  <si>
    <t>자연적 증가
(서화)</t>
    <phoneticPr fontId="3" type="noConversion"/>
  </si>
  <si>
    <t>자연적 증가
(월학리)</t>
    <phoneticPr fontId="3" type="noConversion"/>
  </si>
  <si>
    <t>인제읍</t>
    <phoneticPr fontId="3" type="noConversion"/>
  </si>
  <si>
    <t>상동 1리</t>
  </si>
  <si>
    <t>상동 2리</t>
  </si>
  <si>
    <t>상동 3리</t>
  </si>
  <si>
    <t>상동 4리</t>
  </si>
  <si>
    <t>상동 5리</t>
  </si>
  <si>
    <t>남북 1리</t>
  </si>
  <si>
    <t>남북 2리</t>
  </si>
  <si>
    <t>합강 1리</t>
  </si>
  <si>
    <t>합강 2리</t>
  </si>
  <si>
    <t>합강 3리</t>
  </si>
  <si>
    <t>가아 1리</t>
  </si>
  <si>
    <t>가아 2리</t>
  </si>
  <si>
    <t>덕 산 리</t>
  </si>
  <si>
    <t>덕 적 리</t>
  </si>
  <si>
    <t>고 사 리</t>
  </si>
  <si>
    <t>원 대 리</t>
  </si>
  <si>
    <t>하 추 리</t>
  </si>
  <si>
    <t>귀둔 1리</t>
  </si>
  <si>
    <t>귀둔 2리</t>
  </si>
  <si>
    <t>가리산리</t>
  </si>
  <si>
    <t>남면</t>
    <phoneticPr fontId="3" type="noConversion"/>
  </si>
  <si>
    <t>인 구</t>
    <phoneticPr fontId="3" type="noConversion"/>
  </si>
  <si>
    <t>어 론 리</t>
  </si>
  <si>
    <t>신 풍 리</t>
  </si>
  <si>
    <t>신남 1리</t>
  </si>
  <si>
    <t>신남 2리</t>
  </si>
  <si>
    <t>신남 3리</t>
  </si>
  <si>
    <t>신남 4리</t>
  </si>
  <si>
    <t>부 평 리</t>
  </si>
  <si>
    <t>갑 둔 리</t>
  </si>
  <si>
    <t>정 자 리</t>
  </si>
  <si>
    <t>남전 1리</t>
  </si>
  <si>
    <t>남전 2리</t>
  </si>
  <si>
    <t>관 대 리</t>
  </si>
  <si>
    <t>신 월 리</t>
  </si>
  <si>
    <t>상수내리</t>
  </si>
  <si>
    <t>수 산 리</t>
  </si>
  <si>
    <t>북면</t>
    <phoneticPr fontId="3" type="noConversion"/>
  </si>
  <si>
    <t>원통1리</t>
  </si>
  <si>
    <t>원통2리</t>
  </si>
  <si>
    <t>원통3리</t>
  </si>
  <si>
    <t>원통4리</t>
  </si>
  <si>
    <t>원통5리</t>
  </si>
  <si>
    <t>원통6리</t>
  </si>
  <si>
    <t>원통7리</t>
  </si>
  <si>
    <t>원통8리</t>
  </si>
  <si>
    <t>월학1리</t>
  </si>
  <si>
    <t>월학2리</t>
  </si>
  <si>
    <t>월학3리</t>
  </si>
  <si>
    <t>한계1리</t>
  </si>
  <si>
    <t>한계2리</t>
  </si>
  <si>
    <t>한계3리</t>
  </si>
  <si>
    <t>용대1리</t>
  </si>
  <si>
    <t>용대2리</t>
  </si>
  <si>
    <t>용대3리</t>
  </si>
  <si>
    <t>기린면</t>
    <phoneticPr fontId="3" type="noConversion"/>
  </si>
  <si>
    <t>현 1 리</t>
  </si>
  <si>
    <t>현 2 리</t>
  </si>
  <si>
    <t>현 3 리</t>
  </si>
  <si>
    <t>현 4 리</t>
  </si>
  <si>
    <t>현 5 리</t>
  </si>
  <si>
    <t>현 6 리</t>
  </si>
  <si>
    <t>방동1리</t>
  </si>
  <si>
    <t>방동2리</t>
  </si>
  <si>
    <t>서 1 리</t>
  </si>
  <si>
    <t>서 2 리</t>
  </si>
  <si>
    <t>북 1 리</t>
  </si>
  <si>
    <t>북 2 리</t>
  </si>
  <si>
    <t>북 3 리</t>
  </si>
  <si>
    <t>진동1리</t>
  </si>
  <si>
    <t>진동2리</t>
  </si>
  <si>
    <t>서화면</t>
    <phoneticPr fontId="3" type="noConversion"/>
  </si>
  <si>
    <t>천도1리</t>
  </si>
  <si>
    <t>천도2리</t>
  </si>
  <si>
    <t>천도3리</t>
  </si>
  <si>
    <t>천도4리</t>
  </si>
  <si>
    <t>서흥1리</t>
  </si>
  <si>
    <t>서흥2리</t>
  </si>
  <si>
    <t>서화1리</t>
  </si>
  <si>
    <t>서화2리</t>
  </si>
  <si>
    <t>상남면</t>
    <phoneticPr fontId="3" type="noConversion"/>
  </si>
  <si>
    <t>상남1리</t>
  </si>
  <si>
    <t>상남2리</t>
  </si>
  <si>
    <t>상남3리</t>
  </si>
  <si>
    <t>상남4리</t>
  </si>
  <si>
    <t>하남1리</t>
  </si>
  <si>
    <t>하남2리</t>
  </si>
  <si>
    <t>하남3리</t>
  </si>
  <si>
    <t>미산1리</t>
  </si>
  <si>
    <t>미산2리</t>
  </si>
  <si>
    <t>인 제 군</t>
    <phoneticPr fontId="3" type="noConversion"/>
  </si>
  <si>
    <t>백분율</t>
    <phoneticPr fontId="3" type="noConversion"/>
  </si>
  <si>
    <t>장 래 계 획</t>
    <phoneticPr fontId="3" type="noConversion"/>
  </si>
  <si>
    <t>◎ 장 래 인 구 계 획</t>
    <phoneticPr fontId="3" type="noConversion"/>
  </si>
  <si>
    <t>◎ 덕산통합정수장 장래인구계획</t>
    <phoneticPr fontId="3" type="noConversion"/>
  </si>
  <si>
    <t>◎ 기린통합정수장 장래인구계획</t>
    <phoneticPr fontId="3" type="noConversion"/>
  </si>
  <si>
    <t>◎ 서화정수장 장래인구계획</t>
    <phoneticPr fontId="3" type="noConversion"/>
  </si>
  <si>
    <t>덕산배수지</t>
    <phoneticPr fontId="3" type="noConversion"/>
  </si>
  <si>
    <t>원통배수지</t>
    <phoneticPr fontId="3" type="noConversion"/>
  </si>
  <si>
    <t>남면배수지</t>
    <phoneticPr fontId="3" type="noConversion"/>
  </si>
  <si>
    <t>급 수 인 구</t>
    <phoneticPr fontId="3" type="noConversion"/>
  </si>
  <si>
    <t>현리배수지</t>
    <phoneticPr fontId="3" type="noConversion"/>
  </si>
  <si>
    <t>하남배수지</t>
    <phoneticPr fontId="3" type="noConversion"/>
  </si>
  <si>
    <t>상남배수지</t>
    <phoneticPr fontId="3" type="noConversion"/>
  </si>
  <si>
    <t>서화계통</t>
    <phoneticPr fontId="3" type="noConversion"/>
  </si>
  <si>
    <t>덕산통합
계통</t>
    <phoneticPr fontId="3" type="noConversion"/>
  </si>
  <si>
    <t>기린통합
계통</t>
    <phoneticPr fontId="3" type="noConversion"/>
  </si>
  <si>
    <t>서화배수지</t>
    <phoneticPr fontId="3" type="noConversion"/>
  </si>
  <si>
    <t>천도배수지</t>
    <phoneticPr fontId="3" type="noConversion"/>
  </si>
  <si>
    <t>용대계통</t>
    <phoneticPr fontId="3" type="noConversion"/>
  </si>
  <si>
    <t>용대배수지</t>
    <phoneticPr fontId="3" type="noConversion"/>
  </si>
  <si>
    <t>일최대 급수량 원단위(Lpcd)</t>
    <phoneticPr fontId="3" type="noConversion"/>
  </si>
  <si>
    <t>◎ 배수지별 자연적 인구 급수량 산정</t>
    <phoneticPr fontId="3" type="noConversion"/>
  </si>
  <si>
    <t>◎ 배수지별 사회적인구 급수량 산정(관사)</t>
    <phoneticPr fontId="3" type="noConversion"/>
  </si>
  <si>
    <t>◎ 배수지별 사회적인구 급수량 산정(개발계획)</t>
    <phoneticPr fontId="3" type="noConversion"/>
  </si>
  <si>
    <t>일최대 급수량(㎥/일)</t>
    <phoneticPr fontId="3" type="noConversion"/>
  </si>
  <si>
    <t>◎ 배수지별 관광용수 급수량 산정(숙박객)</t>
    <phoneticPr fontId="3" type="noConversion"/>
  </si>
  <si>
    <t>◎ 배수지별 관광용수 급수량 산정(일귀객)</t>
    <phoneticPr fontId="3" type="noConversion"/>
  </si>
  <si>
    <t>◎ 배수지별 군대용수 급수량 산정</t>
    <phoneticPr fontId="3" type="noConversion"/>
  </si>
  <si>
    <t>◎ 배수지별 급수량 산정</t>
    <phoneticPr fontId="3" type="noConversion"/>
  </si>
  <si>
    <t>용대</t>
    <phoneticPr fontId="3" type="noConversion"/>
  </si>
  <si>
    <t>서화</t>
    <phoneticPr fontId="3" type="noConversion"/>
  </si>
  <si>
    <t>기린</t>
    <phoneticPr fontId="3" type="noConversion"/>
  </si>
  <si>
    <t>급수인구</t>
    <phoneticPr fontId="3" type="noConversion"/>
  </si>
  <si>
    <t>구 분</t>
    <phoneticPr fontId="3" type="noConversion"/>
  </si>
  <si>
    <t>자연적</t>
    <phoneticPr fontId="3" type="noConversion"/>
  </si>
  <si>
    <t>사회적</t>
    <phoneticPr fontId="3" type="noConversion"/>
  </si>
  <si>
    <t>관사</t>
    <phoneticPr fontId="3" type="noConversion"/>
  </si>
  <si>
    <t>개발</t>
    <phoneticPr fontId="3" type="noConversion"/>
  </si>
  <si>
    <t>계</t>
    <phoneticPr fontId="3" type="noConversion"/>
  </si>
  <si>
    <t>계</t>
    <phoneticPr fontId="3" type="noConversion"/>
  </si>
  <si>
    <t>▨ 용수수요량 총괄</t>
    <phoneticPr fontId="3" type="noConversion"/>
  </si>
  <si>
    <t>▨ 읍ㆍ면별 용수수요량 총괄</t>
    <phoneticPr fontId="3" type="noConversion"/>
  </si>
  <si>
    <t>◎ 생활용수량(일최대)</t>
    <phoneticPr fontId="3" type="noConversion"/>
  </si>
  <si>
    <t>◎ 생활용수량(일평균)</t>
    <phoneticPr fontId="3" type="noConversion"/>
  </si>
  <si>
    <t>◎ 공업용수량</t>
    <phoneticPr fontId="3" type="noConversion"/>
  </si>
  <si>
    <t>◎ 군대용수</t>
    <phoneticPr fontId="3" type="noConversion"/>
  </si>
  <si>
    <t>◎ 장 래 인 구 계 획</t>
    <phoneticPr fontId="3" type="noConversion"/>
  </si>
  <si>
    <t>◎ 덕산통합정수장 장래인구계획</t>
    <phoneticPr fontId="3" type="noConversion"/>
  </si>
  <si>
    <t>◎ 배수지별 자연적 인구 급수량 산정</t>
    <phoneticPr fontId="3" type="noConversion"/>
  </si>
  <si>
    <t>구 분</t>
    <phoneticPr fontId="3" type="noConversion"/>
  </si>
  <si>
    <t>2010년</t>
    <phoneticPr fontId="3" type="noConversion"/>
  </si>
  <si>
    <t>장 래 계 획</t>
    <phoneticPr fontId="3" type="noConversion"/>
  </si>
  <si>
    <t>비 고</t>
    <phoneticPr fontId="3" type="noConversion"/>
  </si>
  <si>
    <t>급 수 인 구</t>
    <phoneticPr fontId="3" type="noConversion"/>
  </si>
  <si>
    <t>인 구</t>
    <phoneticPr fontId="3" type="noConversion"/>
  </si>
  <si>
    <t>백분율</t>
    <phoneticPr fontId="3" type="noConversion"/>
  </si>
  <si>
    <t>2015년</t>
    <phoneticPr fontId="3" type="noConversion"/>
  </si>
  <si>
    <t>2020년</t>
    <phoneticPr fontId="3" type="noConversion"/>
  </si>
  <si>
    <t>2025년</t>
    <phoneticPr fontId="3" type="noConversion"/>
  </si>
  <si>
    <t>2030년</t>
    <phoneticPr fontId="3" type="noConversion"/>
  </si>
  <si>
    <t>인 제 군</t>
    <phoneticPr fontId="3" type="noConversion"/>
  </si>
  <si>
    <t>합 계</t>
    <phoneticPr fontId="3" type="noConversion"/>
  </si>
  <si>
    <t>덕산통합
계통</t>
    <phoneticPr fontId="3" type="noConversion"/>
  </si>
  <si>
    <t>계</t>
    <phoneticPr fontId="3" type="noConversion"/>
  </si>
  <si>
    <t>인제읍</t>
    <phoneticPr fontId="3" type="noConversion"/>
  </si>
  <si>
    <t>덕산배수지</t>
    <phoneticPr fontId="3" type="noConversion"/>
  </si>
  <si>
    <t>원통배수지</t>
    <phoneticPr fontId="3" type="noConversion"/>
  </si>
  <si>
    <t>남면배수지</t>
    <phoneticPr fontId="3" type="noConversion"/>
  </si>
  <si>
    <t>기린통합
계통</t>
    <phoneticPr fontId="3" type="noConversion"/>
  </si>
  <si>
    <t>현리배수지</t>
    <phoneticPr fontId="3" type="noConversion"/>
  </si>
  <si>
    <t>하남배수지</t>
    <phoneticPr fontId="3" type="noConversion"/>
  </si>
  <si>
    <t>상남배수지</t>
    <phoneticPr fontId="3" type="noConversion"/>
  </si>
  <si>
    <t>서화계통</t>
    <phoneticPr fontId="3" type="noConversion"/>
  </si>
  <si>
    <t>서화배수지</t>
    <phoneticPr fontId="3" type="noConversion"/>
  </si>
  <si>
    <t>천도배수지</t>
    <phoneticPr fontId="3" type="noConversion"/>
  </si>
  <si>
    <t>용대계통</t>
    <phoneticPr fontId="3" type="noConversion"/>
  </si>
  <si>
    <t>용대배수지</t>
    <phoneticPr fontId="3" type="noConversion"/>
  </si>
  <si>
    <t>일최대 급수량 원단위(Lpcd)</t>
    <phoneticPr fontId="3" type="noConversion"/>
  </si>
  <si>
    <t>일최대 급수량(㎥/일)</t>
    <phoneticPr fontId="3" type="noConversion"/>
  </si>
  <si>
    <t>남면</t>
    <phoneticPr fontId="3" type="noConversion"/>
  </si>
  <si>
    <t>◎ 배수지별 사회적인구 급수량 산정(관사)</t>
    <phoneticPr fontId="3" type="noConversion"/>
  </si>
  <si>
    <t>북면</t>
    <phoneticPr fontId="3" type="noConversion"/>
  </si>
  <si>
    <t>◎ 기린통합정수장 장래인구계획</t>
    <phoneticPr fontId="3" type="noConversion"/>
  </si>
  <si>
    <t>기린면</t>
    <phoneticPr fontId="3" type="noConversion"/>
  </si>
  <si>
    <t>◎ 배수지별 사회적인구 급수량 산정(개발계획)</t>
    <phoneticPr fontId="3" type="noConversion"/>
  </si>
  <si>
    <t>상남면</t>
    <phoneticPr fontId="3" type="noConversion"/>
  </si>
  <si>
    <t>서화면</t>
    <phoneticPr fontId="3" type="noConversion"/>
  </si>
  <si>
    <t>◎ 서화정수장 장래인구계획</t>
    <phoneticPr fontId="3" type="noConversion"/>
  </si>
  <si>
    <t>◎ 배수지별 공업용수 급수량 산정</t>
    <phoneticPr fontId="3" type="noConversion"/>
  </si>
  <si>
    <t>일평균 급수량(㎥/일)</t>
    <phoneticPr fontId="3" type="noConversion"/>
  </si>
  <si>
    <t>◎ 용대정수장 장래인구계획</t>
    <phoneticPr fontId="3" type="noConversion"/>
  </si>
  <si>
    <t>◎ 배수지별 관광용수 급수량 산정(숙박객)</t>
    <phoneticPr fontId="3" type="noConversion"/>
  </si>
  <si>
    <t>◎ 배수지별 관광용수 급수량 산정(일귀객)</t>
    <phoneticPr fontId="3" type="noConversion"/>
  </si>
  <si>
    <t>◎ 배수지별 군대용수 급수량 산정</t>
    <phoneticPr fontId="3" type="noConversion"/>
  </si>
  <si>
    <t>◎ 배수지별 급수량 산정</t>
    <phoneticPr fontId="3" type="noConversion"/>
  </si>
  <si>
    <t>북   면</t>
    <phoneticPr fontId="3" type="noConversion"/>
  </si>
  <si>
    <t>남   면</t>
    <phoneticPr fontId="3" type="noConversion"/>
  </si>
  <si>
    <t>하남리</t>
    <phoneticPr fontId="3" type="noConversion"/>
  </si>
  <si>
    <t>상남리</t>
    <phoneticPr fontId="3" type="noConversion"/>
  </si>
  <si>
    <t>용대리</t>
    <phoneticPr fontId="3" type="noConversion"/>
  </si>
  <si>
    <t>천도리 인근</t>
    <phoneticPr fontId="3" type="noConversion"/>
  </si>
  <si>
    <t>서화리 인근</t>
    <phoneticPr fontId="3" type="noConversion"/>
  </si>
  <si>
    <t>구분</t>
  </si>
  <si>
    <t>인구비율</t>
  </si>
  <si>
    <t>1단계</t>
  </si>
  <si>
    <t>(2015년)</t>
  </si>
  <si>
    <t>2단계</t>
  </si>
  <si>
    <t>(2020년)</t>
  </si>
  <si>
    <t>3단계</t>
  </si>
  <si>
    <t>(2025년)</t>
  </si>
  <si>
    <t>4단계</t>
  </si>
  <si>
    <t>(2030년)</t>
  </si>
  <si>
    <t xml:space="preserve">인제군 </t>
  </si>
  <si>
    <t xml:space="preserve">인제읍 </t>
  </si>
  <si>
    <t xml:space="preserve">남 면 </t>
  </si>
  <si>
    <t xml:space="preserve">북 면 </t>
  </si>
  <si>
    <t xml:space="preserve">기린면 </t>
  </si>
  <si>
    <t xml:space="preserve">서화면 </t>
  </si>
  <si>
    <t>◎ 배수지별 공업용수 급수량 산정</t>
    <phoneticPr fontId="3" type="noConversion"/>
  </si>
  <si>
    <t>구 분</t>
    <phoneticPr fontId="3" type="noConversion"/>
  </si>
  <si>
    <t>일평균 급수량(㎥/일)</t>
    <phoneticPr fontId="3" type="noConversion"/>
  </si>
  <si>
    <t>일최대 급수량(㎥/일)</t>
    <phoneticPr fontId="3" type="noConversion"/>
  </si>
  <si>
    <t>2015년</t>
    <phoneticPr fontId="3" type="noConversion"/>
  </si>
  <si>
    <t>2020년</t>
    <phoneticPr fontId="3" type="noConversion"/>
  </si>
  <si>
    <t>2025년</t>
    <phoneticPr fontId="3" type="noConversion"/>
  </si>
  <si>
    <t>2030년</t>
    <phoneticPr fontId="3" type="noConversion"/>
  </si>
  <si>
    <t>덕산통합
계통</t>
    <phoneticPr fontId="3" type="noConversion"/>
  </si>
  <si>
    <t>계</t>
    <phoneticPr fontId="3" type="noConversion"/>
  </si>
  <si>
    <t>북면</t>
    <phoneticPr fontId="3" type="noConversion"/>
  </si>
  <si>
    <t>덕산배수지</t>
    <phoneticPr fontId="3" type="noConversion"/>
  </si>
  <si>
    <t>원통배수지</t>
    <phoneticPr fontId="3" type="noConversion"/>
  </si>
  <si>
    <t>남면배수지</t>
    <phoneticPr fontId="3" type="noConversion"/>
  </si>
  <si>
    <t>◎ 용대정수장 장래인구계획</t>
    <phoneticPr fontId="3" type="noConversion"/>
  </si>
  <si>
    <t>장 래 계 획</t>
    <phoneticPr fontId="3" type="noConversion"/>
  </si>
  <si>
    <t>비 고</t>
    <phoneticPr fontId="3" type="noConversion"/>
  </si>
  <si>
    <t>합 계</t>
    <phoneticPr fontId="3" type="noConversion"/>
  </si>
  <si>
    <t>방동리배수지</t>
    <phoneticPr fontId="3" type="noConversion"/>
  </si>
  <si>
    <t>사용량 원단위(ℓpcd)</t>
  </si>
  <si>
    <t>유수율(%)</t>
  </si>
  <si>
    <t>첨두부하율</t>
  </si>
  <si>
    <t>계획인구</t>
    <phoneticPr fontId="3" type="noConversion"/>
  </si>
  <si>
    <t>급수보급율</t>
    <phoneticPr fontId="3" type="noConversion"/>
  </si>
  <si>
    <t>급수인구</t>
    <phoneticPr fontId="3" type="noConversion"/>
  </si>
  <si>
    <t>계획급수
원단위</t>
    <phoneticPr fontId="3" type="noConversion"/>
  </si>
  <si>
    <t>계획급수량</t>
    <phoneticPr fontId="3" type="noConversion"/>
  </si>
  <si>
    <t>◆ 인제읍(덕산정수지)</t>
    <phoneticPr fontId="3" type="noConversion"/>
  </si>
  <si>
    <t>◆ 북면(원통배수지)</t>
    <phoneticPr fontId="3" type="noConversion"/>
  </si>
  <si>
    <t>◆ 남면(남면배수지)</t>
    <phoneticPr fontId="3" type="noConversion"/>
  </si>
  <si>
    <t>◆ 기린면(현리배수지)</t>
    <phoneticPr fontId="3" type="noConversion"/>
  </si>
  <si>
    <t>◆ 상남면 하남리(하남배수지)</t>
    <phoneticPr fontId="3" type="noConversion"/>
  </si>
  <si>
    <t>◆ 상남면 상남리(상남배수지)</t>
    <phoneticPr fontId="3" type="noConversion"/>
  </si>
  <si>
    <t>◆ 기린면 방동리(방동리배수지)</t>
    <phoneticPr fontId="3" type="noConversion"/>
  </si>
  <si>
    <t>◆ 서화면(서화정수지)</t>
    <phoneticPr fontId="3" type="noConversion"/>
  </si>
  <si>
    <t>◆ 서화면(천도배수지)</t>
    <phoneticPr fontId="3" type="noConversion"/>
  </si>
  <si>
    <t>◆ 북면(용대정수지)</t>
    <phoneticPr fontId="3" type="noConversion"/>
  </si>
  <si>
    <t>북 면</t>
    <phoneticPr fontId="3" type="noConversion"/>
  </si>
  <si>
    <t>남 면</t>
    <phoneticPr fontId="3" type="noConversion"/>
  </si>
  <si>
    <t>덕산통합
정수장</t>
    <phoneticPr fontId="3" type="noConversion"/>
  </si>
  <si>
    <t>기린통합
정수장</t>
    <phoneticPr fontId="3" type="noConversion"/>
  </si>
  <si>
    <t>서화정수장</t>
    <phoneticPr fontId="3" type="noConversion"/>
  </si>
  <si>
    <t>용대정수장</t>
    <phoneticPr fontId="3" type="noConversion"/>
  </si>
  <si>
    <t>소 계</t>
    <phoneticPr fontId="3" type="noConversion"/>
  </si>
  <si>
    <t>인 제 군</t>
    <phoneticPr fontId="3" type="noConversion"/>
  </si>
  <si>
    <t>덕산통합
정수장</t>
    <phoneticPr fontId="3" type="noConversion"/>
  </si>
  <si>
    <t>소 계</t>
    <phoneticPr fontId="3" type="noConversion"/>
  </si>
  <si>
    <t>인제읍</t>
    <phoneticPr fontId="3" type="noConversion"/>
  </si>
  <si>
    <t>덕산정수지</t>
    <phoneticPr fontId="3" type="noConversion"/>
  </si>
  <si>
    <t>기린통합
정수장</t>
    <phoneticPr fontId="3" type="noConversion"/>
  </si>
  <si>
    <t>기린면</t>
    <phoneticPr fontId="3" type="noConversion"/>
  </si>
  <si>
    <t>현리배수지</t>
    <phoneticPr fontId="3" type="noConversion"/>
  </si>
  <si>
    <t>방동리배수지</t>
    <phoneticPr fontId="3" type="noConversion"/>
  </si>
  <si>
    <t>상남면</t>
    <phoneticPr fontId="3" type="noConversion"/>
  </si>
  <si>
    <t>하남배수지</t>
    <phoneticPr fontId="3" type="noConversion"/>
  </si>
  <si>
    <t>상남배수지</t>
    <phoneticPr fontId="3" type="noConversion"/>
  </si>
  <si>
    <t>서화정수장</t>
    <phoneticPr fontId="3" type="noConversion"/>
  </si>
  <si>
    <t>서화면</t>
    <phoneticPr fontId="3" type="noConversion"/>
  </si>
  <si>
    <t>서화정수지</t>
    <phoneticPr fontId="3" type="noConversion"/>
  </si>
  <si>
    <t>천도배수지</t>
    <phoneticPr fontId="3" type="noConversion"/>
  </si>
  <si>
    <t>용대정수장</t>
    <phoneticPr fontId="3" type="noConversion"/>
  </si>
  <si>
    <t>용대정수지</t>
    <phoneticPr fontId="3" type="noConversion"/>
  </si>
  <si>
    <t>방동리</t>
    <phoneticPr fontId="3" type="noConversion"/>
  </si>
  <si>
    <t>방동배수지</t>
    <phoneticPr fontId="3" type="noConversion"/>
  </si>
  <si>
    <t>덕산정수지
(배수지)</t>
    <phoneticPr fontId="3" type="noConversion"/>
  </si>
  <si>
    <t>서화정수지
(배수지)</t>
    <phoneticPr fontId="3" type="noConversion"/>
  </si>
  <si>
    <t>용대정수지
(배수지)</t>
    <phoneticPr fontId="3" type="noConversion"/>
  </si>
  <si>
    <t>상남면</t>
    <phoneticPr fontId="3" type="noConversion"/>
  </si>
  <si>
    <t>논산시</t>
    <phoneticPr fontId="3" type="noConversion"/>
  </si>
  <si>
    <t>강경읍</t>
    <phoneticPr fontId="3" type="noConversion"/>
  </si>
  <si>
    <t>연무읍</t>
    <phoneticPr fontId="3" type="noConversion"/>
  </si>
  <si>
    <t>성동면</t>
    <phoneticPr fontId="3" type="noConversion"/>
  </si>
  <si>
    <t>광석면</t>
    <phoneticPr fontId="3" type="noConversion"/>
  </si>
  <si>
    <t>노성면</t>
    <phoneticPr fontId="3" type="noConversion"/>
  </si>
  <si>
    <t>상월면</t>
    <phoneticPr fontId="3" type="noConversion"/>
  </si>
  <si>
    <t>부적면</t>
    <phoneticPr fontId="3" type="noConversion"/>
  </si>
  <si>
    <t>연산면</t>
    <phoneticPr fontId="3" type="noConversion"/>
  </si>
  <si>
    <t>벌곡면</t>
    <phoneticPr fontId="3" type="noConversion"/>
  </si>
  <si>
    <t>양촌면</t>
    <phoneticPr fontId="3" type="noConversion"/>
  </si>
  <si>
    <t>가야곡면</t>
    <phoneticPr fontId="3" type="noConversion"/>
  </si>
  <si>
    <t>은진면</t>
    <phoneticPr fontId="3" type="noConversion"/>
  </si>
  <si>
    <t>채운면</t>
    <phoneticPr fontId="3" type="noConversion"/>
  </si>
  <si>
    <t>취암동</t>
    <phoneticPr fontId="3" type="noConversion"/>
  </si>
  <si>
    <t>부창동</t>
    <phoneticPr fontId="3" type="noConversion"/>
  </si>
  <si>
    <t>2012년</t>
    <phoneticPr fontId="3" type="noConversion"/>
  </si>
  <si>
    <t>급수인구</t>
  </si>
  <si>
    <t>2015년</t>
  </si>
  <si>
    <t>2020년</t>
  </si>
  <si>
    <t>2025년</t>
  </si>
  <si>
    <t>2030년</t>
  </si>
  <si>
    <t>논산시</t>
  </si>
  <si>
    <t>강경읍</t>
  </si>
  <si>
    <t>연무읍</t>
  </si>
  <si>
    <t>성동면</t>
  </si>
  <si>
    <t>광석면</t>
  </si>
  <si>
    <t>노성면</t>
  </si>
  <si>
    <t>상월면</t>
  </si>
  <si>
    <t>부적면</t>
  </si>
  <si>
    <t>연산면</t>
  </si>
  <si>
    <t>벌곡면</t>
  </si>
  <si>
    <t>양촌면</t>
  </si>
  <si>
    <t>가야곡면</t>
  </si>
  <si>
    <t>은진면</t>
  </si>
  <si>
    <t>채운면</t>
  </si>
  <si>
    <t>취암동</t>
  </si>
  <si>
    <t>부창동</t>
  </si>
  <si>
    <t>구   분</t>
  </si>
  <si>
    <t>구   분</t>
    <phoneticPr fontId="3" type="noConversion"/>
  </si>
  <si>
    <t>ㅇ</t>
    <phoneticPr fontId="3" type="noConversion"/>
  </si>
  <si>
    <t>양지 제2농공단지</t>
    <phoneticPr fontId="3" type="noConversion"/>
  </si>
  <si>
    <t>조립금속제품(28)</t>
    <phoneticPr fontId="3" type="noConversion"/>
  </si>
  <si>
    <t>면 적
(천㎡)</t>
    <phoneticPr fontId="3" type="noConversion"/>
  </si>
  <si>
    <t>전자부품, 영상, 음향 및 통신장비(32)</t>
    <phoneticPr fontId="3" type="noConversion"/>
  </si>
  <si>
    <t>기타 기계 및 장비(29)</t>
    <phoneticPr fontId="3" type="noConversion"/>
  </si>
  <si>
    <t>펄프, 종이 및 종이제품(21)</t>
    <phoneticPr fontId="3" type="noConversion"/>
  </si>
  <si>
    <t>고무 및 플라스틱(25)</t>
    <phoneticPr fontId="3" type="noConversion"/>
  </si>
  <si>
    <t>비금속 광물(26)</t>
    <phoneticPr fontId="3" type="noConversion"/>
  </si>
  <si>
    <t>기타 운송장비(35)</t>
    <phoneticPr fontId="3" type="noConversion"/>
  </si>
  <si>
    <t>강경 농공단지</t>
    <phoneticPr fontId="3" type="noConversion"/>
  </si>
  <si>
    <t>동산 일반산업단지</t>
    <phoneticPr fontId="3" type="noConversion"/>
  </si>
  <si>
    <t>음식료품(15)</t>
    <phoneticPr fontId="3" type="noConversion"/>
  </si>
  <si>
    <t>동지역</t>
  </si>
  <si>
    <t>동지역</t>
    <phoneticPr fontId="3" type="noConversion"/>
  </si>
  <si>
    <t>읍지역</t>
  </si>
  <si>
    <t>읍지역</t>
    <phoneticPr fontId="3" type="noConversion"/>
  </si>
  <si>
    <t>면지역</t>
  </si>
  <si>
    <t>면지역</t>
    <phoneticPr fontId="3" type="noConversion"/>
  </si>
  <si>
    <t>현재</t>
  </si>
  <si>
    <t>◎ 육군훈련소</t>
    <phoneticPr fontId="3" type="noConversion"/>
  </si>
  <si>
    <t>2011년</t>
    <phoneticPr fontId="3" type="noConversion"/>
  </si>
  <si>
    <t>2008년</t>
    <phoneticPr fontId="3" type="noConversion"/>
  </si>
  <si>
    <t>1월</t>
    <phoneticPr fontId="3" type="noConversion"/>
  </si>
  <si>
    <t>2월</t>
    <phoneticPr fontId="3" type="noConversion"/>
  </si>
  <si>
    <t>3월</t>
    <phoneticPr fontId="3" type="noConversion"/>
  </si>
  <si>
    <t>4월</t>
    <phoneticPr fontId="3" type="noConversion"/>
  </si>
  <si>
    <t>5월</t>
    <phoneticPr fontId="3" type="noConversion"/>
  </si>
  <si>
    <t>6월</t>
    <phoneticPr fontId="3" type="noConversion"/>
  </si>
  <si>
    <t>7월</t>
    <phoneticPr fontId="3" type="noConversion"/>
  </si>
  <si>
    <t>8월</t>
    <phoneticPr fontId="3" type="noConversion"/>
  </si>
  <si>
    <t>9월</t>
    <phoneticPr fontId="3" type="noConversion"/>
  </si>
  <si>
    <t>10월</t>
    <phoneticPr fontId="3" type="noConversion"/>
  </si>
  <si>
    <t>11월</t>
    <phoneticPr fontId="3" type="noConversion"/>
  </si>
  <si>
    <t>12월</t>
    <phoneticPr fontId="3" type="noConversion"/>
  </si>
  <si>
    <t>평균</t>
    <phoneticPr fontId="3" type="noConversion"/>
  </si>
  <si>
    <t>최대</t>
    <phoneticPr fontId="3" type="noConversion"/>
  </si>
  <si>
    <t>최소</t>
    <phoneticPr fontId="3" type="noConversion"/>
  </si>
  <si>
    <t>급수인구</t>
    <phoneticPr fontId="18" type="noConversion"/>
  </si>
  <si>
    <t>용수수요량</t>
    <phoneticPr fontId="18" type="noConversion"/>
  </si>
  <si>
    <t>소계</t>
    <phoneticPr fontId="18" type="noConversion"/>
  </si>
  <si>
    <t>취암동</t>
    <phoneticPr fontId="18" type="noConversion"/>
  </si>
  <si>
    <t>화지동</t>
    <phoneticPr fontId="18" type="noConversion"/>
  </si>
  <si>
    <t>반월동</t>
    <phoneticPr fontId="18" type="noConversion"/>
  </si>
  <si>
    <t>지산동</t>
    <phoneticPr fontId="18" type="noConversion"/>
  </si>
  <si>
    <t>덕지동</t>
    <phoneticPr fontId="18" type="noConversion"/>
  </si>
  <si>
    <t>내동</t>
    <phoneticPr fontId="18" type="noConversion"/>
  </si>
  <si>
    <t>관촉동</t>
    <phoneticPr fontId="18" type="noConversion"/>
  </si>
  <si>
    <t>부창동</t>
    <phoneticPr fontId="18" type="noConversion"/>
  </si>
  <si>
    <t>대교동</t>
    <phoneticPr fontId="18" type="noConversion"/>
  </si>
  <si>
    <t>등화동</t>
    <phoneticPr fontId="18" type="noConversion"/>
  </si>
  <si>
    <t>강산동</t>
    <phoneticPr fontId="18" type="noConversion"/>
  </si>
  <si>
    <t>채운면</t>
    <phoneticPr fontId="18" type="noConversion"/>
  </si>
  <si>
    <t>화산리</t>
    <phoneticPr fontId="18" type="noConversion"/>
  </si>
  <si>
    <t>용화리</t>
    <phoneticPr fontId="18" type="noConversion"/>
  </si>
  <si>
    <t>우기리</t>
    <phoneticPr fontId="18" type="noConversion"/>
  </si>
  <si>
    <t>심암리</t>
    <phoneticPr fontId="18" type="noConversion"/>
  </si>
  <si>
    <t>화정리</t>
    <phoneticPr fontId="18" type="noConversion"/>
  </si>
  <si>
    <t>야화리</t>
    <phoneticPr fontId="18" type="noConversion"/>
  </si>
  <si>
    <t>은진면</t>
    <phoneticPr fontId="18" type="noConversion"/>
  </si>
  <si>
    <t>남산리</t>
    <phoneticPr fontId="18" type="noConversion"/>
  </si>
  <si>
    <t>방축리</t>
    <phoneticPr fontId="18" type="noConversion"/>
  </si>
  <si>
    <t>연무읍</t>
    <phoneticPr fontId="18" type="noConversion"/>
  </si>
  <si>
    <t>신화리</t>
    <phoneticPr fontId="18" type="noConversion"/>
  </si>
  <si>
    <t>강경읍</t>
    <phoneticPr fontId="18" type="noConversion"/>
  </si>
  <si>
    <t>남교리</t>
    <phoneticPr fontId="18" type="noConversion"/>
  </si>
  <si>
    <t>2. 논산시 생활용수 수요량</t>
    <phoneticPr fontId="18" type="noConversion"/>
  </si>
  <si>
    <t>동지역</t>
    <phoneticPr fontId="3" type="noConversion"/>
  </si>
  <si>
    <t>읍지역</t>
    <phoneticPr fontId="3" type="noConversion"/>
  </si>
  <si>
    <t>면지역</t>
    <phoneticPr fontId="3" type="noConversion"/>
  </si>
  <si>
    <t xml:space="preserve"> 1) 행정구역별 생활용수 수요량</t>
    <phoneticPr fontId="18" type="noConversion"/>
  </si>
  <si>
    <t>구분</t>
    <phoneticPr fontId="18" type="noConversion"/>
  </si>
  <si>
    <t>논산시 합계</t>
    <phoneticPr fontId="18" type="noConversion"/>
  </si>
  <si>
    <t>읍지역원단위</t>
    <phoneticPr fontId="3" type="noConversion"/>
  </si>
  <si>
    <t>동흥리</t>
    <phoneticPr fontId="18" type="noConversion"/>
  </si>
  <si>
    <t>북옥리</t>
    <phoneticPr fontId="18" type="noConversion"/>
  </si>
  <si>
    <t>서창리</t>
    <phoneticPr fontId="18" type="noConversion"/>
  </si>
  <si>
    <t>홍교리</t>
    <phoneticPr fontId="18" type="noConversion"/>
  </si>
  <si>
    <t>중앙리</t>
    <phoneticPr fontId="18" type="noConversion"/>
  </si>
  <si>
    <t>염천리</t>
    <phoneticPr fontId="18" type="noConversion"/>
  </si>
  <si>
    <t>태평리</t>
    <phoneticPr fontId="18" type="noConversion"/>
  </si>
  <si>
    <t>대흥리</t>
    <phoneticPr fontId="18" type="noConversion"/>
  </si>
  <si>
    <t>황산리</t>
    <phoneticPr fontId="18" type="noConversion"/>
  </si>
  <si>
    <t>채산리</t>
    <phoneticPr fontId="18" type="noConversion"/>
  </si>
  <si>
    <t>산양리</t>
    <phoneticPr fontId="18" type="noConversion"/>
  </si>
  <si>
    <t>채운리</t>
    <phoneticPr fontId="18" type="noConversion"/>
  </si>
  <si>
    <t>마산리</t>
    <phoneticPr fontId="18" type="noConversion"/>
  </si>
  <si>
    <t>죽평리</t>
    <phoneticPr fontId="18" type="noConversion"/>
  </si>
  <si>
    <t>금곡리</t>
    <phoneticPr fontId="18" type="noConversion"/>
  </si>
  <si>
    <t>동산리</t>
    <phoneticPr fontId="18" type="noConversion"/>
  </si>
  <si>
    <t>죽본리</t>
    <phoneticPr fontId="18" type="noConversion"/>
  </si>
  <si>
    <t>소룡리</t>
    <phoneticPr fontId="18" type="noConversion"/>
  </si>
  <si>
    <t>양지리</t>
    <phoneticPr fontId="18" type="noConversion"/>
  </si>
  <si>
    <t>마전리</t>
    <phoneticPr fontId="18" type="noConversion"/>
  </si>
  <si>
    <t>고내리</t>
    <phoneticPr fontId="18" type="noConversion"/>
  </si>
  <si>
    <t>황화정리</t>
    <phoneticPr fontId="18" type="noConversion"/>
  </si>
  <si>
    <t>안심리</t>
    <phoneticPr fontId="18" type="noConversion"/>
  </si>
  <si>
    <t>봉동리</t>
    <phoneticPr fontId="18" type="noConversion"/>
  </si>
  <si>
    <t>성동면</t>
    <phoneticPr fontId="18" type="noConversion"/>
  </si>
  <si>
    <t>면지역원단위</t>
    <phoneticPr fontId="3" type="noConversion"/>
  </si>
  <si>
    <t>삼산리</t>
    <phoneticPr fontId="18" type="noConversion"/>
  </si>
  <si>
    <t>월성리</t>
    <phoneticPr fontId="18" type="noConversion"/>
  </si>
  <si>
    <t>병촌리</t>
    <phoneticPr fontId="18" type="noConversion"/>
  </si>
  <si>
    <t>개척리</t>
    <phoneticPr fontId="18" type="noConversion"/>
  </si>
  <si>
    <t>우곤리</t>
    <phoneticPr fontId="18" type="noConversion"/>
  </si>
  <si>
    <t>원남리</t>
    <phoneticPr fontId="18" type="noConversion"/>
  </si>
  <si>
    <t>원북리</t>
    <phoneticPr fontId="18" type="noConversion"/>
  </si>
  <si>
    <t>정지리</t>
    <phoneticPr fontId="18" type="noConversion"/>
  </si>
  <si>
    <t>원봉리</t>
    <phoneticPr fontId="18" type="noConversion"/>
  </si>
  <si>
    <t>삼호리</t>
    <phoneticPr fontId="18" type="noConversion"/>
  </si>
  <si>
    <t>광석면</t>
    <phoneticPr fontId="18" type="noConversion"/>
  </si>
  <si>
    <t>신당리</t>
    <phoneticPr fontId="18" type="noConversion"/>
  </si>
  <si>
    <t>중리</t>
    <phoneticPr fontId="18" type="noConversion"/>
  </si>
  <si>
    <t>득윤리</t>
    <phoneticPr fontId="18" type="noConversion"/>
  </si>
  <si>
    <t>갈산리</t>
    <phoneticPr fontId="18" type="noConversion"/>
  </si>
  <si>
    <t>이사리</t>
    <phoneticPr fontId="18" type="noConversion"/>
  </si>
  <si>
    <t>산동리</t>
    <phoneticPr fontId="18" type="noConversion"/>
  </si>
  <si>
    <t>천동리</t>
    <phoneticPr fontId="18" type="noConversion"/>
  </si>
  <si>
    <t>왕전리</t>
    <phoneticPr fontId="18" type="noConversion"/>
  </si>
  <si>
    <t>항월리</t>
    <phoneticPr fontId="18" type="noConversion"/>
  </si>
  <si>
    <t>사월리</t>
    <phoneticPr fontId="18" type="noConversion"/>
  </si>
  <si>
    <t>율리</t>
    <phoneticPr fontId="18" type="noConversion"/>
  </si>
  <si>
    <t>오강리</t>
    <phoneticPr fontId="18" type="noConversion"/>
  </si>
  <si>
    <t>노성면</t>
    <phoneticPr fontId="18" type="noConversion"/>
  </si>
  <si>
    <t>읍내리</t>
    <phoneticPr fontId="18" type="noConversion"/>
  </si>
  <si>
    <t>두사리</t>
    <phoneticPr fontId="18" type="noConversion"/>
  </si>
  <si>
    <t>송당리</t>
    <phoneticPr fontId="18" type="noConversion"/>
  </si>
  <si>
    <t>교촌리</t>
    <phoneticPr fontId="18" type="noConversion"/>
  </si>
  <si>
    <t>하도리</t>
    <phoneticPr fontId="18" type="noConversion"/>
  </si>
  <si>
    <t>병사리</t>
    <phoneticPr fontId="18" type="noConversion"/>
  </si>
  <si>
    <t>가곡리</t>
    <phoneticPr fontId="18" type="noConversion"/>
  </si>
  <si>
    <t>장구리</t>
    <phoneticPr fontId="18" type="noConversion"/>
  </si>
  <si>
    <t>효죽리</t>
    <phoneticPr fontId="18" type="noConversion"/>
  </si>
  <si>
    <t>죽림리</t>
    <phoneticPr fontId="18" type="noConversion"/>
  </si>
  <si>
    <t>호암리</t>
    <phoneticPr fontId="18" type="noConversion"/>
  </si>
  <si>
    <t>노티리</t>
    <phoneticPr fontId="18" type="noConversion"/>
  </si>
  <si>
    <t>구암리</t>
    <phoneticPr fontId="18" type="noConversion"/>
  </si>
  <si>
    <t>화곡리</t>
    <phoneticPr fontId="18" type="noConversion"/>
  </si>
  <si>
    <t>상월면</t>
    <phoneticPr fontId="18" type="noConversion"/>
  </si>
  <si>
    <t>신충리</t>
    <phoneticPr fontId="18" type="noConversion"/>
  </si>
  <si>
    <t>산성리</t>
    <phoneticPr fontId="18" type="noConversion"/>
  </si>
  <si>
    <t>월오리</t>
    <phoneticPr fontId="18" type="noConversion"/>
  </si>
  <si>
    <t>지경리</t>
    <phoneticPr fontId="18" type="noConversion"/>
  </si>
  <si>
    <t>석종리</t>
    <phoneticPr fontId="18" type="noConversion"/>
  </si>
  <si>
    <t>상도리</t>
    <phoneticPr fontId="18" type="noConversion"/>
  </si>
  <si>
    <t>대명리</t>
    <phoneticPr fontId="18" type="noConversion"/>
  </si>
  <si>
    <t>대우리</t>
    <phoneticPr fontId="18" type="noConversion"/>
  </si>
  <si>
    <t>대촌리</t>
    <phoneticPr fontId="18" type="noConversion"/>
  </si>
  <si>
    <t>학당리</t>
    <phoneticPr fontId="18" type="noConversion"/>
  </si>
  <si>
    <t>주곡리</t>
    <phoneticPr fontId="18" type="noConversion"/>
  </si>
  <si>
    <t>한천리</t>
    <phoneticPr fontId="18" type="noConversion"/>
  </si>
  <si>
    <t>숙진리</t>
    <phoneticPr fontId="18" type="noConversion"/>
  </si>
  <si>
    <t>부적면</t>
    <phoneticPr fontId="18" type="noConversion"/>
  </si>
  <si>
    <t>마구평리</t>
    <phoneticPr fontId="18" type="noConversion"/>
  </si>
  <si>
    <t>덕평리</t>
    <phoneticPr fontId="18" type="noConversion"/>
  </si>
  <si>
    <t>부황리</t>
    <phoneticPr fontId="18" type="noConversion"/>
  </si>
  <si>
    <t>외성리</t>
    <phoneticPr fontId="18" type="noConversion"/>
  </si>
  <si>
    <t>감곡리</t>
    <phoneticPr fontId="18" type="noConversion"/>
  </si>
  <si>
    <t>충곡리</t>
    <phoneticPr fontId="18" type="noConversion"/>
  </si>
  <si>
    <t>신풍리</t>
    <phoneticPr fontId="18" type="noConversion"/>
  </si>
  <si>
    <t>탑정리</t>
    <phoneticPr fontId="18" type="noConversion"/>
  </si>
  <si>
    <t>신교리</t>
    <phoneticPr fontId="18" type="noConversion"/>
  </si>
  <si>
    <t>반송리</t>
    <phoneticPr fontId="18" type="noConversion"/>
  </si>
  <si>
    <t>아호리</t>
    <phoneticPr fontId="18" type="noConversion"/>
  </si>
  <si>
    <t>부인리</t>
    <phoneticPr fontId="18" type="noConversion"/>
  </si>
  <si>
    <t>연산면</t>
    <phoneticPr fontId="18" type="noConversion"/>
  </si>
  <si>
    <t>화악리</t>
    <phoneticPr fontId="18" type="noConversion"/>
  </si>
  <si>
    <t>천호리</t>
    <phoneticPr fontId="18" type="noConversion"/>
  </si>
  <si>
    <t>송정리</t>
    <phoneticPr fontId="18" type="noConversion"/>
  </si>
  <si>
    <t>신암리</t>
    <phoneticPr fontId="18" type="noConversion"/>
  </si>
  <si>
    <t>연산리</t>
    <phoneticPr fontId="18" type="noConversion"/>
  </si>
  <si>
    <t>청동리</t>
    <phoneticPr fontId="18" type="noConversion"/>
  </si>
  <si>
    <t>고정리</t>
    <phoneticPr fontId="18" type="noConversion"/>
  </si>
  <si>
    <t>한전리</t>
    <phoneticPr fontId="18" type="noConversion"/>
  </si>
  <si>
    <t>임리</t>
    <phoneticPr fontId="18" type="noConversion"/>
  </si>
  <si>
    <t>관동리</t>
    <phoneticPr fontId="18" type="noConversion"/>
  </si>
  <si>
    <t>고양리</t>
    <phoneticPr fontId="18" type="noConversion"/>
  </si>
  <si>
    <t>표정리</t>
    <phoneticPr fontId="18" type="noConversion"/>
  </si>
  <si>
    <t>덕암리</t>
    <phoneticPr fontId="18" type="noConversion"/>
  </si>
  <si>
    <t>장전리</t>
    <phoneticPr fontId="18" type="noConversion"/>
  </si>
  <si>
    <t>백석리</t>
    <phoneticPr fontId="18" type="noConversion"/>
  </si>
  <si>
    <t>어은리</t>
    <phoneticPr fontId="18" type="noConversion"/>
  </si>
  <si>
    <t>사포리</t>
    <phoneticPr fontId="18" type="noConversion"/>
  </si>
  <si>
    <t>송산리</t>
    <phoneticPr fontId="18" type="noConversion"/>
  </si>
  <si>
    <t>오산리</t>
    <phoneticPr fontId="18" type="noConversion"/>
  </si>
  <si>
    <t>신양리</t>
    <phoneticPr fontId="18" type="noConversion"/>
  </si>
  <si>
    <t>벌곡면</t>
    <phoneticPr fontId="18" type="noConversion"/>
  </si>
  <si>
    <t>한삼천리</t>
    <phoneticPr fontId="18" type="noConversion"/>
  </si>
  <si>
    <t>덕목리</t>
    <phoneticPr fontId="18" type="noConversion"/>
  </si>
  <si>
    <t>사정리</t>
    <phoneticPr fontId="18" type="noConversion"/>
  </si>
  <si>
    <t>대덕리</t>
    <phoneticPr fontId="18" type="noConversion"/>
  </si>
  <si>
    <t>검천리</t>
    <phoneticPr fontId="18" type="noConversion"/>
  </si>
  <si>
    <t>덕곡리</t>
    <phoneticPr fontId="18" type="noConversion"/>
  </si>
  <si>
    <t>수락리</t>
    <phoneticPr fontId="18" type="noConversion"/>
  </si>
  <si>
    <t>도산리</t>
    <phoneticPr fontId="18" type="noConversion"/>
  </si>
  <si>
    <t>만목리</t>
    <phoneticPr fontId="18" type="noConversion"/>
  </si>
  <si>
    <t>어곡리</t>
    <phoneticPr fontId="18" type="noConversion"/>
  </si>
  <si>
    <t>조동리</t>
    <phoneticPr fontId="18" type="noConversion"/>
  </si>
  <si>
    <t>조령리</t>
    <phoneticPr fontId="18" type="noConversion"/>
  </si>
  <si>
    <t>양산리</t>
    <phoneticPr fontId="18" type="noConversion"/>
  </si>
  <si>
    <t>양촌면</t>
    <phoneticPr fontId="18" type="noConversion"/>
  </si>
  <si>
    <t>인천리</t>
    <phoneticPr fontId="18" type="noConversion"/>
  </si>
  <si>
    <t>도평리</t>
    <phoneticPr fontId="18" type="noConversion"/>
  </si>
  <si>
    <t>임화리</t>
    <phoneticPr fontId="18" type="noConversion"/>
  </si>
  <si>
    <t>양촌리</t>
    <phoneticPr fontId="18" type="noConversion"/>
  </si>
  <si>
    <t>신기리</t>
    <phoneticPr fontId="18" type="noConversion"/>
  </si>
  <si>
    <t>채광리</t>
    <phoneticPr fontId="18" type="noConversion"/>
  </si>
  <si>
    <t>반암리</t>
    <phoneticPr fontId="18" type="noConversion"/>
  </si>
  <si>
    <t>산직리</t>
    <phoneticPr fontId="18" type="noConversion"/>
  </si>
  <si>
    <t>모촌리</t>
    <phoneticPr fontId="18" type="noConversion"/>
  </si>
  <si>
    <t>신흥리</t>
    <phoneticPr fontId="18" type="noConversion"/>
  </si>
  <si>
    <t>거사리</t>
    <phoneticPr fontId="18" type="noConversion"/>
  </si>
  <si>
    <t>반곡리</t>
    <phoneticPr fontId="18" type="noConversion"/>
  </si>
  <si>
    <t>명암리</t>
    <phoneticPr fontId="18" type="noConversion"/>
  </si>
  <si>
    <t>석서리</t>
    <phoneticPr fontId="18" type="noConversion"/>
  </si>
  <si>
    <t>중산리</t>
    <phoneticPr fontId="18" type="noConversion"/>
  </si>
  <si>
    <t>가야곡면</t>
    <phoneticPr fontId="18" type="noConversion"/>
  </si>
  <si>
    <t>육곡리</t>
    <phoneticPr fontId="18" type="noConversion"/>
  </si>
  <si>
    <t>강청리</t>
    <phoneticPr fontId="18" type="noConversion"/>
  </si>
  <si>
    <t>목곡리</t>
    <phoneticPr fontId="18" type="noConversion"/>
  </si>
  <si>
    <t>함적리</t>
    <phoneticPr fontId="18" type="noConversion"/>
  </si>
  <si>
    <t>산노리</t>
    <phoneticPr fontId="18" type="noConversion"/>
  </si>
  <si>
    <t>병암리</t>
    <phoneticPr fontId="18" type="noConversion"/>
  </si>
  <si>
    <t>조정리</t>
    <phoneticPr fontId="18" type="noConversion"/>
  </si>
  <si>
    <t>등리</t>
    <phoneticPr fontId="18" type="noConversion"/>
  </si>
  <si>
    <t>종연리</t>
    <phoneticPr fontId="18" type="noConversion"/>
  </si>
  <si>
    <t>두월리</t>
    <phoneticPr fontId="18" type="noConversion"/>
  </si>
  <si>
    <t>야촌리</t>
    <phoneticPr fontId="18" type="noConversion"/>
  </si>
  <si>
    <t>왕암리</t>
    <phoneticPr fontId="18" type="noConversion"/>
  </si>
  <si>
    <t>삼전리</t>
    <phoneticPr fontId="18" type="noConversion"/>
  </si>
  <si>
    <t>연서리</t>
    <phoneticPr fontId="18" type="noConversion"/>
  </si>
  <si>
    <t>토양리</t>
    <phoneticPr fontId="18" type="noConversion"/>
  </si>
  <si>
    <t>시묘리</t>
    <phoneticPr fontId="18" type="noConversion"/>
  </si>
  <si>
    <t>용산리</t>
    <phoneticPr fontId="18" type="noConversion"/>
  </si>
  <si>
    <t>와야리</t>
    <phoneticPr fontId="18" type="noConversion"/>
  </si>
  <si>
    <t>성덕리</t>
    <phoneticPr fontId="18" type="noConversion"/>
  </si>
  <si>
    <t>성평리</t>
    <phoneticPr fontId="18" type="noConversion"/>
  </si>
  <si>
    <t>삼거리</t>
    <phoneticPr fontId="18" type="noConversion"/>
  </si>
  <si>
    <t>장화리</t>
    <phoneticPr fontId="18" type="noConversion"/>
  </si>
  <si>
    <t>동지역원단위</t>
    <phoneticPr fontId="3" type="noConversion"/>
  </si>
  <si>
    <t>금 회 계 획</t>
    <phoneticPr fontId="3" type="noConversion"/>
  </si>
  <si>
    <t>2015년</t>
    <phoneticPr fontId="3" type="noConversion"/>
  </si>
  <si>
    <t>2020년</t>
    <phoneticPr fontId="3" type="noConversion"/>
  </si>
  <si>
    <t>2025년</t>
    <phoneticPr fontId="3" type="noConversion"/>
  </si>
  <si>
    <t>2030년</t>
    <phoneticPr fontId="3" type="noConversion"/>
  </si>
  <si>
    <t>논산시</t>
    <phoneticPr fontId="3" type="noConversion"/>
  </si>
  <si>
    <t>강경읍</t>
    <phoneticPr fontId="3" type="noConversion"/>
  </si>
  <si>
    <t>연무읍</t>
    <phoneticPr fontId="3" type="noConversion"/>
  </si>
  <si>
    <t>성동면</t>
    <phoneticPr fontId="3" type="noConversion"/>
  </si>
  <si>
    <t>광석면</t>
    <phoneticPr fontId="3" type="noConversion"/>
  </si>
  <si>
    <t>노성면</t>
    <phoneticPr fontId="3" type="noConversion"/>
  </si>
  <si>
    <t>상월면</t>
    <phoneticPr fontId="3" type="noConversion"/>
  </si>
  <si>
    <t>부적면</t>
    <phoneticPr fontId="3" type="noConversion"/>
  </si>
  <si>
    <t>연산면</t>
    <phoneticPr fontId="3" type="noConversion"/>
  </si>
  <si>
    <t>벌곡면</t>
    <phoneticPr fontId="3" type="noConversion"/>
  </si>
  <si>
    <t>양촌면</t>
    <phoneticPr fontId="3" type="noConversion"/>
  </si>
  <si>
    <t>가야곡면</t>
    <phoneticPr fontId="3" type="noConversion"/>
  </si>
  <si>
    <t>은진면</t>
    <phoneticPr fontId="3" type="noConversion"/>
  </si>
  <si>
    <t>채운면</t>
    <phoneticPr fontId="3" type="noConversion"/>
  </si>
  <si>
    <t>취암동</t>
    <phoneticPr fontId="3" type="noConversion"/>
  </si>
  <si>
    <t>부창동</t>
    <phoneticPr fontId="3" type="noConversion"/>
  </si>
  <si>
    <t>1. 총괄 용수수요량</t>
    <phoneticPr fontId="18" type="noConversion"/>
  </si>
  <si>
    <t>2013년</t>
    <phoneticPr fontId="3" type="noConversion"/>
  </si>
  <si>
    <t xml:space="preserve"> 1) 읍면별, 용도별 용수수요량 집계</t>
    <phoneticPr fontId="18" type="noConversion"/>
  </si>
  <si>
    <t>1. 총괄 용수수요량</t>
    <phoneticPr fontId="18" type="noConversion"/>
  </si>
  <si>
    <t>구 분</t>
    <phoneticPr fontId="3" type="noConversion"/>
  </si>
  <si>
    <t>비 고</t>
    <phoneticPr fontId="3" type="noConversion"/>
  </si>
  <si>
    <t>생활용수</t>
    <phoneticPr fontId="3" type="noConversion"/>
  </si>
  <si>
    <t>계획인구
(인)</t>
    <phoneticPr fontId="3" type="noConversion"/>
  </si>
  <si>
    <t>급수보급율</t>
    <phoneticPr fontId="3" type="noConversion"/>
  </si>
  <si>
    <t>급수인구</t>
    <phoneticPr fontId="3" type="noConversion"/>
  </si>
  <si>
    <t>급수량
원단위</t>
    <phoneticPr fontId="3" type="noConversion"/>
  </si>
  <si>
    <t>일평균</t>
    <phoneticPr fontId="3" type="noConversion"/>
  </si>
  <si>
    <t>일최대</t>
    <phoneticPr fontId="3" type="noConversion"/>
  </si>
  <si>
    <t>계획급수량</t>
    <phoneticPr fontId="3" type="noConversion"/>
  </si>
  <si>
    <t>공업용수</t>
    <phoneticPr fontId="3" type="noConversion"/>
  </si>
  <si>
    <t>기타용수</t>
    <phoneticPr fontId="3" type="noConversion"/>
  </si>
  <si>
    <t>관광용수</t>
    <phoneticPr fontId="3" type="noConversion"/>
  </si>
  <si>
    <t>계(일최대)</t>
    <phoneticPr fontId="3" type="noConversion"/>
  </si>
  <si>
    <t>2009년</t>
    <phoneticPr fontId="3" type="noConversion"/>
  </si>
  <si>
    <t>2010년</t>
    <phoneticPr fontId="3" type="noConversion"/>
  </si>
  <si>
    <t>2011년</t>
    <phoneticPr fontId="3" type="noConversion"/>
  </si>
  <si>
    <t>2012년</t>
    <phoneticPr fontId="3" type="noConversion"/>
  </si>
  <si>
    <t>1월</t>
    <phoneticPr fontId="3" type="noConversion"/>
  </si>
  <si>
    <t>2월</t>
    <phoneticPr fontId="3" type="noConversion"/>
  </si>
  <si>
    <t>3월</t>
    <phoneticPr fontId="3" type="noConversion"/>
  </si>
  <si>
    <t>4월</t>
    <phoneticPr fontId="3" type="noConversion"/>
  </si>
  <si>
    <t>5월</t>
    <phoneticPr fontId="3" type="noConversion"/>
  </si>
  <si>
    <t>6월</t>
    <phoneticPr fontId="3" type="noConversion"/>
  </si>
  <si>
    <t>7월</t>
    <phoneticPr fontId="3" type="noConversion"/>
  </si>
  <si>
    <t>8월</t>
    <phoneticPr fontId="3" type="noConversion"/>
  </si>
  <si>
    <t>9월</t>
    <phoneticPr fontId="3" type="noConversion"/>
  </si>
  <si>
    <t>10월</t>
    <phoneticPr fontId="3" type="noConversion"/>
  </si>
  <si>
    <t>11월</t>
    <phoneticPr fontId="3" type="noConversion"/>
  </si>
  <si>
    <t>12월</t>
    <phoneticPr fontId="3" type="noConversion"/>
  </si>
  <si>
    <t>평균</t>
    <phoneticPr fontId="3" type="noConversion"/>
  </si>
  <si>
    <t>일최대</t>
    <phoneticPr fontId="3" type="noConversion"/>
  </si>
  <si>
    <t>2013년</t>
    <phoneticPr fontId="3" type="noConversion"/>
  </si>
  <si>
    <t>적용</t>
    <phoneticPr fontId="3" type="noConversion"/>
  </si>
  <si>
    <t>구    분</t>
    <phoneticPr fontId="18" type="noConversion"/>
  </si>
  <si>
    <t>유치업종</t>
    <phoneticPr fontId="18" type="noConversion"/>
  </si>
  <si>
    <t>부지면적
(천㎡)</t>
    <phoneticPr fontId="18" type="noConversion"/>
  </si>
  <si>
    <t>종사자수
(명)</t>
    <phoneticPr fontId="18" type="noConversion"/>
  </si>
  <si>
    <t>원단위</t>
    <phoneticPr fontId="18" type="noConversion"/>
  </si>
  <si>
    <t>용수량</t>
    <phoneticPr fontId="18" type="noConversion"/>
  </si>
  <si>
    <t>비고</t>
    <phoneticPr fontId="18" type="noConversion"/>
  </si>
  <si>
    <t>상수도 수요량</t>
    <phoneticPr fontId="3" type="noConversion"/>
  </si>
  <si>
    <t>산업입지 원단위</t>
    <phoneticPr fontId="3" type="noConversion"/>
  </si>
  <si>
    <t>공업원단위
(㎥/천㎡*일)</t>
    <phoneticPr fontId="18" type="noConversion"/>
  </si>
  <si>
    <t>생활원단위
(LPCD)</t>
    <phoneticPr fontId="18" type="noConversion"/>
  </si>
  <si>
    <t>공업용수량
(㎥/일)</t>
    <phoneticPr fontId="18" type="noConversion"/>
  </si>
  <si>
    <t>생활용수량
(㎥/일)</t>
    <phoneticPr fontId="18" type="noConversion"/>
  </si>
  <si>
    <t>합    계</t>
    <phoneticPr fontId="18" type="noConversion"/>
  </si>
  <si>
    <t>-</t>
    <phoneticPr fontId="18" type="noConversion"/>
  </si>
  <si>
    <t>양지 제2농공단지</t>
    <phoneticPr fontId="18" type="noConversion"/>
  </si>
  <si>
    <t>합   계</t>
    <phoneticPr fontId="18" type="noConversion"/>
  </si>
  <si>
    <t>생활원단위</t>
    <phoneticPr fontId="18" type="noConversion"/>
  </si>
  <si>
    <t>C25 금속가공제품; 기계 및 가구 제외</t>
  </si>
  <si>
    <t>단위급수량</t>
    <phoneticPr fontId="18" type="noConversion"/>
  </si>
  <si>
    <t>동산일반산업단지</t>
    <phoneticPr fontId="18" type="noConversion"/>
  </si>
  <si>
    <t xml:space="preserve">공장 </t>
    <phoneticPr fontId="18" type="noConversion"/>
  </si>
  <si>
    <t>60~100</t>
    <phoneticPr fontId="18" type="noConversion"/>
  </si>
  <si>
    <t>적용</t>
    <phoneticPr fontId="18" type="noConversion"/>
  </si>
  <si>
    <t>C26 전자부품,컴퓨터,영상,음향및통신장비</t>
  </si>
  <si>
    <t>C29 기타 기계 및 장비</t>
  </si>
  <si>
    <t>C17 펄프, 종이 및 종이제품</t>
  </si>
  <si>
    <t>C22 고무제품 및 플라스틱제품</t>
  </si>
  <si>
    <t xml:space="preserve">C23 비금속 광물제품 </t>
  </si>
  <si>
    <t xml:space="preserve">C31 기타 운송장비 </t>
  </si>
  <si>
    <t>강경 농공단지</t>
    <phoneticPr fontId="18" type="noConversion"/>
  </si>
  <si>
    <t xml:space="preserve">C10 식료품 </t>
  </si>
  <si>
    <t>가야곡2 농공단지</t>
    <phoneticPr fontId="18" type="noConversion"/>
  </si>
  <si>
    <t xml:space="preserve">C24 1차 금속 </t>
  </si>
  <si>
    <t xml:space="preserve">C27 의료, 정밀, 광학기기 및 시계 </t>
  </si>
  <si>
    <t>C30 자동차 및 트레일러</t>
  </si>
  <si>
    <t>노성특화 농공단지</t>
    <phoneticPr fontId="18" type="noConversion"/>
  </si>
  <si>
    <t>생활원단위 : 상수도 시설기준 건물의 종류별 단위급수량 사용인원표 참조</t>
    <phoneticPr fontId="18" type="noConversion"/>
  </si>
  <si>
    <t>합계</t>
    <phoneticPr fontId="3" type="noConversion"/>
  </si>
  <si>
    <t xml:space="preserve"> 1) 업체별 용수수요량</t>
    <phoneticPr fontId="18" type="noConversion"/>
  </si>
  <si>
    <t>신송산업</t>
    <phoneticPr fontId="3" type="noConversion"/>
  </si>
  <si>
    <t xml:space="preserve"> 3) 계획 산업단지 용수량 산정</t>
    <phoneticPr fontId="18" type="noConversion"/>
  </si>
  <si>
    <t xml:space="preserve"> 4) 기존공장 용수량</t>
    <phoneticPr fontId="18" type="noConversion"/>
  </si>
  <si>
    <t>논산1산단</t>
    <phoneticPr fontId="3" type="noConversion"/>
  </si>
  <si>
    <t>논산2산단</t>
    <phoneticPr fontId="3" type="noConversion"/>
  </si>
  <si>
    <t>일간
사용량
(㎥/일)</t>
    <phoneticPr fontId="3" type="noConversion"/>
  </si>
  <si>
    <t>년간
사용량
(㎥/년)</t>
    <phoneticPr fontId="3" type="noConversion"/>
  </si>
  <si>
    <t>단계</t>
    <phoneticPr fontId="3" type="noConversion"/>
  </si>
  <si>
    <t>위치</t>
    <phoneticPr fontId="3" type="noConversion"/>
  </si>
  <si>
    <t>3. 논산시 공업용수 수요량</t>
    <phoneticPr fontId="18" type="noConversion"/>
  </si>
  <si>
    <t>구     분</t>
    <phoneticPr fontId="3" type="noConversion"/>
  </si>
  <si>
    <t>비    고</t>
    <phoneticPr fontId="3" type="noConversion"/>
  </si>
  <si>
    <t>총    계</t>
    <phoneticPr fontId="18" type="noConversion"/>
  </si>
  <si>
    <t>논산시 가야곡면                탑정지 일원</t>
    <phoneticPr fontId="18" type="noConversion"/>
  </si>
  <si>
    <t>계</t>
    <phoneticPr fontId="18" type="noConversion"/>
  </si>
  <si>
    <t>-</t>
    <phoneticPr fontId="18" type="noConversion"/>
  </si>
  <si>
    <t>일귀객(일)</t>
    <phoneticPr fontId="18" type="noConversion"/>
  </si>
  <si>
    <t>숙박객(일)</t>
    <phoneticPr fontId="18" type="noConversion"/>
  </si>
  <si>
    <t>문화예술회관</t>
    <phoneticPr fontId="18" type="noConversion"/>
  </si>
  <si>
    <t>거울못</t>
    <phoneticPr fontId="18" type="noConversion"/>
  </si>
  <si>
    <t>중앙광장</t>
    <phoneticPr fontId="18" type="noConversion"/>
  </si>
  <si>
    <t>어린이물놀이터</t>
    <phoneticPr fontId="18" type="noConversion"/>
  </si>
  <si>
    <t>벽천광장</t>
    <phoneticPr fontId="18" type="noConversion"/>
  </si>
  <si>
    <t>화장실1</t>
    <phoneticPr fontId="18" type="noConversion"/>
  </si>
  <si>
    <t>화장실2</t>
    <phoneticPr fontId="18" type="noConversion"/>
  </si>
  <si>
    <t>딸기향 공원 예상관광객 추정</t>
    <phoneticPr fontId="18" type="noConversion"/>
  </si>
  <si>
    <t>구분</t>
    <phoneticPr fontId="18" type="noConversion"/>
  </si>
  <si>
    <t>인구</t>
    <phoneticPr fontId="18" type="noConversion"/>
  </si>
  <si>
    <t>비고</t>
    <phoneticPr fontId="18" type="noConversion"/>
  </si>
  <si>
    <t>예상방문객수(년)</t>
    <phoneticPr fontId="18" type="noConversion"/>
  </si>
  <si>
    <t>최대일 이용객</t>
    <phoneticPr fontId="18" type="noConversion"/>
  </si>
  <si>
    <t>위치</t>
    <phoneticPr fontId="18" type="noConversion"/>
  </si>
  <si>
    <t>4. 논산시 관광용수 수요량</t>
    <phoneticPr fontId="18" type="noConversion"/>
  </si>
  <si>
    <t>최대일률 : 4계절(1/100)</t>
    <phoneticPr fontId="18" type="noConversion"/>
  </si>
  <si>
    <t>인 구 (인)</t>
    <phoneticPr fontId="3" type="noConversion"/>
  </si>
  <si>
    <t>용수량(㎥/일)</t>
    <phoneticPr fontId="3" type="noConversion"/>
  </si>
  <si>
    <t>1. 탑정호 
   수변개발사업</t>
    <phoneticPr fontId="18" type="noConversion"/>
  </si>
  <si>
    <t>탑정지 수변개발사업 
예비타당성 사전검토서                     
(2012.12)</t>
    <phoneticPr fontId="18" type="noConversion"/>
  </si>
  <si>
    <t>2. 논산 도시숲
   (시민공원)조성사업</t>
    <phoneticPr fontId="18" type="noConversion"/>
  </si>
  <si>
    <t>적용 원단위 : 
건축물의 용도별 오수발생량 
산정방법 적용 (환경부)</t>
    <phoneticPr fontId="18" type="noConversion"/>
  </si>
  <si>
    <t>논산시 부적면 
충곡리 일원</t>
    <phoneticPr fontId="18" type="noConversion"/>
  </si>
  <si>
    <t>딸기향 농촌테마공원 
조성사업 기본계획           
(2013.08, 논산시)</t>
    <phoneticPr fontId="18" type="noConversion"/>
  </si>
  <si>
    <t>논산시 관촉동 
296-1 일원
(취암동)</t>
    <phoneticPr fontId="18" type="noConversion"/>
  </si>
  <si>
    <t>국가하천</t>
    <phoneticPr fontId="3" type="noConversion"/>
  </si>
  <si>
    <t>논산천</t>
    <phoneticPr fontId="3" type="noConversion"/>
  </si>
  <si>
    <t>노성천</t>
    <phoneticPr fontId="3" type="noConversion"/>
  </si>
  <si>
    <t>금강</t>
    <phoneticPr fontId="3" type="noConversion"/>
  </si>
  <si>
    <t>강경천</t>
    <phoneticPr fontId="3" type="noConversion"/>
  </si>
  <si>
    <t>본류</t>
    <phoneticPr fontId="3" type="noConversion"/>
  </si>
  <si>
    <t>1지류</t>
    <phoneticPr fontId="3" type="noConversion"/>
  </si>
  <si>
    <t>2지류</t>
    <phoneticPr fontId="3" type="noConversion"/>
  </si>
  <si>
    <t>3지류</t>
    <phoneticPr fontId="3" type="noConversion"/>
  </si>
  <si>
    <t>4지류</t>
    <phoneticPr fontId="3" type="noConversion"/>
  </si>
  <si>
    <t>5지류</t>
    <phoneticPr fontId="3" type="noConversion"/>
  </si>
  <si>
    <t>지방하천</t>
    <phoneticPr fontId="3" type="noConversion"/>
  </si>
  <si>
    <t>갑천</t>
    <phoneticPr fontId="3" type="noConversion"/>
  </si>
  <si>
    <t>검천천</t>
    <phoneticPr fontId="3" type="noConversion"/>
  </si>
  <si>
    <t>어곡천</t>
    <phoneticPr fontId="3" type="noConversion"/>
  </si>
  <si>
    <t>오산천</t>
    <phoneticPr fontId="3" type="noConversion"/>
  </si>
  <si>
    <t>양촌천</t>
    <phoneticPr fontId="3" type="noConversion"/>
  </si>
  <si>
    <t>입촌천</t>
    <phoneticPr fontId="3" type="noConversion"/>
  </si>
  <si>
    <t>장성천</t>
    <phoneticPr fontId="3" type="noConversion"/>
  </si>
  <si>
    <t>웅천</t>
    <phoneticPr fontId="3" type="noConversion"/>
  </si>
  <si>
    <t>명암천</t>
    <phoneticPr fontId="3" type="noConversion"/>
  </si>
  <si>
    <t>왕암천</t>
    <phoneticPr fontId="3" type="noConversion"/>
  </si>
  <si>
    <t>중교천</t>
    <phoneticPr fontId="3" type="noConversion"/>
  </si>
  <si>
    <t>월산천</t>
    <phoneticPr fontId="3" type="noConversion"/>
  </si>
  <si>
    <t>주천</t>
    <phoneticPr fontId="3" type="noConversion"/>
  </si>
  <si>
    <t>대명천</t>
    <phoneticPr fontId="3" type="noConversion"/>
  </si>
  <si>
    <t>대촌천</t>
    <phoneticPr fontId="3" type="noConversion"/>
  </si>
  <si>
    <t>옥천</t>
    <phoneticPr fontId="3" type="noConversion"/>
  </si>
  <si>
    <t>신암천</t>
    <phoneticPr fontId="3" type="noConversion"/>
  </si>
  <si>
    <t>연산천</t>
    <phoneticPr fontId="3" type="noConversion"/>
  </si>
  <si>
    <t>왕덕천</t>
    <phoneticPr fontId="3" type="noConversion"/>
  </si>
  <si>
    <t>방축천</t>
    <phoneticPr fontId="3" type="noConversion"/>
  </si>
  <si>
    <t>시묘천</t>
    <phoneticPr fontId="3" type="noConversion"/>
  </si>
  <si>
    <t>신양천</t>
    <phoneticPr fontId="3" type="noConversion"/>
  </si>
  <si>
    <t>마산천</t>
    <phoneticPr fontId="3" type="noConversion"/>
  </si>
  <si>
    <t>황화천</t>
    <phoneticPr fontId="3" type="noConversion"/>
  </si>
  <si>
    <t>수철천</t>
    <phoneticPr fontId="3" type="noConversion"/>
  </si>
  <si>
    <t>하천</t>
    <phoneticPr fontId="3" type="noConversion"/>
  </si>
  <si>
    <t>유로</t>
    <phoneticPr fontId="3" type="noConversion"/>
  </si>
  <si>
    <t>연장</t>
    <phoneticPr fontId="3" type="noConversion"/>
  </si>
  <si>
    <t>석성천</t>
    <phoneticPr fontId="3" type="noConversion"/>
  </si>
  <si>
    <t>금강</t>
    <phoneticPr fontId="3" type="noConversion"/>
  </si>
  <si>
    <t>석성천</t>
    <phoneticPr fontId="3" type="noConversion"/>
  </si>
  <si>
    <t>노티천</t>
    <phoneticPr fontId="3" type="noConversion"/>
  </si>
  <si>
    <t>덕포천</t>
    <phoneticPr fontId="3" type="noConversion"/>
  </si>
  <si>
    <t>합계</t>
    <phoneticPr fontId="3" type="noConversion"/>
  </si>
  <si>
    <t>주거시설</t>
    <phoneticPr fontId="3" type="noConversion"/>
  </si>
  <si>
    <t>지원시설</t>
    <phoneticPr fontId="3" type="noConversion"/>
  </si>
  <si>
    <t>양촌리-</t>
    <phoneticPr fontId="18" type="noConversion"/>
  </si>
  <si>
    <t>화정리-</t>
    <phoneticPr fontId="18" type="noConversion"/>
  </si>
  <si>
    <t>광 리</t>
    <phoneticPr fontId="18" type="noConversion"/>
  </si>
  <si>
    <t>교촌리-</t>
    <phoneticPr fontId="18" type="noConversion"/>
  </si>
  <si>
    <t>신양리-</t>
    <phoneticPr fontId="18" type="noConversion"/>
  </si>
  <si>
    <t>남산리-</t>
    <phoneticPr fontId="18" type="noConversion"/>
  </si>
  <si>
    <t>오산리-</t>
    <phoneticPr fontId="18" type="noConversion"/>
  </si>
  <si>
    <t>국방대</t>
    <phoneticPr fontId="3" type="noConversion"/>
  </si>
  <si>
    <t>가야곡</t>
    <phoneticPr fontId="3" type="noConversion"/>
  </si>
  <si>
    <t>동산</t>
    <phoneticPr fontId="3" type="noConversion"/>
  </si>
  <si>
    <t>양지</t>
    <phoneticPr fontId="3" type="noConversion"/>
  </si>
  <si>
    <t>연무</t>
    <phoneticPr fontId="3" type="noConversion"/>
  </si>
  <si>
    <t>은진</t>
    <phoneticPr fontId="3" type="noConversion"/>
  </si>
  <si>
    <t>빙그레,진주햄</t>
    <phoneticPr fontId="3" type="noConversion"/>
  </si>
  <si>
    <t>용수량</t>
    <phoneticPr fontId="3" type="noConversion"/>
  </si>
  <si>
    <t xml:space="preserve"> 2) 행정구역별 용수수요량</t>
    <phoneticPr fontId="18" type="noConversion"/>
  </si>
  <si>
    <t>급수인구</t>
    <phoneticPr fontId="3" type="noConversion"/>
  </si>
  <si>
    <t>일최대원단위</t>
    <phoneticPr fontId="3" type="noConversion"/>
  </si>
  <si>
    <t>생활용수량</t>
    <phoneticPr fontId="3" type="noConversion"/>
  </si>
  <si>
    <t>1. 배분계획량</t>
  </si>
  <si>
    <t>수자원공사</t>
  </si>
  <si>
    <t>2. 용수수요량</t>
  </si>
  <si>
    <t>3. 과부족량</t>
  </si>
  <si>
    <t>4. 급수구역</t>
  </si>
  <si>
    <t>연도</t>
    <phoneticPr fontId="3" type="noConversion"/>
  </si>
  <si>
    <t>부족량</t>
    <phoneticPr fontId="3" type="noConversion"/>
  </si>
  <si>
    <t>용수공급</t>
    <phoneticPr fontId="3" type="noConversion"/>
  </si>
  <si>
    <t>비고</t>
    <phoneticPr fontId="3" type="noConversion"/>
  </si>
  <si>
    <t>저감</t>
    <phoneticPr fontId="3" type="noConversion"/>
  </si>
  <si>
    <t>증대</t>
    <phoneticPr fontId="3" type="noConversion"/>
  </si>
  <si>
    <t xml:space="preserve"> 6) 기존공장 용수량 적용</t>
    <phoneticPr fontId="18" type="noConversion"/>
  </si>
  <si>
    <t xml:space="preserve"> 5) 자체수원 사용업체</t>
    <phoneticPr fontId="18" type="noConversion"/>
  </si>
  <si>
    <t>한국야쿠르트</t>
    <phoneticPr fontId="3" type="noConversion"/>
  </si>
  <si>
    <t>정수</t>
    <phoneticPr fontId="3" type="noConversion"/>
  </si>
  <si>
    <t>침전수</t>
    <phoneticPr fontId="3" type="noConversion"/>
  </si>
  <si>
    <t>합계</t>
    <phoneticPr fontId="3" type="noConversion"/>
  </si>
  <si>
    <t>정수</t>
    <phoneticPr fontId="3" type="noConversion"/>
  </si>
  <si>
    <t>침전수</t>
    <phoneticPr fontId="3" type="noConversion"/>
  </si>
  <si>
    <t>기존</t>
    <phoneticPr fontId="3" type="noConversion"/>
  </si>
  <si>
    <t>소계</t>
    <phoneticPr fontId="3" type="noConversion"/>
  </si>
  <si>
    <t>가야곡 농공단지</t>
    <phoneticPr fontId="3" type="noConversion"/>
  </si>
  <si>
    <t>가야곡면</t>
    <phoneticPr fontId="3" type="noConversion"/>
  </si>
  <si>
    <t>동산 농공단지</t>
    <phoneticPr fontId="3" type="noConversion"/>
  </si>
  <si>
    <t>연무읍</t>
    <phoneticPr fontId="3" type="noConversion"/>
  </si>
  <si>
    <t>양지 농공단지</t>
    <phoneticPr fontId="3" type="noConversion"/>
  </si>
  <si>
    <t>연무 농공단지</t>
    <phoneticPr fontId="3" type="noConversion"/>
  </si>
  <si>
    <t>은진 농공단지</t>
    <phoneticPr fontId="3" type="noConversion"/>
  </si>
  <si>
    <t>은진면</t>
    <phoneticPr fontId="3" type="noConversion"/>
  </si>
  <si>
    <t>논산 제1일반산업단지</t>
    <phoneticPr fontId="3" type="noConversion"/>
  </si>
  <si>
    <t>성동면</t>
    <phoneticPr fontId="3" type="noConversion"/>
  </si>
  <si>
    <t>논산 제2일반산업단지</t>
    <phoneticPr fontId="3" type="noConversion"/>
  </si>
  <si>
    <t>신송산업</t>
    <phoneticPr fontId="3" type="noConversion"/>
  </si>
  <si>
    <t>광석면</t>
    <phoneticPr fontId="3" type="noConversion"/>
  </si>
  <si>
    <t>계획</t>
    <phoneticPr fontId="3" type="noConversion"/>
  </si>
  <si>
    <t>양지 제2농공단지</t>
    <phoneticPr fontId="3" type="noConversion"/>
  </si>
  <si>
    <t>동산 일반산업단지</t>
    <phoneticPr fontId="3" type="noConversion"/>
  </si>
  <si>
    <t>강경 농공단지</t>
    <phoneticPr fontId="3" type="noConversion"/>
  </si>
  <si>
    <t>강경읍</t>
    <phoneticPr fontId="3" type="noConversion"/>
  </si>
  <si>
    <t>가야곡2 농공단지</t>
    <phoneticPr fontId="3" type="noConversion"/>
  </si>
  <si>
    <t>노성특화 농공단지</t>
    <phoneticPr fontId="3" type="noConversion"/>
  </si>
  <si>
    <t>노성면</t>
    <phoneticPr fontId="3" type="noConversion"/>
  </si>
  <si>
    <t>한국야쿠르트
(지하수)
(㎥/일)</t>
    <phoneticPr fontId="3" type="noConversion"/>
  </si>
  <si>
    <t>부지면적
(천㎡)</t>
    <phoneticPr fontId="3" type="noConversion"/>
  </si>
  <si>
    <t>종사자수
(명)</t>
    <phoneticPr fontId="3" type="noConversion"/>
  </si>
  <si>
    <t>업종</t>
    <phoneticPr fontId="3" type="noConversion"/>
  </si>
  <si>
    <t>원단위</t>
    <phoneticPr fontId="3" type="noConversion"/>
  </si>
  <si>
    <t>용수량(㎥/일)</t>
    <phoneticPr fontId="18" type="noConversion"/>
  </si>
  <si>
    <t>생활용수량</t>
    <phoneticPr fontId="18" type="noConversion"/>
  </si>
  <si>
    <t>공업용수량</t>
    <phoneticPr fontId="18" type="noConversion"/>
  </si>
  <si>
    <t>소계</t>
    <phoneticPr fontId="3" type="noConversion"/>
  </si>
  <si>
    <t>지하수대장
(㎥/일)</t>
    <phoneticPr fontId="3" type="noConversion"/>
  </si>
  <si>
    <t>비고</t>
    <phoneticPr fontId="3" type="noConversion"/>
  </si>
  <si>
    <t>수요량</t>
    <phoneticPr fontId="3" type="noConversion"/>
  </si>
  <si>
    <t>실사용량</t>
    <phoneticPr fontId="3" type="noConversion"/>
  </si>
  <si>
    <t>유수율</t>
    <phoneticPr fontId="3" type="noConversion"/>
  </si>
  <si>
    <t>용수수요량</t>
    <phoneticPr fontId="3" type="noConversion"/>
  </si>
  <si>
    <t>합계</t>
    <phoneticPr fontId="3" type="noConversion"/>
  </si>
  <si>
    <t>계</t>
    <phoneticPr fontId="3" type="noConversion"/>
  </si>
  <si>
    <t>구분</t>
    <phoneticPr fontId="35" type="noConversion"/>
  </si>
  <si>
    <t>비고</t>
    <phoneticPr fontId="35" type="noConversion"/>
  </si>
  <si>
    <t>계</t>
    <phoneticPr fontId="35" type="noConversion"/>
  </si>
  <si>
    <t>정수</t>
    <phoneticPr fontId="35" type="noConversion"/>
  </si>
  <si>
    <t>침전수</t>
    <phoneticPr fontId="35" type="noConversion"/>
  </si>
  <si>
    <t>합계</t>
    <phoneticPr fontId="35" type="noConversion"/>
  </si>
  <si>
    <t>가야곡 농단</t>
    <phoneticPr fontId="35" type="noConversion"/>
  </si>
  <si>
    <t>양지 농단</t>
    <phoneticPr fontId="35" type="noConversion"/>
  </si>
  <si>
    <t>연무 농단</t>
    <phoneticPr fontId="35" type="noConversion"/>
  </si>
  <si>
    <t>연산 농단</t>
    <phoneticPr fontId="35" type="noConversion"/>
  </si>
  <si>
    <t>은진 농단</t>
    <phoneticPr fontId="35" type="noConversion"/>
  </si>
  <si>
    <t>동산 농단</t>
    <phoneticPr fontId="35" type="noConversion"/>
  </si>
  <si>
    <t>논산1 산단</t>
    <phoneticPr fontId="35" type="noConversion"/>
  </si>
  <si>
    <t>논산2 산단</t>
    <phoneticPr fontId="35" type="noConversion"/>
  </si>
  <si>
    <t>신송 산단</t>
    <phoneticPr fontId="35" type="noConversion"/>
  </si>
  <si>
    <t>빙그레, 진주햄</t>
    <phoneticPr fontId="35" type="noConversion"/>
  </si>
  <si>
    <t>계획 산단</t>
    <phoneticPr fontId="35" type="noConversion"/>
  </si>
  <si>
    <t>양지 제2 농단</t>
    <phoneticPr fontId="35" type="noConversion"/>
  </si>
  <si>
    <t>동산 산단</t>
    <phoneticPr fontId="35" type="noConversion"/>
  </si>
  <si>
    <t>강경 산단</t>
    <phoneticPr fontId="35" type="noConversion"/>
  </si>
  <si>
    <t>가야곡2 농단</t>
    <phoneticPr fontId="35" type="noConversion"/>
  </si>
  <si>
    <t>노성특화 농단</t>
    <phoneticPr fontId="35" type="noConversion"/>
  </si>
  <si>
    <t xml:space="preserve"> 7) 전용공업용수(침전수) 사용(2013년)</t>
    <phoneticPr fontId="18" type="noConversion"/>
  </si>
  <si>
    <t>개별공장</t>
    <phoneticPr fontId="3" type="noConversion"/>
  </si>
  <si>
    <t>공업용수(㎥/일)</t>
    <phoneticPr fontId="35" type="noConversion"/>
  </si>
  <si>
    <t>적용 침전수
(㎥/일)</t>
    <phoneticPr fontId="3" type="noConversion"/>
  </si>
  <si>
    <t>적용 용수량
(㎥/일)</t>
    <phoneticPr fontId="3" type="noConversion"/>
  </si>
  <si>
    <t>기존 산단</t>
    <phoneticPr fontId="35" type="noConversion"/>
  </si>
  <si>
    <t xml:space="preserve"> 1) 육군훈련소 사용량</t>
    <phoneticPr fontId="18" type="noConversion"/>
  </si>
  <si>
    <t>계</t>
    <phoneticPr fontId="3" type="noConversion"/>
  </si>
  <si>
    <t>정수</t>
    <phoneticPr fontId="3" type="noConversion"/>
  </si>
  <si>
    <t>침전수</t>
    <phoneticPr fontId="3" type="noConversion"/>
  </si>
  <si>
    <t>합계</t>
    <phoneticPr fontId="3" type="noConversion"/>
  </si>
  <si>
    <t>구분</t>
    <phoneticPr fontId="35" type="noConversion"/>
  </si>
  <si>
    <t>지역
(숨김)</t>
    <phoneticPr fontId="35" type="noConversion"/>
  </si>
  <si>
    <t>급수인구</t>
    <phoneticPr fontId="35" type="noConversion"/>
  </si>
  <si>
    <t>원단위</t>
    <phoneticPr fontId="35" type="noConversion"/>
  </si>
  <si>
    <t>생활용수량</t>
    <phoneticPr fontId="35" type="noConversion"/>
  </si>
  <si>
    <t>논산 급수분구</t>
    <phoneticPr fontId="35" type="noConversion"/>
  </si>
  <si>
    <t>취암동</t>
    <phoneticPr fontId="35" type="noConversion"/>
  </si>
  <si>
    <t>동지역</t>
    <phoneticPr fontId="35" type="noConversion"/>
  </si>
  <si>
    <t>부창동</t>
    <phoneticPr fontId="35" type="noConversion"/>
  </si>
  <si>
    <t>은진면</t>
    <phoneticPr fontId="35" type="noConversion"/>
  </si>
  <si>
    <t>면지역</t>
    <phoneticPr fontId="35" type="noConversion"/>
  </si>
  <si>
    <t>비율
(숨김)</t>
    <phoneticPr fontId="3" type="noConversion"/>
  </si>
  <si>
    <t>등화동</t>
    <phoneticPr fontId="35" type="noConversion"/>
  </si>
  <si>
    <t>화지동</t>
    <phoneticPr fontId="35" type="noConversion"/>
  </si>
  <si>
    <t>내동</t>
    <phoneticPr fontId="35" type="noConversion"/>
  </si>
  <si>
    <t>취암동</t>
    <phoneticPr fontId="35" type="noConversion"/>
  </si>
  <si>
    <t>대교동</t>
    <phoneticPr fontId="35" type="noConversion"/>
  </si>
  <si>
    <t>부창동</t>
    <phoneticPr fontId="35" type="noConversion"/>
  </si>
  <si>
    <t>강산동</t>
    <phoneticPr fontId="35" type="noConversion"/>
  </si>
  <si>
    <t>반월동</t>
    <phoneticPr fontId="35" type="noConversion"/>
  </si>
  <si>
    <t>A</t>
    <phoneticPr fontId="3" type="noConversion"/>
  </si>
  <si>
    <t>B</t>
    <phoneticPr fontId="3" type="noConversion"/>
  </si>
  <si>
    <t>성평 3</t>
    <phoneticPr fontId="35" type="noConversion"/>
  </si>
  <si>
    <t>와야리</t>
    <phoneticPr fontId="3" type="noConversion"/>
  </si>
  <si>
    <t>교촌 1</t>
    <phoneticPr fontId="3" type="noConversion"/>
  </si>
  <si>
    <t>교촌 3</t>
    <phoneticPr fontId="3" type="noConversion"/>
  </si>
  <si>
    <t>연서 1</t>
    <phoneticPr fontId="3" type="noConversion"/>
  </si>
  <si>
    <t>연서 2</t>
  </si>
  <si>
    <t>연서 3</t>
  </si>
  <si>
    <t>용산 1</t>
    <phoneticPr fontId="3" type="noConversion"/>
  </si>
  <si>
    <t>용산 2</t>
  </si>
  <si>
    <t>용산 3</t>
  </si>
  <si>
    <t>토양 1</t>
    <phoneticPr fontId="3" type="noConversion"/>
  </si>
  <si>
    <t>토양 3</t>
    <phoneticPr fontId="3" type="noConversion"/>
  </si>
  <si>
    <t>시묘 1</t>
    <phoneticPr fontId="3" type="noConversion"/>
  </si>
  <si>
    <t>시묘 2</t>
  </si>
  <si>
    <t>시묘 3</t>
  </si>
  <si>
    <t>시묘 4</t>
  </si>
  <si>
    <t>면지역</t>
    <phoneticPr fontId="3" type="noConversion"/>
  </si>
  <si>
    <t>연무읍</t>
    <phoneticPr fontId="3" type="noConversion"/>
  </si>
  <si>
    <t>죽본 1</t>
    <phoneticPr fontId="3" type="noConversion"/>
  </si>
  <si>
    <t>죽본 2</t>
  </si>
  <si>
    <t>동산 1</t>
    <phoneticPr fontId="3" type="noConversion"/>
  </si>
  <si>
    <t>동산 2</t>
  </si>
  <si>
    <t>동산 3</t>
  </si>
  <si>
    <t>동산 4</t>
  </si>
  <si>
    <t>동산 5</t>
  </si>
  <si>
    <t>동산 6</t>
  </si>
  <si>
    <t>동산 7</t>
  </si>
  <si>
    <t>동산 9</t>
    <phoneticPr fontId="3" type="noConversion"/>
  </si>
  <si>
    <t>안심 7</t>
    <phoneticPr fontId="3" type="noConversion"/>
  </si>
  <si>
    <t>안심 8</t>
    <phoneticPr fontId="3" type="noConversion"/>
  </si>
  <si>
    <t>읍지역</t>
    <phoneticPr fontId="3" type="noConversion"/>
  </si>
  <si>
    <t>안심 1</t>
    <phoneticPr fontId="3" type="noConversion"/>
  </si>
  <si>
    <t>안심 2</t>
  </si>
  <si>
    <t>안심 3</t>
  </si>
  <si>
    <t>안심 4</t>
  </si>
  <si>
    <t>안심 5</t>
  </si>
  <si>
    <t>안심 6</t>
  </si>
  <si>
    <t>안심 9</t>
    <phoneticPr fontId="3" type="noConversion"/>
  </si>
  <si>
    <t>동산 8</t>
    <phoneticPr fontId="3" type="noConversion"/>
  </si>
  <si>
    <t>양지 1</t>
    <phoneticPr fontId="3" type="noConversion"/>
  </si>
  <si>
    <t>양지 2</t>
    <phoneticPr fontId="3" type="noConversion"/>
  </si>
  <si>
    <t>마산 1</t>
    <phoneticPr fontId="3" type="noConversion"/>
  </si>
  <si>
    <t>마산 2</t>
  </si>
  <si>
    <t>마산 3</t>
  </si>
  <si>
    <t>마산 4</t>
  </si>
  <si>
    <t>금곡 1</t>
    <phoneticPr fontId="3" type="noConversion"/>
  </si>
  <si>
    <t>금곡 2</t>
  </si>
  <si>
    <t>금곡 3</t>
  </si>
  <si>
    <t>금곡 4</t>
  </si>
  <si>
    <t>죽평 1</t>
    <phoneticPr fontId="3" type="noConversion"/>
  </si>
  <si>
    <t>죽평 2</t>
    <phoneticPr fontId="3" type="noConversion"/>
  </si>
  <si>
    <t>황화정 1</t>
    <phoneticPr fontId="3" type="noConversion"/>
  </si>
  <si>
    <t>황화정 2</t>
  </si>
  <si>
    <t>황화정 3</t>
  </si>
  <si>
    <t>황화정 4</t>
  </si>
  <si>
    <t>소룡리</t>
    <phoneticPr fontId="3" type="noConversion"/>
  </si>
  <si>
    <t>마전 1</t>
    <phoneticPr fontId="3" type="noConversion"/>
  </si>
  <si>
    <t>마전 2</t>
  </si>
  <si>
    <t>마전 3</t>
  </si>
  <si>
    <t>마전 4</t>
  </si>
  <si>
    <t>마전 5</t>
  </si>
  <si>
    <t>마전 6</t>
  </si>
  <si>
    <t>고내 1</t>
    <phoneticPr fontId="3" type="noConversion"/>
  </si>
  <si>
    <t>고내 2</t>
  </si>
  <si>
    <t>고내 3</t>
  </si>
  <si>
    <t>고내 4</t>
  </si>
  <si>
    <t>고내 5</t>
  </si>
  <si>
    <t>고내 6</t>
  </si>
  <si>
    <t>봉동 1</t>
    <phoneticPr fontId="3" type="noConversion"/>
  </si>
  <si>
    <t>봉동 2</t>
  </si>
  <si>
    <t>봉동 3</t>
  </si>
  <si>
    <t>봉동 4</t>
  </si>
  <si>
    <t>봉동 5</t>
  </si>
  <si>
    <t>봉동 6</t>
  </si>
  <si>
    <t>가야곡면</t>
    <phoneticPr fontId="3" type="noConversion"/>
  </si>
  <si>
    <t>야촌 1</t>
    <phoneticPr fontId="3" type="noConversion"/>
  </si>
  <si>
    <t>야촌 2</t>
  </si>
  <si>
    <t>야촌 3</t>
  </si>
  <si>
    <t>왕암 1</t>
    <phoneticPr fontId="3" type="noConversion"/>
  </si>
  <si>
    <t>왕암 2</t>
    <phoneticPr fontId="3" type="noConversion"/>
  </si>
  <si>
    <t>육곡 1</t>
    <phoneticPr fontId="3" type="noConversion"/>
  </si>
  <si>
    <t>육곡 2</t>
    <phoneticPr fontId="3" type="noConversion"/>
  </si>
  <si>
    <t>삼전 1</t>
    <phoneticPr fontId="3" type="noConversion"/>
  </si>
  <si>
    <t>삼전 2</t>
    <phoneticPr fontId="3" type="noConversion"/>
  </si>
  <si>
    <t xml:space="preserve"> ◈ 논산급수구역</t>
    <phoneticPr fontId="18" type="noConversion"/>
  </si>
  <si>
    <t>은진면</t>
    <phoneticPr fontId="3" type="noConversion"/>
  </si>
  <si>
    <t>성평 1</t>
    <phoneticPr fontId="3" type="noConversion"/>
  </si>
  <si>
    <t>성평 2</t>
  </si>
  <si>
    <t>성덕리</t>
    <phoneticPr fontId="3" type="noConversion"/>
  </si>
  <si>
    <t>종연 1</t>
    <phoneticPr fontId="3" type="noConversion"/>
  </si>
  <si>
    <t>종연 2</t>
  </si>
  <si>
    <t>종연 3</t>
  </si>
  <si>
    <t>조정리</t>
    <phoneticPr fontId="3" type="noConversion"/>
  </si>
  <si>
    <t>산노 1</t>
    <phoneticPr fontId="3" type="noConversion"/>
  </si>
  <si>
    <t>산노 2</t>
    <phoneticPr fontId="3" type="noConversion"/>
  </si>
  <si>
    <t>두월 1</t>
    <phoneticPr fontId="3" type="noConversion"/>
  </si>
  <si>
    <t>두월 2</t>
    <phoneticPr fontId="3" type="noConversion"/>
  </si>
  <si>
    <t>등 1</t>
    <phoneticPr fontId="3" type="noConversion"/>
  </si>
  <si>
    <t>등 2</t>
    <phoneticPr fontId="3" type="noConversion"/>
  </si>
  <si>
    <t>목곡 1</t>
    <phoneticPr fontId="3" type="noConversion"/>
  </si>
  <si>
    <t>목곡 2</t>
    <phoneticPr fontId="3" type="noConversion"/>
  </si>
  <si>
    <t>강청 2</t>
    <phoneticPr fontId="3" type="noConversion"/>
  </si>
  <si>
    <t>함적 1</t>
    <phoneticPr fontId="3" type="noConversion"/>
  </si>
  <si>
    <t>함적 2</t>
  </si>
  <si>
    <t xml:space="preserve"> ◈ 강경급수구역</t>
    <phoneticPr fontId="18" type="noConversion"/>
  </si>
  <si>
    <t>강경 급수구역</t>
    <phoneticPr fontId="35" type="noConversion"/>
  </si>
  <si>
    <t>남교리</t>
    <phoneticPr fontId="3" type="noConversion"/>
  </si>
  <si>
    <t>동흥 1</t>
    <phoneticPr fontId="3" type="noConversion"/>
  </si>
  <si>
    <t>동흥 2</t>
    <phoneticPr fontId="3" type="noConversion"/>
  </si>
  <si>
    <t>서창리</t>
    <phoneticPr fontId="3" type="noConversion"/>
  </si>
  <si>
    <t>북옥리</t>
    <phoneticPr fontId="3" type="noConversion"/>
  </si>
  <si>
    <t>홍교리</t>
    <phoneticPr fontId="3" type="noConversion"/>
  </si>
  <si>
    <t>중앙 1</t>
    <phoneticPr fontId="3" type="noConversion"/>
  </si>
  <si>
    <t>중앙 2</t>
    <phoneticPr fontId="3" type="noConversion"/>
  </si>
  <si>
    <t>염천리</t>
    <phoneticPr fontId="3" type="noConversion"/>
  </si>
  <si>
    <t>태평리</t>
    <phoneticPr fontId="3" type="noConversion"/>
  </si>
  <si>
    <t>대흥 1</t>
    <phoneticPr fontId="3" type="noConversion"/>
  </si>
  <si>
    <t>대흥 2</t>
    <phoneticPr fontId="3" type="noConversion"/>
  </si>
  <si>
    <t>대흥 3</t>
    <phoneticPr fontId="3" type="noConversion"/>
  </si>
  <si>
    <t>황산 1</t>
    <phoneticPr fontId="3" type="noConversion"/>
  </si>
  <si>
    <t>황산 2</t>
  </si>
  <si>
    <t>황산 3</t>
  </si>
  <si>
    <t>황산 4</t>
  </si>
  <si>
    <t>황산 5</t>
  </si>
  <si>
    <t>채산 1</t>
    <phoneticPr fontId="3" type="noConversion"/>
  </si>
  <si>
    <t>채산 2</t>
  </si>
  <si>
    <t>채산 3</t>
  </si>
  <si>
    <t>채산 4</t>
  </si>
  <si>
    <t>채산 5</t>
  </si>
  <si>
    <t>산양 1</t>
    <phoneticPr fontId="3" type="noConversion"/>
  </si>
  <si>
    <t>산양 2</t>
    <phoneticPr fontId="3" type="noConversion"/>
  </si>
  <si>
    <t>산양 3</t>
    <phoneticPr fontId="3" type="noConversion"/>
  </si>
  <si>
    <t>채운 1</t>
    <phoneticPr fontId="3" type="noConversion"/>
  </si>
  <si>
    <t>채운 2</t>
    <phoneticPr fontId="3" type="noConversion"/>
  </si>
  <si>
    <t>장화 1</t>
    <phoneticPr fontId="3" type="noConversion"/>
  </si>
  <si>
    <t>장화 2</t>
    <phoneticPr fontId="3" type="noConversion"/>
  </si>
  <si>
    <t>장화 3</t>
    <phoneticPr fontId="3" type="noConversion"/>
  </si>
  <si>
    <t>야화 3</t>
    <phoneticPr fontId="3" type="noConversion"/>
  </si>
  <si>
    <t>삼거 1</t>
    <phoneticPr fontId="3" type="noConversion"/>
  </si>
  <si>
    <t>삼거 2</t>
    <phoneticPr fontId="3" type="noConversion"/>
  </si>
  <si>
    <t>삼거 3</t>
    <phoneticPr fontId="3" type="noConversion"/>
  </si>
  <si>
    <t>삼거 4</t>
    <phoneticPr fontId="3" type="noConversion"/>
  </si>
  <si>
    <t>삼거 5</t>
    <phoneticPr fontId="3" type="noConversion"/>
  </si>
  <si>
    <t>강경읍</t>
    <phoneticPr fontId="3" type="noConversion"/>
  </si>
  <si>
    <t>연무읍</t>
    <phoneticPr fontId="3" type="noConversion"/>
  </si>
  <si>
    <t>성동면</t>
    <phoneticPr fontId="3" type="noConversion"/>
  </si>
  <si>
    <t>광석면</t>
    <phoneticPr fontId="3" type="noConversion"/>
  </si>
  <si>
    <t>노성면</t>
    <phoneticPr fontId="3" type="noConversion"/>
  </si>
  <si>
    <t>상월면</t>
    <phoneticPr fontId="3" type="noConversion"/>
  </si>
  <si>
    <t>실사용량</t>
    <phoneticPr fontId="3" type="noConversion"/>
  </si>
  <si>
    <t>일평균 사용량</t>
    <phoneticPr fontId="3" type="noConversion"/>
  </si>
  <si>
    <t>일최대 급수량</t>
    <phoneticPr fontId="3" type="noConversion"/>
  </si>
  <si>
    <t>부적면</t>
    <phoneticPr fontId="3" type="noConversion"/>
  </si>
  <si>
    <t>연산면</t>
    <phoneticPr fontId="3" type="noConversion"/>
  </si>
  <si>
    <t>벌곡면</t>
    <phoneticPr fontId="3" type="noConversion"/>
  </si>
  <si>
    <t>양촌면</t>
    <phoneticPr fontId="3" type="noConversion"/>
  </si>
  <si>
    <t>가야곡면</t>
    <phoneticPr fontId="3" type="noConversion"/>
  </si>
  <si>
    <t>채운면</t>
    <phoneticPr fontId="3" type="noConversion"/>
  </si>
  <si>
    <t>취암동</t>
    <phoneticPr fontId="3" type="noConversion"/>
  </si>
  <si>
    <t>부창동</t>
    <phoneticPr fontId="3" type="noConversion"/>
  </si>
  <si>
    <t>합계</t>
    <phoneticPr fontId="3" type="noConversion"/>
  </si>
  <si>
    <t>기타</t>
    <phoneticPr fontId="3" type="noConversion"/>
  </si>
  <si>
    <t>이론적 사용량</t>
    <phoneticPr fontId="3" type="noConversion"/>
  </si>
  <si>
    <t>비율</t>
    <phoneticPr fontId="3" type="noConversion"/>
  </si>
  <si>
    <t xml:space="preserve"> ◈ 채운급수구역</t>
    <phoneticPr fontId="18" type="noConversion"/>
  </si>
  <si>
    <t>채운 급수구역</t>
    <phoneticPr fontId="35" type="noConversion"/>
  </si>
  <si>
    <t>화산 1</t>
    <phoneticPr fontId="3" type="noConversion"/>
  </si>
  <si>
    <t>화산 2</t>
    <phoneticPr fontId="3" type="noConversion"/>
  </si>
  <si>
    <t>화산 3</t>
    <phoneticPr fontId="3" type="noConversion"/>
  </si>
  <si>
    <t>용화 1</t>
    <phoneticPr fontId="3" type="noConversion"/>
  </si>
  <si>
    <t>용화 2</t>
    <phoneticPr fontId="3" type="noConversion"/>
  </si>
  <si>
    <t>용화 3</t>
    <phoneticPr fontId="3" type="noConversion"/>
  </si>
  <si>
    <t>용화 4</t>
    <phoneticPr fontId="3" type="noConversion"/>
  </si>
  <si>
    <t>우기 1</t>
    <phoneticPr fontId="3" type="noConversion"/>
  </si>
  <si>
    <t>우기 2</t>
    <phoneticPr fontId="3" type="noConversion"/>
  </si>
  <si>
    <t>우기 3</t>
    <phoneticPr fontId="3" type="noConversion"/>
  </si>
  <si>
    <t>심암 1</t>
    <phoneticPr fontId="3" type="noConversion"/>
  </si>
  <si>
    <t>화정 1</t>
    <phoneticPr fontId="3" type="noConversion"/>
  </si>
  <si>
    <t>화정 2</t>
    <phoneticPr fontId="3" type="noConversion"/>
  </si>
  <si>
    <t>야화 1</t>
    <phoneticPr fontId="3" type="noConversion"/>
  </si>
  <si>
    <t>야화 2</t>
    <phoneticPr fontId="3" type="noConversion"/>
  </si>
  <si>
    <t>남산 1</t>
    <phoneticPr fontId="3" type="noConversion"/>
  </si>
  <si>
    <t>남산 2</t>
    <phoneticPr fontId="3" type="noConversion"/>
  </si>
  <si>
    <t>남산 3</t>
    <phoneticPr fontId="3" type="noConversion"/>
  </si>
  <si>
    <t>방축 1</t>
    <phoneticPr fontId="3" type="noConversion"/>
  </si>
  <si>
    <t>방축 2</t>
    <phoneticPr fontId="3" type="noConversion"/>
  </si>
  <si>
    <t>방축 3</t>
    <phoneticPr fontId="3" type="noConversion"/>
  </si>
  <si>
    <t>방축 4</t>
    <phoneticPr fontId="3" type="noConversion"/>
  </si>
  <si>
    <t>교촌 2</t>
    <phoneticPr fontId="3" type="noConversion"/>
  </si>
  <si>
    <t>토양 2</t>
    <phoneticPr fontId="3" type="noConversion"/>
  </si>
  <si>
    <t>신화 2</t>
    <phoneticPr fontId="3" type="noConversion"/>
  </si>
  <si>
    <t>신화 1</t>
    <phoneticPr fontId="3" type="noConversion"/>
  </si>
  <si>
    <t>신화 3</t>
  </si>
  <si>
    <t>연산 급수구역</t>
    <phoneticPr fontId="35" type="noConversion"/>
  </si>
  <si>
    <t xml:space="preserve"> ◈ 연산급수구역</t>
    <phoneticPr fontId="18" type="noConversion"/>
  </si>
  <si>
    <t>심암 2</t>
    <phoneticPr fontId="3" type="noConversion"/>
  </si>
  <si>
    <t>마구평 1</t>
    <phoneticPr fontId="3" type="noConversion"/>
  </si>
  <si>
    <t>마구평 2</t>
    <phoneticPr fontId="3" type="noConversion"/>
  </si>
  <si>
    <t>마구평 3</t>
    <phoneticPr fontId="3" type="noConversion"/>
  </si>
  <si>
    <t>마구평 4</t>
    <phoneticPr fontId="3" type="noConversion"/>
  </si>
  <si>
    <t>마구평 5</t>
    <phoneticPr fontId="3" type="noConversion"/>
  </si>
  <si>
    <t>덕평 1</t>
    <phoneticPr fontId="3" type="noConversion"/>
  </si>
  <si>
    <t>덕평 2</t>
    <phoneticPr fontId="3" type="noConversion"/>
  </si>
  <si>
    <t>덕평 3</t>
    <phoneticPr fontId="3" type="noConversion"/>
  </si>
  <si>
    <t>부황 1</t>
    <phoneticPr fontId="3" type="noConversion"/>
  </si>
  <si>
    <t>부황 2</t>
    <phoneticPr fontId="3" type="noConversion"/>
  </si>
  <si>
    <t>부황 3</t>
    <phoneticPr fontId="3" type="noConversion"/>
  </si>
  <si>
    <t>외성 1</t>
    <phoneticPr fontId="3" type="noConversion"/>
  </si>
  <si>
    <t>외성 2</t>
    <phoneticPr fontId="3" type="noConversion"/>
  </si>
  <si>
    <t>외성 3</t>
    <phoneticPr fontId="3" type="noConversion"/>
  </si>
  <si>
    <t>감곡 1</t>
    <phoneticPr fontId="3" type="noConversion"/>
  </si>
  <si>
    <t>감곡 2</t>
    <phoneticPr fontId="3" type="noConversion"/>
  </si>
  <si>
    <t>충곡 1</t>
    <phoneticPr fontId="3" type="noConversion"/>
  </si>
  <si>
    <t>충곡 2</t>
    <phoneticPr fontId="3" type="noConversion"/>
  </si>
  <si>
    <t>신풍리</t>
    <phoneticPr fontId="3" type="noConversion"/>
  </si>
  <si>
    <t>탑정 1</t>
    <phoneticPr fontId="3" type="noConversion"/>
  </si>
  <si>
    <t>탑정 2</t>
    <phoneticPr fontId="3" type="noConversion"/>
  </si>
  <si>
    <t>탑정 3</t>
    <phoneticPr fontId="3" type="noConversion"/>
  </si>
  <si>
    <t>신교 1</t>
    <phoneticPr fontId="3" type="noConversion"/>
  </si>
  <si>
    <t>신교 2</t>
    <phoneticPr fontId="3" type="noConversion"/>
  </si>
  <si>
    <t>신교 3</t>
    <phoneticPr fontId="3" type="noConversion"/>
  </si>
  <si>
    <t>반송 1</t>
    <phoneticPr fontId="3" type="noConversion"/>
  </si>
  <si>
    <t>반송 2</t>
    <phoneticPr fontId="3" type="noConversion"/>
  </si>
  <si>
    <t>반송 3</t>
    <phoneticPr fontId="3" type="noConversion"/>
  </si>
  <si>
    <t>아호 1</t>
    <phoneticPr fontId="3" type="noConversion"/>
  </si>
  <si>
    <t>아호 2</t>
    <phoneticPr fontId="3" type="noConversion"/>
  </si>
  <si>
    <t>부인 1</t>
    <phoneticPr fontId="3" type="noConversion"/>
  </si>
  <si>
    <t>부인 2</t>
    <phoneticPr fontId="3" type="noConversion"/>
  </si>
  <si>
    <t>부인 3</t>
    <phoneticPr fontId="3" type="noConversion"/>
  </si>
  <si>
    <t>연산면</t>
    <phoneticPr fontId="3" type="noConversion"/>
  </si>
  <si>
    <t>연산 급수분구</t>
    <phoneticPr fontId="35" type="noConversion"/>
  </si>
  <si>
    <t>화악리</t>
    <phoneticPr fontId="3" type="noConversion"/>
  </si>
  <si>
    <t>천호리</t>
    <phoneticPr fontId="3" type="noConversion"/>
  </si>
  <si>
    <t>송정 1</t>
    <phoneticPr fontId="3" type="noConversion"/>
  </si>
  <si>
    <t>송정 2</t>
    <phoneticPr fontId="3" type="noConversion"/>
  </si>
  <si>
    <t>신암리</t>
    <phoneticPr fontId="3" type="noConversion"/>
  </si>
  <si>
    <t>연산 1</t>
    <phoneticPr fontId="3" type="noConversion"/>
  </si>
  <si>
    <t>연산 2</t>
    <phoneticPr fontId="3" type="noConversion"/>
  </si>
  <si>
    <t>연산 3</t>
    <phoneticPr fontId="3" type="noConversion"/>
  </si>
  <si>
    <t>연산 4</t>
    <phoneticPr fontId="3" type="noConversion"/>
  </si>
  <si>
    <t>청동 1</t>
    <phoneticPr fontId="3" type="noConversion"/>
  </si>
  <si>
    <t>청동 2</t>
    <phoneticPr fontId="3" type="noConversion"/>
  </si>
  <si>
    <t>청동 3</t>
    <phoneticPr fontId="3" type="noConversion"/>
  </si>
  <si>
    <t>청동 4</t>
    <phoneticPr fontId="3" type="noConversion"/>
  </si>
  <si>
    <t>고정리</t>
    <phoneticPr fontId="3" type="noConversion"/>
  </si>
  <si>
    <t>한전 1</t>
    <phoneticPr fontId="3" type="noConversion"/>
  </si>
  <si>
    <t>한전 2</t>
    <phoneticPr fontId="3" type="noConversion"/>
  </si>
  <si>
    <t>임리 1</t>
    <phoneticPr fontId="3" type="noConversion"/>
  </si>
  <si>
    <t>임리 2</t>
    <phoneticPr fontId="3" type="noConversion"/>
  </si>
  <si>
    <t>관동 1</t>
    <phoneticPr fontId="3" type="noConversion"/>
  </si>
  <si>
    <t>관동 2</t>
    <phoneticPr fontId="3" type="noConversion"/>
  </si>
  <si>
    <t>고양리</t>
    <phoneticPr fontId="3" type="noConversion"/>
  </si>
  <si>
    <t>표정 1</t>
    <phoneticPr fontId="3" type="noConversion"/>
  </si>
  <si>
    <t>표정 2</t>
    <phoneticPr fontId="3" type="noConversion"/>
  </si>
  <si>
    <t>덕암 1</t>
    <phoneticPr fontId="3" type="noConversion"/>
  </si>
  <si>
    <t>덕암 2</t>
    <phoneticPr fontId="3" type="noConversion"/>
  </si>
  <si>
    <t>장전 1</t>
    <phoneticPr fontId="3" type="noConversion"/>
  </si>
  <si>
    <t>장전 2</t>
    <phoneticPr fontId="3" type="noConversion"/>
  </si>
  <si>
    <t>장전 3</t>
    <phoneticPr fontId="3" type="noConversion"/>
  </si>
  <si>
    <t>백석 1</t>
    <phoneticPr fontId="3" type="noConversion"/>
  </si>
  <si>
    <t>백석 2</t>
    <phoneticPr fontId="3" type="noConversion"/>
  </si>
  <si>
    <t>백석 3</t>
    <phoneticPr fontId="3" type="noConversion"/>
  </si>
  <si>
    <t>백석 4</t>
    <phoneticPr fontId="3" type="noConversion"/>
  </si>
  <si>
    <t>어은 1</t>
    <phoneticPr fontId="3" type="noConversion"/>
  </si>
  <si>
    <t>어은 2</t>
    <phoneticPr fontId="3" type="noConversion"/>
  </si>
  <si>
    <t>사포리</t>
    <phoneticPr fontId="3" type="noConversion"/>
  </si>
  <si>
    <t>송산 1</t>
    <phoneticPr fontId="3" type="noConversion"/>
  </si>
  <si>
    <t>송산 2</t>
    <phoneticPr fontId="3" type="noConversion"/>
  </si>
  <si>
    <t>오산리</t>
    <phoneticPr fontId="3" type="noConversion"/>
  </si>
  <si>
    <t>신양 1</t>
    <phoneticPr fontId="3" type="noConversion"/>
  </si>
  <si>
    <t>신양 2</t>
    <phoneticPr fontId="3" type="noConversion"/>
  </si>
  <si>
    <t>양촌 급수분구</t>
    <phoneticPr fontId="3" type="noConversion"/>
  </si>
  <si>
    <t>인천 1</t>
    <phoneticPr fontId="3" type="noConversion"/>
  </si>
  <si>
    <t>인천 2</t>
    <phoneticPr fontId="3" type="noConversion"/>
  </si>
  <si>
    <t>인천 3</t>
    <phoneticPr fontId="3" type="noConversion"/>
  </si>
  <si>
    <t>인천 4</t>
    <phoneticPr fontId="3" type="noConversion"/>
  </si>
  <si>
    <t>도평 1</t>
    <phoneticPr fontId="3" type="noConversion"/>
  </si>
  <si>
    <t>도평 2</t>
    <phoneticPr fontId="3" type="noConversion"/>
  </si>
  <si>
    <t>도평 3</t>
    <phoneticPr fontId="3" type="noConversion"/>
  </si>
  <si>
    <t>임화 1</t>
    <phoneticPr fontId="3" type="noConversion"/>
  </si>
  <si>
    <t>임화 2</t>
    <phoneticPr fontId="3" type="noConversion"/>
  </si>
  <si>
    <t>임화 3</t>
    <phoneticPr fontId="3" type="noConversion"/>
  </si>
  <si>
    <t>임화 4</t>
    <phoneticPr fontId="3" type="noConversion"/>
  </si>
  <si>
    <t>양촌 1</t>
    <phoneticPr fontId="3" type="noConversion"/>
  </si>
  <si>
    <t>양촌 2</t>
    <phoneticPr fontId="3" type="noConversion"/>
  </si>
  <si>
    <t>신기 1</t>
    <phoneticPr fontId="3" type="noConversion"/>
  </si>
  <si>
    <t>신기 2</t>
    <phoneticPr fontId="3" type="noConversion"/>
  </si>
  <si>
    <t>오산 1</t>
    <phoneticPr fontId="3" type="noConversion"/>
  </si>
  <si>
    <t>오산 2</t>
    <phoneticPr fontId="3" type="noConversion"/>
  </si>
  <si>
    <t>채광 1</t>
    <phoneticPr fontId="3" type="noConversion"/>
  </si>
  <si>
    <t>채광 2</t>
    <phoneticPr fontId="3" type="noConversion"/>
  </si>
  <si>
    <t>남산- 1</t>
    <phoneticPr fontId="3" type="noConversion"/>
  </si>
  <si>
    <t>남산- 2</t>
  </si>
  <si>
    <t>반암 1</t>
    <phoneticPr fontId="3" type="noConversion"/>
  </si>
  <si>
    <t>반암 2</t>
    <phoneticPr fontId="3" type="noConversion"/>
  </si>
  <si>
    <t>산직 1</t>
    <phoneticPr fontId="3" type="noConversion"/>
  </si>
  <si>
    <t>산직 2</t>
    <phoneticPr fontId="3" type="noConversion"/>
  </si>
  <si>
    <t>모촌 1</t>
    <phoneticPr fontId="3" type="noConversion"/>
  </si>
  <si>
    <t>모촌 2</t>
    <phoneticPr fontId="3" type="noConversion"/>
  </si>
  <si>
    <t>모촌 3</t>
    <phoneticPr fontId="3" type="noConversion"/>
  </si>
  <si>
    <t>신흥 1</t>
    <phoneticPr fontId="3" type="noConversion"/>
  </si>
  <si>
    <t>신흥 2</t>
    <phoneticPr fontId="3" type="noConversion"/>
  </si>
  <si>
    <t>거사 1</t>
    <phoneticPr fontId="3" type="noConversion"/>
  </si>
  <si>
    <t>거사 2</t>
    <phoneticPr fontId="3" type="noConversion"/>
  </si>
  <si>
    <t>거사 3</t>
    <phoneticPr fontId="3" type="noConversion"/>
  </si>
  <si>
    <t>반곡 1</t>
    <phoneticPr fontId="3" type="noConversion"/>
  </si>
  <si>
    <t>반곡 2</t>
    <phoneticPr fontId="3" type="noConversion"/>
  </si>
  <si>
    <t>명암 1</t>
    <phoneticPr fontId="3" type="noConversion"/>
  </si>
  <si>
    <t>명암 2</t>
    <phoneticPr fontId="3" type="noConversion"/>
  </si>
  <si>
    <t>석서 1</t>
    <phoneticPr fontId="3" type="noConversion"/>
  </si>
  <si>
    <t>석서 2</t>
    <phoneticPr fontId="3" type="noConversion"/>
  </si>
  <si>
    <t>중산 1</t>
    <phoneticPr fontId="3" type="noConversion"/>
  </si>
  <si>
    <t>중산 2</t>
    <phoneticPr fontId="3" type="noConversion"/>
  </si>
  <si>
    <t>중산 3</t>
    <phoneticPr fontId="3" type="noConversion"/>
  </si>
  <si>
    <t>양촌면</t>
    <phoneticPr fontId="3" type="noConversion"/>
  </si>
  <si>
    <t>양촌리</t>
    <phoneticPr fontId="3" type="noConversion"/>
  </si>
  <si>
    <t>병암 1</t>
    <phoneticPr fontId="3" type="noConversion"/>
  </si>
  <si>
    <t>병암 2</t>
    <phoneticPr fontId="3" type="noConversion"/>
  </si>
  <si>
    <t>벌곡 급수분구</t>
    <phoneticPr fontId="3" type="noConversion"/>
  </si>
  <si>
    <t>한삼천 1</t>
    <phoneticPr fontId="3" type="noConversion"/>
  </si>
  <si>
    <t>한삼천 3</t>
    <phoneticPr fontId="3" type="noConversion"/>
  </si>
  <si>
    <t>한삼천 2</t>
    <phoneticPr fontId="3" type="noConversion"/>
  </si>
  <si>
    <t>덕목리</t>
    <phoneticPr fontId="3" type="noConversion"/>
  </si>
  <si>
    <t>사정 1</t>
    <phoneticPr fontId="3" type="noConversion"/>
  </si>
  <si>
    <t>사정 2</t>
    <phoneticPr fontId="3" type="noConversion"/>
  </si>
  <si>
    <t>대덕리</t>
    <phoneticPr fontId="3" type="noConversion"/>
  </si>
  <si>
    <t>검천리</t>
    <phoneticPr fontId="3" type="noConversion"/>
  </si>
  <si>
    <t>덕곡리</t>
    <phoneticPr fontId="3" type="noConversion"/>
  </si>
  <si>
    <t>수락 1</t>
    <phoneticPr fontId="3" type="noConversion"/>
  </si>
  <si>
    <t>수락 2</t>
    <phoneticPr fontId="3" type="noConversion"/>
  </si>
  <si>
    <t>만목리</t>
    <phoneticPr fontId="3" type="noConversion"/>
  </si>
  <si>
    <t>어곡리</t>
    <phoneticPr fontId="3" type="noConversion"/>
  </si>
  <si>
    <t>조동 1</t>
    <phoneticPr fontId="3" type="noConversion"/>
  </si>
  <si>
    <t>조동 2</t>
    <phoneticPr fontId="3" type="noConversion"/>
  </si>
  <si>
    <t>조령리</t>
    <phoneticPr fontId="3" type="noConversion"/>
  </si>
  <si>
    <t>신양- 1</t>
    <phoneticPr fontId="3" type="noConversion"/>
  </si>
  <si>
    <t>양산 1</t>
    <phoneticPr fontId="3" type="noConversion"/>
  </si>
  <si>
    <t>양산 2</t>
    <phoneticPr fontId="3" type="noConversion"/>
  </si>
  <si>
    <t xml:space="preserve"> ◈ 성동급수구역</t>
    <phoneticPr fontId="18" type="noConversion"/>
  </si>
  <si>
    <t>삼산 1</t>
    <phoneticPr fontId="3" type="noConversion"/>
  </si>
  <si>
    <t>삼산 2</t>
    <phoneticPr fontId="3" type="noConversion"/>
  </si>
  <si>
    <t>월성 1</t>
    <phoneticPr fontId="3" type="noConversion"/>
  </si>
  <si>
    <t>월성 2</t>
    <phoneticPr fontId="3" type="noConversion"/>
  </si>
  <si>
    <t>월성 3</t>
    <phoneticPr fontId="3" type="noConversion"/>
  </si>
  <si>
    <t>병촌 1</t>
    <phoneticPr fontId="3" type="noConversion"/>
  </si>
  <si>
    <t>병촌 2</t>
    <phoneticPr fontId="3" type="noConversion"/>
  </si>
  <si>
    <t>개척 1</t>
    <phoneticPr fontId="3" type="noConversion"/>
  </si>
  <si>
    <t>개척 2</t>
    <phoneticPr fontId="3" type="noConversion"/>
  </si>
  <si>
    <t>개척 3</t>
    <phoneticPr fontId="3" type="noConversion"/>
  </si>
  <si>
    <t>우곤 1</t>
    <phoneticPr fontId="3" type="noConversion"/>
  </si>
  <si>
    <t>우곤 2</t>
    <phoneticPr fontId="3" type="noConversion"/>
  </si>
  <si>
    <t>우곤 3</t>
    <phoneticPr fontId="3" type="noConversion"/>
  </si>
  <si>
    <t>우곤 4</t>
    <phoneticPr fontId="3" type="noConversion"/>
  </si>
  <si>
    <t>원남 1</t>
    <phoneticPr fontId="3" type="noConversion"/>
  </si>
  <si>
    <t>원남 2</t>
    <phoneticPr fontId="3" type="noConversion"/>
  </si>
  <si>
    <t>원남 3</t>
    <phoneticPr fontId="3" type="noConversion"/>
  </si>
  <si>
    <t>원북 1</t>
    <phoneticPr fontId="3" type="noConversion"/>
  </si>
  <si>
    <t>원북 2</t>
    <phoneticPr fontId="3" type="noConversion"/>
  </si>
  <si>
    <t>원북 3</t>
    <phoneticPr fontId="3" type="noConversion"/>
  </si>
  <si>
    <t>정지 1</t>
    <phoneticPr fontId="3" type="noConversion"/>
  </si>
  <si>
    <t>정지 2</t>
    <phoneticPr fontId="3" type="noConversion"/>
  </si>
  <si>
    <t>정지 3</t>
    <phoneticPr fontId="3" type="noConversion"/>
  </si>
  <si>
    <t>정지 4</t>
    <phoneticPr fontId="3" type="noConversion"/>
  </si>
  <si>
    <t>원봉 1</t>
    <phoneticPr fontId="3" type="noConversion"/>
  </si>
  <si>
    <t>원봉 2</t>
    <phoneticPr fontId="3" type="noConversion"/>
  </si>
  <si>
    <t>원봉 3</t>
    <phoneticPr fontId="3" type="noConversion"/>
  </si>
  <si>
    <t>원봉 4</t>
    <phoneticPr fontId="3" type="noConversion"/>
  </si>
  <si>
    <t>화정- 1</t>
    <phoneticPr fontId="3" type="noConversion"/>
  </si>
  <si>
    <t>화정- 2</t>
    <phoneticPr fontId="3" type="noConversion"/>
  </si>
  <si>
    <t>삼호리</t>
    <phoneticPr fontId="3" type="noConversion"/>
  </si>
  <si>
    <t>신당 1</t>
    <phoneticPr fontId="3" type="noConversion"/>
  </si>
  <si>
    <t>신당 2</t>
    <phoneticPr fontId="3" type="noConversion"/>
  </si>
  <si>
    <t>신당 3</t>
    <phoneticPr fontId="3" type="noConversion"/>
  </si>
  <si>
    <t>중리 1</t>
    <phoneticPr fontId="3" type="noConversion"/>
  </si>
  <si>
    <t>중리 2</t>
    <phoneticPr fontId="3" type="noConversion"/>
  </si>
  <si>
    <t>득윤 1</t>
    <phoneticPr fontId="3" type="noConversion"/>
  </si>
  <si>
    <t>득윤 2</t>
    <phoneticPr fontId="3" type="noConversion"/>
  </si>
  <si>
    <t>득윤 3</t>
    <phoneticPr fontId="3" type="noConversion"/>
  </si>
  <si>
    <t>갈산 1</t>
    <phoneticPr fontId="3" type="noConversion"/>
  </si>
  <si>
    <t>갈산 2</t>
    <phoneticPr fontId="3" type="noConversion"/>
  </si>
  <si>
    <t>광 리</t>
    <phoneticPr fontId="3" type="noConversion"/>
  </si>
  <si>
    <t>이사 1</t>
    <phoneticPr fontId="3" type="noConversion"/>
  </si>
  <si>
    <t>이사 2</t>
    <phoneticPr fontId="3" type="noConversion"/>
  </si>
  <si>
    <t>산동리</t>
    <phoneticPr fontId="3" type="noConversion"/>
  </si>
  <si>
    <t>천동 4</t>
    <phoneticPr fontId="3" type="noConversion"/>
  </si>
  <si>
    <t>왕전 2</t>
    <phoneticPr fontId="3" type="noConversion"/>
  </si>
  <si>
    <t>사월 1</t>
    <phoneticPr fontId="3" type="noConversion"/>
  </si>
  <si>
    <t>율리 1</t>
    <phoneticPr fontId="3" type="noConversion"/>
  </si>
  <si>
    <t>율리 2</t>
    <phoneticPr fontId="3" type="noConversion"/>
  </si>
  <si>
    <t>율리 3</t>
    <phoneticPr fontId="3" type="noConversion"/>
  </si>
  <si>
    <t>오강 1</t>
    <phoneticPr fontId="3" type="noConversion"/>
  </si>
  <si>
    <t>오강 2</t>
    <phoneticPr fontId="3" type="noConversion"/>
  </si>
  <si>
    <t>상월면</t>
    <phoneticPr fontId="3" type="noConversion"/>
  </si>
  <si>
    <t>신충 1</t>
    <phoneticPr fontId="3" type="noConversion"/>
  </si>
  <si>
    <t>신충 2</t>
    <phoneticPr fontId="3" type="noConversion"/>
  </si>
  <si>
    <t>신양- 2</t>
    <phoneticPr fontId="3" type="noConversion"/>
  </si>
  <si>
    <t>신양- 3</t>
    <phoneticPr fontId="3" type="noConversion"/>
  </si>
  <si>
    <t>신충 3</t>
    <phoneticPr fontId="3" type="noConversion"/>
  </si>
  <si>
    <t>산성리</t>
    <phoneticPr fontId="3" type="noConversion"/>
  </si>
  <si>
    <t>월오 1</t>
    <phoneticPr fontId="3" type="noConversion"/>
  </si>
  <si>
    <t>월오 2</t>
    <phoneticPr fontId="3" type="noConversion"/>
  </si>
  <si>
    <t>지경 1</t>
    <phoneticPr fontId="3" type="noConversion"/>
  </si>
  <si>
    <t>지경 2</t>
    <phoneticPr fontId="3" type="noConversion"/>
  </si>
  <si>
    <t>석종 1</t>
    <phoneticPr fontId="3" type="noConversion"/>
  </si>
  <si>
    <t>석종 2</t>
    <phoneticPr fontId="3" type="noConversion"/>
  </si>
  <si>
    <t>석종 3</t>
    <phoneticPr fontId="3" type="noConversion"/>
  </si>
  <si>
    <t>상도 1</t>
    <phoneticPr fontId="3" type="noConversion"/>
  </si>
  <si>
    <t>상도 2</t>
    <phoneticPr fontId="3" type="noConversion"/>
  </si>
  <si>
    <t>상도 3</t>
    <phoneticPr fontId="3" type="noConversion"/>
  </si>
  <si>
    <t>대명 1</t>
    <phoneticPr fontId="3" type="noConversion"/>
  </si>
  <si>
    <t>대명 2</t>
    <phoneticPr fontId="3" type="noConversion"/>
  </si>
  <si>
    <t>대우리</t>
    <phoneticPr fontId="3" type="noConversion"/>
  </si>
  <si>
    <t>대촌 1</t>
    <phoneticPr fontId="3" type="noConversion"/>
  </si>
  <si>
    <t>대촌 2</t>
    <phoneticPr fontId="3" type="noConversion"/>
  </si>
  <si>
    <t>학당리</t>
    <phoneticPr fontId="3" type="noConversion"/>
  </si>
  <si>
    <t>주곡리</t>
    <phoneticPr fontId="3" type="noConversion"/>
  </si>
  <si>
    <t>한천 1</t>
    <phoneticPr fontId="3" type="noConversion"/>
  </si>
  <si>
    <t>한천 2</t>
    <phoneticPr fontId="3" type="noConversion"/>
  </si>
  <si>
    <t>한천 3</t>
    <phoneticPr fontId="3" type="noConversion"/>
  </si>
  <si>
    <t>숙진 1</t>
    <phoneticPr fontId="3" type="noConversion"/>
  </si>
  <si>
    <t>숙진 2</t>
    <phoneticPr fontId="3" type="noConversion"/>
  </si>
  <si>
    <t>항월 1</t>
    <phoneticPr fontId="3" type="noConversion"/>
  </si>
  <si>
    <t>항월 2</t>
    <phoneticPr fontId="3" type="noConversion"/>
  </si>
  <si>
    <t>항월 3</t>
    <phoneticPr fontId="3" type="noConversion"/>
  </si>
  <si>
    <t>항월 4</t>
    <phoneticPr fontId="3" type="noConversion"/>
  </si>
  <si>
    <t>왕전 1</t>
    <phoneticPr fontId="3" type="noConversion"/>
  </si>
  <si>
    <t>왕전 3</t>
    <phoneticPr fontId="3" type="noConversion"/>
  </si>
  <si>
    <t>천동 1</t>
    <phoneticPr fontId="3" type="noConversion"/>
  </si>
  <si>
    <t>천동 2</t>
    <phoneticPr fontId="3" type="noConversion"/>
  </si>
  <si>
    <t>천동 3</t>
    <phoneticPr fontId="3" type="noConversion"/>
  </si>
  <si>
    <t>사월 2</t>
    <phoneticPr fontId="3" type="noConversion"/>
  </si>
  <si>
    <t>사월 3</t>
    <phoneticPr fontId="3" type="noConversion"/>
  </si>
  <si>
    <t>병사 1</t>
    <phoneticPr fontId="3" type="noConversion"/>
  </si>
  <si>
    <t>병사 2</t>
    <phoneticPr fontId="3" type="noConversion"/>
  </si>
  <si>
    <t>가곡 1</t>
    <phoneticPr fontId="3" type="noConversion"/>
  </si>
  <si>
    <t>가곡 2</t>
    <phoneticPr fontId="3" type="noConversion"/>
  </si>
  <si>
    <t>효죽리</t>
    <phoneticPr fontId="3" type="noConversion"/>
  </si>
  <si>
    <t>죽림 1</t>
    <phoneticPr fontId="3" type="noConversion"/>
  </si>
  <si>
    <t>죽림 2</t>
    <phoneticPr fontId="3" type="noConversion"/>
  </si>
  <si>
    <t>죽림 3</t>
    <phoneticPr fontId="3" type="noConversion"/>
  </si>
  <si>
    <t>호암 1</t>
    <phoneticPr fontId="3" type="noConversion"/>
  </si>
  <si>
    <t>호암 2</t>
    <phoneticPr fontId="3" type="noConversion"/>
  </si>
  <si>
    <t>노티 1</t>
    <phoneticPr fontId="3" type="noConversion"/>
  </si>
  <si>
    <t>노티 2</t>
    <phoneticPr fontId="3" type="noConversion"/>
  </si>
  <si>
    <t>화곡리</t>
    <phoneticPr fontId="3" type="noConversion"/>
  </si>
  <si>
    <t>노성</t>
    <phoneticPr fontId="3" type="noConversion"/>
  </si>
  <si>
    <t xml:space="preserve"> ◈ 노성급수구역</t>
    <phoneticPr fontId="18" type="noConversion"/>
  </si>
  <si>
    <t>노성 급수구역</t>
    <phoneticPr fontId="35" type="noConversion"/>
  </si>
  <si>
    <t>읍내 1</t>
    <phoneticPr fontId="3" type="noConversion"/>
  </si>
  <si>
    <t>읍내 2</t>
    <phoneticPr fontId="3" type="noConversion"/>
  </si>
  <si>
    <t>읍내 3</t>
    <phoneticPr fontId="3" type="noConversion"/>
  </si>
  <si>
    <t>두사 1</t>
    <phoneticPr fontId="3" type="noConversion"/>
  </si>
  <si>
    <t>두사 2</t>
    <phoneticPr fontId="3" type="noConversion"/>
  </si>
  <si>
    <t>송당리</t>
    <phoneticPr fontId="3" type="noConversion"/>
  </si>
  <si>
    <t>교촌리</t>
    <phoneticPr fontId="3" type="noConversion"/>
  </si>
  <si>
    <t>하도 1</t>
    <phoneticPr fontId="3" type="noConversion"/>
  </si>
  <si>
    <t>하도 2</t>
    <phoneticPr fontId="3" type="noConversion"/>
  </si>
  <si>
    <t>하도 3</t>
    <phoneticPr fontId="3" type="noConversion"/>
  </si>
  <si>
    <t>구암리</t>
    <phoneticPr fontId="3" type="noConversion"/>
  </si>
  <si>
    <t>상월 급수분구</t>
    <phoneticPr fontId="35" type="noConversion"/>
  </si>
  <si>
    <t>국방대</t>
    <phoneticPr fontId="3" type="noConversion"/>
  </si>
  <si>
    <t>구분</t>
    <phoneticPr fontId="3" type="noConversion"/>
  </si>
  <si>
    <t xml:space="preserve"> 2) 급수구역별 생활용수 수요량</t>
    <phoneticPr fontId="18" type="noConversion"/>
  </si>
  <si>
    <t>논산 급수구역</t>
    <phoneticPr fontId="3" type="noConversion"/>
  </si>
  <si>
    <t>논산 급수분구</t>
    <phoneticPr fontId="3" type="noConversion"/>
  </si>
  <si>
    <t>내동 급수분구</t>
    <phoneticPr fontId="3" type="noConversion"/>
  </si>
  <si>
    <t>강경 급수구역</t>
    <phoneticPr fontId="3" type="noConversion"/>
  </si>
  <si>
    <t>채운 급수구역</t>
    <phoneticPr fontId="3" type="noConversion"/>
  </si>
  <si>
    <t>연산 급수구역</t>
    <phoneticPr fontId="3" type="noConversion"/>
  </si>
  <si>
    <t>노성 급수구역</t>
    <phoneticPr fontId="3" type="noConversion"/>
  </si>
  <si>
    <t>강경읍</t>
    <phoneticPr fontId="3" type="noConversion"/>
  </si>
  <si>
    <t>가야곡면</t>
    <phoneticPr fontId="3" type="noConversion"/>
  </si>
  <si>
    <t>은진면</t>
    <phoneticPr fontId="3" type="noConversion"/>
  </si>
  <si>
    <t>장구 1</t>
    <phoneticPr fontId="3" type="noConversion"/>
  </si>
  <si>
    <t>장구 2</t>
    <phoneticPr fontId="3" type="noConversion"/>
  </si>
  <si>
    <t>도산 1</t>
    <phoneticPr fontId="3" type="noConversion"/>
  </si>
  <si>
    <t>도산 2</t>
    <phoneticPr fontId="3" type="noConversion"/>
  </si>
  <si>
    <t>강청 1</t>
    <phoneticPr fontId="3" type="noConversion"/>
  </si>
  <si>
    <t>확인구분</t>
    <phoneticPr fontId="3" type="noConversion"/>
  </si>
  <si>
    <t xml:space="preserve"> 2) 급수구역별 용수수요량 집계</t>
    <phoneticPr fontId="18" type="noConversion"/>
  </si>
  <si>
    <t>구분</t>
    <phoneticPr fontId="3" type="noConversion"/>
  </si>
  <si>
    <t>논산시</t>
    <phoneticPr fontId="3" type="noConversion"/>
  </si>
  <si>
    <t>생활용수</t>
    <phoneticPr fontId="3" type="noConversion"/>
  </si>
  <si>
    <t>공업용수</t>
    <phoneticPr fontId="3" type="noConversion"/>
  </si>
  <si>
    <t>관광용수</t>
    <phoneticPr fontId="3" type="noConversion"/>
  </si>
  <si>
    <t>군대용수</t>
    <phoneticPr fontId="3" type="noConversion"/>
  </si>
  <si>
    <t>비고</t>
    <phoneticPr fontId="3" type="noConversion"/>
  </si>
  <si>
    <t>용수수요량</t>
    <phoneticPr fontId="3" type="noConversion"/>
  </si>
  <si>
    <t>논산
급수구역</t>
    <phoneticPr fontId="3" type="noConversion"/>
  </si>
  <si>
    <t>정수</t>
    <phoneticPr fontId="3" type="noConversion"/>
  </si>
  <si>
    <t>침전수</t>
    <phoneticPr fontId="3" type="noConversion"/>
  </si>
  <si>
    <t>논산
급수분구</t>
    <phoneticPr fontId="3" type="noConversion"/>
  </si>
  <si>
    <t>연무
급수분구</t>
    <phoneticPr fontId="3" type="noConversion"/>
  </si>
  <si>
    <t>마산
급수분구</t>
    <phoneticPr fontId="3" type="noConversion"/>
  </si>
  <si>
    <t>강경
급수구역</t>
    <phoneticPr fontId="3" type="noConversion"/>
  </si>
  <si>
    <t>강경
급수분구</t>
    <phoneticPr fontId="3" type="noConversion"/>
  </si>
  <si>
    <t>채운
급수구역</t>
    <phoneticPr fontId="3" type="noConversion"/>
  </si>
  <si>
    <t>연산
급수구역</t>
    <phoneticPr fontId="3" type="noConversion"/>
  </si>
  <si>
    <t>연산
급수분구</t>
    <phoneticPr fontId="3" type="noConversion"/>
  </si>
  <si>
    <t>양촌
급수분구</t>
    <phoneticPr fontId="3" type="noConversion"/>
  </si>
  <si>
    <t>벌곡
급수분구</t>
    <phoneticPr fontId="3" type="noConversion"/>
  </si>
  <si>
    <t>성동
급수구역</t>
    <phoneticPr fontId="3" type="noConversion"/>
  </si>
  <si>
    <t>논산산단
급수분구</t>
    <phoneticPr fontId="3" type="noConversion"/>
  </si>
  <si>
    <t>노성
급수구역</t>
    <phoneticPr fontId="3" type="noConversion"/>
  </si>
  <si>
    <t>노성
급수분구</t>
    <phoneticPr fontId="3" type="noConversion"/>
  </si>
  <si>
    <t>상월
급수분구</t>
    <phoneticPr fontId="3" type="noConversion"/>
  </si>
  <si>
    <t>A</t>
    <phoneticPr fontId="3" type="noConversion"/>
  </si>
  <si>
    <t>B</t>
    <phoneticPr fontId="3" type="noConversion"/>
  </si>
  <si>
    <t>가야곡
급수분구</t>
    <phoneticPr fontId="3" type="noConversion"/>
  </si>
  <si>
    <t>노성특화
급수분구</t>
    <phoneticPr fontId="3" type="noConversion"/>
  </si>
  <si>
    <t>빙그레, 진주햄</t>
    <phoneticPr fontId="3" type="noConversion"/>
  </si>
  <si>
    <t>도시숲</t>
    <phoneticPr fontId="3" type="noConversion"/>
  </si>
  <si>
    <t>테마공원</t>
    <phoneticPr fontId="3" type="noConversion"/>
  </si>
  <si>
    <t>탑정호</t>
    <phoneticPr fontId="3" type="noConversion"/>
  </si>
  <si>
    <t xml:space="preserve"> 3) 배수지별 용수수요량 집계</t>
    <phoneticPr fontId="18" type="noConversion"/>
  </si>
  <si>
    <t>직결급수지역</t>
    <phoneticPr fontId="3" type="noConversion"/>
  </si>
  <si>
    <t>침전수 계수</t>
    <phoneticPr fontId="3" type="noConversion"/>
  </si>
  <si>
    <t>논산배수지</t>
    <phoneticPr fontId="3" type="noConversion"/>
  </si>
  <si>
    <t>내동배수지</t>
    <phoneticPr fontId="3" type="noConversion"/>
  </si>
  <si>
    <t>봉화배수지</t>
    <phoneticPr fontId="3" type="noConversion"/>
  </si>
  <si>
    <t>마산배수지</t>
    <phoneticPr fontId="3" type="noConversion"/>
  </si>
  <si>
    <t>강경배수지</t>
    <phoneticPr fontId="3" type="noConversion"/>
  </si>
  <si>
    <t>양촌배수지</t>
    <phoneticPr fontId="3" type="noConversion"/>
  </si>
  <si>
    <t>노성배수지</t>
    <phoneticPr fontId="3" type="noConversion"/>
  </si>
  <si>
    <t>가야곡배수지</t>
    <phoneticPr fontId="3" type="noConversion"/>
  </si>
  <si>
    <t>배수지용량</t>
    <phoneticPr fontId="3" type="noConversion"/>
  </si>
  <si>
    <t>체류시간</t>
    <phoneticPr fontId="3" type="noConversion"/>
  </si>
  <si>
    <t>광석</t>
    <phoneticPr fontId="3" type="noConversion"/>
  </si>
  <si>
    <t>성동배수지</t>
    <phoneticPr fontId="3" type="noConversion"/>
  </si>
  <si>
    <t>부적
급수구역</t>
    <phoneticPr fontId="3" type="noConversion"/>
  </si>
  <si>
    <t>부적 급수구역</t>
    <phoneticPr fontId="35" type="noConversion"/>
  </si>
  <si>
    <t>부적 급수구역</t>
    <phoneticPr fontId="3" type="noConversion"/>
  </si>
  <si>
    <t>직결급수</t>
    <phoneticPr fontId="3" type="noConversion"/>
  </si>
  <si>
    <t>노성특화</t>
    <phoneticPr fontId="3" type="noConversion"/>
  </si>
  <si>
    <t>논산배수지</t>
    <phoneticPr fontId="3" type="noConversion"/>
  </si>
  <si>
    <t>용량</t>
    <phoneticPr fontId="3" type="noConversion"/>
  </si>
  <si>
    <t>단위</t>
    <phoneticPr fontId="3" type="noConversion"/>
  </si>
  <si>
    <t>용수수요량</t>
  </si>
  <si>
    <t>단계별 계획</t>
    <phoneticPr fontId="3" type="noConversion"/>
  </si>
  <si>
    <t>내동2배수지</t>
    <phoneticPr fontId="3" type="noConversion"/>
  </si>
  <si>
    <t>㎥/일</t>
    <phoneticPr fontId="3" type="noConversion"/>
  </si>
  <si>
    <t>㎥</t>
  </si>
  <si>
    <t>시간</t>
    <phoneticPr fontId="3" type="noConversion"/>
  </si>
  <si>
    <t>합계</t>
    <phoneticPr fontId="3" type="noConversion"/>
  </si>
  <si>
    <t xml:space="preserve"> ◈ 광석급수구역</t>
    <phoneticPr fontId="18" type="noConversion"/>
  </si>
  <si>
    <t>광석 급수구역</t>
    <phoneticPr fontId="35" type="noConversion"/>
  </si>
  <si>
    <t>성동</t>
    <phoneticPr fontId="3" type="noConversion"/>
  </si>
  <si>
    <t>성동</t>
    <phoneticPr fontId="3" type="noConversion"/>
  </si>
  <si>
    <t>지산동</t>
    <phoneticPr fontId="3" type="noConversion"/>
  </si>
  <si>
    <t>덕지동</t>
    <phoneticPr fontId="3" type="noConversion"/>
  </si>
  <si>
    <t>내동</t>
    <phoneticPr fontId="3" type="noConversion"/>
  </si>
  <si>
    <t>관촉동</t>
    <phoneticPr fontId="3" type="noConversion"/>
  </si>
  <si>
    <t>등화동</t>
    <phoneticPr fontId="35" type="noConversion"/>
  </si>
  <si>
    <t>성동 급수구역</t>
    <phoneticPr fontId="35" type="noConversion"/>
  </si>
  <si>
    <t xml:space="preserve"> ◈ 봉화급수구역</t>
    <phoneticPr fontId="18" type="noConversion"/>
  </si>
  <si>
    <t>봉화 급수구역</t>
    <phoneticPr fontId="35" type="noConversion"/>
  </si>
  <si>
    <t>C</t>
    <phoneticPr fontId="3" type="noConversion"/>
  </si>
  <si>
    <t>내동 급수분구</t>
    <phoneticPr fontId="35" type="noConversion"/>
  </si>
  <si>
    <t>내동2 급수분구</t>
    <phoneticPr fontId="35" type="noConversion"/>
  </si>
  <si>
    <t>논산 급수구역</t>
    <phoneticPr fontId="35" type="noConversion"/>
  </si>
  <si>
    <t xml:space="preserve"> ◈ 마산급수구역</t>
    <phoneticPr fontId="18" type="noConversion"/>
  </si>
  <si>
    <t>마산 급수구역</t>
    <phoneticPr fontId="35" type="noConversion"/>
  </si>
  <si>
    <t>마산 급수분구</t>
    <phoneticPr fontId="35" type="noConversion"/>
  </si>
  <si>
    <t>가야곡 급수분구</t>
    <phoneticPr fontId="35" type="noConversion"/>
  </si>
  <si>
    <t>부적1 급수분구</t>
    <phoneticPr fontId="35" type="noConversion"/>
  </si>
  <si>
    <t>부적2 급수분구</t>
    <phoneticPr fontId="35" type="noConversion"/>
  </si>
  <si>
    <t>A</t>
    <phoneticPr fontId="3" type="noConversion"/>
  </si>
  <si>
    <t>벌곡</t>
    <phoneticPr fontId="3" type="noConversion"/>
  </si>
  <si>
    <t>B</t>
    <phoneticPr fontId="3" type="noConversion"/>
  </si>
  <si>
    <t xml:space="preserve"> ◈ 부적급수구역</t>
    <phoneticPr fontId="18" type="noConversion"/>
  </si>
  <si>
    <t>광석 급수구역</t>
    <phoneticPr fontId="3" type="noConversion"/>
  </si>
  <si>
    <t>광석면</t>
    <phoneticPr fontId="3" type="noConversion"/>
  </si>
  <si>
    <t>노성면</t>
    <phoneticPr fontId="3" type="noConversion"/>
  </si>
  <si>
    <t>성동 급수구역</t>
    <phoneticPr fontId="3" type="noConversion"/>
  </si>
  <si>
    <t>봉화 급수구역</t>
    <phoneticPr fontId="3" type="noConversion"/>
  </si>
  <si>
    <t>내동2 급수분구</t>
    <phoneticPr fontId="3" type="noConversion"/>
  </si>
  <si>
    <t>가야곡면</t>
    <phoneticPr fontId="3" type="noConversion"/>
  </si>
  <si>
    <t>마산 급수구역</t>
    <phoneticPr fontId="3" type="noConversion"/>
  </si>
  <si>
    <t>마산 급수분구</t>
    <phoneticPr fontId="3" type="noConversion"/>
  </si>
  <si>
    <t>가야곡 급수분구</t>
    <phoneticPr fontId="3" type="noConversion"/>
  </si>
  <si>
    <t>부적1 급수분구</t>
    <phoneticPr fontId="3" type="noConversion"/>
  </si>
  <si>
    <t>부적2 급수분구</t>
    <phoneticPr fontId="3" type="noConversion"/>
  </si>
  <si>
    <t>부적면</t>
    <phoneticPr fontId="3" type="noConversion"/>
  </si>
  <si>
    <t>연산 급수분구</t>
    <phoneticPr fontId="3" type="noConversion"/>
  </si>
  <si>
    <t>연산면</t>
    <phoneticPr fontId="3" type="noConversion"/>
  </si>
  <si>
    <t>상월 급수분구</t>
    <phoneticPr fontId="3" type="noConversion"/>
  </si>
  <si>
    <t>양촌 급수분구</t>
    <phoneticPr fontId="3" type="noConversion"/>
  </si>
  <si>
    <t>양촌면</t>
    <phoneticPr fontId="3" type="noConversion"/>
  </si>
  <si>
    <t>벌곡 급수분구</t>
    <phoneticPr fontId="3" type="noConversion"/>
  </si>
  <si>
    <t>벌곡면</t>
    <phoneticPr fontId="3" type="noConversion"/>
  </si>
  <si>
    <t>채운면</t>
    <phoneticPr fontId="3" type="noConversion"/>
  </si>
  <si>
    <t>은진면</t>
    <phoneticPr fontId="3" type="noConversion"/>
  </si>
  <si>
    <t>연무읍</t>
    <phoneticPr fontId="3" type="noConversion"/>
  </si>
  <si>
    <t>강경읍</t>
    <phoneticPr fontId="3" type="noConversion"/>
  </si>
  <si>
    <t>노성특화 급수분구</t>
    <phoneticPr fontId="3" type="noConversion"/>
  </si>
  <si>
    <t>노성 급수분구</t>
    <phoneticPr fontId="3" type="noConversion"/>
  </si>
  <si>
    <t>논산산단 급수구역</t>
    <phoneticPr fontId="3" type="noConversion"/>
  </si>
  <si>
    <t>논산산단 급수분구</t>
    <phoneticPr fontId="3" type="noConversion"/>
  </si>
  <si>
    <t>신송산업</t>
    <phoneticPr fontId="3" type="noConversion"/>
  </si>
  <si>
    <t>신송산업 급수분구</t>
    <phoneticPr fontId="3" type="noConversion"/>
  </si>
  <si>
    <t>광석
급수구역</t>
    <phoneticPr fontId="3" type="noConversion"/>
  </si>
  <si>
    <t>봉화
급수구역</t>
    <phoneticPr fontId="3" type="noConversion"/>
  </si>
  <si>
    <t>내동2
급수분구</t>
    <phoneticPr fontId="3" type="noConversion"/>
  </si>
  <si>
    <t>마산
급수구역</t>
    <phoneticPr fontId="3" type="noConversion"/>
  </si>
  <si>
    <t>부적1
급수분구</t>
    <phoneticPr fontId="3" type="noConversion"/>
  </si>
  <si>
    <t>부적2
급수분구</t>
    <phoneticPr fontId="3" type="noConversion"/>
  </si>
  <si>
    <t>논산산단
급수구역</t>
    <phoneticPr fontId="3" type="noConversion"/>
  </si>
  <si>
    <t>논산 제1일반산단</t>
    <phoneticPr fontId="3" type="noConversion"/>
  </si>
  <si>
    <t>논산 제2일반산단</t>
    <phoneticPr fontId="3" type="noConversion"/>
  </si>
  <si>
    <t>신송산업
급수분구</t>
    <phoneticPr fontId="3" type="noConversion"/>
  </si>
  <si>
    <t>내동1
급수분구</t>
    <phoneticPr fontId="3" type="noConversion"/>
  </si>
  <si>
    <t>벌곡배수지</t>
    <phoneticPr fontId="3" type="noConversion"/>
  </si>
  <si>
    <t>광석급수구역</t>
    <phoneticPr fontId="3" type="noConversion"/>
  </si>
  <si>
    <t>부적1급수분구</t>
    <phoneticPr fontId="3" type="noConversion"/>
  </si>
  <si>
    <t>부적2급수분구</t>
    <phoneticPr fontId="3" type="noConversion"/>
  </si>
  <si>
    <t>채운급수구역</t>
    <phoneticPr fontId="3" type="noConversion"/>
  </si>
  <si>
    <t>논산산단</t>
    <phoneticPr fontId="3" type="noConversion"/>
  </si>
  <si>
    <t>내동포함</t>
    <phoneticPr fontId="3" type="noConversion"/>
  </si>
  <si>
    <t>2013년 비율</t>
    <phoneticPr fontId="3" type="noConversion"/>
  </si>
  <si>
    <t>남교리</t>
  </si>
  <si>
    <t>동흥 1</t>
  </si>
  <si>
    <t>동흥 2</t>
  </si>
  <si>
    <t>북옥리</t>
  </si>
  <si>
    <t>서창리</t>
  </si>
  <si>
    <t>홍교리</t>
  </si>
  <si>
    <t>중앙 1</t>
  </si>
  <si>
    <t>중앙 2</t>
  </si>
  <si>
    <t>염천리</t>
  </si>
  <si>
    <t>태평리</t>
  </si>
  <si>
    <t>대흥리</t>
    <phoneticPr fontId="18" type="noConversion"/>
  </si>
  <si>
    <t>대흥 1</t>
  </si>
  <si>
    <t>대흥 2</t>
  </si>
  <si>
    <t>대흥 3</t>
  </si>
  <si>
    <t>황산 1</t>
  </si>
  <si>
    <t>황산 5</t>
    <phoneticPr fontId="3" type="noConversion"/>
  </si>
  <si>
    <t>채산리</t>
    <phoneticPr fontId="18" type="noConversion"/>
  </si>
  <si>
    <t>채산 1</t>
  </si>
  <si>
    <t>산양리</t>
    <phoneticPr fontId="18" type="noConversion"/>
  </si>
  <si>
    <t>산양 1</t>
  </si>
  <si>
    <t>산양 2</t>
  </si>
  <si>
    <t>산양 3</t>
  </si>
  <si>
    <t>채운 1</t>
  </si>
  <si>
    <t>채운 2</t>
  </si>
  <si>
    <t>마산리</t>
    <phoneticPr fontId="18" type="noConversion"/>
  </si>
  <si>
    <t>마산 1</t>
  </si>
  <si>
    <t>죽평 1</t>
  </si>
  <si>
    <t>죽평 2</t>
  </si>
  <si>
    <t>금곡리</t>
    <phoneticPr fontId="18" type="noConversion"/>
  </si>
  <si>
    <t>금곡 1</t>
  </si>
  <si>
    <t>동산 1</t>
  </si>
  <si>
    <t>동산 8</t>
  </si>
  <si>
    <t>동산 9</t>
  </si>
  <si>
    <t>죽본 1</t>
  </si>
  <si>
    <t>소룡리</t>
  </si>
  <si>
    <t>양지 1</t>
  </si>
  <si>
    <t>양지 2</t>
  </si>
  <si>
    <t>마전 1</t>
  </si>
  <si>
    <t>고내 1</t>
  </si>
  <si>
    <t>황화정 1</t>
  </si>
  <si>
    <t>안심 1</t>
  </si>
  <si>
    <t>안심 7</t>
  </si>
  <si>
    <t>안심 8</t>
  </si>
  <si>
    <t>안심 9</t>
  </si>
  <si>
    <t>신화리</t>
    <phoneticPr fontId="18" type="noConversion"/>
  </si>
  <si>
    <t>신화 1</t>
  </si>
  <si>
    <t>신화 2</t>
  </si>
  <si>
    <t>봉동 1</t>
  </si>
  <si>
    <t>삼산 2</t>
  </si>
  <si>
    <t>월성 1</t>
  </si>
  <si>
    <t>월성 2</t>
  </si>
  <si>
    <t>월성 3</t>
  </si>
  <si>
    <t>병촌 1</t>
  </si>
  <si>
    <t>병촌 2</t>
  </si>
  <si>
    <t>개척 1</t>
  </si>
  <si>
    <t>개척 2</t>
  </si>
  <si>
    <t>개척 3</t>
  </si>
  <si>
    <t>우곤리</t>
    <phoneticPr fontId="18" type="noConversion"/>
  </si>
  <si>
    <t>우곤 1</t>
  </si>
  <si>
    <t>우곤 2</t>
  </si>
  <si>
    <t>우곤 3</t>
  </si>
  <si>
    <t>우곤 4</t>
  </si>
  <si>
    <t>원남리</t>
    <phoneticPr fontId="18" type="noConversion"/>
  </si>
  <si>
    <t>원남 1</t>
  </si>
  <si>
    <t>원남 2</t>
  </si>
  <si>
    <t>원남 3</t>
  </si>
  <si>
    <t>원북 1</t>
  </si>
  <si>
    <t>원북 2</t>
  </si>
  <si>
    <t>원북 3</t>
  </si>
  <si>
    <t>정지 1</t>
  </si>
  <si>
    <t>정지 2</t>
  </si>
  <si>
    <t>정지 3</t>
  </si>
  <si>
    <t>정지 4</t>
  </si>
  <si>
    <t>원봉 1</t>
  </si>
  <si>
    <t>원봉 2</t>
  </si>
  <si>
    <t>원봉 3</t>
  </si>
  <si>
    <t>원봉 4</t>
  </si>
  <si>
    <t>삼호리</t>
    <phoneticPr fontId="18" type="noConversion"/>
  </si>
  <si>
    <t>삼호리</t>
  </si>
  <si>
    <t>신당 1</t>
  </si>
  <si>
    <t>신당 2</t>
  </si>
  <si>
    <t>신당 3</t>
  </si>
  <si>
    <t>중리 1</t>
  </si>
  <si>
    <t>중리 2</t>
  </si>
  <si>
    <t>득윤 1</t>
  </si>
  <si>
    <t>득윤 2</t>
  </si>
  <si>
    <t>득윤 3</t>
  </si>
  <si>
    <t>갈산 1</t>
  </si>
  <si>
    <t>갈산 2</t>
  </si>
  <si>
    <t>광 리</t>
  </si>
  <si>
    <t>이사 1</t>
  </si>
  <si>
    <t>이사 2</t>
  </si>
  <si>
    <t>산동리</t>
    <phoneticPr fontId="18" type="noConversion"/>
  </si>
  <si>
    <t>산동리</t>
  </si>
  <si>
    <t>천동 1</t>
  </si>
  <si>
    <t>천동 2</t>
  </si>
  <si>
    <t>천동 3</t>
  </si>
  <si>
    <t>천동 4</t>
  </si>
  <si>
    <t>왕전리</t>
    <phoneticPr fontId="18" type="noConversion"/>
  </si>
  <si>
    <t>왕전 1</t>
  </si>
  <si>
    <t>왕전 2</t>
  </si>
  <si>
    <t>왕전 3</t>
  </si>
  <si>
    <t>항월 1</t>
  </si>
  <si>
    <t>항월 2</t>
  </si>
  <si>
    <t>항월 3</t>
  </si>
  <si>
    <t>항월 4</t>
  </si>
  <si>
    <t>사월 1</t>
  </si>
  <si>
    <t>사월 2</t>
  </si>
  <si>
    <t>사월 3</t>
  </si>
  <si>
    <t>율리</t>
    <phoneticPr fontId="18" type="noConversion"/>
  </si>
  <si>
    <t>율리 1</t>
  </si>
  <si>
    <t>율리 2</t>
  </si>
  <si>
    <t>율리 3</t>
  </si>
  <si>
    <t>오강 1</t>
  </si>
  <si>
    <t>오강 2</t>
  </si>
  <si>
    <t>읍내 1</t>
  </si>
  <si>
    <t>읍내 2</t>
  </si>
  <si>
    <t>읍내 3</t>
  </si>
  <si>
    <t>두사 1</t>
  </si>
  <si>
    <t>두사 2</t>
  </si>
  <si>
    <t>송당리</t>
  </si>
  <si>
    <t>교촌리</t>
  </si>
  <si>
    <t>하도 1</t>
  </si>
  <si>
    <t>하도 2</t>
  </si>
  <si>
    <t>하도 3</t>
  </si>
  <si>
    <t>병사 1</t>
  </si>
  <si>
    <t>병사 2</t>
  </si>
  <si>
    <t>가곡 1</t>
  </si>
  <si>
    <t>가곡 2</t>
  </si>
  <si>
    <t>장구리</t>
    <phoneticPr fontId="18" type="noConversion"/>
  </si>
  <si>
    <t>장구 1</t>
  </si>
  <si>
    <t>장구 2</t>
  </si>
  <si>
    <t>효죽리</t>
  </si>
  <si>
    <t>죽림 1</t>
  </si>
  <si>
    <t>죽림 2</t>
  </si>
  <si>
    <t>죽림 3</t>
  </si>
  <si>
    <t>호암 1</t>
  </si>
  <si>
    <t>호암 2</t>
  </si>
  <si>
    <t>노티리</t>
    <phoneticPr fontId="18" type="noConversion"/>
  </si>
  <si>
    <t>노티 1</t>
  </si>
  <si>
    <t>노티 2</t>
  </si>
  <si>
    <t>구암리</t>
    <phoneticPr fontId="18" type="noConversion"/>
  </si>
  <si>
    <t>구암리</t>
  </si>
  <si>
    <t>화곡리</t>
  </si>
  <si>
    <t>신충 1</t>
  </si>
  <si>
    <t>신충 2</t>
  </si>
  <si>
    <t>신충 3</t>
  </si>
  <si>
    <t>산성리</t>
  </si>
  <si>
    <t>월오리</t>
    <phoneticPr fontId="18" type="noConversion"/>
  </si>
  <si>
    <t>월오 1</t>
  </si>
  <si>
    <t>월오 2</t>
  </si>
  <si>
    <t>지경 1</t>
  </si>
  <si>
    <t>지경 2</t>
  </si>
  <si>
    <t>석종리</t>
    <phoneticPr fontId="18" type="noConversion"/>
  </si>
  <si>
    <t>석종 1</t>
  </si>
  <si>
    <t>석종 2</t>
  </si>
  <si>
    <t>석종 3</t>
  </si>
  <si>
    <t>상도 1</t>
  </si>
  <si>
    <t>상도 2</t>
  </si>
  <si>
    <t>상도 3</t>
  </si>
  <si>
    <t>대명 1</t>
  </si>
  <si>
    <t>대명 2</t>
  </si>
  <si>
    <t>대우리</t>
  </si>
  <si>
    <t>대촌 1</t>
  </si>
  <si>
    <t>대촌 2</t>
  </si>
  <si>
    <t>주곡리</t>
    <phoneticPr fontId="18" type="noConversion"/>
  </si>
  <si>
    <t>주곡리</t>
  </si>
  <si>
    <t>한천 1</t>
  </si>
  <si>
    <t>한천 2</t>
  </si>
  <si>
    <t>한천 3</t>
  </si>
  <si>
    <t>숙진리</t>
    <phoneticPr fontId="18" type="noConversion"/>
  </si>
  <si>
    <t>숙진 1</t>
  </si>
  <si>
    <t>숙진 2</t>
  </si>
  <si>
    <t>마구평 1</t>
  </si>
  <si>
    <t>마구평 2</t>
  </si>
  <si>
    <t>마구평 3</t>
  </si>
  <si>
    <t>마구평 4</t>
  </si>
  <si>
    <t>마구평 5</t>
  </si>
  <si>
    <t>덕평리</t>
    <phoneticPr fontId="18" type="noConversion"/>
  </si>
  <si>
    <t>덕평 1</t>
  </si>
  <si>
    <t>덕평 2</t>
  </si>
  <si>
    <t>덕평 3</t>
  </si>
  <si>
    <t>부황 1</t>
  </si>
  <si>
    <t>부황 2</t>
  </si>
  <si>
    <t>부황 3</t>
  </si>
  <si>
    <t>외성리</t>
    <phoneticPr fontId="18" type="noConversion"/>
  </si>
  <si>
    <t>외성 1</t>
  </si>
  <si>
    <t>외성 2</t>
  </si>
  <si>
    <t>외성 3</t>
  </si>
  <si>
    <t>감곡리</t>
    <phoneticPr fontId="18" type="noConversion"/>
  </si>
  <si>
    <t>감곡 1</t>
  </si>
  <si>
    <t>감곡 2</t>
  </si>
  <si>
    <t>충곡 1</t>
  </si>
  <si>
    <t>충곡 2</t>
  </si>
  <si>
    <t>신풍리</t>
  </si>
  <si>
    <t>탑정 1</t>
  </si>
  <si>
    <t>탑정 2</t>
  </si>
  <si>
    <t>탑정 3</t>
  </si>
  <si>
    <t>신교 1</t>
  </si>
  <si>
    <t>신교 2</t>
  </si>
  <si>
    <t>신교 3</t>
  </si>
  <si>
    <t>반송 1</t>
  </si>
  <si>
    <t>반송 2</t>
  </si>
  <si>
    <t>반송 3</t>
  </si>
  <si>
    <t>아호 1</t>
  </si>
  <si>
    <t>아호 2</t>
  </si>
  <si>
    <t>부인 1</t>
  </si>
  <si>
    <t>부인 2</t>
  </si>
  <si>
    <t>부인 3</t>
  </si>
  <si>
    <t>화악리</t>
  </si>
  <si>
    <t>천호리</t>
  </si>
  <si>
    <t>송정리</t>
    <phoneticPr fontId="18" type="noConversion"/>
  </si>
  <si>
    <t>송정 1</t>
  </si>
  <si>
    <t>송정 2</t>
  </si>
  <si>
    <t>신암리</t>
  </si>
  <si>
    <t>연산리</t>
    <phoneticPr fontId="18" type="noConversion"/>
  </si>
  <si>
    <t>연산 1</t>
  </si>
  <si>
    <t>연산 2</t>
  </si>
  <si>
    <t>연산 3</t>
  </si>
  <si>
    <t>연산 4</t>
  </si>
  <si>
    <t>청동 1</t>
  </si>
  <si>
    <t>청동 2</t>
  </si>
  <si>
    <t>청동 3</t>
  </si>
  <si>
    <t>청동 4</t>
  </si>
  <si>
    <t>고정리</t>
    <phoneticPr fontId="18" type="noConversion"/>
  </si>
  <si>
    <t>고정리</t>
  </si>
  <si>
    <t>한전리</t>
    <phoneticPr fontId="18" type="noConversion"/>
  </si>
  <si>
    <t>한전 1</t>
  </si>
  <si>
    <t>연산면</t>
    <phoneticPr fontId="3" type="noConversion"/>
  </si>
  <si>
    <t>한전 2</t>
  </si>
  <si>
    <t>임리</t>
    <phoneticPr fontId="18" type="noConversion"/>
  </si>
  <si>
    <t>임리 1</t>
  </si>
  <si>
    <t>임리 2</t>
    <phoneticPr fontId="3" type="noConversion"/>
  </si>
  <si>
    <t>관동리</t>
    <phoneticPr fontId="18" type="noConversion"/>
  </si>
  <si>
    <t>관동 1</t>
    <phoneticPr fontId="3" type="noConversion"/>
  </si>
  <si>
    <t>관동 2</t>
    <phoneticPr fontId="3" type="noConversion"/>
  </si>
  <si>
    <t>고양리</t>
  </si>
  <si>
    <t>고양리</t>
    <phoneticPr fontId="3" type="noConversion"/>
  </si>
  <si>
    <t>표정리</t>
    <phoneticPr fontId="18" type="noConversion"/>
  </si>
  <si>
    <t>표정 1</t>
    <phoneticPr fontId="3" type="noConversion"/>
  </si>
  <si>
    <t>표정 2</t>
    <phoneticPr fontId="3" type="noConversion"/>
  </si>
  <si>
    <t>덕암리</t>
    <phoneticPr fontId="18" type="noConversion"/>
  </si>
  <si>
    <t>덕암 1</t>
    <phoneticPr fontId="3" type="noConversion"/>
  </si>
  <si>
    <t>덕암 2</t>
    <phoneticPr fontId="3" type="noConversion"/>
  </si>
  <si>
    <t>장전리</t>
    <phoneticPr fontId="18" type="noConversion"/>
  </si>
  <si>
    <t>장전 1</t>
    <phoneticPr fontId="3" type="noConversion"/>
  </si>
  <si>
    <t>장전 2</t>
  </si>
  <si>
    <t>장전 3</t>
  </si>
  <si>
    <t>백석리</t>
    <phoneticPr fontId="18" type="noConversion"/>
  </si>
  <si>
    <t>백석 1</t>
  </si>
  <si>
    <t>백석 2</t>
  </si>
  <si>
    <t>백석 3</t>
  </si>
  <si>
    <t>백석 4</t>
  </si>
  <si>
    <t>어은리</t>
    <phoneticPr fontId="18" type="noConversion"/>
  </si>
  <si>
    <t>어은 1</t>
  </si>
  <si>
    <t>어은 2</t>
  </si>
  <si>
    <t>사포리</t>
    <phoneticPr fontId="18" type="noConversion"/>
  </si>
  <si>
    <t>사포리</t>
  </si>
  <si>
    <t>송산리</t>
    <phoneticPr fontId="18" type="noConversion"/>
  </si>
  <si>
    <t>송산 1</t>
  </si>
  <si>
    <t>송산 2</t>
  </si>
  <si>
    <t>오산리</t>
    <phoneticPr fontId="18" type="noConversion"/>
  </si>
  <si>
    <t>오산리</t>
  </si>
  <si>
    <t>신양리</t>
    <phoneticPr fontId="18" type="noConversion"/>
  </si>
  <si>
    <t>신양 1</t>
  </si>
  <si>
    <t>신양 2</t>
  </si>
  <si>
    <t>벌곡면</t>
    <phoneticPr fontId="3" type="noConversion"/>
  </si>
  <si>
    <t>한삼천리</t>
    <phoneticPr fontId="18" type="noConversion"/>
  </si>
  <si>
    <t>한삼천 1</t>
  </si>
  <si>
    <t>한삼천 2</t>
  </si>
  <si>
    <t>한삼천 3</t>
  </si>
  <si>
    <t>덕목리</t>
    <phoneticPr fontId="18" type="noConversion"/>
  </si>
  <si>
    <t>덕목리</t>
  </si>
  <si>
    <t>사정리</t>
    <phoneticPr fontId="18" type="noConversion"/>
  </si>
  <si>
    <t>사정 1</t>
  </si>
  <si>
    <t>사정 2</t>
  </si>
  <si>
    <t>대덕리</t>
    <phoneticPr fontId="18" type="noConversion"/>
  </si>
  <si>
    <t>대덕리</t>
  </si>
  <si>
    <t>벌곡면</t>
    <phoneticPr fontId="3" type="noConversion"/>
  </si>
  <si>
    <t>검천리</t>
    <phoneticPr fontId="18" type="noConversion"/>
  </si>
  <si>
    <t>검천리</t>
  </si>
  <si>
    <t>덕곡리</t>
    <phoneticPr fontId="18" type="noConversion"/>
  </si>
  <si>
    <t>덕곡리</t>
    <phoneticPr fontId="3" type="noConversion"/>
  </si>
  <si>
    <t>수락리</t>
    <phoneticPr fontId="18" type="noConversion"/>
  </si>
  <si>
    <t>수락 1</t>
  </si>
  <si>
    <t>수락 2</t>
  </si>
  <si>
    <t>도산리</t>
    <phoneticPr fontId="18" type="noConversion"/>
  </si>
  <si>
    <t>도산 1</t>
  </si>
  <si>
    <t>도산 2</t>
  </si>
  <si>
    <t>만목리</t>
    <phoneticPr fontId="18" type="noConversion"/>
  </si>
  <si>
    <t>만목리</t>
  </si>
  <si>
    <t>어곡리</t>
    <phoneticPr fontId="18" type="noConversion"/>
  </si>
  <si>
    <t>어곡리</t>
  </si>
  <si>
    <t>조동리</t>
    <phoneticPr fontId="18" type="noConversion"/>
  </si>
  <si>
    <t>조동 1</t>
  </si>
  <si>
    <t>조동 2</t>
  </si>
  <si>
    <t>조령리</t>
    <phoneticPr fontId="18" type="noConversion"/>
  </si>
  <si>
    <t>조령리</t>
  </si>
  <si>
    <t>신양- 1</t>
    <phoneticPr fontId="3" type="noConversion"/>
  </si>
  <si>
    <t>신양- 2</t>
    <phoneticPr fontId="3" type="noConversion"/>
  </si>
  <si>
    <t>신양- 3</t>
    <phoneticPr fontId="3" type="noConversion"/>
  </si>
  <si>
    <t>양산리</t>
    <phoneticPr fontId="18" type="noConversion"/>
  </si>
  <si>
    <t>양산 1</t>
  </si>
  <si>
    <t>양산 2</t>
  </si>
  <si>
    <t>양촌면</t>
    <phoneticPr fontId="3" type="noConversion"/>
  </si>
  <si>
    <t>인천리</t>
    <phoneticPr fontId="18" type="noConversion"/>
  </si>
  <si>
    <t>인천 1</t>
  </si>
  <si>
    <t>인천 2</t>
  </si>
  <si>
    <t>인천 3</t>
  </si>
  <si>
    <t>인천 4</t>
  </si>
  <si>
    <t>도평리</t>
    <phoneticPr fontId="18" type="noConversion"/>
  </si>
  <si>
    <t>도평 1</t>
  </si>
  <si>
    <t>도평 2</t>
  </si>
  <si>
    <t>도평 3</t>
  </si>
  <si>
    <t>임화리</t>
    <phoneticPr fontId="18" type="noConversion"/>
  </si>
  <si>
    <t>임화 1</t>
  </si>
  <si>
    <t>임화 2</t>
  </si>
  <si>
    <t>임화 3</t>
  </si>
  <si>
    <t>임화 4</t>
  </si>
  <si>
    <t>양촌리-</t>
    <phoneticPr fontId="18" type="noConversion"/>
  </si>
  <si>
    <t>양촌 1</t>
  </si>
  <si>
    <t>양촌 2</t>
  </si>
  <si>
    <t>신기리</t>
    <phoneticPr fontId="18" type="noConversion"/>
  </si>
  <si>
    <t>신기 1</t>
  </si>
  <si>
    <t>신기 2</t>
  </si>
  <si>
    <t>오산 1</t>
  </si>
  <si>
    <t>오산 2</t>
  </si>
  <si>
    <t>채광리</t>
    <phoneticPr fontId="18" type="noConversion"/>
  </si>
  <si>
    <t>채광 1</t>
  </si>
  <si>
    <t>채광 2</t>
  </si>
  <si>
    <t>남산리</t>
    <phoneticPr fontId="18" type="noConversion"/>
  </si>
  <si>
    <t>남산- 1</t>
    <phoneticPr fontId="3" type="noConversion"/>
  </si>
  <si>
    <t>남산- 2</t>
    <phoneticPr fontId="3" type="noConversion"/>
  </si>
  <si>
    <t>반암리</t>
    <phoneticPr fontId="18" type="noConversion"/>
  </si>
  <si>
    <t>반암 1</t>
  </si>
  <si>
    <t>반암 2</t>
  </si>
  <si>
    <t>산직리</t>
    <phoneticPr fontId="18" type="noConversion"/>
  </si>
  <si>
    <t>산직 1</t>
  </si>
  <si>
    <t>산직 2</t>
  </si>
  <si>
    <t>모촌리</t>
    <phoneticPr fontId="18" type="noConversion"/>
  </si>
  <si>
    <t>모촌 1</t>
  </si>
  <si>
    <t>모촌 2</t>
  </si>
  <si>
    <t>모촌 3</t>
  </si>
  <si>
    <t>신흥리</t>
    <phoneticPr fontId="18" type="noConversion"/>
  </si>
  <si>
    <t>신흥 1</t>
  </si>
  <si>
    <t>신흥 2</t>
  </si>
  <si>
    <t>거사리</t>
    <phoneticPr fontId="18" type="noConversion"/>
  </si>
  <si>
    <t>거사 1</t>
  </si>
  <si>
    <t>거사 2</t>
  </si>
  <si>
    <t>거사 3</t>
  </si>
  <si>
    <t>반곡리</t>
    <phoneticPr fontId="18" type="noConversion"/>
  </si>
  <si>
    <t>반곡 1</t>
  </si>
  <si>
    <t>반곡 2</t>
  </si>
  <si>
    <t>명암리</t>
    <phoneticPr fontId="18" type="noConversion"/>
  </si>
  <si>
    <t>명암 1</t>
  </si>
  <si>
    <t>명암 2</t>
  </si>
  <si>
    <t>석서리</t>
    <phoneticPr fontId="18" type="noConversion"/>
  </si>
  <si>
    <t>석서 1</t>
  </si>
  <si>
    <t>석서 2</t>
  </si>
  <si>
    <t>중산리</t>
    <phoneticPr fontId="18" type="noConversion"/>
  </si>
  <si>
    <t>중산 1</t>
  </si>
  <si>
    <t>중산 2</t>
  </si>
  <si>
    <t>중산 3</t>
  </si>
  <si>
    <t>가야곡면</t>
    <phoneticPr fontId="3" type="noConversion"/>
  </si>
  <si>
    <t>육곡리</t>
    <phoneticPr fontId="18" type="noConversion"/>
  </si>
  <si>
    <t>육곡 1</t>
  </si>
  <si>
    <t>육곡 2</t>
  </si>
  <si>
    <t>강청리</t>
    <phoneticPr fontId="18" type="noConversion"/>
  </si>
  <si>
    <t>강청 1</t>
  </si>
  <si>
    <t>강청 2</t>
  </si>
  <si>
    <t>목곡리</t>
    <phoneticPr fontId="18" type="noConversion"/>
  </si>
  <si>
    <t>목곡 1</t>
  </si>
  <si>
    <t>목곡 2</t>
  </si>
  <si>
    <t>함적리</t>
    <phoneticPr fontId="18" type="noConversion"/>
  </si>
  <si>
    <t>함적 1</t>
  </si>
  <si>
    <t>산노리</t>
    <phoneticPr fontId="18" type="noConversion"/>
  </si>
  <si>
    <t>산노 1</t>
  </si>
  <si>
    <t>산노 2</t>
  </si>
  <si>
    <t>병암리</t>
    <phoneticPr fontId="18" type="noConversion"/>
  </si>
  <si>
    <t>병암 1</t>
  </si>
  <si>
    <t>병암 2</t>
  </si>
  <si>
    <t>조정리</t>
    <phoneticPr fontId="18" type="noConversion"/>
  </si>
  <si>
    <t>조정리</t>
  </si>
  <si>
    <t>등리</t>
    <phoneticPr fontId="18" type="noConversion"/>
  </si>
  <si>
    <t>등 1</t>
  </si>
  <si>
    <t>등 2</t>
  </si>
  <si>
    <t>종연리</t>
    <phoneticPr fontId="18" type="noConversion"/>
  </si>
  <si>
    <t>종연 1</t>
  </si>
  <si>
    <t>두월리</t>
    <phoneticPr fontId="18" type="noConversion"/>
  </si>
  <si>
    <t>두월 1</t>
  </si>
  <si>
    <t>두월 2</t>
  </si>
  <si>
    <t>야촌리</t>
    <phoneticPr fontId="18" type="noConversion"/>
  </si>
  <si>
    <t>야촌 1</t>
  </si>
  <si>
    <t>왕암리</t>
    <phoneticPr fontId="18" type="noConversion"/>
  </si>
  <si>
    <t>왕암 1</t>
  </si>
  <si>
    <t>왕암 2</t>
  </si>
  <si>
    <t>삼전리</t>
    <phoneticPr fontId="18" type="noConversion"/>
  </si>
  <si>
    <t>삼전 1</t>
  </si>
  <si>
    <t>삼전 2</t>
  </si>
  <si>
    <t>양촌리</t>
    <phoneticPr fontId="3" type="noConversion"/>
  </si>
  <si>
    <t>양촌리</t>
  </si>
  <si>
    <t>은진면</t>
    <phoneticPr fontId="3" type="noConversion"/>
  </si>
  <si>
    <t>연서리</t>
    <phoneticPr fontId="18" type="noConversion"/>
  </si>
  <si>
    <t>연서 1</t>
  </si>
  <si>
    <t>방축리</t>
    <phoneticPr fontId="18" type="noConversion"/>
  </si>
  <si>
    <t>방축 1</t>
  </si>
  <si>
    <t>방축 2</t>
  </si>
  <si>
    <t>방축 3</t>
  </si>
  <si>
    <t>방축 4</t>
  </si>
  <si>
    <t>토양리</t>
    <phoneticPr fontId="18" type="noConversion"/>
  </si>
  <si>
    <t>토양 1</t>
  </si>
  <si>
    <t>토양 2</t>
  </si>
  <si>
    <t>토양 3</t>
  </si>
  <si>
    <t>시묘리</t>
    <phoneticPr fontId="18" type="noConversion"/>
  </si>
  <si>
    <t>시묘 1</t>
  </si>
  <si>
    <t>용산리</t>
    <phoneticPr fontId="18" type="noConversion"/>
  </si>
  <si>
    <t>용산 1</t>
  </si>
  <si>
    <t>교촌 1</t>
  </si>
  <si>
    <t>교촌 2</t>
  </si>
  <si>
    <t>교촌 3</t>
  </si>
  <si>
    <t>와야리</t>
    <phoneticPr fontId="18" type="noConversion"/>
  </si>
  <si>
    <t>와야리</t>
  </si>
  <si>
    <t>남산 1</t>
  </si>
  <si>
    <t>남산 2</t>
  </si>
  <si>
    <t>남산 3</t>
  </si>
  <si>
    <t>성덕리</t>
  </si>
  <si>
    <t>성평리</t>
    <phoneticPr fontId="18" type="noConversion"/>
  </si>
  <si>
    <t>성평 1</t>
  </si>
  <si>
    <t>성평 3</t>
  </si>
  <si>
    <t>채운면</t>
    <phoneticPr fontId="3" type="noConversion"/>
  </si>
  <si>
    <t>화산리</t>
    <phoneticPr fontId="18" type="noConversion"/>
  </si>
  <si>
    <t>화산 1</t>
  </si>
  <si>
    <t>화산 2</t>
  </si>
  <si>
    <t>화산 3</t>
  </si>
  <si>
    <t>용화리</t>
    <phoneticPr fontId="18" type="noConversion"/>
  </si>
  <si>
    <t>용화 1</t>
  </si>
  <si>
    <t>용화 2</t>
  </si>
  <si>
    <t>용화 3</t>
  </si>
  <si>
    <t>용화 4</t>
  </si>
  <si>
    <t>우기리</t>
    <phoneticPr fontId="18" type="noConversion"/>
  </si>
  <si>
    <t>우기 1</t>
  </si>
  <si>
    <t>우기 2</t>
  </si>
  <si>
    <t>우기 3</t>
  </si>
  <si>
    <t>심암리</t>
    <phoneticPr fontId="18" type="noConversion"/>
  </si>
  <si>
    <t>심암 1</t>
  </si>
  <si>
    <t>심암 2</t>
  </si>
  <si>
    <t>화정리</t>
    <phoneticPr fontId="18" type="noConversion"/>
  </si>
  <si>
    <t>화정 1</t>
  </si>
  <si>
    <t>화정 2</t>
  </si>
  <si>
    <t>삼거리</t>
    <phoneticPr fontId="18" type="noConversion"/>
  </si>
  <si>
    <t>삼거 1</t>
  </si>
  <si>
    <t>삼거 2</t>
  </si>
  <si>
    <t>삼거 3</t>
  </si>
  <si>
    <t>삼거 4</t>
  </si>
  <si>
    <t>삼거 5</t>
  </si>
  <si>
    <t>장화리</t>
    <phoneticPr fontId="18" type="noConversion"/>
  </si>
  <si>
    <t>장화 1</t>
  </si>
  <si>
    <t>장화 2</t>
  </si>
  <si>
    <t>장화 3</t>
  </si>
  <si>
    <t>야화리</t>
    <phoneticPr fontId="18" type="noConversion"/>
  </si>
  <si>
    <t>야화 1</t>
  </si>
  <si>
    <t>야화 2</t>
  </si>
  <si>
    <t>야화 3</t>
  </si>
  <si>
    <t>취암동</t>
    <phoneticPr fontId="3" type="noConversion"/>
  </si>
  <si>
    <t>화지동</t>
    <phoneticPr fontId="18" type="noConversion"/>
  </si>
  <si>
    <t>반월동</t>
    <phoneticPr fontId="18" type="noConversion"/>
  </si>
  <si>
    <t>취암동</t>
    <phoneticPr fontId="18" type="noConversion"/>
  </si>
  <si>
    <t>지산동</t>
    <phoneticPr fontId="18" type="noConversion"/>
  </si>
  <si>
    <t>덕지동</t>
    <phoneticPr fontId="18" type="noConversion"/>
  </si>
  <si>
    <t>내동</t>
    <phoneticPr fontId="18" type="noConversion"/>
  </si>
  <si>
    <t>관촉동</t>
    <phoneticPr fontId="18" type="noConversion"/>
  </si>
  <si>
    <t>부창동</t>
    <phoneticPr fontId="3" type="noConversion"/>
  </si>
  <si>
    <t>대교동</t>
    <phoneticPr fontId="3" type="noConversion"/>
  </si>
  <si>
    <t>등화동</t>
    <phoneticPr fontId="3" type="noConversion"/>
  </si>
  <si>
    <t>부창동</t>
    <phoneticPr fontId="3" type="noConversion"/>
  </si>
  <si>
    <t>강산동</t>
    <phoneticPr fontId="3" type="noConversion"/>
  </si>
  <si>
    <t>봉화</t>
    <phoneticPr fontId="3" type="noConversion"/>
  </si>
  <si>
    <t>논산</t>
    <phoneticPr fontId="3" type="noConversion"/>
  </si>
  <si>
    <t>마산</t>
    <phoneticPr fontId="3" type="noConversion"/>
  </si>
  <si>
    <t>부적</t>
    <phoneticPr fontId="3" type="noConversion"/>
  </si>
  <si>
    <t>채운</t>
    <phoneticPr fontId="3" type="noConversion"/>
  </si>
  <si>
    <t>강경</t>
    <phoneticPr fontId="3" type="noConversion"/>
  </si>
  <si>
    <t>노성</t>
    <phoneticPr fontId="3" type="noConversion"/>
  </si>
  <si>
    <t>합계</t>
    <phoneticPr fontId="3" type="noConversion"/>
  </si>
  <si>
    <t>연산</t>
    <phoneticPr fontId="3" type="noConversion"/>
  </si>
  <si>
    <t>2030비율</t>
    <phoneticPr fontId="3" type="noConversion"/>
  </si>
  <si>
    <t>C20 화학물질 및 화학제품(의약품 제외)</t>
  </si>
  <si>
    <t xml:space="preserve">C28 전기장비 </t>
  </si>
  <si>
    <t xml:space="preserve"> 1) 관광용수 원단위</t>
    <phoneticPr fontId="18" type="noConversion"/>
  </si>
  <si>
    <t>2013년</t>
    <phoneticPr fontId="3" type="noConversion"/>
  </si>
  <si>
    <t>2015년</t>
    <phoneticPr fontId="3" type="noConversion"/>
  </si>
  <si>
    <t>2020년</t>
    <phoneticPr fontId="3" type="noConversion"/>
  </si>
  <si>
    <t>2025년</t>
    <phoneticPr fontId="3" type="noConversion"/>
  </si>
  <si>
    <t>2030년</t>
    <phoneticPr fontId="3" type="noConversion"/>
  </si>
  <si>
    <t>비고</t>
    <phoneticPr fontId="3" type="noConversion"/>
  </si>
  <si>
    <t>구  분</t>
    <phoneticPr fontId="3" type="noConversion"/>
  </si>
  <si>
    <t>동지역</t>
    <phoneticPr fontId="3" type="noConversion"/>
  </si>
  <si>
    <t>읍지역</t>
    <phoneticPr fontId="3" type="noConversion"/>
  </si>
  <si>
    <t>면지역</t>
    <phoneticPr fontId="3" type="noConversion"/>
  </si>
  <si>
    <t>급수
원단위</t>
    <phoneticPr fontId="3" type="noConversion"/>
  </si>
  <si>
    <t>급수(가정)
원단위</t>
    <phoneticPr fontId="3" type="noConversion"/>
  </si>
  <si>
    <t>비율</t>
    <phoneticPr fontId="3" type="noConversion"/>
  </si>
  <si>
    <t>일귀객</t>
    <phoneticPr fontId="3" type="noConversion"/>
  </si>
  <si>
    <t>숙박객</t>
    <phoneticPr fontId="3" type="noConversion"/>
  </si>
  <si>
    <t>관광
원단위</t>
    <phoneticPr fontId="3" type="noConversion"/>
  </si>
  <si>
    <t>원 단 위</t>
    <phoneticPr fontId="18" type="noConversion"/>
  </si>
  <si>
    <t>제외</t>
    <phoneticPr fontId="3" type="noConversion"/>
  </si>
  <si>
    <t>한국야쿠르트</t>
    <phoneticPr fontId="3" type="noConversion"/>
  </si>
  <si>
    <t>노성 급수분구</t>
    <phoneticPr fontId="35" type="noConversion"/>
  </si>
  <si>
    <t>연무 급수구역</t>
    <phoneticPr fontId="35" type="noConversion"/>
  </si>
  <si>
    <t xml:space="preserve"> ◈ 연무급수구역</t>
    <phoneticPr fontId="18" type="noConversion"/>
  </si>
  <si>
    <t>연무 급수구역</t>
    <phoneticPr fontId="3" type="noConversion"/>
  </si>
  <si>
    <t>연무
급수구역</t>
    <phoneticPr fontId="3" type="noConversion"/>
  </si>
  <si>
    <t>연무</t>
    <phoneticPr fontId="3" type="noConversion"/>
  </si>
  <si>
    <t>양지배수지</t>
    <phoneticPr fontId="3" type="noConversion"/>
  </si>
  <si>
    <t>양지배수지
(공업전용)</t>
    <phoneticPr fontId="3" type="noConversion"/>
  </si>
  <si>
    <t xml:space="preserve"> 2) 육군항공학교</t>
    <phoneticPr fontId="18" type="noConversion"/>
  </si>
  <si>
    <t>적용</t>
    <phoneticPr fontId="3" type="noConversion"/>
  </si>
  <si>
    <t>5. 기타용수 수요량</t>
    <phoneticPr fontId="18" type="noConversion"/>
  </si>
  <si>
    <t xml:space="preserve"> 3) 금강대학교</t>
    <phoneticPr fontId="18" type="noConversion"/>
  </si>
  <si>
    <t>상월 급수분구</t>
    <phoneticPr fontId="35" type="noConversion"/>
  </si>
  <si>
    <t>상월코드</t>
    <phoneticPr fontId="3" type="noConversion"/>
  </si>
  <si>
    <t xml:space="preserve"> 4) 집계</t>
    <phoneticPr fontId="18" type="noConversion"/>
  </si>
  <si>
    <t>비고</t>
    <phoneticPr fontId="3" type="noConversion"/>
  </si>
  <si>
    <t>훈련소</t>
    <phoneticPr fontId="3" type="noConversion"/>
  </si>
  <si>
    <t>육군항공학교</t>
    <phoneticPr fontId="3" type="noConversion"/>
  </si>
  <si>
    <t>금강대학교</t>
    <phoneticPr fontId="3" type="noConversion"/>
  </si>
  <si>
    <t>마산</t>
    <phoneticPr fontId="3" type="noConversion"/>
  </si>
  <si>
    <t>노성</t>
    <phoneticPr fontId="3" type="noConversion"/>
  </si>
  <si>
    <t>상월</t>
    <phoneticPr fontId="3" type="noConversion"/>
  </si>
  <si>
    <t>결정지역</t>
    <phoneticPr fontId="3" type="noConversion"/>
  </si>
  <si>
    <t>구 분</t>
    <phoneticPr fontId="35" type="noConversion"/>
  </si>
  <si>
    <t>신당리</t>
    <phoneticPr fontId="35" type="noConversion"/>
  </si>
  <si>
    <t>중리</t>
    <phoneticPr fontId="35" type="noConversion"/>
  </si>
  <si>
    <t>득윤리</t>
    <phoneticPr fontId="35" type="noConversion"/>
  </si>
  <si>
    <t>갈산리</t>
    <phoneticPr fontId="35" type="noConversion"/>
  </si>
  <si>
    <t>광리</t>
    <phoneticPr fontId="35" type="noConversion"/>
  </si>
  <si>
    <t>이사리</t>
    <phoneticPr fontId="35" type="noConversion"/>
  </si>
  <si>
    <t>천동리</t>
    <phoneticPr fontId="35" type="noConversion"/>
  </si>
  <si>
    <t>급수량</t>
    <phoneticPr fontId="3" type="noConversion"/>
  </si>
  <si>
    <t>삼산리</t>
    <phoneticPr fontId="35" type="noConversion"/>
  </si>
  <si>
    <t>월성리</t>
    <phoneticPr fontId="35" type="noConversion"/>
  </si>
  <si>
    <t>병촌리</t>
    <phoneticPr fontId="35" type="noConversion"/>
  </si>
  <si>
    <t>개척리</t>
    <phoneticPr fontId="35" type="noConversion"/>
  </si>
  <si>
    <t>우곤리</t>
    <phoneticPr fontId="35" type="noConversion"/>
  </si>
  <si>
    <t>원남리</t>
    <phoneticPr fontId="35" type="noConversion"/>
  </si>
  <si>
    <t>원북리</t>
    <phoneticPr fontId="35" type="noConversion"/>
  </si>
  <si>
    <t>정지리</t>
    <phoneticPr fontId="35" type="noConversion"/>
  </si>
  <si>
    <t>원봉리</t>
    <phoneticPr fontId="35" type="noConversion"/>
  </si>
  <si>
    <t>화정리</t>
    <phoneticPr fontId="35" type="noConversion"/>
  </si>
  <si>
    <t>삼호리</t>
    <phoneticPr fontId="35" type="noConversion"/>
  </si>
  <si>
    <t>왕전리</t>
    <phoneticPr fontId="3" type="noConversion"/>
  </si>
  <si>
    <t>신당리</t>
    <phoneticPr fontId="3" type="noConversion"/>
  </si>
  <si>
    <t>광리</t>
    <phoneticPr fontId="3" type="noConversion"/>
  </si>
  <si>
    <t>천동리</t>
    <phoneticPr fontId="3" type="noConversion"/>
  </si>
  <si>
    <t>A</t>
    <phoneticPr fontId="3" type="noConversion"/>
  </si>
  <si>
    <t>화지동</t>
    <phoneticPr fontId="3" type="noConversion"/>
  </si>
  <si>
    <t>반월동</t>
    <phoneticPr fontId="3" type="noConversion"/>
  </si>
  <si>
    <t>취암동</t>
    <phoneticPr fontId="3" type="noConversion"/>
  </si>
  <si>
    <t>지산동</t>
    <phoneticPr fontId="3" type="noConversion"/>
  </si>
  <si>
    <t>덕지동</t>
    <phoneticPr fontId="3" type="noConversion"/>
  </si>
  <si>
    <t>내동</t>
    <phoneticPr fontId="3" type="noConversion"/>
  </si>
  <si>
    <t>관촉동</t>
    <phoneticPr fontId="3" type="noConversion"/>
  </si>
  <si>
    <t>대교동</t>
    <phoneticPr fontId="3" type="noConversion"/>
  </si>
  <si>
    <t>부창동</t>
    <phoneticPr fontId="3" type="noConversion"/>
  </si>
  <si>
    <t>등화동</t>
    <phoneticPr fontId="3" type="noConversion"/>
  </si>
  <si>
    <t>강산동</t>
    <phoneticPr fontId="3" type="noConversion"/>
  </si>
  <si>
    <t>성평리</t>
    <phoneticPr fontId="3" type="noConversion"/>
  </si>
  <si>
    <t>내동 급수구역</t>
    <phoneticPr fontId="3" type="noConversion"/>
  </si>
  <si>
    <t>와야리</t>
    <phoneticPr fontId="3" type="noConversion"/>
  </si>
  <si>
    <t>연서리</t>
    <phoneticPr fontId="3" type="noConversion"/>
  </si>
  <si>
    <t>용산리</t>
    <phoneticPr fontId="3" type="noConversion"/>
  </si>
  <si>
    <t>시묘리</t>
    <phoneticPr fontId="3" type="noConversion"/>
  </si>
  <si>
    <t>죽본리</t>
    <phoneticPr fontId="3" type="noConversion"/>
  </si>
  <si>
    <t>동산리</t>
    <phoneticPr fontId="3" type="noConversion"/>
  </si>
  <si>
    <t>안심리</t>
    <phoneticPr fontId="3" type="noConversion"/>
  </si>
  <si>
    <t>두월리</t>
    <phoneticPr fontId="3" type="noConversion"/>
  </si>
  <si>
    <t>양지리</t>
    <phoneticPr fontId="3" type="noConversion"/>
  </si>
  <si>
    <t>마산리</t>
    <phoneticPr fontId="3" type="noConversion"/>
  </si>
  <si>
    <t>금곡리</t>
    <phoneticPr fontId="3" type="noConversion"/>
  </si>
  <si>
    <t>죽평리</t>
    <phoneticPr fontId="3" type="noConversion"/>
  </si>
  <si>
    <t>황화정리</t>
    <phoneticPr fontId="3" type="noConversion"/>
  </si>
  <si>
    <t>소룡리</t>
    <phoneticPr fontId="3" type="noConversion"/>
  </si>
  <si>
    <t>마전리</t>
    <phoneticPr fontId="3" type="noConversion"/>
  </si>
  <si>
    <t>고내리</t>
    <phoneticPr fontId="3" type="noConversion"/>
  </si>
  <si>
    <t>봉동리</t>
    <phoneticPr fontId="3" type="noConversion"/>
  </si>
  <si>
    <t>육곡리</t>
    <phoneticPr fontId="3" type="noConversion"/>
  </si>
  <si>
    <t>마구평리</t>
    <phoneticPr fontId="3" type="noConversion"/>
  </si>
  <si>
    <t>부적면</t>
    <phoneticPr fontId="3" type="noConversion"/>
  </si>
  <si>
    <t>덕평리</t>
    <phoneticPr fontId="3" type="noConversion"/>
  </si>
  <si>
    <t>부황리</t>
    <phoneticPr fontId="3" type="noConversion"/>
  </si>
  <si>
    <t>외성리</t>
    <phoneticPr fontId="3" type="noConversion"/>
  </si>
  <si>
    <t>감곡리</t>
    <phoneticPr fontId="3" type="noConversion"/>
  </si>
  <si>
    <t>탑정리</t>
    <phoneticPr fontId="3" type="noConversion"/>
  </si>
  <si>
    <t>신교리</t>
    <phoneticPr fontId="3" type="noConversion"/>
  </si>
  <si>
    <t>반송리</t>
    <phoneticPr fontId="3" type="noConversion"/>
  </si>
  <si>
    <t>아호리</t>
    <phoneticPr fontId="3" type="noConversion"/>
  </si>
  <si>
    <t>부인리</t>
    <phoneticPr fontId="3" type="noConversion"/>
  </si>
  <si>
    <t>충곡리</t>
    <phoneticPr fontId="3" type="noConversion"/>
  </si>
  <si>
    <t>연산면</t>
    <phoneticPr fontId="3" type="noConversion"/>
  </si>
  <si>
    <t>연산리</t>
    <phoneticPr fontId="3" type="noConversion"/>
  </si>
  <si>
    <t>한전리</t>
    <phoneticPr fontId="3" type="noConversion"/>
  </si>
  <si>
    <t>고양리</t>
    <phoneticPr fontId="3" type="noConversion"/>
  </si>
  <si>
    <t>사포리</t>
    <phoneticPr fontId="3" type="noConversion"/>
  </si>
  <si>
    <t>송산리</t>
    <phoneticPr fontId="3" type="noConversion"/>
  </si>
  <si>
    <t>오산리</t>
    <phoneticPr fontId="3" type="noConversion"/>
  </si>
  <si>
    <t>양촌면</t>
    <phoneticPr fontId="3" type="noConversion"/>
  </si>
  <si>
    <t>인천리</t>
    <phoneticPr fontId="3" type="noConversion"/>
  </si>
  <si>
    <t>도평리</t>
    <phoneticPr fontId="3" type="noConversion"/>
  </si>
  <si>
    <t>모촌리</t>
    <phoneticPr fontId="3" type="noConversion"/>
  </si>
  <si>
    <t>가야곡면</t>
    <phoneticPr fontId="3" type="noConversion"/>
  </si>
  <si>
    <t>병암리</t>
    <phoneticPr fontId="3" type="noConversion"/>
  </si>
  <si>
    <t>채운면</t>
    <phoneticPr fontId="3" type="noConversion"/>
  </si>
  <si>
    <t>화산리</t>
    <phoneticPr fontId="3" type="noConversion"/>
  </si>
  <si>
    <t>용화리</t>
    <phoneticPr fontId="3" type="noConversion"/>
  </si>
  <si>
    <t>우기리</t>
    <phoneticPr fontId="3" type="noConversion"/>
  </si>
  <si>
    <t>심암리</t>
    <phoneticPr fontId="3" type="noConversion"/>
  </si>
  <si>
    <t>화정리</t>
    <phoneticPr fontId="3" type="noConversion"/>
  </si>
  <si>
    <t>야화리</t>
    <phoneticPr fontId="3" type="noConversion"/>
  </si>
  <si>
    <t>은진면</t>
    <phoneticPr fontId="3" type="noConversion"/>
  </si>
  <si>
    <t>남산리</t>
    <phoneticPr fontId="3" type="noConversion"/>
  </si>
  <si>
    <t>방축리</t>
    <phoneticPr fontId="3" type="noConversion"/>
  </si>
  <si>
    <t>교촌리</t>
    <phoneticPr fontId="3" type="noConversion"/>
  </si>
  <si>
    <t>토양리</t>
    <phoneticPr fontId="3" type="noConversion"/>
  </si>
  <si>
    <t>연무읍</t>
    <phoneticPr fontId="3" type="noConversion"/>
  </si>
  <si>
    <t>신화리</t>
    <phoneticPr fontId="3" type="noConversion"/>
  </si>
  <si>
    <t>강경읍</t>
    <phoneticPr fontId="3" type="noConversion"/>
  </si>
  <si>
    <t>남교리</t>
    <phoneticPr fontId="3" type="noConversion"/>
  </si>
  <si>
    <t>동흥리</t>
    <phoneticPr fontId="3" type="noConversion"/>
  </si>
  <si>
    <t>북옥리</t>
    <phoneticPr fontId="3" type="noConversion"/>
  </si>
  <si>
    <t>서창리</t>
    <phoneticPr fontId="3" type="noConversion"/>
  </si>
  <si>
    <t>홍교리</t>
    <phoneticPr fontId="3" type="noConversion"/>
  </si>
  <si>
    <t>중앙리</t>
    <phoneticPr fontId="3" type="noConversion"/>
  </si>
  <si>
    <t>염천리</t>
    <phoneticPr fontId="3" type="noConversion"/>
  </si>
  <si>
    <t>태평리</t>
    <phoneticPr fontId="3" type="noConversion"/>
  </si>
  <si>
    <t>대흥리</t>
    <phoneticPr fontId="3" type="noConversion"/>
  </si>
  <si>
    <t>황산리</t>
    <phoneticPr fontId="3" type="noConversion"/>
  </si>
  <si>
    <t>채산리</t>
    <phoneticPr fontId="3" type="noConversion"/>
  </si>
  <si>
    <t>산양리</t>
    <phoneticPr fontId="3" type="noConversion"/>
  </si>
  <si>
    <t>채운리</t>
    <phoneticPr fontId="3" type="noConversion"/>
  </si>
  <si>
    <t>장화리</t>
    <phoneticPr fontId="3" type="noConversion"/>
  </si>
  <si>
    <t>삼거리</t>
    <phoneticPr fontId="3" type="noConversion"/>
  </si>
  <si>
    <t>성평 3</t>
    <phoneticPr fontId="35" type="noConversion"/>
  </si>
  <si>
    <t>교촌 1</t>
    <phoneticPr fontId="3" type="noConversion"/>
  </si>
  <si>
    <t>교촌 3</t>
    <phoneticPr fontId="3" type="noConversion"/>
  </si>
  <si>
    <t>연서 1</t>
    <phoneticPr fontId="3" type="noConversion"/>
  </si>
  <si>
    <t>용산 1</t>
    <phoneticPr fontId="3" type="noConversion"/>
  </si>
  <si>
    <t>시묘 1</t>
    <phoneticPr fontId="3" type="noConversion"/>
  </si>
  <si>
    <t>동산 1</t>
    <phoneticPr fontId="3" type="noConversion"/>
  </si>
  <si>
    <t>동산 9</t>
    <phoneticPr fontId="3" type="noConversion"/>
  </si>
  <si>
    <t>안심 7</t>
    <phoneticPr fontId="3" type="noConversion"/>
  </si>
  <si>
    <t>안심 8</t>
    <phoneticPr fontId="3" type="noConversion"/>
  </si>
  <si>
    <t>두월 1</t>
    <phoneticPr fontId="3" type="noConversion"/>
  </si>
  <si>
    <t>안심 1</t>
    <phoneticPr fontId="3" type="noConversion"/>
  </si>
  <si>
    <t>안심 9</t>
    <phoneticPr fontId="3" type="noConversion"/>
  </si>
  <si>
    <t>동산 8</t>
    <phoneticPr fontId="3" type="noConversion"/>
  </si>
  <si>
    <t>양지 2</t>
    <phoneticPr fontId="3" type="noConversion"/>
  </si>
  <si>
    <t>마산 1</t>
    <phoneticPr fontId="3" type="noConversion"/>
  </si>
  <si>
    <t>금곡 1</t>
    <phoneticPr fontId="3" type="noConversion"/>
  </si>
  <si>
    <t>죽평 2</t>
    <phoneticPr fontId="3" type="noConversion"/>
  </si>
  <si>
    <t>마전 1</t>
    <phoneticPr fontId="3" type="noConversion"/>
  </si>
  <si>
    <t>봉동 1</t>
    <phoneticPr fontId="3" type="noConversion"/>
  </si>
  <si>
    <t>육곡 1</t>
    <phoneticPr fontId="3" type="noConversion"/>
  </si>
  <si>
    <t>육곡 2</t>
    <phoneticPr fontId="3" type="noConversion"/>
  </si>
  <si>
    <t>청동리</t>
    <phoneticPr fontId="3" type="noConversion"/>
  </si>
  <si>
    <t>장전리</t>
    <phoneticPr fontId="3" type="noConversion"/>
  </si>
  <si>
    <t>노성배수지
검토</t>
    <phoneticPr fontId="3" type="noConversion"/>
  </si>
  <si>
    <t>배수지</t>
    <phoneticPr fontId="3" type="noConversion"/>
  </si>
  <si>
    <t>급수량</t>
    <phoneticPr fontId="3" type="noConversion"/>
  </si>
  <si>
    <t>비고</t>
    <phoneticPr fontId="3" type="noConversion"/>
  </si>
  <si>
    <t>체류시간</t>
    <phoneticPr fontId="3" type="noConversion"/>
  </si>
  <si>
    <t>논산배수지</t>
    <phoneticPr fontId="3" type="noConversion"/>
  </si>
  <si>
    <t>마산배수지</t>
    <phoneticPr fontId="3" type="noConversion"/>
  </si>
  <si>
    <t>양촌배수지</t>
    <phoneticPr fontId="3" type="noConversion"/>
  </si>
  <si>
    <t>노성배수지</t>
    <phoneticPr fontId="3" type="noConversion"/>
  </si>
  <si>
    <t>양지배수지</t>
    <phoneticPr fontId="3" type="noConversion"/>
  </si>
  <si>
    <t>벌곡배수지</t>
    <phoneticPr fontId="3" type="noConversion"/>
  </si>
  <si>
    <t>2. 딸기향 농촌테마공원
   조성사업</t>
    <phoneticPr fontId="18" type="noConversion"/>
  </si>
  <si>
    <t>취암동</t>
    <phoneticPr fontId="3" type="noConversion"/>
  </si>
  <si>
    <t>광석면</t>
    <phoneticPr fontId="3" type="noConversion"/>
  </si>
  <si>
    <t>광석</t>
    <phoneticPr fontId="3" type="noConversion"/>
  </si>
  <si>
    <t>가야곡</t>
    <phoneticPr fontId="3" type="noConversion"/>
  </si>
  <si>
    <t>연산</t>
    <phoneticPr fontId="3" type="noConversion"/>
  </si>
  <si>
    <t xml:space="preserve"> 4) 배수지별 용수배분</t>
    <phoneticPr fontId="18" type="noConversion"/>
  </si>
  <si>
    <t>마산
급수분구</t>
    <phoneticPr fontId="3" type="noConversion"/>
  </si>
  <si>
    <t>국방대 급수분구</t>
    <phoneticPr fontId="3" type="noConversion"/>
  </si>
  <si>
    <t>국방대
급수분구</t>
    <phoneticPr fontId="3" type="noConversion"/>
  </si>
  <si>
    <t>국방대</t>
    <phoneticPr fontId="3" type="noConversion"/>
  </si>
  <si>
    <t>노성상월</t>
    <phoneticPr fontId="3" type="noConversion"/>
  </si>
  <si>
    <t>사월3</t>
    <phoneticPr fontId="3" type="noConversion"/>
  </si>
  <si>
    <t>가야곡벌곡</t>
    <phoneticPr fontId="3" type="noConversion"/>
  </si>
  <si>
    <t>종연 2</t>
    <phoneticPr fontId="3" type="noConversion"/>
  </si>
  <si>
    <t>종연 3</t>
    <phoneticPr fontId="3" type="noConversion"/>
  </si>
  <si>
    <t>함적 2</t>
    <phoneticPr fontId="3" type="noConversion"/>
  </si>
  <si>
    <t>야촌 2</t>
    <phoneticPr fontId="3" type="noConversion"/>
  </si>
  <si>
    <t>야촌 3</t>
    <phoneticPr fontId="3" type="noConversion"/>
  </si>
  <si>
    <t>노성상월</t>
    <phoneticPr fontId="3" type="noConversion"/>
  </si>
  <si>
    <t>광석</t>
    <phoneticPr fontId="3" type="noConversion"/>
  </si>
  <si>
    <t>가야곡벌곡</t>
    <phoneticPr fontId="3" type="noConversion"/>
  </si>
  <si>
    <t>일최대</t>
    <phoneticPr fontId="3" type="noConversion"/>
  </si>
  <si>
    <t>일평균</t>
    <phoneticPr fontId="3" type="noConversion"/>
  </si>
  <si>
    <t>월급수</t>
    <phoneticPr fontId="3" type="noConversion"/>
  </si>
  <si>
    <t>가정
용수율
(%)</t>
    <phoneticPr fontId="3" type="noConversion"/>
  </si>
  <si>
    <t>1-영업용수율</t>
    <phoneticPr fontId="3" type="noConversion"/>
  </si>
  <si>
    <t>※ 육군항공학교 수도사용량 (2014년)</t>
    <phoneticPr fontId="3" type="noConversion"/>
  </si>
  <si>
    <t>항공학교</t>
    <phoneticPr fontId="3" type="noConversion"/>
  </si>
  <si>
    <t>2월</t>
  </si>
  <si>
    <t>3월</t>
  </si>
  <si>
    <t>4월</t>
  </si>
  <si>
    <t>5월</t>
  </si>
  <si>
    <t>6월</t>
  </si>
  <si>
    <t>7월</t>
  </si>
  <si>
    <t>8월</t>
  </si>
  <si>
    <t>9월</t>
  </si>
  <si>
    <t>10월</t>
  </si>
  <si>
    <t>11월</t>
  </si>
  <si>
    <t>12월</t>
  </si>
  <si>
    <t>창공
아파트</t>
    <phoneticPr fontId="3" type="noConversion"/>
  </si>
  <si>
    <t>사용량(㎥)</t>
    <phoneticPr fontId="3" type="noConversion"/>
  </si>
  <si>
    <t>일평균(㎥)</t>
    <phoneticPr fontId="3" type="noConversion"/>
  </si>
  <si>
    <t>적용(㎥/일)</t>
    <phoneticPr fontId="3" type="noConversion"/>
  </si>
  <si>
    <t>60 항공단(㎥/일)</t>
    <phoneticPr fontId="3" type="noConversion"/>
  </si>
  <si>
    <t>2014년</t>
    <phoneticPr fontId="3" type="noConversion"/>
  </si>
  <si>
    <t>※ 금강대학교 수도사용량 (2015년)</t>
    <phoneticPr fontId="3" type="noConversion"/>
  </si>
  <si>
    <t>기타용수(군대용수포함)</t>
    <phoneticPr fontId="3" type="noConversion"/>
  </si>
  <si>
    <t>기타용수(군대용수포함)</t>
    <phoneticPr fontId="3" type="noConversion"/>
  </si>
  <si>
    <t>용수수요량</t>
    <phoneticPr fontId="3" type="noConversion"/>
  </si>
  <si>
    <t>적용
(월최대)</t>
    <phoneticPr fontId="3" type="noConversion"/>
  </si>
  <si>
    <t>적용
(일평균)</t>
    <phoneticPr fontId="3" type="noConversion"/>
  </si>
  <si>
    <t>본관</t>
    <phoneticPr fontId="3" type="noConversion"/>
  </si>
  <si>
    <t>기숙사,
도서관</t>
    <phoneticPr fontId="3" type="noConversion"/>
  </si>
  <si>
    <t>시설용량</t>
    <phoneticPr fontId="3" type="noConversion"/>
  </si>
  <si>
    <t>내동2</t>
    <phoneticPr fontId="3" type="noConversion"/>
  </si>
  <si>
    <t>양촌</t>
    <phoneticPr fontId="3" type="noConversion"/>
  </si>
  <si>
    <t>운휴</t>
    <phoneticPr fontId="3" type="noConversion"/>
  </si>
</sst>
</file>

<file path=xl/styles.xml><?xml version="1.0" encoding="utf-8"?>
<styleSheet xmlns="http://schemas.openxmlformats.org/spreadsheetml/2006/main">
  <numFmts count="17">
    <numFmt numFmtId="41" formatCode="_-* #,##0_-;\-* #,##0_-;_-* &quot;-&quot;_-;_-@_-"/>
    <numFmt numFmtId="43" formatCode="_-* #,##0.00_-;\-* #,##0.00_-;_-* &quot;-&quot;??_-;_-@_-"/>
    <numFmt numFmtId="176" formatCode="0.0%"/>
    <numFmt numFmtId="177" formatCode="#,##0_ "/>
    <numFmt numFmtId="178" formatCode="0.00_ "/>
    <numFmt numFmtId="179" formatCode="0.0_ "/>
    <numFmt numFmtId="180" formatCode="mm&quot;월&quot;\ dd&quot;일&quot;"/>
    <numFmt numFmtId="181" formatCode="#,##0.0_ "/>
    <numFmt numFmtId="182" formatCode="#,##0.00_ "/>
    <numFmt numFmtId="183" formatCode="\-"/>
    <numFmt numFmtId="184" formatCode="0_ "/>
    <numFmt numFmtId="185" formatCode="0;_˿"/>
    <numFmt numFmtId="186" formatCode="0;_"/>
    <numFmt numFmtId="187" formatCode="_-* #,##0_-;\-* #,##0_-;_-* &quot;-&quot;??_-;_-@_-"/>
    <numFmt numFmtId="188" formatCode="0.0&quot;시간&quot;"/>
    <numFmt numFmtId="189" formatCode="_-* #,##0.0_-;\-* #,##0.0_-;_-* &quot;-&quot;?_-;_-@_-"/>
    <numFmt numFmtId="190" formatCode="0.000_ "/>
  </numFmts>
  <fonts count="47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9"/>
      <name val="돋움"/>
      <family val="3"/>
      <charset val="129"/>
    </font>
    <font>
      <b/>
      <sz val="11"/>
      <name val="돋움"/>
      <family val="3"/>
      <charset val="129"/>
    </font>
    <font>
      <sz val="9"/>
      <name val="신명조"/>
      <family val="3"/>
      <charset val="129"/>
    </font>
    <font>
      <b/>
      <sz val="9"/>
      <name val="돋움"/>
      <family val="3"/>
      <charset val="129"/>
    </font>
    <font>
      <sz val="9"/>
      <color indexed="8"/>
      <name val="돋움"/>
      <family val="3"/>
      <charset val="129"/>
    </font>
    <font>
      <sz val="9"/>
      <color indexed="10"/>
      <name val="돋움"/>
      <family val="3"/>
      <charset val="129"/>
    </font>
    <font>
      <b/>
      <sz val="9"/>
      <color indexed="8"/>
      <name val="돋움"/>
      <family val="3"/>
      <charset val="129"/>
    </font>
    <font>
      <b/>
      <sz val="10"/>
      <name val="돋움"/>
      <family val="3"/>
      <charset val="129"/>
    </font>
    <font>
      <sz val="10"/>
      <color indexed="8"/>
      <name val="돋움"/>
      <family val="3"/>
      <charset val="129"/>
    </font>
    <font>
      <b/>
      <sz val="13"/>
      <name val="돋움"/>
      <family val="3"/>
      <charset val="129"/>
    </font>
    <font>
      <sz val="10"/>
      <name val="돋움"/>
      <family val="3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b/>
      <sz val="12"/>
      <name val="굴림체"/>
      <family val="3"/>
      <charset val="129"/>
    </font>
    <font>
      <sz val="8"/>
      <name val="굴림체"/>
      <family val="3"/>
      <charset val="129"/>
    </font>
    <font>
      <sz val="11"/>
      <name val="굴림체"/>
      <family val="3"/>
      <charset val="129"/>
    </font>
    <font>
      <b/>
      <sz val="9"/>
      <name val="굴림체"/>
      <family val="3"/>
      <charset val="129"/>
    </font>
    <font>
      <sz val="9"/>
      <name val="굴림체"/>
      <family val="3"/>
      <charset val="129"/>
    </font>
    <font>
      <b/>
      <sz val="11"/>
      <name val="굴림체"/>
      <family val="3"/>
      <charset val="129"/>
    </font>
    <font>
      <sz val="9"/>
      <color indexed="8"/>
      <name val="굴림체"/>
      <family val="3"/>
      <charset val="129"/>
    </font>
    <font>
      <sz val="11"/>
      <name val="돋움"/>
      <family val="3"/>
      <charset val="129"/>
    </font>
    <font>
      <b/>
      <sz val="9"/>
      <color rgb="FF000000"/>
      <name val="돋움"/>
      <family val="3"/>
      <charset val="129"/>
    </font>
    <font>
      <b/>
      <sz val="10"/>
      <color rgb="FF000000"/>
      <name val="돋움"/>
      <family val="3"/>
      <charset val="129"/>
    </font>
    <font>
      <sz val="10"/>
      <color rgb="FF000000"/>
      <name val="돋움"/>
      <family val="3"/>
      <charset val="129"/>
    </font>
    <font>
      <sz val="8"/>
      <color rgb="FFFF0000"/>
      <name val="굴림체"/>
      <family val="3"/>
      <charset val="129"/>
    </font>
    <font>
      <sz val="11"/>
      <color rgb="FF000000"/>
      <name val="한양신명조"/>
      <family val="3"/>
      <charset val="129"/>
    </font>
    <font>
      <sz val="9"/>
      <color rgb="FFFF0000"/>
      <name val="돋움"/>
      <family val="3"/>
      <charset val="129"/>
    </font>
    <font>
      <sz val="11"/>
      <name val="한양신명조"/>
      <family val="3"/>
      <charset val="129"/>
    </font>
    <font>
      <sz val="11"/>
      <name val="HY신명조"/>
      <family val="1"/>
      <charset val="129"/>
    </font>
    <font>
      <sz val="7"/>
      <name val="굴림체"/>
      <family val="3"/>
      <charset val="129"/>
    </font>
    <font>
      <sz val="9"/>
      <color theme="1"/>
      <name val="굴림체"/>
      <family val="3"/>
      <charset val="129"/>
    </font>
    <font>
      <sz val="8"/>
      <name val="맑은 고딕"/>
      <family val="2"/>
      <charset val="129"/>
      <scheme val="minor"/>
    </font>
    <font>
      <sz val="12"/>
      <color rgb="FF000000"/>
      <name val="한양신명조"/>
      <family val="3"/>
      <charset val="129"/>
    </font>
    <font>
      <b/>
      <sz val="12"/>
      <color rgb="FF000000"/>
      <name val="한양신명조"/>
      <family val="3"/>
      <charset val="129"/>
    </font>
    <font>
      <sz val="9"/>
      <color rgb="FFFF0000"/>
      <name val="굴림체"/>
      <family val="3"/>
      <charset val="129"/>
    </font>
    <font>
      <b/>
      <sz val="9"/>
      <color rgb="FFFF0000"/>
      <name val="굴림체"/>
      <family val="3"/>
      <charset val="129"/>
    </font>
    <font>
      <b/>
      <sz val="9"/>
      <color theme="1"/>
      <name val="굴림체"/>
      <family val="3"/>
      <charset val="129"/>
    </font>
    <font>
      <sz val="8"/>
      <color indexed="8"/>
      <name val="굴림체"/>
      <family val="3"/>
      <charset val="129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0"/>
      <color theme="1"/>
      <name val="돋움"/>
      <family val="3"/>
      <charset val="129"/>
    </font>
    <font>
      <b/>
      <sz val="9"/>
      <color rgb="FFFF0000"/>
      <name val="돋움"/>
      <family val="3"/>
      <charset val="129"/>
    </font>
  </fonts>
  <fills count="18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6D6D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9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double">
        <color indexed="8"/>
      </top>
      <bottom style="thin">
        <color indexed="8"/>
      </bottom>
      <diagonal/>
    </border>
    <border>
      <left/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ck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double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/>
      <diagonal/>
    </border>
    <border>
      <left style="thin">
        <color rgb="FF000000"/>
      </left>
      <right style="thick">
        <color rgb="FF000000"/>
      </right>
      <top/>
      <bottom style="double">
        <color rgb="FF000000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/>
      <diagonal/>
    </border>
    <border>
      <left style="thick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FF0000"/>
      </right>
      <top style="thin">
        <color rgb="FF000000"/>
      </top>
      <bottom style="thin">
        <color rgb="FF000000"/>
      </bottom>
      <diagonal/>
    </border>
    <border>
      <left style="thick">
        <color rgb="FFFF0000"/>
      </left>
      <right style="thick">
        <color rgb="FFFF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FF0000"/>
      </right>
      <top style="thin">
        <color rgb="FF000000"/>
      </top>
      <bottom style="thick">
        <color rgb="FF000000"/>
      </bottom>
      <diagonal/>
    </border>
    <border>
      <left style="thick">
        <color rgb="FFFF0000"/>
      </left>
      <right style="thick">
        <color rgb="FFFF0000"/>
      </right>
      <top style="thin">
        <color rgb="FF000000"/>
      </top>
      <bottom style="thick">
        <color rgb="FFFF0000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ck">
        <color rgb="FFFF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ck">
        <color rgb="FFFF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FF0000"/>
      </left>
      <right style="thin">
        <color rgb="FF000000"/>
      </right>
      <top style="thin">
        <color rgb="FF000000"/>
      </top>
      <bottom style="thick">
        <color rgb="FFFF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FF0000"/>
      </bottom>
      <diagonal/>
    </border>
  </borders>
  <cellStyleXfs count="11">
    <xf numFmtId="0" fontId="0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16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4" fillId="0" borderId="0"/>
    <xf numFmtId="0" fontId="15" fillId="0" borderId="0"/>
    <xf numFmtId="0" fontId="16" fillId="0" borderId="0"/>
    <xf numFmtId="0" fontId="1" fillId="0" borderId="0">
      <alignment vertical="center"/>
    </xf>
    <xf numFmtId="41" fontId="2" fillId="0" borderId="0" applyFont="0" applyFill="0" applyBorder="0" applyAlignment="0" applyProtection="0"/>
  </cellStyleXfs>
  <cellXfs count="911">
    <xf numFmtId="0" fontId="0" fillId="0" borderId="0" xfId="0">
      <alignment vertical="center"/>
    </xf>
    <xf numFmtId="0" fontId="4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76" fontId="4" fillId="0" borderId="1" xfId="1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177" fontId="4" fillId="0" borderId="1" xfId="2" applyNumberFormat="1" applyFont="1" applyBorder="1" applyAlignment="1">
      <alignment horizontal="center" vertical="center"/>
    </xf>
    <xf numFmtId="177" fontId="4" fillId="0" borderId="1" xfId="2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179" fontId="4" fillId="0" borderId="1" xfId="0" applyNumberFormat="1" applyFont="1" applyFill="1" applyBorder="1" applyAlignment="1">
      <alignment horizontal="center" vertical="center"/>
    </xf>
    <xf numFmtId="177" fontId="4" fillId="2" borderId="1" xfId="2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77" fontId="4" fillId="0" borderId="1" xfId="0" applyNumberFormat="1" applyFont="1" applyBorder="1" applyAlignment="1">
      <alignment horizontal="center" vertical="center"/>
    </xf>
    <xf numFmtId="177" fontId="4" fillId="0" borderId="1" xfId="2" applyNumberFormat="1" applyFont="1" applyBorder="1" applyAlignment="1">
      <alignment horizontal="center" vertical="center" wrapText="1"/>
    </xf>
    <xf numFmtId="179" fontId="4" fillId="0" borderId="1" xfId="0" applyNumberFormat="1" applyFont="1" applyBorder="1" applyAlignment="1">
      <alignment horizontal="center" vertical="center"/>
    </xf>
    <xf numFmtId="177" fontId="4" fillId="0" borderId="0" xfId="0" applyNumberFormat="1" applyFont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3" fontId="4" fillId="0" borderId="1" xfId="0" applyNumberFormat="1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9" fontId="4" fillId="0" borderId="2" xfId="1" applyFont="1" applyFill="1" applyBorder="1" applyAlignment="1">
      <alignment horizontal="center" vertical="center"/>
    </xf>
    <xf numFmtId="176" fontId="4" fillId="0" borderId="2" xfId="1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/>
    </xf>
    <xf numFmtId="0" fontId="8" fillId="0" borderId="3" xfId="0" applyFont="1" applyFill="1" applyBorder="1" applyAlignment="1">
      <alignment horizontal="center" vertical="center" wrapText="1"/>
    </xf>
    <xf numFmtId="3" fontId="4" fillId="0" borderId="4" xfId="0" applyNumberFormat="1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horizontal="center" vertical="center" wrapText="1"/>
    </xf>
    <xf numFmtId="3" fontId="9" fillId="0" borderId="1" xfId="0" applyNumberFormat="1" applyFont="1" applyFill="1" applyBorder="1" applyAlignment="1">
      <alignment horizontal="center" vertical="center" wrapText="1"/>
    </xf>
    <xf numFmtId="9" fontId="4" fillId="0" borderId="1" xfId="0" applyNumberFormat="1" applyFont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3" fontId="4" fillId="0" borderId="2" xfId="0" applyNumberFormat="1" applyFont="1" applyBorder="1" applyAlignment="1">
      <alignment horizontal="center" vertical="center" wrapText="1"/>
    </xf>
    <xf numFmtId="177" fontId="4" fillId="0" borderId="2" xfId="2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176" fontId="4" fillId="0" borderId="1" xfId="1" applyNumberFormat="1" applyFont="1" applyBorder="1" applyAlignment="1">
      <alignment horizontal="center" vertical="center"/>
    </xf>
    <xf numFmtId="9" fontId="4" fillId="0" borderId="1" xfId="1" applyFont="1" applyFill="1" applyBorder="1" applyAlignment="1">
      <alignment horizontal="center" vertical="center" wrapText="1"/>
    </xf>
    <xf numFmtId="3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9" fontId="4" fillId="0" borderId="2" xfId="1" applyNumberFormat="1" applyFont="1" applyFill="1" applyBorder="1" applyAlignment="1">
      <alignment horizontal="center" vertical="center"/>
    </xf>
    <xf numFmtId="3" fontId="4" fillId="0" borderId="1" xfId="0" applyNumberFormat="1" applyFont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3" fontId="4" fillId="3" borderId="1" xfId="0" applyNumberFormat="1" applyFont="1" applyFill="1" applyBorder="1" applyAlignment="1">
      <alignment horizontal="center" vertical="center" wrapText="1"/>
    </xf>
    <xf numFmtId="9" fontId="4" fillId="3" borderId="1" xfId="1" applyFont="1" applyFill="1" applyBorder="1" applyAlignment="1">
      <alignment horizontal="center" vertical="center" wrapText="1"/>
    </xf>
    <xf numFmtId="3" fontId="9" fillId="3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3" fontId="4" fillId="0" borderId="0" xfId="0" applyNumberFormat="1" applyFont="1" applyFill="1" applyAlignment="1">
      <alignment horizontal="center" vertical="center"/>
    </xf>
    <xf numFmtId="180" fontId="4" fillId="0" borderId="1" xfId="0" quotePrefix="1" applyNumberFormat="1" applyFont="1" applyBorder="1" applyAlignment="1">
      <alignment horizontal="center" vertical="center"/>
    </xf>
    <xf numFmtId="0" fontId="4" fillId="0" borderId="1" xfId="0" quotePrefix="1" applyFont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/>
    </xf>
    <xf numFmtId="3" fontId="4" fillId="0" borderId="0" xfId="0" applyNumberFormat="1" applyFont="1" applyFill="1" applyBorder="1" applyAlignment="1">
      <alignment horizontal="center" vertical="center" wrapText="1"/>
    </xf>
    <xf numFmtId="9" fontId="4" fillId="0" borderId="1" xfId="1" applyFont="1" applyBorder="1" applyAlignment="1">
      <alignment horizontal="center" vertical="center"/>
    </xf>
    <xf numFmtId="182" fontId="4" fillId="0" borderId="1" xfId="2" applyNumberFormat="1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4" fillId="4" borderId="1" xfId="0" quotePrefix="1" applyFont="1" applyFill="1" applyBorder="1" applyAlignment="1">
      <alignment horizontal="center" vertical="center"/>
    </xf>
    <xf numFmtId="9" fontId="4" fillId="0" borderId="0" xfId="1" applyFont="1" applyFill="1" applyAlignment="1">
      <alignment horizontal="center" vertical="center"/>
    </xf>
    <xf numFmtId="9" fontId="4" fillId="0" borderId="1" xfId="1" applyFont="1" applyFill="1" applyBorder="1" applyAlignment="1">
      <alignment horizontal="center" vertical="center"/>
    </xf>
    <xf numFmtId="0" fontId="11" fillId="0" borderId="0" xfId="0" applyFont="1" applyAlignment="1">
      <alignment horizontal="left" vertical="center"/>
    </xf>
    <xf numFmtId="10" fontId="4" fillId="0" borderId="1" xfId="1" applyNumberFormat="1" applyFont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8" fillId="5" borderId="2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left" vertical="center"/>
    </xf>
    <xf numFmtId="177" fontId="8" fillId="0" borderId="1" xfId="0" applyNumberFormat="1" applyFont="1" applyFill="1" applyBorder="1" applyAlignment="1">
      <alignment horizontal="center" vertical="center" wrapText="1"/>
    </xf>
    <xf numFmtId="9" fontId="8" fillId="0" borderId="1" xfId="1" applyFont="1" applyFill="1" applyBorder="1" applyAlignment="1">
      <alignment horizontal="center" vertical="center" wrapText="1"/>
    </xf>
    <xf numFmtId="181" fontId="4" fillId="0" borderId="1" xfId="2" applyNumberFormat="1" applyFont="1" applyFill="1" applyBorder="1" applyAlignment="1">
      <alignment horizontal="center" vertical="center"/>
    </xf>
    <xf numFmtId="177" fontId="12" fillId="0" borderId="1" xfId="2" applyNumberFormat="1" applyFont="1" applyBorder="1" applyAlignment="1">
      <alignment horizontal="center" vertical="center" wrapText="1"/>
    </xf>
    <xf numFmtId="177" fontId="12" fillId="0" borderId="1" xfId="2" quotePrefix="1" applyNumberFormat="1" applyFont="1" applyBorder="1" applyAlignment="1">
      <alignment horizontal="center" vertical="center" wrapText="1"/>
    </xf>
    <xf numFmtId="0" fontId="7" fillId="5" borderId="6" xfId="0" applyFont="1" applyFill="1" applyBorder="1" applyAlignment="1">
      <alignment horizontal="center" vertical="center"/>
    </xf>
    <xf numFmtId="0" fontId="7" fillId="5" borderId="7" xfId="0" applyFont="1" applyFill="1" applyBorder="1" applyAlignment="1">
      <alignment horizontal="center" vertical="center"/>
    </xf>
    <xf numFmtId="0" fontId="7" fillId="5" borderId="8" xfId="0" applyFont="1" applyFill="1" applyBorder="1" applyAlignment="1">
      <alignment horizontal="center" vertical="center"/>
    </xf>
    <xf numFmtId="0" fontId="7" fillId="5" borderId="9" xfId="0" applyFont="1" applyFill="1" applyBorder="1" applyAlignment="1">
      <alignment horizontal="center" vertical="center"/>
    </xf>
    <xf numFmtId="41" fontId="4" fillId="0" borderId="10" xfId="2" applyFont="1" applyBorder="1" applyAlignment="1">
      <alignment horizontal="center" vertical="center"/>
    </xf>
    <xf numFmtId="177" fontId="4" fillId="0" borderId="10" xfId="2" applyNumberFormat="1" applyFont="1" applyBorder="1" applyAlignment="1">
      <alignment horizontal="center" vertical="center"/>
    </xf>
    <xf numFmtId="10" fontId="4" fillId="0" borderId="10" xfId="1" applyNumberFormat="1" applyFont="1" applyBorder="1" applyAlignment="1">
      <alignment horizontal="center" vertical="center"/>
    </xf>
    <xf numFmtId="177" fontId="4" fillId="0" borderId="10" xfId="2" applyNumberFormat="1" applyFont="1" applyFill="1" applyBorder="1" applyAlignment="1">
      <alignment horizontal="center" vertical="center"/>
    </xf>
    <xf numFmtId="41" fontId="4" fillId="0" borderId="1" xfId="2" applyFont="1" applyBorder="1" applyAlignment="1">
      <alignment horizontal="center" vertical="center"/>
    </xf>
    <xf numFmtId="41" fontId="4" fillId="0" borderId="1" xfId="2" applyFont="1" applyBorder="1" applyAlignment="1">
      <alignment horizontal="center" vertical="center" wrapText="1"/>
    </xf>
    <xf numFmtId="177" fontId="4" fillId="0" borderId="0" xfId="2" applyNumberFormat="1" applyFont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0" xfId="0" applyFont="1" applyBorder="1" applyAlignment="1">
      <alignment vertical="center"/>
    </xf>
    <xf numFmtId="177" fontId="4" fillId="0" borderId="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41" fontId="0" fillId="0" borderId="1" xfId="2" applyFont="1" applyBorder="1" applyAlignment="1">
      <alignment horizontal="center" vertical="center"/>
    </xf>
    <xf numFmtId="41" fontId="0" fillId="0" borderId="1" xfId="0" applyNumberFormat="1" applyBorder="1" applyAlignment="1">
      <alignment horizontal="center" vertical="center"/>
    </xf>
    <xf numFmtId="0" fontId="13" fillId="0" borderId="0" xfId="0" applyFont="1" applyFill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4" fillId="0" borderId="12" xfId="0" applyFont="1" applyBorder="1" applyAlignment="1">
      <alignment horizontal="center" vertical="center"/>
    </xf>
    <xf numFmtId="0" fontId="25" fillId="6" borderId="50" xfId="0" applyFont="1" applyFill="1" applyBorder="1" applyAlignment="1">
      <alignment horizontal="center" vertical="center" wrapText="1"/>
    </xf>
    <xf numFmtId="0" fontId="25" fillId="6" borderId="51" xfId="0" applyFont="1" applyFill="1" applyBorder="1" applyAlignment="1">
      <alignment horizontal="center" vertical="center" wrapText="1"/>
    </xf>
    <xf numFmtId="0" fontId="4" fillId="0" borderId="52" xfId="0" applyFont="1" applyBorder="1" applyAlignment="1">
      <alignment horizontal="center" vertical="center" wrapText="1"/>
    </xf>
    <xf numFmtId="0" fontId="4" fillId="0" borderId="53" xfId="0" applyFont="1" applyBorder="1" applyAlignment="1">
      <alignment horizontal="center" vertical="center" wrapText="1"/>
    </xf>
    <xf numFmtId="0" fontId="4" fillId="0" borderId="54" xfId="0" applyFont="1" applyBorder="1" applyAlignment="1">
      <alignment horizontal="center" vertical="center" wrapText="1"/>
    </xf>
    <xf numFmtId="0" fontId="4" fillId="0" borderId="55" xfId="0" applyFont="1" applyBorder="1" applyAlignment="1">
      <alignment horizontal="center" vertical="center" wrapText="1"/>
    </xf>
    <xf numFmtId="0" fontId="4" fillId="0" borderId="56" xfId="0" applyFont="1" applyBorder="1" applyAlignment="1">
      <alignment horizontal="center" vertical="center" wrapText="1"/>
    </xf>
    <xf numFmtId="0" fontId="4" fillId="0" borderId="57" xfId="0" applyFont="1" applyBorder="1" applyAlignment="1">
      <alignment horizontal="center" vertical="center" wrapText="1"/>
    </xf>
    <xf numFmtId="177" fontId="4" fillId="0" borderId="58" xfId="0" applyNumberFormat="1" applyFont="1" applyBorder="1" applyAlignment="1">
      <alignment horizontal="center" vertical="center" wrapText="1"/>
    </xf>
    <xf numFmtId="177" fontId="4" fillId="0" borderId="59" xfId="0" applyNumberFormat="1" applyFont="1" applyBorder="1" applyAlignment="1">
      <alignment horizontal="center" vertical="center" wrapText="1"/>
    </xf>
    <xf numFmtId="176" fontId="4" fillId="0" borderId="58" xfId="1" applyNumberFormat="1" applyFont="1" applyBorder="1" applyAlignment="1">
      <alignment horizontal="center" vertical="center" wrapText="1"/>
    </xf>
    <xf numFmtId="176" fontId="4" fillId="0" borderId="59" xfId="1" applyNumberFormat="1" applyFont="1" applyBorder="1" applyAlignment="1">
      <alignment horizontal="center" vertical="center" wrapText="1"/>
    </xf>
    <xf numFmtId="177" fontId="4" fillId="0" borderId="60" xfId="0" applyNumberFormat="1" applyFont="1" applyBorder="1" applyAlignment="1">
      <alignment horizontal="center" vertical="center" wrapText="1"/>
    </xf>
    <xf numFmtId="9" fontId="4" fillId="0" borderId="60" xfId="1" applyFont="1" applyBorder="1" applyAlignment="1">
      <alignment horizontal="center" vertical="center" wrapText="1"/>
    </xf>
    <xf numFmtId="177" fontId="4" fillId="0" borderId="11" xfId="0" applyNumberFormat="1" applyFont="1" applyBorder="1" applyAlignment="1">
      <alignment horizontal="center" vertical="center"/>
    </xf>
    <xf numFmtId="177" fontId="4" fillId="0" borderId="11" xfId="2" applyNumberFormat="1" applyFont="1" applyBorder="1" applyAlignment="1">
      <alignment horizontal="center" vertical="center"/>
    </xf>
    <xf numFmtId="176" fontId="4" fillId="0" borderId="11" xfId="1" applyNumberFormat="1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26" fillId="6" borderId="58" xfId="0" applyFont="1" applyFill="1" applyBorder="1" applyAlignment="1">
      <alignment horizontal="center" vertical="center" wrapText="1"/>
    </xf>
    <xf numFmtId="0" fontId="14" fillId="0" borderId="58" xfId="0" applyFont="1" applyBorder="1" applyAlignment="1">
      <alignment horizontal="center" vertical="center" wrapText="1"/>
    </xf>
    <xf numFmtId="3" fontId="14" fillId="0" borderId="58" xfId="0" applyNumberFormat="1" applyFont="1" applyBorder="1" applyAlignment="1">
      <alignment horizontal="center" vertical="center" wrapText="1"/>
    </xf>
    <xf numFmtId="9" fontId="14" fillId="0" borderId="58" xfId="1" applyFont="1" applyBorder="1" applyAlignment="1">
      <alignment horizontal="center" vertical="center" wrapText="1"/>
    </xf>
    <xf numFmtId="177" fontId="14" fillId="0" borderId="58" xfId="2" applyNumberFormat="1" applyFont="1" applyBorder="1" applyAlignment="1">
      <alignment horizontal="center" vertical="center" wrapText="1"/>
    </xf>
    <xf numFmtId="0" fontId="26" fillId="7" borderId="58" xfId="0" applyFont="1" applyFill="1" applyBorder="1" applyAlignment="1">
      <alignment horizontal="center" vertical="center" wrapText="1"/>
    </xf>
    <xf numFmtId="0" fontId="14" fillId="7" borderId="0" xfId="0" applyFont="1" applyFill="1" applyAlignment="1">
      <alignment horizontal="center" vertical="center"/>
    </xf>
    <xf numFmtId="0" fontId="26" fillId="7" borderId="0" xfId="0" applyFont="1" applyFill="1" applyBorder="1" applyAlignment="1">
      <alignment horizontal="center" vertical="center" wrapText="1"/>
    </xf>
    <xf numFmtId="0" fontId="26" fillId="7" borderId="1" xfId="0" applyFont="1" applyFill="1" applyBorder="1" applyAlignment="1">
      <alignment horizontal="center" vertical="center" wrapText="1"/>
    </xf>
    <xf numFmtId="0" fontId="14" fillId="7" borderId="1" xfId="0" applyFont="1" applyFill="1" applyBorder="1" applyAlignment="1">
      <alignment horizontal="center" vertical="center"/>
    </xf>
    <xf numFmtId="3" fontId="14" fillId="7" borderId="1" xfId="0" applyNumberFormat="1" applyFont="1" applyFill="1" applyBorder="1" applyAlignment="1">
      <alignment horizontal="center" vertical="center"/>
    </xf>
    <xf numFmtId="3" fontId="27" fillId="7" borderId="1" xfId="0" applyNumberFormat="1" applyFont="1" applyFill="1" applyBorder="1" applyAlignment="1">
      <alignment horizontal="center" vertical="center" wrapText="1"/>
    </xf>
    <xf numFmtId="177" fontId="14" fillId="0" borderId="0" xfId="2" applyNumberFormat="1" applyFont="1" applyAlignment="1">
      <alignment horizontal="center" vertical="center"/>
    </xf>
    <xf numFmtId="3" fontId="8" fillId="0" borderId="2" xfId="0" applyNumberFormat="1" applyFont="1" applyFill="1" applyBorder="1" applyAlignment="1">
      <alignment horizontal="center" vertical="center" wrapText="1"/>
    </xf>
    <xf numFmtId="3" fontId="4" fillId="0" borderId="1" xfId="0" applyNumberFormat="1" applyFont="1" applyBorder="1" applyAlignment="1">
      <alignment horizontal="center" vertical="center"/>
    </xf>
    <xf numFmtId="0" fontId="14" fillId="0" borderId="58" xfId="0" applyFont="1" applyBorder="1" applyAlignment="1">
      <alignment horizontal="center" vertical="center"/>
    </xf>
    <xf numFmtId="0" fontId="14" fillId="7" borderId="58" xfId="0" applyFont="1" applyFill="1" applyBorder="1" applyAlignment="1">
      <alignment horizontal="center" vertical="center"/>
    </xf>
    <xf numFmtId="177" fontId="14" fillId="7" borderId="58" xfId="2" applyNumberFormat="1" applyFont="1" applyFill="1" applyBorder="1" applyAlignment="1">
      <alignment horizontal="center" vertical="center"/>
    </xf>
    <xf numFmtId="3" fontId="27" fillId="7" borderId="0" xfId="0" applyNumberFormat="1" applyFont="1" applyFill="1" applyBorder="1" applyAlignment="1">
      <alignment horizontal="center" vertical="center" wrapText="1"/>
    </xf>
    <xf numFmtId="3" fontId="14" fillId="7" borderId="0" xfId="0" applyNumberFormat="1" applyFont="1" applyFill="1" applyBorder="1" applyAlignment="1">
      <alignment horizontal="center" vertical="center"/>
    </xf>
    <xf numFmtId="0" fontId="14" fillId="7" borderId="0" xfId="0" applyFont="1" applyFill="1" applyBorder="1" applyAlignment="1">
      <alignment horizontal="center" vertical="center" wrapText="1"/>
    </xf>
    <xf numFmtId="177" fontId="14" fillId="7" borderId="0" xfId="2" applyNumberFormat="1" applyFont="1" applyFill="1" applyAlignment="1">
      <alignment horizontal="center" vertical="center"/>
    </xf>
    <xf numFmtId="0" fontId="26" fillId="6" borderId="61" xfId="0" applyFont="1" applyFill="1" applyBorder="1" applyAlignment="1">
      <alignment horizontal="center" vertical="center" wrapText="1"/>
    </xf>
    <xf numFmtId="0" fontId="14" fillId="0" borderId="61" xfId="0" applyFont="1" applyBorder="1" applyAlignment="1">
      <alignment horizontal="center" vertical="center" wrapText="1"/>
    </xf>
    <xf numFmtId="177" fontId="14" fillId="0" borderId="58" xfId="0" applyNumberFormat="1" applyFont="1" applyBorder="1" applyAlignment="1">
      <alignment horizontal="center" vertical="center"/>
    </xf>
    <xf numFmtId="177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0" fontId="4" fillId="0" borderId="13" xfId="0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 wrapText="1"/>
    </xf>
    <xf numFmtId="177" fontId="4" fillId="0" borderId="1" xfId="2" applyNumberFormat="1" applyFont="1" applyFill="1" applyBorder="1" applyAlignment="1">
      <alignment horizontal="center" vertical="center" wrapText="1"/>
    </xf>
    <xf numFmtId="3" fontId="6" fillId="0" borderId="1" xfId="0" applyNumberFormat="1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center" vertical="center" wrapText="1"/>
    </xf>
    <xf numFmtId="177" fontId="4" fillId="8" borderId="1" xfId="2" applyNumberFormat="1" applyFont="1" applyFill="1" applyBorder="1" applyAlignment="1">
      <alignment horizontal="center" vertical="center" wrapText="1"/>
    </xf>
    <xf numFmtId="177" fontId="4" fillId="8" borderId="1" xfId="2" applyNumberFormat="1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0" xfId="0" applyFont="1" applyFill="1" applyAlignment="1">
      <alignment horizontal="center" vertical="center"/>
    </xf>
    <xf numFmtId="3" fontId="6" fillId="8" borderId="1" xfId="0" applyNumberFormat="1" applyFont="1" applyFill="1" applyBorder="1" applyAlignment="1">
      <alignment horizontal="center" vertical="center" wrapText="1"/>
    </xf>
    <xf numFmtId="183" fontId="4" fillId="8" borderId="1" xfId="2" applyNumberFormat="1" applyFont="1" applyFill="1" applyBorder="1" applyAlignment="1">
      <alignment horizontal="center" vertical="center" wrapText="1"/>
    </xf>
    <xf numFmtId="183" fontId="4" fillId="8" borderId="1" xfId="2" applyNumberFormat="1" applyFont="1" applyFill="1" applyBorder="1" applyAlignment="1">
      <alignment horizontal="center" vertical="center"/>
    </xf>
    <xf numFmtId="177" fontId="4" fillId="9" borderId="1" xfId="2" applyNumberFormat="1" applyFont="1" applyFill="1" applyBorder="1" applyAlignment="1">
      <alignment horizontal="center" vertical="center"/>
    </xf>
    <xf numFmtId="0" fontId="4" fillId="8" borderId="13" xfId="0" applyFont="1" applyFill="1" applyBorder="1" applyAlignment="1">
      <alignment horizontal="center" vertical="center" wrapText="1"/>
    </xf>
    <xf numFmtId="183" fontId="4" fillId="8" borderId="13" xfId="2" applyNumberFormat="1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/>
    </xf>
    <xf numFmtId="0" fontId="4" fillId="0" borderId="17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 wrapText="1"/>
    </xf>
    <xf numFmtId="177" fontId="4" fillId="0" borderId="16" xfId="2" applyNumberFormat="1" applyFont="1" applyBorder="1" applyAlignment="1">
      <alignment horizontal="center" vertical="center" wrapText="1"/>
    </xf>
    <xf numFmtId="177" fontId="4" fillId="0" borderId="17" xfId="2" applyNumberFormat="1" applyFont="1" applyBorder="1" applyAlignment="1">
      <alignment horizontal="center" vertical="center" wrapText="1"/>
    </xf>
    <xf numFmtId="177" fontId="4" fillId="0" borderId="16" xfId="2" applyNumberFormat="1" applyFont="1" applyFill="1" applyBorder="1" applyAlignment="1">
      <alignment horizontal="center" vertical="center"/>
    </xf>
    <xf numFmtId="177" fontId="4" fillId="0" borderId="17" xfId="2" applyNumberFormat="1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 wrapText="1"/>
    </xf>
    <xf numFmtId="177" fontId="4" fillId="0" borderId="17" xfId="2" applyNumberFormat="1" applyFont="1" applyFill="1" applyBorder="1" applyAlignment="1">
      <alignment horizontal="center" vertical="center" wrapText="1"/>
    </xf>
    <xf numFmtId="0" fontId="4" fillId="8" borderId="16" xfId="0" applyFont="1" applyFill="1" applyBorder="1" applyAlignment="1">
      <alignment horizontal="center" vertical="center" wrapText="1"/>
    </xf>
    <xf numFmtId="177" fontId="4" fillId="8" borderId="17" xfId="2" applyNumberFormat="1" applyFont="1" applyFill="1" applyBorder="1" applyAlignment="1">
      <alignment horizontal="center" vertical="center" wrapText="1"/>
    </xf>
    <xf numFmtId="183" fontId="4" fillId="8" borderId="17" xfId="2" applyNumberFormat="1" applyFont="1" applyFill="1" applyBorder="1" applyAlignment="1">
      <alignment horizontal="center" vertical="center" wrapText="1"/>
    </xf>
    <xf numFmtId="183" fontId="4" fillId="8" borderId="17" xfId="2" applyNumberFormat="1" applyFont="1" applyFill="1" applyBorder="1" applyAlignment="1">
      <alignment horizontal="center" vertical="center"/>
    </xf>
    <xf numFmtId="183" fontId="4" fillId="8" borderId="16" xfId="2" applyNumberFormat="1" applyFont="1" applyFill="1" applyBorder="1" applyAlignment="1">
      <alignment horizontal="center" vertical="center"/>
    </xf>
    <xf numFmtId="177" fontId="4" fillId="0" borderId="18" xfId="2" applyNumberFormat="1" applyFont="1" applyFill="1" applyBorder="1" applyAlignment="1">
      <alignment horizontal="center" vertical="center"/>
    </xf>
    <xf numFmtId="177" fontId="4" fillId="0" borderId="19" xfId="2" applyNumberFormat="1" applyFont="1" applyFill="1" applyBorder="1" applyAlignment="1">
      <alignment horizontal="center" vertical="center"/>
    </xf>
    <xf numFmtId="177" fontId="4" fillId="0" borderId="20" xfId="2" applyNumberFormat="1" applyFont="1" applyFill="1" applyBorder="1" applyAlignment="1">
      <alignment horizontal="center" vertical="center"/>
    </xf>
    <xf numFmtId="0" fontId="4" fillId="8" borderId="14" xfId="0" applyFont="1" applyFill="1" applyBorder="1" applyAlignment="1">
      <alignment horizontal="center" vertical="center"/>
    </xf>
    <xf numFmtId="3" fontId="6" fillId="0" borderId="14" xfId="0" applyNumberFormat="1" applyFont="1" applyFill="1" applyBorder="1" applyAlignment="1">
      <alignment horizontal="center" vertical="center" wrapText="1"/>
    </xf>
    <xf numFmtId="3" fontId="6" fillId="8" borderId="14" xfId="0" applyNumberFormat="1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177" fontId="4" fillId="9" borderId="16" xfId="2" applyNumberFormat="1" applyFont="1" applyFill="1" applyBorder="1" applyAlignment="1">
      <alignment horizontal="center" vertical="center"/>
    </xf>
    <xf numFmtId="177" fontId="4" fillId="9" borderId="17" xfId="2" applyNumberFormat="1" applyFont="1" applyFill="1" applyBorder="1" applyAlignment="1">
      <alignment horizontal="center" vertical="center"/>
    </xf>
    <xf numFmtId="177" fontId="4" fillId="8" borderId="17" xfId="2" applyNumberFormat="1" applyFont="1" applyFill="1" applyBorder="1" applyAlignment="1">
      <alignment horizontal="center" vertical="center"/>
    </xf>
    <xf numFmtId="41" fontId="4" fillId="0" borderId="1" xfId="2" applyFont="1" applyFill="1" applyBorder="1" applyAlignment="1">
      <alignment horizontal="center" vertical="center"/>
    </xf>
    <xf numFmtId="178" fontId="4" fillId="0" borderId="1" xfId="0" applyNumberFormat="1" applyFont="1" applyFill="1" applyBorder="1" applyAlignment="1">
      <alignment horizontal="center" vertical="center"/>
    </xf>
    <xf numFmtId="178" fontId="4" fillId="0" borderId="17" xfId="0" applyNumberFormat="1" applyFont="1" applyFill="1" applyBorder="1" applyAlignment="1">
      <alignment horizontal="center" vertical="center"/>
    </xf>
    <xf numFmtId="184" fontId="4" fillId="0" borderId="14" xfId="0" applyNumberFormat="1" applyFont="1" applyFill="1" applyBorder="1" applyAlignment="1">
      <alignment horizontal="center" vertical="center"/>
    </xf>
    <xf numFmtId="184" fontId="4" fillId="0" borderId="1" xfId="0" applyNumberFormat="1" applyFont="1" applyFill="1" applyBorder="1" applyAlignment="1">
      <alignment horizontal="center" vertical="center"/>
    </xf>
    <xf numFmtId="185" fontId="4" fillId="0" borderId="14" xfId="0" applyNumberFormat="1" applyFont="1" applyFill="1" applyBorder="1" applyAlignment="1">
      <alignment horizontal="center" vertical="center"/>
    </xf>
    <xf numFmtId="185" fontId="4" fillId="0" borderId="1" xfId="0" applyNumberFormat="1" applyFont="1" applyFill="1" applyBorder="1" applyAlignment="1">
      <alignment horizontal="center" vertical="center"/>
    </xf>
    <xf numFmtId="41" fontId="4" fillId="0" borderId="2" xfId="0" applyNumberFormat="1" applyFont="1" applyFill="1" applyBorder="1" applyAlignment="1">
      <alignment horizontal="center" vertical="center" wrapText="1"/>
    </xf>
    <xf numFmtId="41" fontId="4" fillId="0" borderId="2" xfId="0" applyNumberFormat="1" applyFont="1" applyFill="1" applyBorder="1" applyAlignment="1">
      <alignment vertical="center" wrapText="1"/>
    </xf>
    <xf numFmtId="41" fontId="4" fillId="0" borderId="4" xfId="0" applyNumberFormat="1" applyFont="1" applyFill="1" applyBorder="1" applyAlignment="1">
      <alignment horizontal="center" vertical="center" wrapText="1"/>
    </xf>
    <xf numFmtId="41" fontId="4" fillId="0" borderId="4" xfId="2" applyFont="1" applyFill="1" applyBorder="1" applyAlignment="1">
      <alignment horizontal="center" vertical="center" wrapText="1"/>
    </xf>
    <xf numFmtId="41" fontId="4" fillId="0" borderId="2" xfId="2" applyFont="1" applyFill="1" applyBorder="1" applyAlignment="1">
      <alignment horizontal="center" vertical="center" wrapText="1"/>
    </xf>
    <xf numFmtId="41" fontId="4" fillId="0" borderId="1" xfId="0" applyNumberFormat="1" applyFont="1" applyBorder="1" applyAlignment="1">
      <alignment horizontal="center" vertical="center"/>
    </xf>
    <xf numFmtId="184" fontId="4" fillId="0" borderId="0" xfId="0" applyNumberFormat="1" applyFont="1" applyAlignment="1">
      <alignment horizontal="center" vertical="center"/>
    </xf>
    <xf numFmtId="43" fontId="4" fillId="0" borderId="2" xfId="0" applyNumberFormat="1" applyFont="1" applyFill="1" applyBorder="1" applyAlignment="1">
      <alignment horizontal="center" vertical="center" wrapText="1"/>
    </xf>
    <xf numFmtId="3" fontId="4" fillId="9" borderId="2" xfId="0" applyNumberFormat="1" applyFont="1" applyFill="1" applyBorder="1" applyAlignment="1">
      <alignment horizontal="center" vertical="center" wrapText="1"/>
    </xf>
    <xf numFmtId="0" fontId="4" fillId="8" borderId="17" xfId="0" applyFont="1" applyFill="1" applyBorder="1" applyAlignment="1">
      <alignment horizontal="center" vertical="center"/>
    </xf>
    <xf numFmtId="0" fontId="4" fillId="0" borderId="21" xfId="0" applyFont="1" applyFill="1" applyBorder="1" applyAlignment="1">
      <alignment horizontal="center" vertical="center"/>
    </xf>
    <xf numFmtId="184" fontId="4" fillId="0" borderId="22" xfId="0" applyNumberFormat="1" applyFont="1" applyFill="1" applyBorder="1" applyAlignment="1">
      <alignment horizontal="center" vertical="center"/>
    </xf>
    <xf numFmtId="184" fontId="4" fillId="0" borderId="19" xfId="0" applyNumberFormat="1" applyFont="1" applyFill="1" applyBorder="1" applyAlignment="1">
      <alignment horizontal="center" vertical="center"/>
    </xf>
    <xf numFmtId="0" fontId="4" fillId="0" borderId="20" xfId="0" applyFont="1" applyFill="1" applyBorder="1" applyAlignment="1">
      <alignment horizontal="center" vertical="center"/>
    </xf>
    <xf numFmtId="0" fontId="4" fillId="0" borderId="22" xfId="0" applyFont="1" applyFill="1" applyBorder="1" applyAlignment="1">
      <alignment horizontal="center" vertical="center"/>
    </xf>
    <xf numFmtId="0" fontId="4" fillId="0" borderId="19" xfId="0" applyFont="1" applyFill="1" applyBorder="1" applyAlignment="1">
      <alignment horizontal="center" vertical="center"/>
    </xf>
    <xf numFmtId="186" fontId="4" fillId="0" borderId="1" xfId="0" applyNumberFormat="1" applyFont="1" applyFill="1" applyBorder="1" applyAlignment="1">
      <alignment horizontal="center" vertical="center" wrapText="1"/>
    </xf>
    <xf numFmtId="0" fontId="17" fillId="0" borderId="0" xfId="8" applyFont="1" applyFill="1" applyBorder="1" applyAlignment="1">
      <alignment horizontal="left" vertical="center"/>
    </xf>
    <xf numFmtId="0" fontId="20" fillId="0" borderId="0" xfId="8" applyFont="1" applyFill="1" applyBorder="1" applyAlignment="1">
      <alignment horizontal="left" vertical="center"/>
    </xf>
    <xf numFmtId="0" fontId="21" fillId="0" borderId="0" xfId="0" applyFont="1">
      <alignment vertical="center"/>
    </xf>
    <xf numFmtId="0" fontId="22" fillId="0" borderId="0" xfId="8" applyFont="1" applyFill="1" applyBorder="1" applyAlignment="1">
      <alignment horizontal="left" vertical="center"/>
    </xf>
    <xf numFmtId="0" fontId="19" fillId="0" borderId="0" xfId="8" applyFont="1" applyFill="1" applyBorder="1" applyAlignment="1">
      <alignment horizontal="center" vertical="center"/>
    </xf>
    <xf numFmtId="177" fontId="19" fillId="0" borderId="0" xfId="8" applyNumberFormat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177" fontId="18" fillId="0" borderId="1" xfId="2" applyNumberFormat="1" applyFont="1" applyBorder="1" applyAlignment="1">
      <alignment horizontal="center" vertical="center"/>
    </xf>
    <xf numFmtId="177" fontId="18" fillId="10" borderId="1" xfId="2" applyNumberFormat="1" applyFont="1" applyFill="1" applyBorder="1" applyAlignment="1">
      <alignment horizontal="center" vertical="center"/>
    </xf>
    <xf numFmtId="177" fontId="18" fillId="0" borderId="1" xfId="0" applyNumberFormat="1" applyFont="1" applyBorder="1" applyAlignment="1">
      <alignment horizontal="center" vertical="center"/>
    </xf>
    <xf numFmtId="0" fontId="18" fillId="10" borderId="1" xfId="0" applyFont="1" applyFill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/>
    </xf>
    <xf numFmtId="3" fontId="21" fillId="0" borderId="1" xfId="0" applyNumberFormat="1" applyFont="1" applyFill="1" applyBorder="1" applyAlignment="1">
      <alignment horizontal="center" vertical="center" wrapText="1"/>
    </xf>
    <xf numFmtId="177" fontId="21" fillId="0" borderId="1" xfId="2" applyNumberFormat="1" applyFont="1" applyFill="1" applyBorder="1" applyAlignment="1">
      <alignment horizontal="center" vertical="center" wrapText="1"/>
    </xf>
    <xf numFmtId="177" fontId="21" fillId="0" borderId="1" xfId="0" applyNumberFormat="1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center" vertical="center"/>
    </xf>
    <xf numFmtId="0" fontId="18" fillId="10" borderId="1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8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41" fontId="23" fillId="0" borderId="1" xfId="2" applyFont="1" applyFill="1" applyBorder="1" applyAlignment="1">
      <alignment horizontal="center" vertical="center" wrapText="1"/>
    </xf>
    <xf numFmtId="41" fontId="21" fillId="0" borderId="1" xfId="2" applyFont="1" applyFill="1" applyBorder="1" applyAlignment="1">
      <alignment horizontal="center" vertical="center" wrapText="1"/>
    </xf>
    <xf numFmtId="41" fontId="21" fillId="0" borderId="1" xfId="2" applyFont="1" applyBorder="1" applyAlignment="1">
      <alignment horizontal="center" vertical="center"/>
    </xf>
    <xf numFmtId="0" fontId="21" fillId="0" borderId="1" xfId="8" applyFont="1" applyFill="1" applyBorder="1" applyAlignment="1">
      <alignment horizontal="center" vertical="center"/>
    </xf>
    <xf numFmtId="0" fontId="21" fillId="0" borderId="0" xfId="8" applyFont="1" applyFill="1" applyAlignment="1">
      <alignment horizontal="center" vertical="center"/>
    </xf>
    <xf numFmtId="0" fontId="21" fillId="9" borderId="0" xfId="5" applyFont="1" applyFill="1" applyBorder="1" applyAlignment="1">
      <alignment horizontal="center" vertical="center"/>
    </xf>
    <xf numFmtId="0" fontId="18" fillId="11" borderId="1" xfId="8" applyFont="1" applyFill="1" applyBorder="1" applyAlignment="1">
      <alignment horizontal="center" vertical="center"/>
    </xf>
    <xf numFmtId="0" fontId="18" fillId="9" borderId="1" xfId="8" applyFont="1" applyFill="1" applyBorder="1" applyAlignment="1">
      <alignment horizontal="center" vertical="center"/>
    </xf>
    <xf numFmtId="0" fontId="18" fillId="0" borderId="1" xfId="5" applyFont="1" applyFill="1" applyBorder="1" applyAlignment="1">
      <alignment vertical="center"/>
    </xf>
    <xf numFmtId="0" fontId="18" fillId="0" borderId="0" xfId="8" applyFont="1" applyFill="1" applyAlignment="1">
      <alignment horizontal="left" vertical="center"/>
    </xf>
    <xf numFmtId="0" fontId="18" fillId="0" borderId="0" xfId="8" applyFont="1" applyFill="1" applyAlignment="1">
      <alignment horizontal="center" vertical="center"/>
    </xf>
    <xf numFmtId="0" fontId="21" fillId="0" borderId="1" xfId="6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 wrapText="1"/>
    </xf>
    <xf numFmtId="177" fontId="21" fillId="0" borderId="1" xfId="0" applyNumberFormat="1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177" fontId="20" fillId="0" borderId="1" xfId="2" applyNumberFormat="1" applyFont="1" applyBorder="1" applyAlignment="1">
      <alignment horizontal="center" vertical="center"/>
    </xf>
    <xf numFmtId="177" fontId="20" fillId="0" borderId="1" xfId="2" applyNumberFormat="1" applyFont="1" applyFill="1" applyBorder="1" applyAlignment="1">
      <alignment horizontal="center" vertical="center" wrapText="1"/>
    </xf>
    <xf numFmtId="176" fontId="21" fillId="0" borderId="1" xfId="1" applyNumberFormat="1" applyFont="1" applyFill="1" applyBorder="1" applyAlignment="1">
      <alignment horizontal="center" vertical="center" wrapText="1"/>
    </xf>
    <xf numFmtId="41" fontId="4" fillId="0" borderId="16" xfId="0" applyNumberFormat="1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182" fontId="14" fillId="0" borderId="1" xfId="0" applyNumberFormat="1" applyFont="1" applyBorder="1" applyAlignment="1">
      <alignment horizontal="right" vertical="center"/>
    </xf>
    <xf numFmtId="0" fontId="11" fillId="0" borderId="1" xfId="0" applyFont="1" applyBorder="1" applyAlignment="1">
      <alignment horizontal="center" vertical="center"/>
    </xf>
    <xf numFmtId="182" fontId="11" fillId="0" borderId="1" xfId="0" applyNumberFormat="1" applyFont="1" applyBorder="1" applyAlignment="1">
      <alignment horizontal="right" vertical="center"/>
    </xf>
    <xf numFmtId="0" fontId="21" fillId="0" borderId="0" xfId="8" applyFont="1" applyFill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177" fontId="28" fillId="0" borderId="1" xfId="2" applyNumberFormat="1" applyFont="1" applyBorder="1" applyAlignment="1">
      <alignment horizontal="center" vertical="center"/>
    </xf>
    <xf numFmtId="177" fontId="28" fillId="0" borderId="1" xfId="0" applyNumberFormat="1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1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41" fontId="21" fillId="0" borderId="1" xfId="0" applyNumberFormat="1" applyFont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 wrapText="1"/>
    </xf>
    <xf numFmtId="177" fontId="21" fillId="0" borderId="1" xfId="2" applyNumberFormat="1" applyFont="1" applyBorder="1" applyAlignment="1">
      <alignment horizontal="center" vertical="center"/>
    </xf>
    <xf numFmtId="177" fontId="20" fillId="0" borderId="1" xfId="0" applyNumberFormat="1" applyFont="1" applyBorder="1" applyAlignment="1">
      <alignment horizontal="center" vertical="center"/>
    </xf>
    <xf numFmtId="177" fontId="18" fillId="11" borderId="1" xfId="3" applyNumberFormat="1" applyFont="1" applyFill="1" applyBorder="1" applyAlignment="1">
      <alignment horizontal="center" vertical="center"/>
    </xf>
    <xf numFmtId="177" fontId="18" fillId="11" borderId="1" xfId="8" applyNumberFormat="1" applyFont="1" applyFill="1" applyBorder="1" applyAlignment="1">
      <alignment horizontal="center" vertical="center" wrapText="1"/>
    </xf>
    <xf numFmtId="177" fontId="18" fillId="9" borderId="1" xfId="3" applyNumberFormat="1" applyFont="1" applyFill="1" applyBorder="1" applyAlignment="1">
      <alignment horizontal="center" vertical="center"/>
    </xf>
    <xf numFmtId="177" fontId="18" fillId="9" borderId="1" xfId="8" applyNumberFormat="1" applyFont="1" applyFill="1" applyBorder="1" applyAlignment="1">
      <alignment horizontal="center" vertical="center"/>
    </xf>
    <xf numFmtId="177" fontId="18" fillId="0" borderId="1" xfId="3" applyNumberFormat="1" applyFont="1" applyFill="1" applyBorder="1" applyAlignment="1">
      <alignment horizontal="center" vertical="center"/>
    </xf>
    <xf numFmtId="177" fontId="18" fillId="0" borderId="1" xfId="8" applyNumberFormat="1" applyFont="1" applyFill="1" applyBorder="1" applyAlignment="1">
      <alignment horizontal="center" vertical="center"/>
    </xf>
    <xf numFmtId="177" fontId="21" fillId="0" borderId="1" xfId="2" applyNumberFormat="1" applyFont="1" applyBorder="1" applyAlignment="1">
      <alignment horizontal="center" vertical="center" wrapText="1"/>
    </xf>
    <xf numFmtId="177" fontId="23" fillId="0" borderId="1" xfId="2" applyNumberFormat="1" applyFont="1" applyFill="1" applyBorder="1" applyAlignment="1">
      <alignment horizontal="center" vertical="center" wrapText="1"/>
    </xf>
    <xf numFmtId="3" fontId="31" fillId="0" borderId="60" xfId="0" applyNumberFormat="1" applyFont="1" applyBorder="1" applyAlignment="1">
      <alignment vertical="center" wrapText="1"/>
    </xf>
    <xf numFmtId="3" fontId="31" fillId="0" borderId="58" xfId="0" applyNumberFormat="1" applyFont="1" applyBorder="1" applyAlignment="1">
      <alignment vertical="center" wrapText="1"/>
    </xf>
    <xf numFmtId="3" fontId="21" fillId="0" borderId="0" xfId="0" applyNumberFormat="1" applyFont="1" applyAlignment="1">
      <alignment horizontal="center" vertical="center"/>
    </xf>
    <xf numFmtId="0" fontId="32" fillId="6" borderId="1" xfId="0" applyFont="1" applyFill="1" applyBorder="1" applyAlignment="1">
      <alignment vertical="center" wrapText="1"/>
    </xf>
    <xf numFmtId="0" fontId="31" fillId="6" borderId="1" xfId="0" applyFont="1" applyFill="1" applyBorder="1" applyAlignment="1">
      <alignment vertical="center" wrapText="1"/>
    </xf>
    <xf numFmtId="0" fontId="31" fillId="0" borderId="1" xfId="0" applyFont="1" applyBorder="1" applyAlignment="1">
      <alignment vertical="center" wrapText="1"/>
    </xf>
    <xf numFmtId="3" fontId="31" fillId="0" borderId="1" xfId="0" applyNumberFormat="1" applyFont="1" applyBorder="1" applyAlignment="1">
      <alignment vertical="center" wrapText="1"/>
    </xf>
    <xf numFmtId="3" fontId="0" fillId="0" borderId="1" xfId="0" applyNumberFormat="1" applyBorder="1" applyAlignment="1">
      <alignment horizontal="center" vertical="center"/>
    </xf>
    <xf numFmtId="177" fontId="4" fillId="0" borderId="0" xfId="0" applyNumberFormat="1" applyFont="1" applyFill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33" fillId="0" borderId="1" xfId="8" applyFont="1" applyFill="1" applyBorder="1" applyAlignment="1">
      <alignment horizontal="center" vertical="center" wrapText="1"/>
    </xf>
    <xf numFmtId="0" fontId="21" fillId="0" borderId="1" xfId="8" applyFont="1" applyFill="1" applyBorder="1" applyAlignment="1">
      <alignment horizontal="center" vertical="center" wrapText="1"/>
    </xf>
    <xf numFmtId="182" fontId="18" fillId="0" borderId="1" xfId="8" applyNumberFormat="1" applyFont="1" applyFill="1" applyBorder="1" applyAlignment="1">
      <alignment horizontal="center" vertical="center"/>
    </xf>
    <xf numFmtId="182" fontId="18" fillId="9" borderId="1" xfId="8" applyNumberFormat="1" applyFont="1" applyFill="1" applyBorder="1" applyAlignment="1">
      <alignment horizontal="center" vertical="center"/>
    </xf>
    <xf numFmtId="177" fontId="21" fillId="0" borderId="1" xfId="3" applyNumberFormat="1" applyFont="1" applyFill="1" applyBorder="1" applyAlignment="1">
      <alignment horizontal="center" vertical="center"/>
    </xf>
    <xf numFmtId="181" fontId="21" fillId="0" borderId="1" xfId="2" applyNumberFormat="1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41" fontId="34" fillId="12" borderId="1" xfId="2" applyFont="1" applyFill="1" applyBorder="1" applyAlignment="1">
      <alignment horizontal="center" vertical="center"/>
    </xf>
    <xf numFmtId="0" fontId="34" fillId="12" borderId="1" xfId="0" applyFont="1" applyFill="1" applyBorder="1" applyAlignment="1">
      <alignment horizontal="center" vertical="center"/>
    </xf>
    <xf numFmtId="0" fontId="34" fillId="13" borderId="1" xfId="0" applyFont="1" applyFill="1" applyBorder="1" applyAlignment="1">
      <alignment horizontal="center" vertical="center"/>
    </xf>
    <xf numFmtId="41" fontId="34" fillId="13" borderId="1" xfId="2" applyFont="1" applyFill="1" applyBorder="1" applyAlignment="1">
      <alignment horizontal="center" vertical="center"/>
    </xf>
    <xf numFmtId="41" fontId="34" fillId="0" borderId="1" xfId="2" applyFont="1" applyBorder="1" applyAlignment="1">
      <alignment horizontal="center" vertical="center"/>
    </xf>
    <xf numFmtId="41" fontId="18" fillId="0" borderId="1" xfId="2" applyFont="1" applyBorder="1" applyAlignment="1">
      <alignment horizontal="center" vertical="center"/>
    </xf>
    <xf numFmtId="3" fontId="29" fillId="0" borderId="58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177" fontId="21" fillId="0" borderId="0" xfId="0" applyNumberFormat="1" applyFont="1" applyAlignment="1">
      <alignment horizontal="center" vertical="center"/>
    </xf>
    <xf numFmtId="3" fontId="21" fillId="0" borderId="1" xfId="0" applyNumberFormat="1" applyFont="1" applyFill="1" applyBorder="1" applyAlignment="1">
      <alignment horizontal="center" vertical="center"/>
    </xf>
    <xf numFmtId="0" fontId="36" fillId="0" borderId="58" xfId="0" applyFont="1" applyBorder="1" applyAlignment="1">
      <alignment horizontal="center" vertical="center" wrapText="1"/>
    </xf>
    <xf numFmtId="3" fontId="36" fillId="0" borderId="58" xfId="0" applyNumberFormat="1" applyFont="1" applyBorder="1" applyAlignment="1">
      <alignment horizontal="center" vertical="center" wrapText="1"/>
    </xf>
    <xf numFmtId="3" fontId="36" fillId="0" borderId="59" xfId="0" applyNumberFormat="1" applyFont="1" applyBorder="1" applyAlignment="1">
      <alignment horizontal="center" vertical="center" wrapText="1"/>
    </xf>
    <xf numFmtId="0" fontId="36" fillId="0" borderId="70" xfId="0" applyFont="1" applyBorder="1" applyAlignment="1">
      <alignment horizontal="center" vertical="center" wrapText="1"/>
    </xf>
    <xf numFmtId="0" fontId="36" fillId="0" borderId="71" xfId="0" applyFont="1" applyBorder="1" applyAlignment="1">
      <alignment horizontal="center" vertical="center" wrapText="1"/>
    </xf>
    <xf numFmtId="3" fontId="36" fillId="0" borderId="71" xfId="0" applyNumberFormat="1" applyFont="1" applyBorder="1" applyAlignment="1">
      <alignment horizontal="center" vertical="center" wrapText="1"/>
    </xf>
    <xf numFmtId="3" fontId="36" fillId="0" borderId="72" xfId="0" applyNumberFormat="1" applyFont="1" applyBorder="1" applyAlignment="1">
      <alignment horizontal="center" vertical="center" wrapText="1"/>
    </xf>
    <xf numFmtId="0" fontId="36" fillId="0" borderId="73" xfId="0" applyFont="1" applyBorder="1" applyAlignment="1">
      <alignment horizontal="center" vertical="center" wrapText="1"/>
    </xf>
    <xf numFmtId="177" fontId="17" fillId="0" borderId="0" xfId="8" applyNumberFormat="1" applyFont="1" applyFill="1" applyBorder="1" applyAlignment="1">
      <alignment horizontal="left" vertical="center"/>
    </xf>
    <xf numFmtId="177" fontId="18" fillId="0" borderId="0" xfId="0" applyNumberFormat="1" applyFont="1" applyAlignment="1">
      <alignment horizontal="center" vertical="center"/>
    </xf>
    <xf numFmtId="3" fontId="36" fillId="0" borderId="70" xfId="0" applyNumberFormat="1" applyFont="1" applyBorder="1" applyAlignment="1">
      <alignment horizontal="center" vertical="center" wrapText="1"/>
    </xf>
    <xf numFmtId="0" fontId="37" fillId="14" borderId="58" xfId="0" applyFont="1" applyFill="1" applyBorder="1" applyAlignment="1">
      <alignment horizontal="center" vertical="center" wrapText="1"/>
    </xf>
    <xf numFmtId="0" fontId="37" fillId="14" borderId="70" xfId="0" applyFont="1" applyFill="1" applyBorder="1" applyAlignment="1">
      <alignment horizontal="center" vertical="center" wrapText="1"/>
    </xf>
    <xf numFmtId="0" fontId="37" fillId="14" borderId="71" xfId="0" applyFont="1" applyFill="1" applyBorder="1" applyAlignment="1">
      <alignment horizontal="center" vertical="center" wrapText="1"/>
    </xf>
    <xf numFmtId="3" fontId="37" fillId="14" borderId="58" xfId="0" applyNumberFormat="1" applyFont="1" applyFill="1" applyBorder="1" applyAlignment="1">
      <alignment horizontal="center" vertical="center" wrapText="1"/>
    </xf>
    <xf numFmtId="3" fontId="37" fillId="14" borderId="71" xfId="0" applyNumberFormat="1" applyFont="1" applyFill="1" applyBorder="1" applyAlignment="1">
      <alignment horizontal="center" vertical="center" wrapText="1"/>
    </xf>
    <xf numFmtId="0" fontId="34" fillId="0" borderId="0" xfId="9" applyFont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34" fillId="0" borderId="14" xfId="9" applyFont="1" applyBorder="1" applyAlignment="1">
      <alignment horizontal="center" vertical="center"/>
    </xf>
    <xf numFmtId="0" fontId="34" fillId="15" borderId="1" xfId="9" applyFont="1" applyFill="1" applyBorder="1" applyAlignment="1">
      <alignment horizontal="center" vertical="center"/>
    </xf>
    <xf numFmtId="0" fontId="34" fillId="12" borderId="1" xfId="9" applyFont="1" applyFill="1" applyBorder="1" applyAlignment="1">
      <alignment horizontal="center" vertical="center"/>
    </xf>
    <xf numFmtId="41" fontId="17" fillId="0" borderId="0" xfId="2" applyFont="1" applyFill="1" applyBorder="1" applyAlignment="1">
      <alignment horizontal="left" vertical="center"/>
    </xf>
    <xf numFmtId="41" fontId="19" fillId="0" borderId="0" xfId="2" applyFont="1" applyFill="1" applyBorder="1" applyAlignment="1">
      <alignment horizontal="center" vertical="center"/>
    </xf>
    <xf numFmtId="41" fontId="34" fillId="0" borderId="0" xfId="2" applyFont="1" applyAlignment="1">
      <alignment horizontal="center" vertical="center"/>
    </xf>
    <xf numFmtId="41" fontId="34" fillId="15" borderId="1" xfId="2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184" fontId="34" fillId="0" borderId="11" xfId="9" applyNumberFormat="1" applyFont="1" applyBorder="1" applyAlignment="1">
      <alignment vertical="center"/>
    </xf>
    <xf numFmtId="184" fontId="34" fillId="0" borderId="12" xfId="9" applyNumberFormat="1" applyFont="1" applyBorder="1" applyAlignment="1">
      <alignment vertical="center"/>
    </xf>
    <xf numFmtId="43" fontId="34" fillId="0" borderId="0" xfId="9" applyNumberFormat="1" applyFont="1" applyAlignment="1">
      <alignment horizontal="center" vertical="center"/>
    </xf>
    <xf numFmtId="182" fontId="21" fillId="0" borderId="1" xfId="2" applyNumberFormat="1" applyFont="1" applyBorder="1" applyAlignment="1">
      <alignment horizontal="center" vertical="center"/>
    </xf>
    <xf numFmtId="178" fontId="34" fillId="0" borderId="0" xfId="9" applyNumberFormat="1" applyFont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41" fontId="18" fillId="0" borderId="13" xfId="4" applyFont="1" applyBorder="1" applyAlignment="1">
      <alignment horizontal="center" vertical="center"/>
    </xf>
    <xf numFmtId="0" fontId="34" fillId="0" borderId="13" xfId="9" applyFont="1" applyBorder="1" applyAlignment="1">
      <alignment horizontal="center" vertical="center"/>
    </xf>
    <xf numFmtId="0" fontId="17" fillId="0" borderId="0" xfId="8" applyFont="1" applyFill="1" applyBorder="1" applyAlignment="1">
      <alignment vertical="center"/>
    </xf>
    <xf numFmtId="0" fontId="19" fillId="0" borderId="0" xfId="8" applyFont="1" applyFill="1" applyBorder="1" applyAlignment="1">
      <alignment vertical="center"/>
    </xf>
    <xf numFmtId="0" fontId="21" fillId="0" borderId="0" xfId="0" applyFont="1" applyAlignment="1">
      <alignment vertical="center"/>
    </xf>
    <xf numFmtId="0" fontId="0" fillId="0" borderId="0" xfId="0" applyAlignment="1">
      <alignment vertical="center"/>
    </xf>
    <xf numFmtId="41" fontId="20" fillId="0" borderId="1" xfId="2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41" fontId="21" fillId="0" borderId="0" xfId="2" applyFont="1" applyBorder="1" applyAlignment="1">
      <alignment horizontal="center" vertical="center"/>
    </xf>
    <xf numFmtId="41" fontId="21" fillId="0" borderId="1" xfId="2" applyNumberFormat="1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178" fontId="4" fillId="0" borderId="0" xfId="0" applyNumberFormat="1" applyFont="1" applyAlignment="1">
      <alignment horizontal="center" vertical="center"/>
    </xf>
    <xf numFmtId="178" fontId="30" fillId="0" borderId="0" xfId="0" applyNumberFormat="1" applyFont="1" applyAlignment="1">
      <alignment horizontal="center" vertical="center"/>
    </xf>
    <xf numFmtId="41" fontId="21" fillId="0" borderId="13" xfId="0" applyNumberFormat="1" applyFont="1" applyBorder="1" applyAlignment="1">
      <alignment horizontal="center" vertical="center"/>
    </xf>
    <xf numFmtId="41" fontId="21" fillId="0" borderId="13" xfId="2" applyFont="1" applyBorder="1" applyAlignment="1">
      <alignment horizontal="center" vertical="center"/>
    </xf>
    <xf numFmtId="41" fontId="21" fillId="0" borderId="13" xfId="2" applyNumberFormat="1" applyFont="1" applyBorder="1" applyAlignment="1">
      <alignment horizontal="center" vertical="center"/>
    </xf>
    <xf numFmtId="41" fontId="18" fillId="0" borderId="0" xfId="2" applyFont="1" applyBorder="1" applyAlignment="1">
      <alignment horizontal="center" vertical="center"/>
    </xf>
    <xf numFmtId="41" fontId="18" fillId="0" borderId="0" xfId="0" applyNumberFormat="1" applyFont="1" applyBorder="1" applyAlignment="1">
      <alignment horizontal="center" vertical="center"/>
    </xf>
    <xf numFmtId="41" fontId="18" fillId="0" borderId="0" xfId="2" applyNumberFormat="1" applyFont="1" applyBorder="1" applyAlignment="1">
      <alignment horizontal="center" vertical="center"/>
    </xf>
    <xf numFmtId="0" fontId="21" fillId="10" borderId="1" xfId="0" applyFont="1" applyFill="1" applyBorder="1" applyAlignment="1">
      <alignment horizontal="center" vertical="center"/>
    </xf>
    <xf numFmtId="41" fontId="21" fillId="15" borderId="1" xfId="2" applyFont="1" applyFill="1" applyBorder="1" applyAlignment="1">
      <alignment horizontal="center" vertical="center"/>
    </xf>
    <xf numFmtId="41" fontId="20" fillId="10" borderId="1" xfId="2" applyFont="1" applyFill="1" applyBorder="1" applyAlignment="1">
      <alignment horizontal="center" vertical="center"/>
    </xf>
    <xf numFmtId="41" fontId="21" fillId="10" borderId="1" xfId="2" applyFont="1" applyFill="1" applyBorder="1" applyAlignment="1">
      <alignment horizontal="center" vertical="center"/>
    </xf>
    <xf numFmtId="41" fontId="38" fillId="0" borderId="1" xfId="2" applyFont="1" applyBorder="1" applyAlignment="1">
      <alignment horizontal="center" vertical="center"/>
    </xf>
    <xf numFmtId="41" fontId="20" fillId="15" borderId="1" xfId="2" applyFont="1" applyFill="1" applyBorder="1" applyAlignment="1">
      <alignment horizontal="center" vertical="center"/>
    </xf>
    <xf numFmtId="41" fontId="20" fillId="15" borderId="1" xfId="0" applyNumberFormat="1" applyFont="1" applyFill="1" applyBorder="1" applyAlignment="1">
      <alignment horizontal="center" vertical="center"/>
    </xf>
    <xf numFmtId="41" fontId="20" fillId="10" borderId="1" xfId="2" applyFont="1" applyFill="1" applyBorder="1">
      <alignment vertical="center"/>
    </xf>
    <xf numFmtId="188" fontId="20" fillId="10" borderId="1" xfId="0" applyNumberFormat="1" applyFont="1" applyFill="1" applyBorder="1" applyAlignment="1">
      <alignment horizontal="center" vertical="center"/>
    </xf>
    <xf numFmtId="184" fontId="34" fillId="10" borderId="13" xfId="9" applyNumberFormat="1" applyFont="1" applyFill="1" applyBorder="1" applyAlignment="1">
      <alignment horizontal="center" vertical="center"/>
    </xf>
    <xf numFmtId="0" fontId="34" fillId="10" borderId="14" xfId="9" applyFont="1" applyFill="1" applyBorder="1" applyAlignment="1">
      <alignment horizontal="center" vertical="center"/>
    </xf>
    <xf numFmtId="0" fontId="34" fillId="10" borderId="1" xfId="9" applyFont="1" applyFill="1" applyBorder="1" applyAlignment="1">
      <alignment horizontal="center" vertical="center"/>
    </xf>
    <xf numFmtId="41" fontId="34" fillId="10" borderId="1" xfId="2" applyFont="1" applyFill="1" applyBorder="1" applyAlignment="1">
      <alignment horizontal="center" vertical="center"/>
    </xf>
    <xf numFmtId="184" fontId="34" fillId="0" borderId="13" xfId="9" applyNumberFormat="1" applyFont="1" applyFill="1" applyBorder="1" applyAlignment="1">
      <alignment horizontal="center" vertical="center"/>
    </xf>
    <xf numFmtId="0" fontId="34" fillId="0" borderId="14" xfId="9" applyFont="1" applyFill="1" applyBorder="1" applyAlignment="1">
      <alignment horizontal="center" vertical="center"/>
    </xf>
    <xf numFmtId="0" fontId="34" fillId="0" borderId="1" xfId="9" applyFont="1" applyFill="1" applyBorder="1" applyAlignment="1">
      <alignment horizontal="center" vertical="center"/>
    </xf>
    <xf numFmtId="41" fontId="34" fillId="0" borderId="1" xfId="2" applyFont="1" applyFill="1" applyBorder="1" applyAlignment="1">
      <alignment horizontal="center" vertical="center"/>
    </xf>
    <xf numFmtId="0" fontId="21" fillId="10" borderId="1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184" fontId="34" fillId="0" borderId="24" xfId="9" applyNumberFormat="1" applyFont="1" applyBorder="1" applyAlignment="1">
      <alignment vertical="center"/>
    </xf>
    <xf numFmtId="41" fontId="21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79" xfId="0" applyFont="1" applyBorder="1" applyAlignment="1">
      <alignment horizontal="center" vertical="center"/>
    </xf>
    <xf numFmtId="41" fontId="4" fillId="0" borderId="76" xfId="2" applyFont="1" applyBorder="1" applyAlignment="1">
      <alignment horizontal="center" vertical="center"/>
    </xf>
    <xf numFmtId="41" fontId="4" fillId="0" borderId="79" xfId="2" applyFont="1" applyBorder="1" applyAlignment="1">
      <alignment horizontal="center" vertical="center"/>
    </xf>
    <xf numFmtId="41" fontId="4" fillId="0" borderId="82" xfId="2" applyFont="1" applyBorder="1" applyAlignment="1">
      <alignment horizontal="center" vertical="center"/>
    </xf>
    <xf numFmtId="41" fontId="34" fillId="9" borderId="1" xfId="2" applyFont="1" applyFill="1" applyBorder="1" applyAlignment="1">
      <alignment horizontal="center" vertical="center"/>
    </xf>
    <xf numFmtId="0" fontId="4" fillId="0" borderId="83" xfId="0" applyFont="1" applyBorder="1" applyAlignment="1">
      <alignment horizontal="center" vertical="center"/>
    </xf>
    <xf numFmtId="0" fontId="4" fillId="0" borderId="84" xfId="0" applyFont="1" applyBorder="1" applyAlignment="1">
      <alignment horizontal="center" vertical="center"/>
    </xf>
    <xf numFmtId="184" fontId="34" fillId="0" borderId="1" xfId="9" applyNumberFormat="1" applyFont="1" applyBorder="1" applyAlignment="1">
      <alignment horizontal="center" vertical="center"/>
    </xf>
    <xf numFmtId="0" fontId="34" fillId="0" borderId="1" xfId="9" applyFont="1" applyBorder="1" applyAlignment="1">
      <alignment horizontal="center" vertical="center"/>
    </xf>
    <xf numFmtId="0" fontId="34" fillId="0" borderId="47" xfId="9" applyFont="1" applyBorder="1" applyAlignment="1">
      <alignment horizontal="center" vertical="center"/>
    </xf>
    <xf numFmtId="184" fontId="34" fillId="0" borderId="13" xfId="9" applyNumberFormat="1" applyFont="1" applyBorder="1" applyAlignment="1">
      <alignment horizontal="center" vertical="center"/>
    </xf>
    <xf numFmtId="41" fontId="39" fillId="10" borderId="1" xfId="2" applyFont="1" applyFill="1" applyBorder="1">
      <alignment vertical="center"/>
    </xf>
    <xf numFmtId="41" fontId="39" fillId="10" borderId="1" xfId="2" applyFont="1" applyFill="1" applyBorder="1" applyAlignment="1">
      <alignment horizontal="center" vertical="center"/>
    </xf>
    <xf numFmtId="0" fontId="21" fillId="10" borderId="1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34" fillId="0" borderId="1" xfId="9" applyFont="1" applyBorder="1" applyAlignment="1">
      <alignment horizontal="center" vertical="center"/>
    </xf>
    <xf numFmtId="0" fontId="34" fillId="0" borderId="47" xfId="9" applyFont="1" applyBorder="1" applyAlignment="1">
      <alignment horizontal="center" vertical="center"/>
    </xf>
    <xf numFmtId="184" fontId="34" fillId="0" borderId="13" xfId="9" applyNumberFormat="1" applyFont="1" applyBorder="1" applyAlignment="1">
      <alignment horizontal="center" vertical="center"/>
    </xf>
    <xf numFmtId="0" fontId="34" fillId="16" borderId="1" xfId="9" applyFont="1" applyFill="1" applyBorder="1" applyAlignment="1">
      <alignment horizontal="center" vertical="center"/>
    </xf>
    <xf numFmtId="41" fontId="34" fillId="16" borderId="1" xfId="2" applyFont="1" applyFill="1" applyBorder="1" applyAlignment="1">
      <alignment horizontal="center" vertical="center"/>
    </xf>
    <xf numFmtId="0" fontId="34" fillId="0" borderId="11" xfId="9" applyFont="1" applyBorder="1" applyAlignment="1">
      <alignment vertical="center"/>
    </xf>
    <xf numFmtId="0" fontId="34" fillId="0" borderId="12" xfId="9" applyFont="1" applyBorder="1" applyAlignment="1">
      <alignment vertical="center"/>
    </xf>
    <xf numFmtId="0" fontId="34" fillId="0" borderId="24" xfId="9" applyFont="1" applyBorder="1" applyAlignment="1">
      <alignment vertical="center"/>
    </xf>
    <xf numFmtId="0" fontId="34" fillId="0" borderId="0" xfId="9" applyFont="1" applyFill="1" applyAlignment="1">
      <alignment horizontal="center" vertical="center"/>
    </xf>
    <xf numFmtId="0" fontId="0" fillId="0" borderId="0" xfId="0" applyFill="1">
      <alignment vertical="center"/>
    </xf>
    <xf numFmtId="184" fontId="34" fillId="9" borderId="13" xfId="9" applyNumberFormat="1" applyFont="1" applyFill="1" applyBorder="1" applyAlignment="1">
      <alignment horizontal="center" vertical="center"/>
    </xf>
    <xf numFmtId="0" fontId="34" fillId="9" borderId="14" xfId="9" applyFont="1" applyFill="1" applyBorder="1" applyAlignment="1">
      <alignment horizontal="center" vertical="center"/>
    </xf>
    <xf numFmtId="0" fontId="34" fillId="9" borderId="1" xfId="9" applyFont="1" applyFill="1" applyBorder="1" applyAlignment="1">
      <alignment horizontal="center" vertical="center"/>
    </xf>
    <xf numFmtId="41" fontId="38" fillId="9" borderId="1" xfId="2" applyFont="1" applyFill="1" applyBorder="1" applyAlignment="1">
      <alignment horizontal="center" vertical="center"/>
    </xf>
    <xf numFmtId="0" fontId="34" fillId="0" borderId="26" xfId="9" applyFont="1" applyBorder="1" applyAlignment="1">
      <alignment horizontal="center" vertical="center"/>
    </xf>
    <xf numFmtId="0" fontId="0" fillId="0" borderId="12" xfId="0" applyBorder="1" applyAlignment="1">
      <alignment vertical="center"/>
    </xf>
    <xf numFmtId="0" fontId="0" fillId="0" borderId="24" xfId="0" applyBorder="1" applyAlignment="1">
      <alignment vertical="center"/>
    </xf>
    <xf numFmtId="184" fontId="34" fillId="0" borderId="12" xfId="9" applyNumberFormat="1" applyFont="1" applyFill="1" applyBorder="1" applyAlignment="1">
      <alignment vertical="center"/>
    </xf>
    <xf numFmtId="184" fontId="34" fillId="0" borderId="24" xfId="9" applyNumberFormat="1" applyFont="1" applyFill="1" applyBorder="1" applyAlignment="1">
      <alignment vertical="center"/>
    </xf>
    <xf numFmtId="41" fontId="21" fillId="0" borderId="32" xfId="0" applyNumberFormat="1" applyFont="1" applyBorder="1" applyAlignment="1">
      <alignment horizontal="center" vertical="center"/>
    </xf>
    <xf numFmtId="41" fontId="21" fillId="0" borderId="38" xfId="0" applyNumberFormat="1" applyFont="1" applyBorder="1" applyAlignment="1">
      <alignment horizontal="center" vertical="center"/>
    </xf>
    <xf numFmtId="41" fontId="21" fillId="0" borderId="39" xfId="0" applyNumberFormat="1" applyFont="1" applyBorder="1" applyAlignment="1">
      <alignment horizontal="center" vertical="center"/>
    </xf>
    <xf numFmtId="41" fontId="21" fillId="0" borderId="16" xfId="2" applyFont="1" applyBorder="1" applyAlignment="1">
      <alignment horizontal="center" vertical="center"/>
    </xf>
    <xf numFmtId="41" fontId="21" fillId="0" borderId="17" xfId="2" applyFont="1" applyBorder="1" applyAlignment="1">
      <alignment horizontal="center" vertical="center"/>
    </xf>
    <xf numFmtId="41" fontId="21" fillId="0" borderId="18" xfId="2" applyFont="1" applyBorder="1" applyAlignment="1">
      <alignment horizontal="center" vertical="center"/>
    </xf>
    <xf numFmtId="41" fontId="21" fillId="0" borderId="19" xfId="2" applyFont="1" applyBorder="1" applyAlignment="1">
      <alignment horizontal="center" vertical="center"/>
    </xf>
    <xf numFmtId="41" fontId="21" fillId="0" borderId="20" xfId="2" applyFont="1" applyBorder="1" applyAlignment="1">
      <alignment horizontal="center" vertical="center"/>
    </xf>
    <xf numFmtId="0" fontId="4" fillId="0" borderId="86" xfId="0" applyFont="1" applyBorder="1" applyAlignment="1">
      <alignment horizontal="center" vertical="center"/>
    </xf>
    <xf numFmtId="0" fontId="4" fillId="0" borderId="87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184" fontId="34" fillId="0" borderId="1" xfId="9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41" fontId="21" fillId="0" borderId="0" xfId="2" applyFont="1" applyAlignment="1">
      <alignment horizontal="center" vertical="center"/>
    </xf>
    <xf numFmtId="187" fontId="21" fillId="0" borderId="0" xfId="0" applyNumberFormat="1" applyFont="1" applyAlignment="1">
      <alignment horizontal="center" vertical="center"/>
    </xf>
    <xf numFmtId="184" fontId="34" fillId="0" borderId="1" xfId="9" applyNumberFormat="1" applyFont="1" applyBorder="1" applyAlignment="1">
      <alignment horizontal="center" vertical="center"/>
    </xf>
    <xf numFmtId="0" fontId="38" fillId="0" borderId="1" xfId="9" applyFont="1" applyBorder="1" applyAlignment="1">
      <alignment horizontal="center" vertical="center"/>
    </xf>
    <xf numFmtId="178" fontId="34" fillId="0" borderId="1" xfId="9" applyNumberFormat="1" applyFont="1" applyBorder="1" applyAlignment="1">
      <alignment horizontal="center" vertical="center"/>
    </xf>
    <xf numFmtId="189" fontId="34" fillId="0" borderId="0" xfId="9" applyNumberFormat="1" applyFont="1" applyAlignment="1">
      <alignment horizontal="center" vertical="center"/>
    </xf>
    <xf numFmtId="0" fontId="18" fillId="0" borderId="1" xfId="5" applyFont="1" applyBorder="1" applyAlignment="1">
      <alignment horizontal="center" vertical="center"/>
    </xf>
    <xf numFmtId="0" fontId="41" fillId="0" borderId="1" xfId="5" applyFont="1" applyBorder="1" applyAlignment="1">
      <alignment horizontal="center" vertical="center" wrapText="1"/>
    </xf>
    <xf numFmtId="41" fontId="18" fillId="0" borderId="1" xfId="10" applyFont="1" applyBorder="1" applyAlignment="1">
      <alignment horizontal="center" vertical="center"/>
    </xf>
    <xf numFmtId="0" fontId="28" fillId="0" borderId="1" xfId="5" applyFont="1" applyBorder="1" applyAlignment="1">
      <alignment horizontal="center" vertical="center" wrapText="1"/>
    </xf>
    <xf numFmtId="41" fontId="28" fillId="0" borderId="1" xfId="10" applyFont="1" applyBorder="1" applyAlignment="1">
      <alignment horizontal="center" vertical="center"/>
    </xf>
    <xf numFmtId="41" fontId="18" fillId="0" borderId="1" xfId="4" applyFont="1" applyBorder="1" applyAlignment="1">
      <alignment horizontal="center" vertical="center"/>
    </xf>
    <xf numFmtId="41" fontId="4" fillId="0" borderId="1" xfId="2" applyNumberFormat="1" applyFont="1" applyBorder="1" applyAlignment="1">
      <alignment horizontal="center" vertical="center"/>
    </xf>
    <xf numFmtId="187" fontId="34" fillId="0" borderId="0" xfId="9" applyNumberFormat="1" applyFont="1" applyAlignment="1">
      <alignment horizontal="center" vertical="center"/>
    </xf>
    <xf numFmtId="0" fontId="21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8" fillId="0" borderId="1" xfId="8" applyFont="1" applyFill="1" applyBorder="1" applyAlignment="1">
      <alignment horizontal="center" vertical="center"/>
    </xf>
    <xf numFmtId="0" fontId="18" fillId="0" borderId="1" xfId="8" applyFont="1" applyFill="1" applyBorder="1" applyAlignment="1">
      <alignment horizontal="center" vertical="center" wrapText="1"/>
    </xf>
    <xf numFmtId="0" fontId="21" fillId="0" borderId="0" xfId="8" applyFont="1" applyFill="1" applyAlignment="1">
      <alignment horizontal="center" vertical="center"/>
    </xf>
    <xf numFmtId="0" fontId="18" fillId="0" borderId="1" xfId="8" applyFont="1" applyFill="1" applyBorder="1" applyAlignment="1">
      <alignment horizontal="center" vertical="center"/>
    </xf>
    <xf numFmtId="179" fontId="21" fillId="0" borderId="0" xfId="8" applyNumberFormat="1" applyFont="1" applyFill="1" applyAlignment="1">
      <alignment horizontal="center" vertical="center"/>
    </xf>
    <xf numFmtId="176" fontId="21" fillId="0" borderId="1" xfId="1" applyNumberFormat="1" applyFont="1" applyBorder="1" applyAlignment="1">
      <alignment horizontal="center" vertical="center"/>
    </xf>
    <xf numFmtId="9" fontId="21" fillId="0" borderId="1" xfId="1" applyNumberFormat="1" applyFont="1" applyBorder="1" applyAlignment="1">
      <alignment horizontal="center" vertical="center"/>
    </xf>
    <xf numFmtId="0" fontId="21" fillId="10" borderId="1" xfId="0" applyFont="1" applyFill="1" applyBorder="1" applyAlignment="1">
      <alignment horizontal="center" vertical="center"/>
    </xf>
    <xf numFmtId="184" fontId="34" fillId="0" borderId="1" xfId="9" applyNumberFormat="1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41" fontId="21" fillId="0" borderId="11" xfId="2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10" borderId="1" xfId="0" applyFont="1" applyFill="1" applyBorder="1" applyAlignment="1">
      <alignment horizontal="center" vertical="center"/>
    </xf>
    <xf numFmtId="0" fontId="34" fillId="0" borderId="1" xfId="9" applyFont="1" applyBorder="1" applyAlignment="1">
      <alignment horizontal="center" vertical="center"/>
    </xf>
    <xf numFmtId="184" fontId="34" fillId="0" borderId="1" xfId="9" applyNumberFormat="1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177" fontId="21" fillId="0" borderId="1" xfId="0" applyNumberFormat="1" applyFont="1" applyBorder="1" applyAlignment="1">
      <alignment horizontal="center" vertical="center"/>
    </xf>
    <xf numFmtId="184" fontId="34" fillId="0" borderId="11" xfId="9" applyNumberFormat="1" applyFont="1" applyFill="1" applyBorder="1" applyAlignment="1">
      <alignment vertical="center"/>
    </xf>
    <xf numFmtId="41" fontId="34" fillId="17" borderId="1" xfId="2" applyFont="1" applyFill="1" applyBorder="1" applyAlignment="1">
      <alignment horizontal="center" vertical="center"/>
    </xf>
    <xf numFmtId="41" fontId="21" fillId="17" borderId="1" xfId="2" applyFont="1" applyFill="1" applyBorder="1" applyAlignment="1">
      <alignment horizontal="center" vertical="center"/>
    </xf>
    <xf numFmtId="0" fontId="34" fillId="0" borderId="1" xfId="9" applyFont="1" applyBorder="1" applyAlignment="1">
      <alignment horizontal="center" vertical="center"/>
    </xf>
    <xf numFmtId="190" fontId="34" fillId="0" borderId="1" xfId="9" applyNumberFormat="1" applyFont="1" applyBorder="1" applyAlignment="1">
      <alignment horizontal="center" vertical="center"/>
    </xf>
    <xf numFmtId="190" fontId="34" fillId="15" borderId="1" xfId="9" applyNumberFormat="1" applyFont="1" applyFill="1" applyBorder="1" applyAlignment="1">
      <alignment horizontal="center" vertical="center"/>
    </xf>
    <xf numFmtId="190" fontId="34" fillId="12" borderId="1" xfId="9" applyNumberFormat="1" applyFont="1" applyFill="1" applyBorder="1" applyAlignment="1">
      <alignment horizontal="center" vertical="center"/>
    </xf>
    <xf numFmtId="41" fontId="34" fillId="0" borderId="0" xfId="9" applyNumberFormat="1" applyFont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13" borderId="1" xfId="0" applyFont="1" applyFill="1" applyBorder="1" applyAlignment="1">
      <alignment horizontal="center" vertical="center"/>
    </xf>
    <xf numFmtId="177" fontId="34" fillId="0" borderId="1" xfId="9" applyNumberFormat="1" applyFont="1" applyBorder="1" applyAlignment="1">
      <alignment horizontal="right" vertical="center"/>
    </xf>
    <xf numFmtId="0" fontId="40" fillId="0" borderId="1" xfId="9" applyFont="1" applyBorder="1" applyAlignment="1">
      <alignment horizontal="center" vertical="center"/>
    </xf>
    <xf numFmtId="177" fontId="40" fillId="0" borderId="1" xfId="9" applyNumberFormat="1" applyFont="1" applyBorder="1" applyAlignment="1">
      <alignment horizontal="right" vertical="center"/>
    </xf>
    <xf numFmtId="0" fontId="14" fillId="0" borderId="0" xfId="0" applyFont="1" applyAlignment="1">
      <alignment horizontal="center" vertical="center"/>
    </xf>
    <xf numFmtId="0" fontId="14" fillId="13" borderId="24" xfId="0" applyFont="1" applyFill="1" applyBorder="1" applyAlignment="1">
      <alignment horizontal="center" vertical="center"/>
    </xf>
    <xf numFmtId="0" fontId="14" fillId="16" borderId="1" xfId="0" applyFont="1" applyFill="1" applyBorder="1" applyAlignment="1">
      <alignment horizontal="center" vertical="center"/>
    </xf>
    <xf numFmtId="0" fontId="14" fillId="13" borderId="11" xfId="0" applyFont="1" applyFill="1" applyBorder="1" applyAlignment="1">
      <alignment horizontal="center" vertical="center"/>
    </xf>
    <xf numFmtId="0" fontId="4" fillId="0" borderId="75" xfId="0" applyFont="1" applyBorder="1" applyAlignment="1">
      <alignment horizontal="center" vertical="center"/>
    </xf>
    <xf numFmtId="0" fontId="4" fillId="0" borderId="78" xfId="0" applyFont="1" applyBorder="1" applyAlignment="1">
      <alignment horizontal="center" vertical="center"/>
    </xf>
    <xf numFmtId="0" fontId="4" fillId="0" borderId="81" xfId="0" applyFont="1" applyBorder="1" applyAlignment="1">
      <alignment horizontal="center" vertical="center"/>
    </xf>
    <xf numFmtId="177" fontId="14" fillId="13" borderId="1" xfId="0" applyNumberFormat="1" applyFont="1" applyFill="1" applyBorder="1" applyAlignment="1">
      <alignment horizontal="center" vertical="center"/>
    </xf>
    <xf numFmtId="177" fontId="14" fillId="0" borderId="1" xfId="0" applyNumberFormat="1" applyFont="1" applyBorder="1" applyAlignment="1">
      <alignment horizontal="center" vertical="center"/>
    </xf>
    <xf numFmtId="177" fontId="14" fillId="16" borderId="1" xfId="0" applyNumberFormat="1" applyFont="1" applyFill="1" applyBorder="1" applyAlignment="1">
      <alignment horizontal="center" vertical="center"/>
    </xf>
    <xf numFmtId="177" fontId="14" fillId="13" borderId="11" xfId="0" applyNumberFormat="1" applyFont="1" applyFill="1" applyBorder="1" applyAlignment="1">
      <alignment horizontal="center" vertical="center"/>
    </xf>
    <xf numFmtId="184" fontId="45" fillId="0" borderId="1" xfId="9" applyNumberFormat="1" applyFont="1" applyBorder="1" applyAlignment="1">
      <alignment horizontal="center" vertical="center"/>
    </xf>
    <xf numFmtId="184" fontId="45" fillId="0" borderId="13" xfId="9" applyNumberFormat="1" applyFont="1" applyBorder="1" applyAlignment="1">
      <alignment horizontal="center" vertical="center"/>
    </xf>
    <xf numFmtId="177" fontId="4" fillId="0" borderId="75" xfId="2" applyNumberFormat="1" applyFont="1" applyBorder="1" applyAlignment="1">
      <alignment horizontal="center" vertical="center"/>
    </xf>
    <xf numFmtId="177" fontId="4" fillId="0" borderId="78" xfId="2" applyNumberFormat="1" applyFont="1" applyBorder="1" applyAlignment="1">
      <alignment horizontal="center" vertical="center"/>
    </xf>
    <xf numFmtId="177" fontId="4" fillId="0" borderId="81" xfId="2" applyNumberFormat="1" applyFont="1" applyBorder="1" applyAlignment="1">
      <alignment horizontal="center" vertical="center"/>
    </xf>
    <xf numFmtId="181" fontId="4" fillId="0" borderId="81" xfId="2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77" fontId="4" fillId="0" borderId="83" xfId="0" applyNumberFormat="1" applyFont="1" applyBorder="1" applyAlignment="1">
      <alignment horizontal="center" vertical="center"/>
    </xf>
    <xf numFmtId="177" fontId="4" fillId="0" borderId="75" xfId="0" applyNumberFormat="1" applyFont="1" applyBorder="1" applyAlignment="1">
      <alignment horizontal="center" vertical="center"/>
    </xf>
    <xf numFmtId="177" fontId="4" fillId="0" borderId="78" xfId="0" applyNumberFormat="1" applyFont="1" applyBorder="1" applyAlignment="1">
      <alignment horizontal="center" vertical="center"/>
    </xf>
    <xf numFmtId="177" fontId="4" fillId="0" borderId="86" xfId="0" applyNumberFormat="1" applyFont="1" applyBorder="1" applyAlignment="1">
      <alignment horizontal="center" vertical="center"/>
    </xf>
    <xf numFmtId="177" fontId="4" fillId="0" borderId="81" xfId="0" applyNumberFormat="1" applyFont="1" applyBorder="1" applyAlignment="1">
      <alignment horizontal="center" vertical="center"/>
    </xf>
    <xf numFmtId="181" fontId="4" fillId="0" borderId="82" xfId="2" applyNumberFormat="1" applyFont="1" applyBorder="1" applyAlignment="1">
      <alignment horizontal="center" vertical="center"/>
    </xf>
    <xf numFmtId="41" fontId="21" fillId="15" borderId="1" xfId="0" applyNumberFormat="1" applyFont="1" applyFill="1" applyBorder="1" applyAlignment="1">
      <alignment horizontal="center" vertical="center"/>
    </xf>
    <xf numFmtId="181" fontId="4" fillId="0" borderId="1" xfId="0" applyNumberFormat="1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1" xfId="8" applyFont="1" applyFill="1" applyBorder="1" applyAlignment="1">
      <alignment horizontal="center" vertical="center"/>
    </xf>
    <xf numFmtId="0" fontId="21" fillId="0" borderId="0" xfId="8" applyFont="1" applyFill="1" applyAlignment="1">
      <alignment horizontal="center" vertical="center"/>
    </xf>
    <xf numFmtId="177" fontId="21" fillId="0" borderId="1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0" fillId="9" borderId="0" xfId="0" applyFill="1">
      <alignment vertical="center"/>
    </xf>
    <xf numFmtId="41" fontId="0" fillId="0" borderId="0" xfId="0" applyNumberFormat="1">
      <alignment vertical="center"/>
    </xf>
    <xf numFmtId="184" fontId="34" fillId="0" borderId="0" xfId="9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21" fillId="15" borderId="1" xfId="0" applyFont="1" applyFill="1" applyBorder="1" applyAlignment="1">
      <alignment horizontal="center" vertical="center"/>
    </xf>
    <xf numFmtId="0" fontId="21" fillId="10" borderId="1" xfId="0" applyFont="1" applyFill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34" fillId="0" borderId="1" xfId="9" applyFont="1" applyBorder="1" applyAlignment="1">
      <alignment horizontal="center" vertical="center"/>
    </xf>
    <xf numFmtId="184" fontId="34" fillId="0" borderId="12" xfId="9" applyNumberFormat="1" applyFont="1" applyBorder="1" applyAlignment="1">
      <alignment horizontal="center" vertical="center"/>
    </xf>
    <xf numFmtId="0" fontId="34" fillId="0" borderId="25" xfId="9" applyFont="1" applyBorder="1" applyAlignment="1">
      <alignment horizontal="center" vertical="center"/>
    </xf>
    <xf numFmtId="0" fontId="34" fillId="0" borderId="29" xfId="9" applyFont="1" applyBorder="1" applyAlignment="1">
      <alignment horizontal="center" vertical="center"/>
    </xf>
    <xf numFmtId="0" fontId="34" fillId="0" borderId="27" xfId="9" applyFont="1" applyBorder="1" applyAlignment="1">
      <alignment horizontal="center" vertical="center"/>
    </xf>
    <xf numFmtId="0" fontId="34" fillId="0" borderId="31" xfId="9" applyFont="1" applyBorder="1" applyAlignment="1">
      <alignment horizontal="center" vertical="center"/>
    </xf>
    <xf numFmtId="0" fontId="21" fillId="0" borderId="12" xfId="0" applyFont="1" applyBorder="1" applyAlignment="1">
      <alignment vertical="center"/>
    </xf>
    <xf numFmtId="0" fontId="21" fillId="0" borderId="24" xfId="0" applyFont="1" applyBorder="1" applyAlignment="1">
      <alignment vertical="center"/>
    </xf>
    <xf numFmtId="184" fontId="34" fillId="0" borderId="25" xfId="9" applyNumberFormat="1" applyFont="1" applyBorder="1" applyAlignment="1">
      <alignment horizontal="center" vertical="center"/>
    </xf>
    <xf numFmtId="41" fontId="34" fillId="0" borderId="11" xfId="2" applyFont="1" applyBorder="1" applyAlignment="1">
      <alignment horizontal="center" vertical="center"/>
    </xf>
    <xf numFmtId="184" fontId="34" fillId="0" borderId="27" xfId="9" applyNumberFormat="1" applyFont="1" applyBorder="1" applyAlignment="1">
      <alignment horizontal="center" vertical="center"/>
    </xf>
    <xf numFmtId="41" fontId="34" fillId="0" borderId="24" xfId="2" applyFont="1" applyBorder="1" applyAlignment="1">
      <alignment horizontal="center" vertical="center"/>
    </xf>
    <xf numFmtId="184" fontId="34" fillId="0" borderId="1" xfId="9" applyNumberFormat="1" applyFont="1" applyBorder="1" applyAlignment="1">
      <alignment vertical="center"/>
    </xf>
    <xf numFmtId="41" fontId="34" fillId="15" borderId="11" xfId="2" applyFont="1" applyFill="1" applyBorder="1" applyAlignment="1">
      <alignment horizontal="center" vertical="center"/>
    </xf>
    <xf numFmtId="0" fontId="0" fillId="0" borderId="11" xfId="0" applyBorder="1" applyAlignment="1">
      <alignment vertical="center"/>
    </xf>
    <xf numFmtId="184" fontId="34" fillId="0" borderId="26" xfId="9" applyNumberFormat="1" applyFont="1" applyBorder="1" applyAlignment="1">
      <alignment horizontal="center" vertical="center"/>
    </xf>
    <xf numFmtId="0" fontId="34" fillId="0" borderId="30" xfId="9" applyFont="1" applyBorder="1" applyAlignment="1">
      <alignment horizontal="center" vertical="center"/>
    </xf>
    <xf numFmtId="41" fontId="34" fillId="0" borderId="12" xfId="2" applyFont="1" applyBorder="1" applyAlignment="1">
      <alignment horizontal="center" vertical="center"/>
    </xf>
    <xf numFmtId="0" fontId="21" fillId="0" borderId="11" xfId="0" applyFont="1" applyBorder="1" applyAlignment="1">
      <alignment vertical="center"/>
    </xf>
    <xf numFmtId="0" fontId="21" fillId="0" borderId="12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21" fillId="10" borderId="1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10" borderId="1" xfId="0" applyFont="1" applyFill="1" applyBorder="1" applyAlignment="1">
      <alignment horizontal="center" vertical="center"/>
    </xf>
    <xf numFmtId="0" fontId="21" fillId="0" borderId="12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/>
    </xf>
    <xf numFmtId="0" fontId="21" fillId="0" borderId="24" xfId="0" applyFont="1" applyBorder="1" applyAlignment="1">
      <alignment horizontal="center" vertical="center"/>
    </xf>
    <xf numFmtId="0" fontId="21" fillId="15" borderId="1" xfId="0" applyFont="1" applyFill="1" applyBorder="1" applyAlignment="1">
      <alignment horizontal="center" vertical="center"/>
    </xf>
    <xf numFmtId="0" fontId="4" fillId="0" borderId="75" xfId="0" applyFont="1" applyBorder="1" applyAlignment="1">
      <alignment horizontal="center" vertical="center"/>
    </xf>
    <xf numFmtId="0" fontId="4" fillId="0" borderId="78" xfId="0" applyFont="1" applyBorder="1" applyAlignment="1">
      <alignment horizontal="center" vertical="center"/>
    </xf>
    <xf numFmtId="0" fontId="4" fillId="0" borderId="81" xfId="0" applyFont="1" applyBorder="1" applyAlignment="1">
      <alignment horizontal="center" vertical="center"/>
    </xf>
    <xf numFmtId="0" fontId="4" fillId="0" borderId="76" xfId="0" applyFont="1" applyBorder="1" applyAlignment="1">
      <alignment horizontal="center" vertical="center"/>
    </xf>
    <xf numFmtId="0" fontId="4" fillId="0" borderId="82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41" fontId="4" fillId="0" borderId="0" xfId="2" applyFont="1" applyAlignment="1">
      <alignment horizontal="center" vertical="center"/>
    </xf>
    <xf numFmtId="41" fontId="4" fillId="0" borderId="0" xfId="0" applyNumberFormat="1" applyFont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18" fillId="0" borderId="1" xfId="8" applyFont="1" applyFill="1" applyBorder="1" applyAlignment="1">
      <alignment horizontal="center" vertical="center"/>
    </xf>
    <xf numFmtId="0" fontId="21" fillId="0" borderId="0" xfId="8" applyFont="1" applyFill="1" applyAlignment="1">
      <alignment horizontal="center" vertical="center"/>
    </xf>
    <xf numFmtId="187" fontId="4" fillId="0" borderId="0" xfId="0" applyNumberFormat="1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181" fontId="46" fillId="0" borderId="81" xfId="2" applyNumberFormat="1" applyFont="1" applyBorder="1" applyAlignment="1">
      <alignment horizontal="center" vertical="center"/>
    </xf>
    <xf numFmtId="177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41" fontId="21" fillId="0" borderId="0" xfId="0" applyNumberFormat="1" applyFont="1">
      <alignment vertical="center"/>
    </xf>
    <xf numFmtId="181" fontId="4" fillId="0" borderId="0" xfId="0" applyNumberFormat="1" applyFont="1" applyAlignment="1">
      <alignment horizontal="center" vertical="center"/>
    </xf>
    <xf numFmtId="184" fontId="34" fillId="16" borderId="12" xfId="9" applyNumberFormat="1" applyFont="1" applyFill="1" applyBorder="1" applyAlignment="1">
      <alignment vertical="center"/>
    </xf>
    <xf numFmtId="184" fontId="34" fillId="16" borderId="13" xfId="9" applyNumberFormat="1" applyFont="1" applyFill="1" applyBorder="1" applyAlignment="1">
      <alignment horizontal="center" vertical="center"/>
    </xf>
    <xf numFmtId="0" fontId="34" fillId="16" borderId="14" xfId="9" applyFont="1" applyFill="1" applyBorder="1" applyAlignment="1">
      <alignment horizontal="center" vertical="center"/>
    </xf>
    <xf numFmtId="0" fontId="34" fillId="16" borderId="0" xfId="9" applyFont="1" applyFill="1" applyAlignment="1">
      <alignment horizontal="center" vertical="center"/>
    </xf>
    <xf numFmtId="178" fontId="34" fillId="16" borderId="0" xfId="9" applyNumberFormat="1" applyFont="1" applyFill="1" applyAlignment="1">
      <alignment horizontal="center" vertical="center"/>
    </xf>
    <xf numFmtId="0" fontId="0" fillId="16" borderId="0" xfId="0" applyFill="1">
      <alignment vertical="center"/>
    </xf>
    <xf numFmtId="3" fontId="31" fillId="0" borderId="91" xfId="0" applyNumberFormat="1" applyFont="1" applyBorder="1" applyAlignment="1">
      <alignment vertical="center" wrapText="1"/>
    </xf>
    <xf numFmtId="3" fontId="31" fillId="0" borderId="92" xfId="0" applyNumberFormat="1" applyFont="1" applyBorder="1" applyAlignment="1">
      <alignment vertical="center" wrapText="1"/>
    </xf>
    <xf numFmtId="0" fontId="31" fillId="0" borderId="92" xfId="0" applyFont="1" applyBorder="1" applyAlignment="1">
      <alignment vertical="center" wrapText="1"/>
    </xf>
    <xf numFmtId="0" fontId="31" fillId="0" borderId="58" xfId="0" applyFont="1" applyBorder="1" applyAlignment="1">
      <alignment vertical="center" wrapText="1"/>
    </xf>
    <xf numFmtId="0" fontId="31" fillId="0" borderId="93" xfId="0" applyFont="1" applyBorder="1" applyAlignment="1">
      <alignment vertical="center" wrapText="1"/>
    </xf>
    <xf numFmtId="0" fontId="31" fillId="0" borderId="94" xfId="0" applyFont="1" applyBorder="1" applyAlignment="1">
      <alignment vertical="center" wrapText="1"/>
    </xf>
    <xf numFmtId="3" fontId="4" fillId="0" borderId="0" xfId="0" applyNumberFormat="1" applyFont="1" applyAlignment="1">
      <alignment horizontal="center" vertical="center"/>
    </xf>
    <xf numFmtId="0" fontId="4" fillId="0" borderId="78" xfId="0" applyFont="1" applyBorder="1" applyAlignment="1">
      <alignment horizontal="center" vertical="center"/>
    </xf>
    <xf numFmtId="0" fontId="4" fillId="0" borderId="81" xfId="0" applyFont="1" applyBorder="1" applyAlignment="1">
      <alignment horizontal="center" vertical="center"/>
    </xf>
    <xf numFmtId="0" fontId="4" fillId="0" borderId="75" xfId="0" applyFont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3" fillId="0" borderId="13" xfId="0" applyFont="1" applyFill="1" applyBorder="1" applyAlignment="1">
      <alignment horizontal="center" vertic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14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1" xfId="0" applyFont="1" applyFill="1" applyBorder="1" applyAlignment="1">
      <alignment horizontal="center" vertical="center"/>
    </xf>
    <xf numFmtId="0" fontId="21" fillId="0" borderId="24" xfId="0" applyFont="1" applyFill="1" applyBorder="1" applyAlignment="1">
      <alignment horizontal="center" vertical="center"/>
    </xf>
    <xf numFmtId="0" fontId="21" fillId="0" borderId="11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0" fillId="0" borderId="13" xfId="0" applyFont="1" applyBorder="1" applyAlignment="1">
      <alignment horizontal="center" vertical="center"/>
    </xf>
    <xf numFmtId="0" fontId="20" fillId="0" borderId="23" xfId="0" applyFont="1" applyBorder="1" applyAlignment="1">
      <alignment horizontal="center" vertical="center"/>
    </xf>
    <xf numFmtId="0" fontId="20" fillId="0" borderId="14" xfId="0" applyFont="1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10" borderId="13" xfId="0" applyFont="1" applyFill="1" applyBorder="1" applyAlignment="1">
      <alignment horizontal="center" vertical="center"/>
    </xf>
    <xf numFmtId="0" fontId="21" fillId="10" borderId="23" xfId="0" applyFont="1" applyFill="1" applyBorder="1" applyAlignment="1">
      <alignment horizontal="center" vertical="center"/>
    </xf>
    <xf numFmtId="0" fontId="21" fillId="10" borderId="14" xfId="0" applyFont="1" applyFill="1" applyBorder="1" applyAlignment="1">
      <alignment horizontal="center" vertical="center"/>
    </xf>
    <xf numFmtId="0" fontId="21" fillId="10" borderId="25" xfId="0" applyFont="1" applyFill="1" applyBorder="1" applyAlignment="1">
      <alignment horizontal="center" vertical="center" wrapText="1"/>
    </xf>
    <xf numFmtId="0" fontId="21" fillId="10" borderId="29" xfId="0" applyFont="1" applyFill="1" applyBorder="1" applyAlignment="1">
      <alignment horizontal="center" vertical="center" wrapText="1"/>
    </xf>
    <xf numFmtId="0" fontId="21" fillId="10" borderId="26" xfId="0" applyFont="1" applyFill="1" applyBorder="1" applyAlignment="1">
      <alignment horizontal="center" vertical="center" wrapText="1"/>
    </xf>
    <xf numFmtId="0" fontId="21" fillId="10" borderId="30" xfId="0" applyFont="1" applyFill="1" applyBorder="1" applyAlignment="1">
      <alignment horizontal="center" vertical="center" wrapText="1"/>
    </xf>
    <xf numFmtId="0" fontId="21" fillId="10" borderId="27" xfId="0" applyFont="1" applyFill="1" applyBorder="1" applyAlignment="1">
      <alignment horizontal="center" vertical="center" wrapText="1"/>
    </xf>
    <xf numFmtId="0" fontId="21" fillId="10" borderId="31" xfId="0" applyFont="1" applyFill="1" applyBorder="1" applyAlignment="1">
      <alignment horizontal="center" vertical="center" wrapText="1"/>
    </xf>
    <xf numFmtId="0" fontId="21" fillId="10" borderId="25" xfId="0" applyFont="1" applyFill="1" applyBorder="1" applyAlignment="1">
      <alignment horizontal="center" vertical="center"/>
    </xf>
    <xf numFmtId="0" fontId="21" fillId="10" borderId="29" xfId="0" applyFont="1" applyFill="1" applyBorder="1" applyAlignment="1">
      <alignment horizontal="center" vertical="center"/>
    </xf>
    <xf numFmtId="0" fontId="21" fillId="10" borderId="27" xfId="0" applyFont="1" applyFill="1" applyBorder="1" applyAlignment="1">
      <alignment horizontal="center" vertical="center"/>
    </xf>
    <xf numFmtId="0" fontId="21" fillId="10" borderId="31" xfId="0" applyFont="1" applyFill="1" applyBorder="1" applyAlignment="1">
      <alignment horizontal="center" vertical="center"/>
    </xf>
    <xf numFmtId="0" fontId="20" fillId="10" borderId="13" xfId="0" applyFont="1" applyFill="1" applyBorder="1" applyAlignment="1">
      <alignment horizontal="center" vertical="center"/>
    </xf>
    <xf numFmtId="0" fontId="20" fillId="10" borderId="23" xfId="0" applyFont="1" applyFill="1" applyBorder="1" applyAlignment="1">
      <alignment horizontal="center" vertical="center"/>
    </xf>
    <xf numFmtId="0" fontId="20" fillId="10" borderId="14" xfId="0" applyFont="1" applyFill="1" applyBorder="1" applyAlignment="1">
      <alignment horizontal="center" vertical="center"/>
    </xf>
    <xf numFmtId="0" fontId="21" fillId="15" borderId="1" xfId="0" applyFont="1" applyFill="1" applyBorder="1" applyAlignment="1">
      <alignment horizontal="center" vertical="center"/>
    </xf>
    <xf numFmtId="0" fontId="21" fillId="15" borderId="13" xfId="0" applyFont="1" applyFill="1" applyBorder="1" applyAlignment="1">
      <alignment horizontal="center" vertical="center"/>
    </xf>
    <xf numFmtId="0" fontId="21" fillId="15" borderId="23" xfId="0" applyFont="1" applyFill="1" applyBorder="1" applyAlignment="1">
      <alignment horizontal="center" vertical="center"/>
    </xf>
    <xf numFmtId="0" fontId="21" fillId="15" borderId="14" xfId="0" applyFont="1" applyFill="1" applyBorder="1" applyAlignment="1">
      <alignment horizontal="center" vertical="center"/>
    </xf>
    <xf numFmtId="0" fontId="21" fillId="10" borderId="1" xfId="0" applyFont="1" applyFill="1" applyBorder="1" applyAlignment="1">
      <alignment horizontal="center" vertical="center" wrapText="1"/>
    </xf>
    <xf numFmtId="0" fontId="21" fillId="10" borderId="1" xfId="0" applyFont="1" applyFill="1" applyBorder="1" applyAlignment="1">
      <alignment horizontal="center" vertical="center"/>
    </xf>
    <xf numFmtId="0" fontId="20" fillId="10" borderId="1" xfId="0" applyFont="1" applyFill="1" applyBorder="1" applyAlignment="1">
      <alignment horizontal="center" vertical="center"/>
    </xf>
    <xf numFmtId="0" fontId="20" fillId="15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0" fontId="21" fillId="0" borderId="24" xfId="0" applyFont="1" applyBorder="1" applyAlignment="1">
      <alignment horizontal="center" vertical="center"/>
    </xf>
    <xf numFmtId="0" fontId="0" fillId="0" borderId="29" xfId="0" applyBorder="1">
      <alignment vertical="center"/>
    </xf>
    <xf numFmtId="0" fontId="0" fillId="0" borderId="26" xfId="0" applyBorder="1">
      <alignment vertical="center"/>
    </xf>
    <xf numFmtId="0" fontId="0" fillId="0" borderId="30" xfId="0" applyBorder="1">
      <alignment vertical="center"/>
    </xf>
    <xf numFmtId="0" fontId="0" fillId="0" borderId="27" xfId="0" applyBorder="1">
      <alignment vertical="center"/>
    </xf>
    <xf numFmtId="0" fontId="0" fillId="0" borderId="31" xfId="0" applyBorder="1">
      <alignment vertical="center"/>
    </xf>
    <xf numFmtId="0" fontId="0" fillId="0" borderId="23" xfId="0" applyBorder="1">
      <alignment vertical="center"/>
    </xf>
    <xf numFmtId="0" fontId="0" fillId="0" borderId="14" xfId="0" applyBorder="1">
      <alignment vertical="center"/>
    </xf>
    <xf numFmtId="0" fontId="0" fillId="0" borderId="12" xfId="0" applyBorder="1">
      <alignment vertical="center"/>
    </xf>
    <xf numFmtId="0" fontId="0" fillId="0" borderId="24" xfId="0" applyBorder="1">
      <alignment vertical="center"/>
    </xf>
    <xf numFmtId="0" fontId="4" fillId="0" borderId="89" xfId="0" applyFont="1" applyBorder="1" applyAlignment="1">
      <alignment horizontal="center" vertical="center"/>
    </xf>
    <xf numFmtId="0" fontId="4" fillId="0" borderId="88" xfId="0" applyFont="1" applyBorder="1" applyAlignment="1">
      <alignment horizontal="center" vertical="center"/>
    </xf>
    <xf numFmtId="0" fontId="4" fillId="0" borderId="90" xfId="0" applyFont="1" applyBorder="1" applyAlignment="1">
      <alignment horizontal="center" vertical="center"/>
    </xf>
    <xf numFmtId="177" fontId="4" fillId="0" borderId="13" xfId="0" applyNumberFormat="1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74" xfId="0" applyFont="1" applyBorder="1" applyAlignment="1">
      <alignment horizontal="center" vertical="center" wrapText="1"/>
    </xf>
    <xf numFmtId="0" fontId="4" fillId="0" borderId="77" xfId="0" applyFont="1" applyBorder="1" applyAlignment="1">
      <alignment horizontal="center" vertical="center"/>
    </xf>
    <xf numFmtId="0" fontId="4" fillId="0" borderId="80" xfId="0" applyFont="1" applyBorder="1" applyAlignment="1">
      <alignment horizontal="center" vertical="center"/>
    </xf>
    <xf numFmtId="0" fontId="4" fillId="0" borderId="75" xfId="0" applyFont="1" applyBorder="1" applyAlignment="1">
      <alignment horizontal="center" vertical="center"/>
    </xf>
    <xf numFmtId="0" fontId="4" fillId="0" borderId="78" xfId="0" applyFont="1" applyBorder="1" applyAlignment="1">
      <alignment horizontal="center" vertical="center"/>
    </xf>
    <xf numFmtId="0" fontId="4" fillId="0" borderId="81" xfId="0" applyFont="1" applyBorder="1" applyAlignment="1">
      <alignment horizontal="center" vertical="center"/>
    </xf>
    <xf numFmtId="0" fontId="4" fillId="0" borderId="74" xfId="0" applyFont="1" applyBorder="1" applyAlignment="1">
      <alignment horizontal="center" vertical="center"/>
    </xf>
    <xf numFmtId="0" fontId="4" fillId="0" borderId="76" xfId="0" applyFont="1" applyBorder="1" applyAlignment="1">
      <alignment horizontal="center" vertical="center"/>
    </xf>
    <xf numFmtId="0" fontId="4" fillId="0" borderId="8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85" xfId="0" applyFont="1" applyBorder="1" applyAlignment="1">
      <alignment horizontal="center" vertical="center"/>
    </xf>
    <xf numFmtId="0" fontId="18" fillId="0" borderId="25" xfId="0" applyFont="1" applyBorder="1" applyAlignment="1">
      <alignment horizontal="center" vertical="center"/>
    </xf>
    <xf numFmtId="0" fontId="18" fillId="0" borderId="26" xfId="0" applyFont="1" applyBorder="1" applyAlignment="1">
      <alignment horizontal="center" vertical="center"/>
    </xf>
    <xf numFmtId="0" fontId="18" fillId="0" borderId="27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0" fontId="18" fillId="0" borderId="24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177" fontId="18" fillId="0" borderId="13" xfId="0" applyNumberFormat="1" applyFont="1" applyBorder="1" applyAlignment="1">
      <alignment horizontal="center" vertical="center"/>
    </xf>
    <xf numFmtId="177" fontId="18" fillId="0" borderId="23" xfId="0" applyNumberFormat="1" applyFont="1" applyBorder="1" applyAlignment="1">
      <alignment horizontal="center" vertical="center"/>
    </xf>
    <xf numFmtId="177" fontId="18" fillId="0" borderId="14" xfId="0" applyNumberFormat="1" applyFont="1" applyBorder="1" applyAlignment="1">
      <alignment horizontal="center" vertical="center"/>
    </xf>
    <xf numFmtId="177" fontId="18" fillId="0" borderId="13" xfId="2" applyNumberFormat="1" applyFont="1" applyBorder="1" applyAlignment="1">
      <alignment horizontal="center" vertical="center"/>
    </xf>
    <xf numFmtId="177" fontId="18" fillId="0" borderId="23" xfId="2" applyNumberFormat="1" applyFont="1" applyBorder="1" applyAlignment="1">
      <alignment horizontal="center" vertical="center"/>
    </xf>
    <xf numFmtId="177" fontId="18" fillId="0" borderId="14" xfId="2" applyNumberFormat="1" applyFont="1" applyBorder="1" applyAlignment="1">
      <alignment horizontal="center" vertical="center"/>
    </xf>
    <xf numFmtId="0" fontId="21" fillId="0" borderId="25" xfId="0" applyFont="1" applyBorder="1" applyAlignment="1">
      <alignment horizontal="center" vertical="center"/>
    </xf>
    <xf numFmtId="0" fontId="21" fillId="0" borderId="29" xfId="0" applyFont="1" applyBorder="1" applyAlignment="1">
      <alignment horizontal="center" vertical="center"/>
    </xf>
    <xf numFmtId="0" fontId="21" fillId="0" borderId="27" xfId="0" applyFont="1" applyBorder="1" applyAlignment="1">
      <alignment horizontal="center" vertical="center"/>
    </xf>
    <xf numFmtId="0" fontId="21" fillId="0" borderId="31" xfId="0" applyFont="1" applyBorder="1" applyAlignment="1">
      <alignment horizontal="center" vertical="center"/>
    </xf>
    <xf numFmtId="0" fontId="21" fillId="0" borderId="26" xfId="0" applyFont="1" applyBorder="1" applyAlignment="1">
      <alignment horizontal="center" vertical="center"/>
    </xf>
    <xf numFmtId="0" fontId="21" fillId="0" borderId="30" xfId="0" applyFont="1" applyBorder="1" applyAlignment="1">
      <alignment horizontal="center" vertical="center"/>
    </xf>
    <xf numFmtId="41" fontId="21" fillId="0" borderId="1" xfId="2" applyFont="1" applyFill="1" applyBorder="1" applyAlignment="1">
      <alignment horizontal="center" vertical="center"/>
    </xf>
    <xf numFmtId="0" fontId="34" fillId="0" borderId="1" xfId="9" applyFont="1" applyBorder="1" applyAlignment="1">
      <alignment horizontal="center" vertical="center"/>
    </xf>
    <xf numFmtId="184" fontId="34" fillId="15" borderId="1" xfId="9" applyNumberFormat="1" applyFont="1" applyFill="1" applyBorder="1" applyAlignment="1">
      <alignment horizontal="center" vertical="center"/>
    </xf>
    <xf numFmtId="184" fontId="40" fillId="16" borderId="1" xfId="9" applyNumberFormat="1" applyFont="1" applyFill="1" applyBorder="1" applyAlignment="1">
      <alignment horizontal="center" vertical="center"/>
    </xf>
    <xf numFmtId="0" fontId="34" fillId="0" borderId="1" xfId="9" applyFont="1" applyBorder="1" applyAlignment="1">
      <alignment horizontal="center" vertical="center" wrapText="1"/>
    </xf>
    <xf numFmtId="0" fontId="40" fillId="0" borderId="1" xfId="9" applyFont="1" applyBorder="1" applyAlignment="1">
      <alignment horizontal="center" vertical="center"/>
    </xf>
    <xf numFmtId="184" fontId="34" fillId="0" borderId="11" xfId="9" applyNumberFormat="1" applyFont="1" applyBorder="1" applyAlignment="1">
      <alignment horizontal="center" vertical="center"/>
    </xf>
    <xf numFmtId="184" fontId="34" fillId="0" borderId="12" xfId="9" applyNumberFormat="1" applyFont="1" applyBorder="1" applyAlignment="1">
      <alignment horizontal="center" vertical="center"/>
    </xf>
    <xf numFmtId="184" fontId="34" fillId="0" borderId="1" xfId="9" applyNumberFormat="1" applyFont="1" applyBorder="1" applyAlignment="1">
      <alignment horizontal="center" vertical="center"/>
    </xf>
    <xf numFmtId="184" fontId="34" fillId="15" borderId="13" xfId="9" applyNumberFormat="1" applyFont="1" applyFill="1" applyBorder="1" applyAlignment="1">
      <alignment horizontal="center" vertical="center"/>
    </xf>
    <xf numFmtId="184" fontId="34" fillId="15" borderId="23" xfId="9" applyNumberFormat="1" applyFont="1" applyFill="1" applyBorder="1" applyAlignment="1">
      <alignment horizontal="center" vertical="center"/>
    </xf>
    <xf numFmtId="184" fontId="34" fillId="15" borderId="14" xfId="9" applyNumberFormat="1" applyFont="1" applyFill="1" applyBorder="1" applyAlignment="1">
      <alignment horizontal="center" vertical="center"/>
    </xf>
    <xf numFmtId="184" fontId="40" fillId="16" borderId="13" xfId="9" applyNumberFormat="1" applyFont="1" applyFill="1" applyBorder="1" applyAlignment="1">
      <alignment horizontal="center" vertical="center"/>
    </xf>
    <xf numFmtId="184" fontId="40" fillId="16" borderId="23" xfId="9" applyNumberFormat="1" applyFont="1" applyFill="1" applyBorder="1" applyAlignment="1">
      <alignment horizontal="center" vertical="center"/>
    </xf>
    <xf numFmtId="184" fontId="40" fillId="16" borderId="14" xfId="9" applyNumberFormat="1" applyFont="1" applyFill="1" applyBorder="1" applyAlignment="1">
      <alignment horizontal="center" vertical="center"/>
    </xf>
    <xf numFmtId="0" fontId="34" fillId="0" borderId="25" xfId="9" applyFont="1" applyBorder="1" applyAlignment="1">
      <alignment horizontal="center" vertical="center"/>
    </xf>
    <xf numFmtId="0" fontId="34" fillId="0" borderId="47" xfId="9" applyFont="1" applyBorder="1" applyAlignment="1">
      <alignment horizontal="center" vertical="center"/>
    </xf>
    <xf numFmtId="0" fontId="34" fillId="0" borderId="29" xfId="9" applyFont="1" applyBorder="1" applyAlignment="1">
      <alignment horizontal="center" vertical="center"/>
    </xf>
    <xf numFmtId="0" fontId="34" fillId="0" borderId="27" xfId="9" applyFont="1" applyBorder="1" applyAlignment="1">
      <alignment horizontal="center" vertical="center"/>
    </xf>
    <xf numFmtId="0" fontId="34" fillId="0" borderId="48" xfId="9" applyFont="1" applyBorder="1" applyAlignment="1">
      <alignment horizontal="center" vertical="center"/>
    </xf>
    <xf numFmtId="0" fontId="34" fillId="0" borderId="31" xfId="9" applyFont="1" applyBorder="1" applyAlignment="1">
      <alignment horizontal="center" vertical="center"/>
    </xf>
    <xf numFmtId="184" fontId="34" fillId="12" borderId="13" xfId="9" applyNumberFormat="1" applyFont="1" applyFill="1" applyBorder="1" applyAlignment="1">
      <alignment horizontal="center" vertical="center"/>
    </xf>
    <xf numFmtId="184" fontId="34" fillId="12" borderId="23" xfId="9" applyNumberFormat="1" applyFont="1" applyFill="1" applyBorder="1" applyAlignment="1">
      <alignment horizontal="center" vertical="center"/>
    </xf>
    <xf numFmtId="184" fontId="34" fillId="12" borderId="14" xfId="9" applyNumberFormat="1" applyFont="1" applyFill="1" applyBorder="1" applyAlignment="1">
      <alignment horizontal="center" vertical="center"/>
    </xf>
    <xf numFmtId="184" fontId="34" fillId="15" borderId="25" xfId="9" applyNumberFormat="1" applyFont="1" applyFill="1" applyBorder="1" applyAlignment="1">
      <alignment horizontal="center" vertical="center"/>
    </xf>
    <xf numFmtId="184" fontId="34" fillId="15" borderId="47" xfId="9" applyNumberFormat="1" applyFont="1" applyFill="1" applyBorder="1" applyAlignment="1">
      <alignment horizontal="center" vertical="center"/>
    </xf>
    <xf numFmtId="184" fontId="34" fillId="15" borderId="29" xfId="9" applyNumberFormat="1" applyFont="1" applyFill="1" applyBorder="1" applyAlignment="1">
      <alignment horizontal="center" vertical="center"/>
    </xf>
    <xf numFmtId="184" fontId="34" fillId="12" borderId="1" xfId="9" applyNumberFormat="1" applyFont="1" applyFill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0" fontId="18" fillId="0" borderId="23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18" fillId="0" borderId="29" xfId="0" applyFont="1" applyBorder="1" applyAlignment="1">
      <alignment horizontal="center" vertical="center"/>
    </xf>
    <xf numFmtId="0" fontId="18" fillId="0" borderId="30" xfId="0" applyFont="1" applyBorder="1" applyAlignment="1">
      <alignment horizontal="center" vertical="center"/>
    </xf>
    <xf numFmtId="0" fontId="18" fillId="0" borderId="31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 wrapText="1"/>
    </xf>
    <xf numFmtId="0" fontId="18" fillId="0" borderId="12" xfId="0" applyFont="1" applyBorder="1" applyAlignment="1">
      <alignment horizontal="center" vertical="center" wrapText="1"/>
    </xf>
    <xf numFmtId="0" fontId="18" fillId="0" borderId="24" xfId="0" applyFont="1" applyBorder="1" applyAlignment="1">
      <alignment horizontal="center" vertical="center" wrapText="1"/>
    </xf>
    <xf numFmtId="0" fontId="18" fillId="0" borderId="47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8" fillId="0" borderId="48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8" fillId="0" borderId="1" xfId="8" applyFont="1" applyFill="1" applyBorder="1" applyAlignment="1">
      <alignment horizontal="center" vertical="center"/>
    </xf>
    <xf numFmtId="0" fontId="18" fillId="0" borderId="1" xfId="5" applyFont="1" applyFill="1" applyBorder="1" applyAlignment="1">
      <alignment horizontal="center" vertical="center"/>
    </xf>
    <xf numFmtId="0" fontId="21" fillId="0" borderId="0" xfId="8" applyFont="1" applyFill="1" applyAlignment="1">
      <alignment horizontal="center" vertical="center"/>
    </xf>
    <xf numFmtId="0" fontId="18" fillId="0" borderId="1" xfId="8" applyFont="1" applyFill="1" applyBorder="1" applyAlignment="1">
      <alignment horizontal="center" vertical="center" wrapText="1"/>
    </xf>
    <xf numFmtId="41" fontId="16" fillId="0" borderId="0" xfId="2" applyFont="1" applyAlignment="1">
      <alignment horizontal="center" vertical="center"/>
    </xf>
    <xf numFmtId="177" fontId="21" fillId="0" borderId="1" xfId="0" applyNumberFormat="1" applyFont="1" applyBorder="1" applyAlignment="1">
      <alignment horizontal="center" vertical="center"/>
    </xf>
    <xf numFmtId="182" fontId="21" fillId="0" borderId="1" xfId="0" applyNumberFormat="1" applyFont="1" applyBorder="1" applyAlignment="1">
      <alignment horizontal="center" vertical="center"/>
    </xf>
    <xf numFmtId="177" fontId="21" fillId="0" borderId="13" xfId="0" applyNumberFormat="1" applyFont="1" applyBorder="1" applyAlignment="1">
      <alignment horizontal="center" vertical="center"/>
    </xf>
    <xf numFmtId="177" fontId="21" fillId="0" borderId="23" xfId="0" applyNumberFormat="1" applyFont="1" applyBorder="1" applyAlignment="1">
      <alignment horizontal="center" vertical="center"/>
    </xf>
    <xf numFmtId="177" fontId="21" fillId="0" borderId="14" xfId="0" applyNumberFormat="1" applyFont="1" applyBorder="1" applyAlignment="1">
      <alignment horizontal="center" vertical="center"/>
    </xf>
    <xf numFmtId="0" fontId="21" fillId="0" borderId="11" xfId="6" applyFont="1" applyBorder="1" applyAlignment="1">
      <alignment horizontal="center" vertical="center" wrapText="1"/>
    </xf>
    <xf numFmtId="0" fontId="21" fillId="0" borderId="24" xfId="6" applyFont="1" applyBorder="1" applyAlignment="1">
      <alignment horizontal="center" vertical="center"/>
    </xf>
    <xf numFmtId="0" fontId="21" fillId="0" borderId="13" xfId="8" applyFont="1" applyFill="1" applyBorder="1" applyAlignment="1">
      <alignment horizontal="center" vertical="center"/>
    </xf>
    <xf numFmtId="0" fontId="21" fillId="0" borderId="23" xfId="8" applyFont="1" applyFill="1" applyBorder="1" applyAlignment="1">
      <alignment horizontal="center" vertical="center"/>
    </xf>
    <xf numFmtId="0" fontId="21" fillId="0" borderId="14" xfId="8" applyFont="1" applyFill="1" applyBorder="1" applyAlignment="1">
      <alignment horizontal="center" vertical="center"/>
    </xf>
    <xf numFmtId="0" fontId="21" fillId="0" borderId="13" xfId="6" applyFont="1" applyBorder="1" applyAlignment="1">
      <alignment horizontal="center" vertical="center"/>
    </xf>
    <xf numFmtId="0" fontId="21" fillId="0" borderId="14" xfId="6" applyFont="1" applyBorder="1" applyAlignment="1">
      <alignment horizontal="center" vertical="center"/>
    </xf>
    <xf numFmtId="0" fontId="21" fillId="0" borderId="24" xfId="6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24" xfId="0" applyFont="1" applyBorder="1" applyAlignment="1">
      <alignment horizontal="center" vertical="center"/>
    </xf>
    <xf numFmtId="0" fontId="34" fillId="0" borderId="11" xfId="0" applyFont="1" applyBorder="1" applyAlignment="1">
      <alignment horizontal="center" vertical="center" wrapText="1"/>
    </xf>
    <xf numFmtId="0" fontId="34" fillId="0" borderId="25" xfId="0" applyFont="1" applyBorder="1" applyAlignment="1">
      <alignment horizontal="center" vertical="center"/>
    </xf>
    <xf numFmtId="0" fontId="34" fillId="0" borderId="29" xfId="0" applyFont="1" applyBorder="1" applyAlignment="1">
      <alignment horizontal="center" vertical="center"/>
    </xf>
    <xf numFmtId="0" fontId="34" fillId="0" borderId="27" xfId="0" applyFont="1" applyBorder="1" applyAlignment="1">
      <alignment horizontal="center" vertical="center"/>
    </xf>
    <xf numFmtId="0" fontId="34" fillId="0" borderId="31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0" fontId="34" fillId="0" borderId="23" xfId="0" applyFont="1" applyBorder="1" applyAlignment="1">
      <alignment horizontal="center" vertical="center"/>
    </xf>
    <xf numFmtId="0" fontId="34" fillId="0" borderId="14" xfId="0" applyFont="1" applyBorder="1" applyAlignment="1">
      <alignment horizontal="center" vertical="center"/>
    </xf>
    <xf numFmtId="0" fontId="34" fillId="12" borderId="13" xfId="0" applyFont="1" applyFill="1" applyBorder="1" applyAlignment="1">
      <alignment horizontal="center" vertical="center"/>
    </xf>
    <xf numFmtId="0" fontId="34" fillId="12" borderId="14" xfId="0" applyFont="1" applyFill="1" applyBorder="1" applyAlignment="1">
      <alignment horizontal="center" vertical="center"/>
    </xf>
    <xf numFmtId="0" fontId="20" fillId="0" borderId="11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/>
    </xf>
    <xf numFmtId="0" fontId="20" fillId="0" borderId="24" xfId="0" applyFont="1" applyBorder="1" applyAlignment="1">
      <alignment horizontal="center" vertical="center"/>
    </xf>
    <xf numFmtId="0" fontId="20" fillId="0" borderId="11" xfId="0" applyFont="1" applyBorder="1" applyAlignment="1">
      <alignment horizontal="center" vertical="center"/>
    </xf>
    <xf numFmtId="0" fontId="21" fillId="0" borderId="1" xfId="0" applyFont="1" applyBorder="1" applyAlignment="1">
      <alignment horizontal="left" vertical="center" wrapText="1"/>
    </xf>
    <xf numFmtId="0" fontId="21" fillId="0" borderId="0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32" fillId="6" borderId="13" xfId="0" applyFont="1" applyFill="1" applyBorder="1" applyAlignment="1">
      <alignment horizontal="center" vertical="center" wrapText="1"/>
    </xf>
    <xf numFmtId="0" fontId="32" fillId="6" borderId="14" xfId="0" applyFont="1" applyFill="1" applyBorder="1" applyAlignment="1">
      <alignment horizontal="center" vertical="center" wrapText="1"/>
    </xf>
    <xf numFmtId="0" fontId="31" fillId="0" borderId="11" xfId="0" applyFont="1" applyBorder="1" applyAlignment="1">
      <alignment horizontal="left" vertical="center" wrapText="1"/>
    </xf>
    <xf numFmtId="0" fontId="31" fillId="0" borderId="12" xfId="0" applyFont="1" applyBorder="1" applyAlignment="1">
      <alignment horizontal="left" vertical="center" wrapText="1"/>
    </xf>
    <xf numFmtId="0" fontId="31" fillId="0" borderId="24" xfId="0" applyFont="1" applyBorder="1" applyAlignment="1">
      <alignment horizontal="left" vertical="center" wrapText="1"/>
    </xf>
    <xf numFmtId="0" fontId="31" fillId="0" borderId="11" xfId="0" applyFont="1" applyBorder="1" applyAlignment="1">
      <alignment horizontal="center" vertical="center" wrapText="1"/>
    </xf>
    <xf numFmtId="0" fontId="31" fillId="0" borderId="12" xfId="0" applyFont="1" applyBorder="1" applyAlignment="1">
      <alignment horizontal="center" vertical="center" wrapText="1"/>
    </xf>
    <xf numFmtId="0" fontId="31" fillId="0" borderId="24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4" fillId="0" borderId="24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center" vertical="center" wrapText="1"/>
    </xf>
    <xf numFmtId="0" fontId="4" fillId="0" borderId="28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/>
    </xf>
    <xf numFmtId="0" fontId="4" fillId="0" borderId="25" xfId="0" applyFont="1" applyFill="1" applyBorder="1" applyAlignment="1">
      <alignment horizontal="center" vertical="center"/>
    </xf>
    <xf numFmtId="0" fontId="4" fillId="0" borderId="29" xfId="0" applyFont="1" applyFill="1" applyBorder="1" applyAlignment="1">
      <alignment horizontal="center" vertical="center"/>
    </xf>
    <xf numFmtId="0" fontId="4" fillId="0" borderId="26" xfId="0" applyFont="1" applyFill="1" applyBorder="1" applyAlignment="1">
      <alignment horizontal="center" vertical="center"/>
    </xf>
    <xf numFmtId="0" fontId="4" fillId="0" borderId="30" xfId="0" applyFont="1" applyFill="1" applyBorder="1" applyAlignment="1">
      <alignment horizontal="center" vertical="center"/>
    </xf>
    <xf numFmtId="0" fontId="4" fillId="0" borderId="27" xfId="0" applyFont="1" applyFill="1" applyBorder="1" applyAlignment="1">
      <alignment horizontal="center" vertical="center"/>
    </xf>
    <xf numFmtId="0" fontId="4" fillId="0" borderId="31" xfId="0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/>
    </xf>
    <xf numFmtId="0" fontId="4" fillId="0" borderId="23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center" vertical="center"/>
    </xf>
    <xf numFmtId="0" fontId="4" fillId="0" borderId="32" xfId="0" applyFont="1" applyFill="1" applyBorder="1" applyAlignment="1">
      <alignment horizontal="center" vertical="center"/>
    </xf>
    <xf numFmtId="0" fontId="4" fillId="0" borderId="33" xfId="0" applyFont="1" applyFill="1" applyBorder="1" applyAlignment="1">
      <alignment horizontal="center" vertical="center"/>
    </xf>
    <xf numFmtId="0" fontId="4" fillId="0" borderId="34" xfId="0" applyFont="1" applyFill="1" applyBorder="1" applyAlignment="1">
      <alignment horizontal="center" vertical="center"/>
    </xf>
    <xf numFmtId="0" fontId="4" fillId="0" borderId="35" xfId="0" applyFont="1" applyFill="1" applyBorder="1" applyAlignment="1">
      <alignment horizontal="center" vertical="center"/>
    </xf>
    <xf numFmtId="0" fontId="4" fillId="0" borderId="36" xfId="0" applyFont="1" applyFill="1" applyBorder="1" applyAlignment="1">
      <alignment horizontal="center" vertical="center"/>
    </xf>
    <xf numFmtId="0" fontId="4" fillId="0" borderId="37" xfId="0" applyFont="1" applyFill="1" applyBorder="1" applyAlignment="1">
      <alignment horizontal="center" vertical="center"/>
    </xf>
    <xf numFmtId="0" fontId="4" fillId="0" borderId="38" xfId="0" applyFont="1" applyFill="1" applyBorder="1" applyAlignment="1">
      <alignment horizontal="center" vertical="center"/>
    </xf>
    <xf numFmtId="0" fontId="4" fillId="0" borderId="39" xfId="0" applyFont="1" applyFill="1" applyBorder="1" applyAlignment="1">
      <alignment horizontal="center" vertical="center"/>
    </xf>
    <xf numFmtId="0" fontId="4" fillId="0" borderId="17" xfId="0" applyFont="1" applyFill="1" applyBorder="1" applyAlignment="1">
      <alignment horizontal="center" vertical="center"/>
    </xf>
    <xf numFmtId="0" fontId="4" fillId="0" borderId="40" xfId="0" applyFont="1" applyFill="1" applyBorder="1" applyAlignment="1">
      <alignment horizontal="center" vertical="center" wrapText="1"/>
    </xf>
    <xf numFmtId="0" fontId="4" fillId="0" borderId="41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 wrapText="1"/>
    </xf>
    <xf numFmtId="0" fontId="4" fillId="0" borderId="42" xfId="0" applyFont="1" applyFill="1" applyBorder="1" applyAlignment="1">
      <alignment horizontal="center" vertical="center" wrapText="1"/>
    </xf>
    <xf numFmtId="0" fontId="4" fillId="0" borderId="43" xfId="0" applyFont="1" applyFill="1" applyBorder="1" applyAlignment="1">
      <alignment horizontal="center" vertical="center" wrapText="1"/>
    </xf>
    <xf numFmtId="0" fontId="8" fillId="0" borderId="40" xfId="0" applyFont="1" applyFill="1" applyBorder="1" applyAlignment="1">
      <alignment horizontal="center" vertical="center" wrapText="1"/>
    </xf>
    <xf numFmtId="0" fontId="8" fillId="0" borderId="41" xfId="0" applyFont="1" applyFill="1" applyBorder="1" applyAlignment="1">
      <alignment horizontal="center" vertical="center" wrapText="1"/>
    </xf>
    <xf numFmtId="0" fontId="8" fillId="0" borderId="44" xfId="0" applyFont="1" applyFill="1" applyBorder="1" applyAlignment="1">
      <alignment horizontal="center" vertical="center" wrapText="1"/>
    </xf>
    <xf numFmtId="0" fontId="8" fillId="0" borderId="45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46" xfId="0" applyFont="1" applyFill="1" applyBorder="1" applyAlignment="1">
      <alignment horizontal="center" vertical="center" wrapText="1"/>
    </xf>
    <xf numFmtId="10" fontId="4" fillId="0" borderId="3" xfId="0" applyNumberFormat="1" applyFont="1" applyFill="1" applyBorder="1" applyAlignment="1">
      <alignment horizontal="center" vertical="center" wrapText="1"/>
    </xf>
    <xf numFmtId="10" fontId="4" fillId="0" borderId="28" xfId="0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9" fontId="4" fillId="0" borderId="3" xfId="0" applyNumberFormat="1" applyFont="1" applyFill="1" applyBorder="1" applyAlignment="1">
      <alignment horizontal="center" vertical="center" wrapText="1"/>
    </xf>
    <xf numFmtId="9" fontId="4" fillId="0" borderId="28" xfId="0" applyNumberFormat="1" applyFont="1" applyFill="1" applyBorder="1" applyAlignment="1">
      <alignment horizontal="center" vertical="center" wrapText="1"/>
    </xf>
    <xf numFmtId="0" fontId="25" fillId="6" borderId="50" xfId="0" applyFont="1" applyFill="1" applyBorder="1" applyAlignment="1">
      <alignment horizontal="center" vertical="center" wrapText="1"/>
    </xf>
    <xf numFmtId="0" fontId="25" fillId="6" borderId="51" xfId="0" applyFont="1" applyFill="1" applyBorder="1" applyAlignment="1">
      <alignment horizontal="center" vertical="center" wrapText="1"/>
    </xf>
    <xf numFmtId="0" fontId="25" fillId="6" borderId="62" xfId="0" applyFont="1" applyFill="1" applyBorder="1" applyAlignment="1">
      <alignment horizontal="center" vertical="center" wrapText="1"/>
    </xf>
    <xf numFmtId="0" fontId="25" fillId="6" borderId="63" xfId="0" applyFont="1" applyFill="1" applyBorder="1" applyAlignment="1">
      <alignment horizontal="center" vertical="center" wrapText="1"/>
    </xf>
    <xf numFmtId="0" fontId="25" fillId="6" borderId="64" xfId="0" applyFont="1" applyFill="1" applyBorder="1" applyAlignment="1">
      <alignment horizontal="center" vertical="center" wrapText="1"/>
    </xf>
    <xf numFmtId="0" fontId="25" fillId="6" borderId="65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11" fillId="7" borderId="58" xfId="0" applyFont="1" applyFill="1" applyBorder="1" applyAlignment="1">
      <alignment horizontal="center" vertical="center"/>
    </xf>
    <xf numFmtId="0" fontId="14" fillId="7" borderId="58" xfId="0" applyFont="1" applyFill="1" applyBorder="1" applyAlignment="1">
      <alignment horizontal="center" vertical="center"/>
    </xf>
    <xf numFmtId="0" fontId="14" fillId="7" borderId="58" xfId="0" applyFont="1" applyFill="1" applyBorder="1" applyAlignment="1">
      <alignment horizontal="center" vertical="center" wrapText="1"/>
    </xf>
    <xf numFmtId="0" fontId="14" fillId="7" borderId="66" xfId="0" applyFont="1" applyFill="1" applyBorder="1" applyAlignment="1">
      <alignment horizontal="center" vertical="center" wrapText="1"/>
    </xf>
    <xf numFmtId="0" fontId="14" fillId="7" borderId="67" xfId="0" applyFont="1" applyFill="1" applyBorder="1" applyAlignment="1">
      <alignment horizontal="center" vertical="center"/>
    </xf>
    <xf numFmtId="0" fontId="14" fillId="7" borderId="68" xfId="0" applyFont="1" applyFill="1" applyBorder="1" applyAlignment="1">
      <alignment horizontal="center" vertical="center"/>
    </xf>
    <xf numFmtId="0" fontId="14" fillId="7" borderId="67" xfId="0" applyFont="1" applyFill="1" applyBorder="1" applyAlignment="1">
      <alignment horizontal="center" vertical="center" wrapText="1"/>
    </xf>
    <xf numFmtId="0" fontId="14" fillId="7" borderId="68" xfId="0" applyFont="1" applyFill="1" applyBorder="1" applyAlignment="1">
      <alignment horizontal="center" vertical="center" wrapText="1"/>
    </xf>
    <xf numFmtId="0" fontId="14" fillId="0" borderId="61" xfId="0" applyFont="1" applyBorder="1" applyAlignment="1">
      <alignment horizontal="center" vertical="center"/>
    </xf>
    <xf numFmtId="0" fontId="14" fillId="0" borderId="69" xfId="0" applyFont="1" applyBorder="1" applyAlignment="1">
      <alignment horizontal="center" vertical="center"/>
    </xf>
    <xf numFmtId="0" fontId="14" fillId="7" borderId="1" xfId="0" applyFont="1" applyFill="1" applyBorder="1" applyAlignment="1">
      <alignment horizontal="center" vertical="center" wrapText="1"/>
    </xf>
    <xf numFmtId="0" fontId="14" fillId="7" borderId="1" xfId="0" applyFont="1" applyFill="1" applyBorder="1" applyAlignment="1">
      <alignment horizontal="center" vertical="center"/>
    </xf>
    <xf numFmtId="0" fontId="14" fillId="7" borderId="13" xfId="0" applyFont="1" applyFill="1" applyBorder="1" applyAlignment="1">
      <alignment horizontal="center" vertical="center"/>
    </xf>
    <xf numFmtId="0" fontId="14" fillId="7" borderId="23" xfId="0" applyFont="1" applyFill="1" applyBorder="1" applyAlignment="1">
      <alignment horizontal="center" vertical="center"/>
    </xf>
    <xf numFmtId="0" fontId="14" fillId="7" borderId="14" xfId="0" applyFont="1" applyFill="1" applyBorder="1" applyAlignment="1">
      <alignment horizontal="center" vertical="center"/>
    </xf>
    <xf numFmtId="0" fontId="14" fillId="7" borderId="29" xfId="0" applyFont="1" applyFill="1" applyBorder="1" applyAlignment="1">
      <alignment horizontal="center" vertical="center" wrapText="1"/>
    </xf>
    <xf numFmtId="0" fontId="14" fillId="7" borderId="30" xfId="0" applyFont="1" applyFill="1" applyBorder="1" applyAlignment="1">
      <alignment horizontal="center" vertical="center" wrapText="1"/>
    </xf>
    <xf numFmtId="0" fontId="14" fillId="7" borderId="66" xfId="0" applyFont="1" applyFill="1" applyBorder="1" applyAlignment="1">
      <alignment horizontal="center" vertical="center"/>
    </xf>
    <xf numFmtId="0" fontId="14" fillId="0" borderId="58" xfId="0" applyFont="1" applyBorder="1" applyAlignment="1">
      <alignment horizontal="center" vertical="center" wrapText="1"/>
    </xf>
    <xf numFmtId="0" fontId="26" fillId="6" borderId="58" xfId="0" applyFont="1" applyFill="1" applyBorder="1" applyAlignment="1">
      <alignment horizontal="center" vertical="center" wrapText="1"/>
    </xf>
    <xf numFmtId="177" fontId="4" fillId="0" borderId="1" xfId="2" applyNumberFormat="1" applyFont="1" applyFill="1" applyBorder="1" applyAlignment="1">
      <alignment horizontal="center" vertical="center"/>
    </xf>
    <xf numFmtId="177" fontId="12" fillId="0" borderId="1" xfId="2" applyNumberFormat="1" applyFont="1" applyBorder="1" applyAlignment="1">
      <alignment horizontal="center" vertical="center" wrapText="1"/>
    </xf>
    <xf numFmtId="0" fontId="4" fillId="0" borderId="47" xfId="0" applyFont="1" applyFill="1" applyBorder="1" applyAlignment="1">
      <alignment horizontal="center" vertical="center"/>
    </xf>
    <xf numFmtId="0" fontId="4" fillId="0" borderId="48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 wrapText="1"/>
    </xf>
    <xf numFmtId="0" fontId="8" fillId="0" borderId="25" xfId="0" applyFont="1" applyFill="1" applyBorder="1" applyAlignment="1">
      <alignment horizontal="center" vertical="center" wrapText="1"/>
    </xf>
    <xf numFmtId="0" fontId="8" fillId="0" borderId="47" xfId="0" applyFont="1" applyFill="1" applyBorder="1" applyAlignment="1">
      <alignment horizontal="center" vertical="center" wrapText="1"/>
    </xf>
    <xf numFmtId="0" fontId="8" fillId="0" borderId="29" xfId="0" applyFont="1" applyFill="1" applyBorder="1" applyAlignment="1">
      <alignment horizontal="center" vertical="center" wrapText="1"/>
    </xf>
    <xf numFmtId="0" fontId="8" fillId="0" borderId="27" xfId="0" applyFont="1" applyFill="1" applyBorder="1" applyAlignment="1">
      <alignment horizontal="center" vertical="center" wrapText="1"/>
    </xf>
    <xf numFmtId="0" fontId="8" fillId="0" borderId="48" xfId="0" applyFont="1" applyFill="1" applyBorder="1" applyAlignment="1">
      <alignment horizontal="center" vertical="center" wrapText="1"/>
    </xf>
    <xf numFmtId="0" fontId="8" fillId="0" borderId="31" xfId="0" applyFont="1" applyFill="1" applyBorder="1" applyAlignment="1">
      <alignment horizontal="center" vertical="center" wrapText="1"/>
    </xf>
    <xf numFmtId="0" fontId="8" fillId="3" borderId="25" xfId="0" applyFont="1" applyFill="1" applyBorder="1" applyAlignment="1">
      <alignment horizontal="center" vertical="center" wrapText="1"/>
    </xf>
    <xf numFmtId="0" fontId="8" fillId="3" borderId="47" xfId="0" applyFont="1" applyFill="1" applyBorder="1" applyAlignment="1">
      <alignment horizontal="center" vertical="center" wrapText="1"/>
    </xf>
    <xf numFmtId="0" fontId="8" fillId="3" borderId="29" xfId="0" applyFont="1" applyFill="1" applyBorder="1" applyAlignment="1">
      <alignment horizontal="center" vertical="center" wrapText="1"/>
    </xf>
    <xf numFmtId="0" fontId="8" fillId="3" borderId="27" xfId="0" applyFont="1" applyFill="1" applyBorder="1" applyAlignment="1">
      <alignment horizontal="center" vertical="center" wrapText="1"/>
    </xf>
    <xf numFmtId="0" fontId="8" fillId="3" borderId="48" xfId="0" applyFont="1" applyFill="1" applyBorder="1" applyAlignment="1">
      <alignment horizontal="center" vertical="center" wrapText="1"/>
    </xf>
    <xf numFmtId="0" fontId="8" fillId="3" borderId="31" xfId="0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 wrapText="1"/>
    </xf>
    <xf numFmtId="0" fontId="8" fillId="0" borderId="23" xfId="0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/>
    </xf>
    <xf numFmtId="0" fontId="4" fillId="5" borderId="13" xfId="0" applyFont="1" applyFill="1" applyBorder="1" applyAlignment="1">
      <alignment horizontal="center" vertical="center"/>
    </xf>
    <xf numFmtId="0" fontId="4" fillId="5" borderId="14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8" fillId="5" borderId="2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49" xfId="0" applyFont="1" applyBorder="1" applyAlignment="1">
      <alignment horizontal="center" vertical="center" wrapText="1"/>
    </xf>
    <xf numFmtId="0" fontId="4" fillId="0" borderId="46" xfId="0" applyFont="1" applyBorder="1" applyAlignment="1">
      <alignment horizontal="center" vertical="center" wrapText="1"/>
    </xf>
    <xf numFmtId="9" fontId="4" fillId="0" borderId="2" xfId="0" applyNumberFormat="1" applyFont="1" applyFill="1" applyBorder="1" applyAlignment="1">
      <alignment horizontal="center" vertical="center" wrapText="1"/>
    </xf>
    <xf numFmtId="10" fontId="4" fillId="0" borderId="2" xfId="0" applyNumberFormat="1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24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4" fillId="13" borderId="1" xfId="0" applyFont="1" applyFill="1" applyBorder="1" applyAlignment="1">
      <alignment horizontal="center" vertical="center"/>
    </xf>
    <xf numFmtId="0" fontId="14" fillId="16" borderId="1" xfId="0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13" borderId="11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</cellXfs>
  <cellStyles count="11">
    <cellStyle name="백분율" xfId="1" builtinId="5"/>
    <cellStyle name="쉼표 [0]" xfId="2" builtinId="6"/>
    <cellStyle name="쉼표 [0] 2" xfId="3"/>
    <cellStyle name="쉼표 [0] 3" xfId="4"/>
    <cellStyle name="쉼표 [0] 3 2" xfId="10"/>
    <cellStyle name="표준" xfId="0" builtinId="0"/>
    <cellStyle name="표준 2" xfId="9"/>
    <cellStyle name="표준 2 2" xfId="5"/>
    <cellStyle name="표준 37" xfId="6"/>
    <cellStyle name="표준 4" xfId="7"/>
    <cellStyle name="표준 4 2" xfId="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7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5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.3%20&#44228;&#54925;&#51064;&#44396;%20&#52628;&#51221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1.4%20&#44553;&#49688;&#51064;&#44396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2.1%20&#44228;&#54925;&#44553;&#49688;&#47049;%20&#50896;&#45800;&#50948;%20&#52628;&#51221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&#49324;&#50857;&#47049;%20&#51088;&#47308;/&#49324;&#50857;&#47049;%20&#51221;&#47532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504;&#54788;&#53468;\2.%20&#51089;&#50629;&#48169;\2014&#45380;\&#45436;&#49328;&#49884;%20&#49688;&#46020;&#51221;&#48708;&#44592;&#48376;&#44228;&#54925;%20&#48143;%20&#47932;%20&#49688;&#50836;&#44288;&#47532;(&#48320;&#44221;)%20&#50857;&#50669;\02.%20&#51089;&#50629;&#48169;\05.%20&#51204;&#50857;&#44277;&#50629;&#50857;&#49688;&#46020;%20BC&#48516;&#49437;\2&#52264;&#51089;&#50629;\&#52392;&#48512;1.&#51204;&#50857;&#44277;&#50629;&#50857;&#49688;(&#52840;&#51204;&#49688;)%20&#44032;&#45733;&#44277;&#51109;%20&#48516;&#47448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&#49324;&#50857;&#47049;%20&#51088;&#47308;/&#49324;&#50857;&#47049;&#54788;&#54889;&#48516;&#49437;(12&#45380;~13&#45380;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1.2%20&#51312;&#49457;&#48277;&#50640;%20&#51032;&#54620;%20&#51064;&#44396;%20&#52628;&#51221;(2013&#45380;&#44592;&#51456;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616;&#47749;&#51652;\&#45436;&#49328;&#49884;\MyungJin%20Work\1.%20Project\2014&#45380;\&#45436;&#49328;&#49884;\10.%20&#51089;&#50629;&#51473;\&#44553;&#49688;&#44396;&#50669;\&#44553;&#49688;&#44396;&#50669;&#51064;&#44396;&#51221;&#47532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1.계획인구(집계)"/>
      <sheetName val="1.계획인구(행정집계)"/>
      <sheetName val="1.계획인구(행정)"/>
      <sheetName val="1.계획인구(보고서)"/>
      <sheetName val="2.사회적인구 행정구역별 집계"/>
      <sheetName val="2.사회적인구 집계"/>
      <sheetName val="2.사회적인구-개발계획"/>
      <sheetName val="2.사회적인구-산업단지"/>
      <sheetName val="행정구역별 장래계획인구"/>
      <sheetName val="3.내부이동"/>
      <sheetName val="3.내부이동--"/>
      <sheetName val="참고자료 출력 (x)---&gt;"/>
      <sheetName val="3.계획산단용수산정"/>
      <sheetName val="공중위생업소조회"/>
      <sheetName val="각종원단위"/>
    </sheetNames>
    <sheetDataSet>
      <sheetData sheetId="0">
        <row r="5">
          <cell r="D5">
            <v>132476</v>
          </cell>
          <cell r="J5">
            <v>2218</v>
          </cell>
        </row>
      </sheetData>
      <sheetData sheetId="1"/>
      <sheetData sheetId="2">
        <row r="467">
          <cell r="G467">
            <v>1226</v>
          </cell>
          <cell r="H467">
            <v>1244</v>
          </cell>
          <cell r="I467">
            <v>1259</v>
          </cell>
        </row>
        <row r="468">
          <cell r="G468">
            <v>720</v>
          </cell>
          <cell r="H468">
            <v>726</v>
          </cell>
          <cell r="I468">
            <v>732</v>
          </cell>
        </row>
      </sheetData>
      <sheetData sheetId="3">
        <row r="208">
          <cell r="D208">
            <v>130500</v>
          </cell>
          <cell r="E208">
            <v>133200</v>
          </cell>
          <cell r="F208">
            <v>136200</v>
          </cell>
          <cell r="G208">
            <v>138600</v>
          </cell>
          <cell r="I208">
            <v>2200</v>
          </cell>
          <cell r="J208">
            <v>7800</v>
          </cell>
          <cell r="K208">
            <v>7800</v>
          </cell>
          <cell r="L208">
            <v>7800</v>
          </cell>
          <cell r="N208">
            <v>132700</v>
          </cell>
          <cell r="O208">
            <v>141000</v>
          </cell>
          <cell r="P208">
            <v>144000</v>
          </cell>
          <cell r="Q208">
            <v>146400</v>
          </cell>
        </row>
      </sheetData>
      <sheetData sheetId="4"/>
      <sheetData sheetId="5">
        <row r="16">
          <cell r="M16">
            <v>1288</v>
          </cell>
          <cell r="N16">
            <v>6247</v>
          </cell>
          <cell r="O16">
            <v>6247</v>
          </cell>
          <cell r="P16">
            <v>6247</v>
          </cell>
        </row>
      </sheetData>
      <sheetData sheetId="6"/>
      <sheetData sheetId="7">
        <row r="6">
          <cell r="G6">
            <v>584</v>
          </cell>
        </row>
        <row r="7">
          <cell r="E7">
            <v>104166.5</v>
          </cell>
        </row>
        <row r="9">
          <cell r="E9">
            <v>8407.7999999999993</v>
          </cell>
        </row>
        <row r="10">
          <cell r="E10">
            <v>12994.3</v>
          </cell>
        </row>
        <row r="11">
          <cell r="E11">
            <v>58019.4</v>
          </cell>
        </row>
        <row r="12">
          <cell r="E12">
            <v>16314.9</v>
          </cell>
        </row>
        <row r="13">
          <cell r="E13">
            <v>14969.4</v>
          </cell>
        </row>
        <row r="14">
          <cell r="E14">
            <v>13981.6</v>
          </cell>
        </row>
        <row r="15">
          <cell r="E15">
            <v>220249.4</v>
          </cell>
        </row>
        <row r="16">
          <cell r="E16">
            <v>16614.2</v>
          </cell>
        </row>
        <row r="17">
          <cell r="E17">
            <v>4677.3999999999996</v>
          </cell>
        </row>
        <row r="18">
          <cell r="E18">
            <v>3689.9</v>
          </cell>
        </row>
        <row r="19">
          <cell r="E19">
            <v>43162.5</v>
          </cell>
        </row>
        <row r="20">
          <cell r="E20">
            <v>11503.5</v>
          </cell>
        </row>
        <row r="21">
          <cell r="E21">
            <v>21238.799999999999</v>
          </cell>
        </row>
        <row r="22">
          <cell r="E22">
            <v>30928.7</v>
          </cell>
        </row>
        <row r="23">
          <cell r="E23">
            <v>94422</v>
          </cell>
        </row>
      </sheetData>
      <sheetData sheetId="8"/>
      <sheetData sheetId="9"/>
      <sheetData sheetId="10"/>
      <sheetData sheetId="11"/>
      <sheetData sheetId="12">
        <row r="5">
          <cell r="C5">
            <v>104.1665</v>
          </cell>
          <cell r="D5">
            <v>584</v>
          </cell>
          <cell r="E5" t="e">
            <v>#REF!</v>
          </cell>
        </row>
        <row r="7">
          <cell r="C7">
            <v>8.4077999999999999</v>
          </cell>
          <cell r="D7" t="e">
            <v>#REF!</v>
          </cell>
          <cell r="E7" t="e">
            <v>#REF!</v>
          </cell>
        </row>
        <row r="8">
          <cell r="C8">
            <v>12.994299999999999</v>
          </cell>
          <cell r="D8" t="e">
            <v>#REF!</v>
          </cell>
          <cell r="E8" t="e">
            <v>#REF!</v>
          </cell>
        </row>
        <row r="9">
          <cell r="C9">
            <v>58.019400000000005</v>
          </cell>
          <cell r="D9" t="e">
            <v>#REF!</v>
          </cell>
          <cell r="E9" t="e">
            <v>#REF!</v>
          </cell>
        </row>
        <row r="10">
          <cell r="C10">
            <v>43.162500000000001</v>
          </cell>
          <cell r="D10" t="e">
            <v>#REF!</v>
          </cell>
          <cell r="E10" t="e">
            <v>#REF!</v>
          </cell>
        </row>
        <row r="11">
          <cell r="C11">
            <v>11.503500000000001</v>
          </cell>
          <cell r="D11" t="e">
            <v>#REF!</v>
          </cell>
          <cell r="E11" t="e">
            <v>#REF!</v>
          </cell>
        </row>
        <row r="12">
          <cell r="C12">
            <v>21.238799999999998</v>
          </cell>
          <cell r="D12" t="e">
            <v>#REF!</v>
          </cell>
          <cell r="E12" t="e">
            <v>#REF!</v>
          </cell>
        </row>
        <row r="13">
          <cell r="C13">
            <v>30.928699999999999</v>
          </cell>
          <cell r="D13" t="e">
            <v>#REF!</v>
          </cell>
          <cell r="E13" t="e">
            <v>#REF!</v>
          </cell>
        </row>
        <row r="15">
          <cell r="C15">
            <v>94.421999999999997</v>
          </cell>
          <cell r="D15" t="e">
            <v>#REF!</v>
          </cell>
          <cell r="E15" t="e">
            <v>#REF!</v>
          </cell>
        </row>
      </sheetData>
      <sheetData sheetId="13"/>
      <sheetData sheetId="14">
        <row r="3">
          <cell r="A3" t="str">
            <v xml:space="preserve">C10 식료품 </v>
          </cell>
          <cell r="B3" t="str">
            <v>C15</v>
          </cell>
          <cell r="C3">
            <v>4.34</v>
          </cell>
          <cell r="D3">
            <v>4.37</v>
          </cell>
          <cell r="E3">
            <v>4.1100000000000003</v>
          </cell>
          <cell r="F3">
            <v>4.33</v>
          </cell>
          <cell r="G3">
            <v>4.28</v>
          </cell>
          <cell r="H3">
            <v>4.24</v>
          </cell>
          <cell r="I3">
            <v>4.2</v>
          </cell>
          <cell r="J3">
            <v>4.1500000000000004</v>
          </cell>
          <cell r="K3">
            <v>4.1100000000000003</v>
          </cell>
        </row>
        <row r="4">
          <cell r="A4" t="str">
            <v>C11 음료</v>
          </cell>
        </row>
        <row r="5">
          <cell r="A5" t="str">
            <v xml:space="preserve">C12 담배 </v>
          </cell>
          <cell r="B5" t="str">
            <v>C16</v>
          </cell>
          <cell r="C5">
            <v>1.17</v>
          </cell>
          <cell r="D5">
            <v>1.1399999999999999</v>
          </cell>
          <cell r="E5">
            <v>0.8</v>
          </cell>
          <cell r="F5">
            <v>1.08</v>
          </cell>
          <cell r="G5">
            <v>1.03</v>
          </cell>
          <cell r="H5">
            <v>0.97</v>
          </cell>
          <cell r="I5">
            <v>0.91</v>
          </cell>
          <cell r="J5">
            <v>0.86</v>
          </cell>
          <cell r="K5">
            <v>0.8</v>
          </cell>
        </row>
        <row r="6">
          <cell r="A6" t="str">
            <v>C13 섬유제품 ; 의복제외</v>
          </cell>
          <cell r="B6" t="str">
            <v>C17</v>
          </cell>
          <cell r="C6">
            <v>5.65</v>
          </cell>
          <cell r="D6">
            <v>5.12</v>
          </cell>
          <cell r="E6">
            <v>4.46</v>
          </cell>
          <cell r="F6">
            <v>5.01</v>
          </cell>
          <cell r="G6">
            <v>4.9000000000000004</v>
          </cell>
          <cell r="H6">
            <v>4.79</v>
          </cell>
          <cell r="I6">
            <v>4.68</v>
          </cell>
          <cell r="J6">
            <v>4.57</v>
          </cell>
          <cell r="K6">
            <v>4.46</v>
          </cell>
        </row>
        <row r="7">
          <cell r="A7" t="str">
            <v>C14 의복, 의복액세서리 및 모피제품</v>
          </cell>
          <cell r="B7" t="str">
            <v>C18</v>
          </cell>
          <cell r="C7">
            <v>51.39</v>
          </cell>
          <cell r="D7">
            <v>46.09</v>
          </cell>
          <cell r="E7">
            <v>42.01</v>
          </cell>
          <cell r="F7">
            <v>45.41</v>
          </cell>
          <cell r="G7">
            <v>44.73</v>
          </cell>
          <cell r="H7">
            <v>44.05</v>
          </cell>
          <cell r="I7">
            <v>43.37</v>
          </cell>
          <cell r="J7">
            <v>42.69</v>
          </cell>
          <cell r="K7">
            <v>42.01</v>
          </cell>
        </row>
        <row r="8">
          <cell r="A8" t="str">
            <v xml:space="preserve">C15 가죽, 가방 및 신발 </v>
          </cell>
          <cell r="B8" t="str">
            <v>C19</v>
          </cell>
          <cell r="C8">
            <v>14.82</v>
          </cell>
          <cell r="D8">
            <v>12.3</v>
          </cell>
          <cell r="E8">
            <v>9.6300000000000008</v>
          </cell>
          <cell r="F8">
            <v>11.86</v>
          </cell>
          <cell r="G8">
            <v>11.41</v>
          </cell>
          <cell r="H8">
            <v>10.97</v>
          </cell>
          <cell r="I8">
            <v>10.52</v>
          </cell>
          <cell r="J8">
            <v>10.08</v>
          </cell>
          <cell r="K8">
            <v>9.6300000000000008</v>
          </cell>
        </row>
        <row r="9">
          <cell r="A9" t="str">
            <v>C16 목재 및 나무제품 ; 가구제외</v>
          </cell>
          <cell r="B9" t="str">
            <v>C20</v>
          </cell>
          <cell r="C9">
            <v>3.14</v>
          </cell>
          <cell r="D9">
            <v>3.25</v>
          </cell>
          <cell r="E9">
            <v>3.57</v>
          </cell>
          <cell r="F9">
            <v>3.3</v>
          </cell>
          <cell r="G9">
            <v>3.36</v>
          </cell>
          <cell r="H9">
            <v>3.41</v>
          </cell>
          <cell r="I9">
            <v>3.46</v>
          </cell>
          <cell r="J9">
            <v>3.52</v>
          </cell>
          <cell r="K9">
            <v>3.57</v>
          </cell>
        </row>
        <row r="10">
          <cell r="A10" t="str">
            <v>C17 펄프, 종이 및 종이제품</v>
          </cell>
          <cell r="B10" t="str">
            <v>C21</v>
          </cell>
          <cell r="C10">
            <v>3.57</v>
          </cell>
          <cell r="D10">
            <v>3.57</v>
          </cell>
          <cell r="E10">
            <v>3.04</v>
          </cell>
          <cell r="F10">
            <v>3.48</v>
          </cell>
          <cell r="G10">
            <v>3.39</v>
          </cell>
          <cell r="H10">
            <v>3.31</v>
          </cell>
          <cell r="I10">
            <v>3.22</v>
          </cell>
          <cell r="J10">
            <v>3.13</v>
          </cell>
          <cell r="K10">
            <v>3.04</v>
          </cell>
        </row>
        <row r="11">
          <cell r="A11" t="str">
            <v>C18 인쇄 및 기록매체 복제업</v>
          </cell>
          <cell r="B11" t="str">
            <v>C22</v>
          </cell>
          <cell r="C11">
            <v>25.81</v>
          </cell>
          <cell r="D11">
            <v>30.39</v>
          </cell>
          <cell r="E11">
            <v>30.17</v>
          </cell>
          <cell r="F11">
            <v>30.35</v>
          </cell>
          <cell r="G11">
            <v>30.32</v>
          </cell>
          <cell r="H11">
            <v>30.28</v>
          </cell>
          <cell r="I11">
            <v>30.24</v>
          </cell>
          <cell r="J11">
            <v>30.21</v>
          </cell>
          <cell r="K11">
            <v>30.17</v>
          </cell>
        </row>
        <row r="12">
          <cell r="A12" t="str">
            <v>C19 코크스, 연탄 및 석유정제품</v>
          </cell>
          <cell r="B12" t="str">
            <v>C23</v>
          </cell>
          <cell r="C12">
            <v>0.46</v>
          </cell>
          <cell r="D12">
            <v>0.48</v>
          </cell>
          <cell r="E12">
            <v>0.44</v>
          </cell>
          <cell r="F12">
            <v>0.47</v>
          </cell>
          <cell r="G12">
            <v>0.47</v>
          </cell>
          <cell r="H12">
            <v>0.46</v>
          </cell>
          <cell r="I12">
            <v>0.45</v>
          </cell>
          <cell r="J12">
            <v>0.45</v>
          </cell>
          <cell r="K12">
            <v>0.44</v>
          </cell>
        </row>
        <row r="13">
          <cell r="A13" t="str">
            <v>C20 화학물질 및 화학제품(의약품 제외)</v>
          </cell>
          <cell r="B13" t="str">
            <v>C24</v>
          </cell>
          <cell r="C13">
            <v>1.99</v>
          </cell>
          <cell r="D13">
            <v>1.87</v>
          </cell>
          <cell r="E13">
            <v>1.77</v>
          </cell>
          <cell r="F13">
            <v>1.85</v>
          </cell>
          <cell r="G13">
            <v>1.84</v>
          </cell>
          <cell r="H13">
            <v>1.82</v>
          </cell>
          <cell r="I13">
            <v>1.8</v>
          </cell>
          <cell r="J13">
            <v>1.79</v>
          </cell>
          <cell r="K13">
            <v>1.77</v>
          </cell>
        </row>
        <row r="14">
          <cell r="A14" t="str">
            <v>C21 의료용 뭋질 및 의약품</v>
          </cell>
        </row>
        <row r="15">
          <cell r="A15" t="str">
            <v>C22 고무제품 및 플라스틱제품</v>
          </cell>
          <cell r="B15" t="str">
            <v>C25</v>
          </cell>
          <cell r="C15">
            <v>6.3</v>
          </cell>
          <cell r="D15">
            <v>5.65</v>
          </cell>
          <cell r="E15">
            <v>4.88</v>
          </cell>
          <cell r="F15">
            <v>5.52</v>
          </cell>
          <cell r="G15">
            <v>5.39</v>
          </cell>
          <cell r="H15">
            <v>5.27</v>
          </cell>
          <cell r="I15">
            <v>5.14</v>
          </cell>
          <cell r="J15">
            <v>5.01</v>
          </cell>
          <cell r="K15">
            <v>4.88</v>
          </cell>
        </row>
        <row r="16">
          <cell r="A16" t="str">
            <v xml:space="preserve">C23 비금속 광물제품 </v>
          </cell>
          <cell r="B16" t="str">
            <v>C26</v>
          </cell>
          <cell r="C16">
            <v>1.57</v>
          </cell>
          <cell r="D16">
            <v>1.47</v>
          </cell>
          <cell r="E16">
            <v>1.24</v>
          </cell>
          <cell r="F16">
            <v>1.43</v>
          </cell>
          <cell r="G16">
            <v>1.39</v>
          </cell>
          <cell r="H16">
            <v>1.36</v>
          </cell>
          <cell r="I16">
            <v>1.32</v>
          </cell>
          <cell r="J16">
            <v>1.28</v>
          </cell>
          <cell r="K16">
            <v>1.24</v>
          </cell>
        </row>
        <row r="17">
          <cell r="A17" t="str">
            <v xml:space="preserve">C24 1차 금속 </v>
          </cell>
          <cell r="B17" t="str">
            <v>C27</v>
          </cell>
          <cell r="C17">
            <v>2.11</v>
          </cell>
          <cell r="D17">
            <v>1.99</v>
          </cell>
          <cell r="E17">
            <v>1.65</v>
          </cell>
          <cell r="F17">
            <v>1.93</v>
          </cell>
          <cell r="G17">
            <v>1.88</v>
          </cell>
          <cell r="H17">
            <v>1.82</v>
          </cell>
          <cell r="I17">
            <v>1.76</v>
          </cell>
          <cell r="J17">
            <v>1.71</v>
          </cell>
          <cell r="K17">
            <v>1.65</v>
          </cell>
        </row>
        <row r="18">
          <cell r="A18" t="str">
            <v>C25 금속가공제품; 기계 및 가구 제외</v>
          </cell>
          <cell r="B18" t="str">
            <v>C28</v>
          </cell>
          <cell r="C18">
            <v>6.57</v>
          </cell>
          <cell r="D18">
            <v>6.12</v>
          </cell>
          <cell r="E18">
            <v>5.36</v>
          </cell>
          <cell r="F18">
            <v>5.99</v>
          </cell>
          <cell r="G18">
            <v>5.87</v>
          </cell>
          <cell r="H18">
            <v>5.74</v>
          </cell>
          <cell r="I18">
            <v>5.61</v>
          </cell>
          <cell r="J18">
            <v>5.49</v>
          </cell>
          <cell r="K18">
            <v>5.36</v>
          </cell>
        </row>
        <row r="19">
          <cell r="A19" t="str">
            <v>C26 전자부품,컴퓨터,영상,음향및통신장비</v>
          </cell>
          <cell r="B19" t="str">
            <v>C32</v>
          </cell>
          <cell r="C19">
            <v>13.75</v>
          </cell>
          <cell r="D19">
            <v>12.96</v>
          </cell>
          <cell r="E19">
            <v>10.29</v>
          </cell>
          <cell r="F19">
            <v>12.52</v>
          </cell>
          <cell r="G19">
            <v>12.07</v>
          </cell>
          <cell r="H19">
            <v>11.63</v>
          </cell>
          <cell r="I19">
            <v>11.18</v>
          </cell>
          <cell r="J19">
            <v>10.74</v>
          </cell>
          <cell r="K19">
            <v>10.29</v>
          </cell>
        </row>
        <row r="20">
          <cell r="A20" t="str">
            <v xml:space="preserve">C27 의료, 정밀, 광학기기 및 시계 </v>
          </cell>
          <cell r="B20" t="str">
            <v>C33</v>
          </cell>
          <cell r="C20">
            <v>15.7</v>
          </cell>
          <cell r="D20">
            <v>14.76</v>
          </cell>
          <cell r="E20">
            <v>12.6</v>
          </cell>
          <cell r="F20">
            <v>14.4</v>
          </cell>
          <cell r="G20">
            <v>14.04</v>
          </cell>
          <cell r="H20">
            <v>13.68</v>
          </cell>
          <cell r="I20">
            <v>13.32</v>
          </cell>
          <cell r="J20">
            <v>12.96</v>
          </cell>
          <cell r="K20">
            <v>12.6</v>
          </cell>
        </row>
        <row r="21">
          <cell r="A21" t="str">
            <v xml:space="preserve">C28 전기장비 </v>
          </cell>
          <cell r="B21" t="str">
            <v>C31</v>
          </cell>
          <cell r="C21">
            <v>9.4</v>
          </cell>
          <cell r="D21">
            <v>8.9499999999999993</v>
          </cell>
          <cell r="E21">
            <v>7.15</v>
          </cell>
          <cell r="F21">
            <v>8.65</v>
          </cell>
          <cell r="G21">
            <v>8.35</v>
          </cell>
          <cell r="H21">
            <v>8.0500000000000007</v>
          </cell>
          <cell r="I21">
            <v>7.75</v>
          </cell>
          <cell r="J21">
            <v>7.45</v>
          </cell>
          <cell r="K21">
            <v>7.15</v>
          </cell>
        </row>
        <row r="22">
          <cell r="A22" t="str">
            <v>C29 기타 기계 및 장비</v>
          </cell>
          <cell r="B22" t="str">
            <v>C29</v>
          </cell>
          <cell r="C22">
            <v>6.55</v>
          </cell>
          <cell r="D22">
            <v>6.75</v>
          </cell>
          <cell r="E22">
            <v>6.22</v>
          </cell>
          <cell r="F22">
            <v>6.66</v>
          </cell>
          <cell r="G22">
            <v>6.57</v>
          </cell>
          <cell r="H22">
            <v>6.49</v>
          </cell>
          <cell r="I22">
            <v>6.4</v>
          </cell>
          <cell r="J22">
            <v>6.31</v>
          </cell>
          <cell r="K22">
            <v>6.22</v>
          </cell>
        </row>
        <row r="23">
          <cell r="A23" t="str">
            <v>C30 자동차 및 트레일러</v>
          </cell>
          <cell r="B23" t="str">
            <v>C34</v>
          </cell>
          <cell r="C23">
            <v>5.75</v>
          </cell>
          <cell r="D23">
            <v>5.66</v>
          </cell>
          <cell r="E23">
            <v>5.05</v>
          </cell>
          <cell r="F23">
            <v>5.56</v>
          </cell>
          <cell r="G23">
            <v>5.46</v>
          </cell>
          <cell r="H23">
            <v>5.36</v>
          </cell>
          <cell r="I23">
            <v>5.25</v>
          </cell>
          <cell r="J23">
            <v>5.15</v>
          </cell>
          <cell r="K23">
            <v>5.05</v>
          </cell>
        </row>
        <row r="24">
          <cell r="A24" t="str">
            <v xml:space="preserve">C31 기타 운송장비 </v>
          </cell>
          <cell r="B24" t="str">
            <v>C35</v>
          </cell>
          <cell r="C24">
            <v>3.62</v>
          </cell>
          <cell r="D24">
            <v>3.66</v>
          </cell>
          <cell r="E24">
            <v>3.41</v>
          </cell>
          <cell r="F24">
            <v>3.62</v>
          </cell>
          <cell r="G24">
            <v>3.58</v>
          </cell>
          <cell r="H24">
            <v>3.54</v>
          </cell>
          <cell r="I24">
            <v>3.49</v>
          </cell>
          <cell r="J24">
            <v>3.45</v>
          </cell>
          <cell r="K24">
            <v>3.41</v>
          </cell>
        </row>
        <row r="25">
          <cell r="A25" t="str">
            <v xml:space="preserve">C32 가구 </v>
          </cell>
          <cell r="B25" t="str">
            <v>C36</v>
          </cell>
          <cell r="C25">
            <v>7.81</v>
          </cell>
          <cell r="D25">
            <v>7.24</v>
          </cell>
          <cell r="E25">
            <v>5.88</v>
          </cell>
          <cell r="F25">
            <v>7.01</v>
          </cell>
          <cell r="G25">
            <v>6.79</v>
          </cell>
          <cell r="H25">
            <v>6.56</v>
          </cell>
          <cell r="I25">
            <v>6.33</v>
          </cell>
          <cell r="J25">
            <v>6.11</v>
          </cell>
          <cell r="K25">
            <v>5.88</v>
          </cell>
        </row>
        <row r="26">
          <cell r="A26" t="str">
            <v>C33 기타제품</v>
          </cell>
          <cell r="B26" t="str">
            <v>C37</v>
          </cell>
          <cell r="C26">
            <v>2.5299999999999998</v>
          </cell>
          <cell r="D26">
            <v>2.58</v>
          </cell>
          <cell r="E26">
            <v>2.36</v>
          </cell>
          <cell r="F26">
            <v>2.54</v>
          </cell>
          <cell r="G26">
            <v>2.5099999999999998</v>
          </cell>
          <cell r="H26">
            <v>2.4700000000000002</v>
          </cell>
          <cell r="I26">
            <v>2.4300000000000002</v>
          </cell>
          <cell r="J26">
            <v>2.4</v>
          </cell>
          <cell r="K26">
            <v>2.36</v>
          </cell>
        </row>
        <row r="55">
          <cell r="A55" t="str">
            <v xml:space="preserve">C10 식료품 </v>
          </cell>
          <cell r="D55">
            <v>11.13</v>
          </cell>
          <cell r="E55">
            <v>11.13</v>
          </cell>
          <cell r="F55">
            <v>11.13</v>
          </cell>
          <cell r="G55">
            <v>11.13</v>
          </cell>
          <cell r="H55">
            <v>11.13</v>
          </cell>
          <cell r="I55">
            <v>11.13</v>
          </cell>
          <cell r="J55">
            <v>11.13</v>
          </cell>
          <cell r="K55">
            <v>11.13</v>
          </cell>
        </row>
        <row r="56">
          <cell r="A56" t="str">
            <v>C11 음료</v>
          </cell>
          <cell r="D56">
            <v>6.94</v>
          </cell>
          <cell r="E56">
            <v>6.94</v>
          </cell>
          <cell r="F56">
            <v>6.94</v>
          </cell>
          <cell r="G56">
            <v>6.94</v>
          </cell>
          <cell r="H56">
            <v>6.94</v>
          </cell>
          <cell r="I56">
            <v>6.94</v>
          </cell>
          <cell r="J56">
            <v>6.94</v>
          </cell>
          <cell r="K56">
            <v>6.94</v>
          </cell>
        </row>
        <row r="57">
          <cell r="A57" t="str">
            <v xml:space="preserve">C12 담배 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A58" t="str">
            <v>C13 섬유제품 ; 의복제외</v>
          </cell>
          <cell r="D58">
            <v>36.200000000000003</v>
          </cell>
          <cell r="E58">
            <v>36.200000000000003</v>
          </cell>
          <cell r="F58">
            <v>36.200000000000003</v>
          </cell>
          <cell r="G58">
            <v>36.200000000000003</v>
          </cell>
          <cell r="H58">
            <v>36.200000000000003</v>
          </cell>
          <cell r="I58">
            <v>36.200000000000003</v>
          </cell>
          <cell r="J58">
            <v>36.200000000000003</v>
          </cell>
          <cell r="K58">
            <v>36.200000000000003</v>
          </cell>
        </row>
        <row r="59">
          <cell r="A59" t="str">
            <v>C14 의복, 의복액세서리 및 모피제품</v>
          </cell>
          <cell r="D59">
            <v>13.9</v>
          </cell>
          <cell r="E59">
            <v>13.9</v>
          </cell>
          <cell r="F59">
            <v>13.9</v>
          </cell>
          <cell r="G59">
            <v>13.9</v>
          </cell>
          <cell r="H59">
            <v>13.9</v>
          </cell>
          <cell r="I59">
            <v>13.9</v>
          </cell>
          <cell r="J59">
            <v>13.9</v>
          </cell>
          <cell r="K59">
            <v>13.9</v>
          </cell>
        </row>
        <row r="60">
          <cell r="A60" t="str">
            <v xml:space="preserve">C15 가죽, 가방 및 신발 </v>
          </cell>
          <cell r="D60">
            <v>32.71</v>
          </cell>
          <cell r="E60">
            <v>32.71</v>
          </cell>
          <cell r="F60">
            <v>32.71</v>
          </cell>
          <cell r="G60">
            <v>32.71</v>
          </cell>
          <cell r="H60">
            <v>32.71</v>
          </cell>
          <cell r="I60">
            <v>32.71</v>
          </cell>
          <cell r="J60">
            <v>32.71</v>
          </cell>
          <cell r="K60">
            <v>32.71</v>
          </cell>
        </row>
        <row r="61">
          <cell r="A61" t="str">
            <v>C16 목재 및 나무제품 ; 가구제외</v>
          </cell>
          <cell r="D61">
            <v>1.88</v>
          </cell>
          <cell r="E61">
            <v>1.88</v>
          </cell>
          <cell r="F61">
            <v>1.88</v>
          </cell>
          <cell r="G61">
            <v>1.88</v>
          </cell>
          <cell r="H61">
            <v>1.88</v>
          </cell>
          <cell r="I61">
            <v>1.88</v>
          </cell>
          <cell r="J61">
            <v>1.88</v>
          </cell>
          <cell r="K61">
            <v>1.88</v>
          </cell>
        </row>
        <row r="62">
          <cell r="A62" t="str">
            <v>C17 펄프, 종이 및 종이제품</v>
          </cell>
          <cell r="D62">
            <v>3.22</v>
          </cell>
          <cell r="E62">
            <v>3.22</v>
          </cell>
          <cell r="F62">
            <v>3.22</v>
          </cell>
          <cell r="G62">
            <v>3.22</v>
          </cell>
          <cell r="H62">
            <v>3.22</v>
          </cell>
          <cell r="I62">
            <v>3.22</v>
          </cell>
          <cell r="J62">
            <v>3.22</v>
          </cell>
          <cell r="K62">
            <v>3.22</v>
          </cell>
        </row>
        <row r="63">
          <cell r="A63" t="str">
            <v>C18 인쇄 및 기록매체 복제업</v>
          </cell>
          <cell r="D63">
            <v>9.51</v>
          </cell>
          <cell r="E63">
            <v>9.51</v>
          </cell>
          <cell r="F63">
            <v>9.51</v>
          </cell>
          <cell r="G63">
            <v>9.51</v>
          </cell>
          <cell r="H63">
            <v>9.51</v>
          </cell>
          <cell r="I63">
            <v>9.51</v>
          </cell>
          <cell r="J63">
            <v>9.51</v>
          </cell>
          <cell r="K63">
            <v>9.51</v>
          </cell>
        </row>
        <row r="64">
          <cell r="A64" t="str">
            <v>C19 코크스, 연탄 및 석유정제품</v>
          </cell>
          <cell r="D64">
            <v>2.68</v>
          </cell>
          <cell r="E64">
            <v>2.68</v>
          </cell>
          <cell r="F64">
            <v>2.68</v>
          </cell>
          <cell r="G64">
            <v>2.68</v>
          </cell>
          <cell r="H64">
            <v>2.68</v>
          </cell>
          <cell r="I64">
            <v>2.68</v>
          </cell>
          <cell r="J64">
            <v>2.68</v>
          </cell>
          <cell r="K64">
            <v>2.68</v>
          </cell>
        </row>
        <row r="65">
          <cell r="A65" t="str">
            <v>C20 화학물질 및 화학제품(의약품 제외)</v>
          </cell>
          <cell r="D65">
            <v>8.08</v>
          </cell>
          <cell r="E65">
            <v>8.08</v>
          </cell>
          <cell r="F65">
            <v>8.08</v>
          </cell>
          <cell r="G65">
            <v>8.08</v>
          </cell>
          <cell r="H65">
            <v>8.08</v>
          </cell>
          <cell r="I65">
            <v>8.08</v>
          </cell>
          <cell r="J65">
            <v>8.08</v>
          </cell>
          <cell r="K65">
            <v>8.08</v>
          </cell>
        </row>
        <row r="66">
          <cell r="A66" t="str">
            <v>C21 의료용 뭋질 및 의약품</v>
          </cell>
          <cell r="D66">
            <v>9.82</v>
          </cell>
          <cell r="E66">
            <v>9.82</v>
          </cell>
          <cell r="F66">
            <v>9.82</v>
          </cell>
          <cell r="G66">
            <v>9.82</v>
          </cell>
          <cell r="H66">
            <v>9.82</v>
          </cell>
          <cell r="I66">
            <v>9.82</v>
          </cell>
          <cell r="J66">
            <v>9.82</v>
          </cell>
          <cell r="K66">
            <v>9.82</v>
          </cell>
        </row>
        <row r="67">
          <cell r="A67" t="str">
            <v>C22 고무제품 및 플라스틱제품</v>
          </cell>
          <cell r="D67">
            <v>4.6399999999999997</v>
          </cell>
          <cell r="E67">
            <v>4.6399999999999997</v>
          </cell>
          <cell r="F67">
            <v>4.6399999999999997</v>
          </cell>
          <cell r="G67">
            <v>4.6399999999999997</v>
          </cell>
          <cell r="H67">
            <v>4.6399999999999997</v>
          </cell>
          <cell r="I67">
            <v>4.6399999999999997</v>
          </cell>
          <cell r="J67">
            <v>4.6399999999999997</v>
          </cell>
          <cell r="K67">
            <v>4.6399999999999997</v>
          </cell>
        </row>
        <row r="68">
          <cell r="A68" t="str">
            <v xml:space="preserve">C23 비금속 광물제품 </v>
          </cell>
          <cell r="D68">
            <v>4.3099999999999996</v>
          </cell>
          <cell r="E68">
            <v>4.3099999999999996</v>
          </cell>
          <cell r="F68">
            <v>4.3099999999999996</v>
          </cell>
          <cell r="G68">
            <v>4.3099999999999996</v>
          </cell>
          <cell r="H68">
            <v>4.3099999999999996</v>
          </cell>
          <cell r="I68">
            <v>4.3099999999999996</v>
          </cell>
          <cell r="J68">
            <v>4.3099999999999996</v>
          </cell>
          <cell r="K68">
            <v>4.3099999999999996</v>
          </cell>
        </row>
        <row r="69">
          <cell r="A69" t="str">
            <v xml:space="preserve">C24 1차 금속 </v>
          </cell>
          <cell r="D69">
            <v>3.66</v>
          </cell>
          <cell r="E69">
            <v>3.66</v>
          </cell>
          <cell r="F69">
            <v>3.66</v>
          </cell>
          <cell r="G69">
            <v>3.66</v>
          </cell>
          <cell r="H69">
            <v>3.66</v>
          </cell>
          <cell r="I69">
            <v>3.66</v>
          </cell>
          <cell r="J69">
            <v>3.66</v>
          </cell>
          <cell r="K69">
            <v>3.66</v>
          </cell>
        </row>
        <row r="70">
          <cell r="A70" t="str">
            <v>C25 금속가공제품; 기계 및 가구 제외</v>
          </cell>
          <cell r="D70">
            <v>6.47</v>
          </cell>
          <cell r="E70">
            <v>6.47</v>
          </cell>
          <cell r="F70">
            <v>6.47</v>
          </cell>
          <cell r="G70">
            <v>6.47</v>
          </cell>
          <cell r="H70">
            <v>6.47</v>
          </cell>
          <cell r="I70">
            <v>6.47</v>
          </cell>
          <cell r="J70">
            <v>6.47</v>
          </cell>
          <cell r="K70">
            <v>6.47</v>
          </cell>
        </row>
        <row r="71">
          <cell r="A71" t="str">
            <v>C26 전자부품,컴퓨터,영상,음향및통신장비</v>
          </cell>
          <cell r="D71">
            <v>14.62</v>
          </cell>
          <cell r="E71">
            <v>14.62</v>
          </cell>
          <cell r="F71">
            <v>14.62</v>
          </cell>
          <cell r="G71">
            <v>14.62</v>
          </cell>
          <cell r="H71">
            <v>14.62</v>
          </cell>
          <cell r="I71">
            <v>14.62</v>
          </cell>
          <cell r="J71">
            <v>14.62</v>
          </cell>
          <cell r="K71">
            <v>14.62</v>
          </cell>
        </row>
        <row r="72">
          <cell r="A72" t="str">
            <v xml:space="preserve">C27 의료, 정밀, 광학기기 및 시계 </v>
          </cell>
          <cell r="D72">
            <v>19.350000000000001</v>
          </cell>
          <cell r="E72">
            <v>19.350000000000001</v>
          </cell>
          <cell r="F72">
            <v>19.350000000000001</v>
          </cell>
          <cell r="G72">
            <v>19.350000000000001</v>
          </cell>
          <cell r="H72">
            <v>19.350000000000001</v>
          </cell>
          <cell r="I72">
            <v>19.350000000000001</v>
          </cell>
          <cell r="J72">
            <v>19.350000000000001</v>
          </cell>
          <cell r="K72">
            <v>19.350000000000001</v>
          </cell>
        </row>
        <row r="73">
          <cell r="A73" t="str">
            <v xml:space="preserve">C28 전기장비 </v>
          </cell>
          <cell r="D73">
            <v>6.24</v>
          </cell>
          <cell r="E73">
            <v>6.24</v>
          </cell>
          <cell r="F73">
            <v>6.24</v>
          </cell>
          <cell r="G73">
            <v>6.24</v>
          </cell>
          <cell r="H73">
            <v>6.24</v>
          </cell>
          <cell r="I73">
            <v>6.24</v>
          </cell>
          <cell r="J73">
            <v>6.24</v>
          </cell>
          <cell r="K73">
            <v>6.24</v>
          </cell>
        </row>
        <row r="74">
          <cell r="A74" t="str">
            <v>C29 기타 기계 및 장비</v>
          </cell>
          <cell r="D74">
            <v>4.95</v>
          </cell>
          <cell r="E74">
            <v>4.95</v>
          </cell>
          <cell r="F74">
            <v>4.95</v>
          </cell>
          <cell r="G74">
            <v>4.95</v>
          </cell>
          <cell r="H74">
            <v>4.95</v>
          </cell>
          <cell r="I74">
            <v>4.95</v>
          </cell>
          <cell r="J74">
            <v>4.95</v>
          </cell>
          <cell r="K74">
            <v>4.95</v>
          </cell>
        </row>
        <row r="75">
          <cell r="A75" t="str">
            <v>C30 자동차 및 트레일러</v>
          </cell>
          <cell r="D75">
            <v>3.59</v>
          </cell>
          <cell r="E75">
            <v>3.59</v>
          </cell>
          <cell r="F75">
            <v>3.59</v>
          </cell>
          <cell r="G75">
            <v>3.59</v>
          </cell>
          <cell r="H75">
            <v>3.59</v>
          </cell>
          <cell r="I75">
            <v>3.59</v>
          </cell>
          <cell r="J75">
            <v>3.59</v>
          </cell>
          <cell r="K75">
            <v>3.59</v>
          </cell>
        </row>
        <row r="76">
          <cell r="A76" t="str">
            <v xml:space="preserve">C31 기타 운송장비 </v>
          </cell>
          <cell r="D76">
            <v>2.89</v>
          </cell>
          <cell r="E76">
            <v>2.89</v>
          </cell>
          <cell r="F76">
            <v>2.89</v>
          </cell>
          <cell r="G76">
            <v>2.89</v>
          </cell>
          <cell r="H76">
            <v>2.89</v>
          </cell>
          <cell r="I76">
            <v>2.89</v>
          </cell>
          <cell r="J76">
            <v>2.89</v>
          </cell>
          <cell r="K76">
            <v>2.89</v>
          </cell>
        </row>
        <row r="77">
          <cell r="A77" t="str">
            <v xml:space="preserve">C32 가구 </v>
          </cell>
          <cell r="D77">
            <v>2.1800000000000002</v>
          </cell>
          <cell r="E77">
            <v>2.1800000000000002</v>
          </cell>
          <cell r="F77">
            <v>2.1800000000000002</v>
          </cell>
          <cell r="G77">
            <v>2.1800000000000002</v>
          </cell>
          <cell r="H77">
            <v>2.1800000000000002</v>
          </cell>
          <cell r="I77">
            <v>2.1800000000000002</v>
          </cell>
          <cell r="J77">
            <v>2.1800000000000002</v>
          </cell>
          <cell r="K77">
            <v>2.1800000000000002</v>
          </cell>
        </row>
        <row r="78">
          <cell r="A78" t="str">
            <v>C33 기타제품</v>
          </cell>
          <cell r="D78">
            <v>10.050000000000001</v>
          </cell>
          <cell r="E78">
            <v>10.050000000000001</v>
          </cell>
          <cell r="F78">
            <v>10.050000000000001</v>
          </cell>
          <cell r="G78">
            <v>10.050000000000001</v>
          </cell>
          <cell r="H78">
            <v>10.050000000000001</v>
          </cell>
          <cell r="I78">
            <v>10.050000000000001</v>
          </cell>
          <cell r="J78">
            <v>10.050000000000001</v>
          </cell>
          <cell r="K78">
            <v>10.050000000000001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1.급수보급률"/>
      <sheetName val="2.급수인구"/>
      <sheetName val="2.행정구역별 급수인구"/>
      <sheetName val="3.논산급수"/>
      <sheetName val="Sheet1"/>
      <sheetName val="3.급수구역 분리"/>
      <sheetName val="Sheet2"/>
    </sheetNames>
    <sheetDataSet>
      <sheetData sheetId="0">
        <row r="5">
          <cell r="P5">
            <v>0.73</v>
          </cell>
          <cell r="Q5">
            <v>0.82199999999999995</v>
          </cell>
          <cell r="R5">
            <v>0.94199999999999995</v>
          </cell>
          <cell r="S5">
            <v>0.95599999999999996</v>
          </cell>
          <cell r="T5">
            <v>0.96</v>
          </cell>
        </row>
      </sheetData>
      <sheetData sheetId="1">
        <row r="5">
          <cell r="K5">
            <v>109118</v>
          </cell>
          <cell r="L5">
            <v>132798</v>
          </cell>
          <cell r="M5">
            <v>137651</v>
          </cell>
          <cell r="N5">
            <v>140465</v>
          </cell>
          <cell r="P5">
            <v>98339</v>
          </cell>
          <cell r="Q5">
            <v>109118</v>
          </cell>
          <cell r="R5">
            <v>132798</v>
          </cell>
          <cell r="S5">
            <v>137651</v>
          </cell>
          <cell r="T5">
            <v>140465</v>
          </cell>
        </row>
        <row r="6">
          <cell r="Q6">
            <v>10421</v>
          </cell>
          <cell r="R6">
            <v>10332</v>
          </cell>
          <cell r="S6">
            <v>10581</v>
          </cell>
          <cell r="T6">
            <v>10756</v>
          </cell>
        </row>
        <row r="7">
          <cell r="Q7">
            <v>18940</v>
          </cell>
          <cell r="R7">
            <v>19490</v>
          </cell>
          <cell r="S7">
            <v>19870</v>
          </cell>
          <cell r="T7">
            <v>20163</v>
          </cell>
        </row>
        <row r="8">
          <cell r="Q8">
            <v>4509</v>
          </cell>
          <cell r="R8">
            <v>4726</v>
          </cell>
          <cell r="S8">
            <v>4838</v>
          </cell>
          <cell r="T8">
            <v>4925</v>
          </cell>
        </row>
        <row r="9">
          <cell r="Q9">
            <v>3373</v>
          </cell>
          <cell r="R9">
            <v>4400</v>
          </cell>
          <cell r="S9">
            <v>4769</v>
          </cell>
          <cell r="T9">
            <v>4855</v>
          </cell>
        </row>
        <row r="10">
          <cell r="Q10">
            <v>1623</v>
          </cell>
          <cell r="R10">
            <v>3235</v>
          </cell>
          <cell r="S10">
            <v>3507</v>
          </cell>
          <cell r="T10">
            <v>3573</v>
          </cell>
        </row>
        <row r="11">
          <cell r="Q11">
            <v>1931</v>
          </cell>
          <cell r="R11">
            <v>3424</v>
          </cell>
          <cell r="S11">
            <v>3713</v>
          </cell>
          <cell r="T11">
            <v>3779</v>
          </cell>
        </row>
        <row r="12">
          <cell r="Q12">
            <v>3397</v>
          </cell>
          <cell r="R12">
            <v>3575</v>
          </cell>
          <cell r="S12">
            <v>3877</v>
          </cell>
          <cell r="T12">
            <v>3953</v>
          </cell>
        </row>
        <row r="13">
          <cell r="Q13">
            <v>3884</v>
          </cell>
          <cell r="R13">
            <v>5938</v>
          </cell>
          <cell r="S13">
            <v>6442</v>
          </cell>
          <cell r="T13">
            <v>6561</v>
          </cell>
        </row>
        <row r="14">
          <cell r="Q14">
            <v>0</v>
          </cell>
          <cell r="R14">
            <v>2241</v>
          </cell>
          <cell r="S14">
            <v>2292</v>
          </cell>
          <cell r="T14">
            <v>2336</v>
          </cell>
        </row>
        <row r="15">
          <cell r="Q15">
            <v>3717</v>
          </cell>
          <cell r="R15">
            <v>8408</v>
          </cell>
          <cell r="S15">
            <v>8547</v>
          </cell>
          <cell r="T15">
            <v>8648</v>
          </cell>
        </row>
        <row r="16">
          <cell r="Q16">
            <v>1252</v>
          </cell>
          <cell r="R16">
            <v>3563</v>
          </cell>
          <cell r="S16">
            <v>3642</v>
          </cell>
          <cell r="T16">
            <v>3711</v>
          </cell>
        </row>
        <row r="17">
          <cell r="Q17">
            <v>4156</v>
          </cell>
          <cell r="R17">
            <v>4838</v>
          </cell>
          <cell r="S17">
            <v>5152</v>
          </cell>
          <cell r="T17">
            <v>5243</v>
          </cell>
        </row>
        <row r="18">
          <cell r="Q18">
            <v>2557</v>
          </cell>
          <cell r="R18">
            <v>2667</v>
          </cell>
          <cell r="S18">
            <v>2735</v>
          </cell>
          <cell r="T18">
            <v>2783</v>
          </cell>
        </row>
        <row r="19">
          <cell r="Q19">
            <v>31241</v>
          </cell>
          <cell r="R19">
            <v>36463</v>
          </cell>
          <cell r="S19">
            <v>37547</v>
          </cell>
          <cell r="T19">
            <v>38493</v>
          </cell>
        </row>
      </sheetData>
      <sheetData sheetId="2">
        <row r="7">
          <cell r="C7" t="str">
            <v>남교리</v>
          </cell>
          <cell r="D7" t="str">
            <v>소계</v>
          </cell>
          <cell r="F7">
            <v>0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512</v>
          </cell>
          <cell r="N7">
            <v>522</v>
          </cell>
          <cell r="O7">
            <v>499</v>
          </cell>
          <cell r="P7">
            <v>511</v>
          </cell>
          <cell r="Q7">
            <v>526</v>
          </cell>
          <cell r="R7">
            <v>516</v>
          </cell>
          <cell r="S7">
            <v>512</v>
          </cell>
          <cell r="T7">
            <v>522</v>
          </cell>
          <cell r="U7">
            <v>499</v>
          </cell>
          <cell r="V7">
            <v>511</v>
          </cell>
          <cell r="W7">
            <v>526</v>
          </cell>
          <cell r="X7">
            <v>516</v>
          </cell>
          <cell r="Y7">
            <v>512</v>
          </cell>
          <cell r="Z7">
            <v>522</v>
          </cell>
          <cell r="AA7">
            <v>499</v>
          </cell>
          <cell r="AB7">
            <v>511</v>
          </cell>
          <cell r="AC7">
            <v>526</v>
          </cell>
          <cell r="AD7">
            <v>516</v>
          </cell>
        </row>
        <row r="8">
          <cell r="C8" t="str">
            <v>동흥리</v>
          </cell>
          <cell r="D8" t="str">
            <v>소계</v>
          </cell>
          <cell r="M8">
            <v>622</v>
          </cell>
          <cell r="N8">
            <v>623</v>
          </cell>
          <cell r="O8">
            <v>614</v>
          </cell>
          <cell r="P8">
            <v>608</v>
          </cell>
          <cell r="Q8">
            <v>622</v>
          </cell>
          <cell r="R8">
            <v>633</v>
          </cell>
          <cell r="S8">
            <v>622</v>
          </cell>
          <cell r="T8">
            <v>623</v>
          </cell>
          <cell r="U8">
            <v>614</v>
          </cell>
          <cell r="V8">
            <v>608</v>
          </cell>
          <cell r="W8">
            <v>622</v>
          </cell>
          <cell r="X8">
            <v>633</v>
          </cell>
          <cell r="Y8">
            <v>622</v>
          </cell>
          <cell r="Z8">
            <v>623</v>
          </cell>
          <cell r="AA8">
            <v>614</v>
          </cell>
          <cell r="AB8">
            <v>608</v>
          </cell>
          <cell r="AC8">
            <v>622</v>
          </cell>
          <cell r="AD8">
            <v>633</v>
          </cell>
        </row>
        <row r="9">
          <cell r="C9" t="str">
            <v>동흥 1</v>
          </cell>
          <cell r="D9" t="str">
            <v>계</v>
          </cell>
          <cell r="F9">
            <v>0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321</v>
          </cell>
          <cell r="N9">
            <v>322</v>
          </cell>
          <cell r="O9">
            <v>317</v>
          </cell>
          <cell r="P9">
            <v>314</v>
          </cell>
          <cell r="Q9">
            <v>321</v>
          </cell>
          <cell r="R9">
            <v>327</v>
          </cell>
          <cell r="S9">
            <v>321</v>
          </cell>
          <cell r="T9">
            <v>322</v>
          </cell>
          <cell r="U9">
            <v>317</v>
          </cell>
          <cell r="V9">
            <v>314</v>
          </cell>
          <cell r="W9">
            <v>321</v>
          </cell>
          <cell r="X9">
            <v>327</v>
          </cell>
          <cell r="Y9">
            <v>321</v>
          </cell>
          <cell r="Z9">
            <v>322</v>
          </cell>
          <cell r="AA9">
            <v>317</v>
          </cell>
          <cell r="AB9">
            <v>314</v>
          </cell>
          <cell r="AC9">
            <v>321</v>
          </cell>
          <cell r="AD9">
            <v>327</v>
          </cell>
        </row>
        <row r="10">
          <cell r="C10" t="str">
            <v>동흥 2</v>
          </cell>
          <cell r="D10" t="str">
            <v>계</v>
          </cell>
          <cell r="F10">
            <v>0</v>
          </cell>
          <cell r="H10">
            <v>1</v>
          </cell>
          <cell r="I10">
            <v>1</v>
          </cell>
          <cell r="J10">
            <v>1</v>
          </cell>
          <cell r="K10">
            <v>1</v>
          </cell>
          <cell r="L10">
            <v>1</v>
          </cell>
          <cell r="M10">
            <v>301</v>
          </cell>
          <cell r="N10">
            <v>301</v>
          </cell>
          <cell r="O10">
            <v>297</v>
          </cell>
          <cell r="P10">
            <v>294</v>
          </cell>
          <cell r="Q10">
            <v>301</v>
          </cell>
          <cell r="R10">
            <v>306</v>
          </cell>
          <cell r="S10">
            <v>301</v>
          </cell>
          <cell r="T10">
            <v>301</v>
          </cell>
          <cell r="U10">
            <v>297</v>
          </cell>
          <cell r="V10">
            <v>294</v>
          </cell>
          <cell r="W10">
            <v>301</v>
          </cell>
          <cell r="X10">
            <v>306</v>
          </cell>
          <cell r="Y10">
            <v>301</v>
          </cell>
          <cell r="Z10">
            <v>301</v>
          </cell>
          <cell r="AA10">
            <v>297</v>
          </cell>
          <cell r="AB10">
            <v>294</v>
          </cell>
          <cell r="AC10">
            <v>301</v>
          </cell>
          <cell r="AD10">
            <v>306</v>
          </cell>
        </row>
        <row r="11">
          <cell r="C11" t="str">
            <v>북옥리</v>
          </cell>
          <cell r="D11" t="str">
            <v>소계</v>
          </cell>
          <cell r="F11">
            <v>0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  <cell r="L11">
            <v>1</v>
          </cell>
          <cell r="M11">
            <v>210</v>
          </cell>
          <cell r="N11">
            <v>211</v>
          </cell>
          <cell r="O11">
            <v>207</v>
          </cell>
          <cell r="P11">
            <v>205</v>
          </cell>
          <cell r="Q11">
            <v>210</v>
          </cell>
          <cell r="R11">
            <v>214</v>
          </cell>
          <cell r="S11">
            <v>210</v>
          </cell>
          <cell r="T11">
            <v>211</v>
          </cell>
          <cell r="U11">
            <v>207</v>
          </cell>
          <cell r="V11">
            <v>205</v>
          </cell>
          <cell r="W11">
            <v>210</v>
          </cell>
          <cell r="X11">
            <v>214</v>
          </cell>
          <cell r="Y11">
            <v>210</v>
          </cell>
          <cell r="Z11">
            <v>211</v>
          </cell>
          <cell r="AA11">
            <v>207</v>
          </cell>
          <cell r="AB11">
            <v>205</v>
          </cell>
          <cell r="AC11">
            <v>210</v>
          </cell>
          <cell r="AD11">
            <v>214</v>
          </cell>
        </row>
        <row r="12">
          <cell r="C12" t="str">
            <v>서창리</v>
          </cell>
          <cell r="D12" t="str">
            <v>소계</v>
          </cell>
          <cell r="F12">
            <v>0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266</v>
          </cell>
          <cell r="N12">
            <v>266</v>
          </cell>
          <cell r="O12">
            <v>262</v>
          </cell>
          <cell r="P12">
            <v>260</v>
          </cell>
          <cell r="Q12">
            <v>266</v>
          </cell>
          <cell r="R12">
            <v>271</v>
          </cell>
          <cell r="S12">
            <v>266</v>
          </cell>
          <cell r="T12">
            <v>266</v>
          </cell>
          <cell r="U12">
            <v>262</v>
          </cell>
          <cell r="V12">
            <v>260</v>
          </cell>
          <cell r="W12">
            <v>266</v>
          </cell>
          <cell r="X12">
            <v>271</v>
          </cell>
          <cell r="Y12">
            <v>266</v>
          </cell>
          <cell r="Z12">
            <v>266</v>
          </cell>
          <cell r="AA12">
            <v>262</v>
          </cell>
          <cell r="AB12">
            <v>260</v>
          </cell>
          <cell r="AC12">
            <v>266</v>
          </cell>
          <cell r="AD12">
            <v>271</v>
          </cell>
        </row>
        <row r="13">
          <cell r="C13" t="str">
            <v>홍교리</v>
          </cell>
          <cell r="D13" t="str">
            <v>소계</v>
          </cell>
          <cell r="F13">
            <v>0</v>
          </cell>
          <cell r="H13">
            <v>1</v>
          </cell>
          <cell r="I13">
            <v>1</v>
          </cell>
          <cell r="J13">
            <v>1</v>
          </cell>
          <cell r="K13">
            <v>1</v>
          </cell>
          <cell r="L13">
            <v>1</v>
          </cell>
          <cell r="M13">
            <v>521</v>
          </cell>
          <cell r="N13">
            <v>522</v>
          </cell>
          <cell r="O13">
            <v>514</v>
          </cell>
          <cell r="P13">
            <v>508</v>
          </cell>
          <cell r="Q13">
            <v>520</v>
          </cell>
          <cell r="R13">
            <v>530</v>
          </cell>
          <cell r="S13">
            <v>521</v>
          </cell>
          <cell r="T13">
            <v>522</v>
          </cell>
          <cell r="U13">
            <v>514</v>
          </cell>
          <cell r="V13">
            <v>508</v>
          </cell>
          <cell r="W13">
            <v>520</v>
          </cell>
          <cell r="X13">
            <v>530</v>
          </cell>
          <cell r="Y13">
            <v>521</v>
          </cell>
          <cell r="Z13">
            <v>522</v>
          </cell>
          <cell r="AA13">
            <v>514</v>
          </cell>
          <cell r="AB13">
            <v>508</v>
          </cell>
          <cell r="AC13">
            <v>520</v>
          </cell>
          <cell r="AD13">
            <v>530</v>
          </cell>
        </row>
        <row r="14">
          <cell r="C14" t="str">
            <v>중앙리</v>
          </cell>
          <cell r="D14" t="str">
            <v>소계</v>
          </cell>
          <cell r="M14">
            <v>571</v>
          </cell>
          <cell r="N14">
            <v>571</v>
          </cell>
          <cell r="O14">
            <v>562</v>
          </cell>
          <cell r="P14">
            <v>558</v>
          </cell>
          <cell r="Q14">
            <v>571</v>
          </cell>
          <cell r="R14">
            <v>582</v>
          </cell>
          <cell r="S14">
            <v>571</v>
          </cell>
          <cell r="T14">
            <v>571</v>
          </cell>
          <cell r="U14">
            <v>562</v>
          </cell>
          <cell r="V14">
            <v>558</v>
          </cell>
          <cell r="W14">
            <v>571</v>
          </cell>
          <cell r="X14">
            <v>582</v>
          </cell>
          <cell r="Y14">
            <v>571</v>
          </cell>
          <cell r="Z14">
            <v>571</v>
          </cell>
          <cell r="AA14">
            <v>562</v>
          </cell>
          <cell r="AB14">
            <v>558</v>
          </cell>
          <cell r="AC14">
            <v>571</v>
          </cell>
          <cell r="AD14">
            <v>582</v>
          </cell>
        </row>
        <row r="15">
          <cell r="C15" t="str">
            <v>중앙 1</v>
          </cell>
          <cell r="D15" t="str">
            <v>계</v>
          </cell>
          <cell r="F15">
            <v>0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373</v>
          </cell>
          <cell r="N15">
            <v>373</v>
          </cell>
          <cell r="O15">
            <v>367</v>
          </cell>
          <cell r="P15">
            <v>364</v>
          </cell>
          <cell r="Q15">
            <v>373</v>
          </cell>
          <cell r="R15">
            <v>380</v>
          </cell>
          <cell r="S15">
            <v>373</v>
          </cell>
          <cell r="T15">
            <v>373</v>
          </cell>
          <cell r="U15">
            <v>367</v>
          </cell>
          <cell r="V15">
            <v>364</v>
          </cell>
          <cell r="W15">
            <v>373</v>
          </cell>
          <cell r="X15">
            <v>380</v>
          </cell>
          <cell r="Y15">
            <v>373</v>
          </cell>
          <cell r="Z15">
            <v>373</v>
          </cell>
          <cell r="AA15">
            <v>367</v>
          </cell>
          <cell r="AB15">
            <v>364</v>
          </cell>
          <cell r="AC15">
            <v>373</v>
          </cell>
          <cell r="AD15">
            <v>380</v>
          </cell>
        </row>
        <row r="16">
          <cell r="C16" t="str">
            <v>중앙 2</v>
          </cell>
          <cell r="D16" t="str">
            <v>계</v>
          </cell>
          <cell r="F16">
            <v>0</v>
          </cell>
          <cell r="H16">
            <v>1</v>
          </cell>
          <cell r="I16">
            <v>1</v>
          </cell>
          <cell r="J16">
            <v>1</v>
          </cell>
          <cell r="K16">
            <v>1</v>
          </cell>
          <cell r="L16">
            <v>1</v>
          </cell>
          <cell r="M16">
            <v>198</v>
          </cell>
          <cell r="N16">
            <v>198</v>
          </cell>
          <cell r="O16">
            <v>195</v>
          </cell>
          <cell r="P16">
            <v>194</v>
          </cell>
          <cell r="Q16">
            <v>198</v>
          </cell>
          <cell r="R16">
            <v>202</v>
          </cell>
          <cell r="S16">
            <v>198</v>
          </cell>
          <cell r="T16">
            <v>198</v>
          </cell>
          <cell r="U16">
            <v>195</v>
          </cell>
          <cell r="V16">
            <v>194</v>
          </cell>
          <cell r="W16">
            <v>198</v>
          </cell>
          <cell r="X16">
            <v>202</v>
          </cell>
          <cell r="Y16">
            <v>198</v>
          </cell>
          <cell r="Z16">
            <v>198</v>
          </cell>
          <cell r="AA16">
            <v>195</v>
          </cell>
          <cell r="AB16">
            <v>194</v>
          </cell>
          <cell r="AC16">
            <v>198</v>
          </cell>
          <cell r="AD16">
            <v>202</v>
          </cell>
        </row>
        <row r="17">
          <cell r="C17" t="str">
            <v>염천리</v>
          </cell>
          <cell r="D17" t="str">
            <v>소계</v>
          </cell>
          <cell r="F17">
            <v>0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202</v>
          </cell>
          <cell r="N17">
            <v>202</v>
          </cell>
          <cell r="O17">
            <v>199</v>
          </cell>
          <cell r="P17">
            <v>197</v>
          </cell>
          <cell r="Q17">
            <v>201</v>
          </cell>
          <cell r="R17">
            <v>205</v>
          </cell>
          <cell r="S17">
            <v>202</v>
          </cell>
          <cell r="T17">
            <v>202</v>
          </cell>
          <cell r="U17">
            <v>199</v>
          </cell>
          <cell r="V17">
            <v>197</v>
          </cell>
          <cell r="W17">
            <v>201</v>
          </cell>
          <cell r="X17">
            <v>205</v>
          </cell>
          <cell r="Y17">
            <v>202</v>
          </cell>
          <cell r="Z17">
            <v>202</v>
          </cell>
          <cell r="AA17">
            <v>199</v>
          </cell>
          <cell r="AB17">
            <v>197</v>
          </cell>
          <cell r="AC17">
            <v>201</v>
          </cell>
          <cell r="AD17">
            <v>205</v>
          </cell>
        </row>
        <row r="18">
          <cell r="C18" t="str">
            <v>태평리</v>
          </cell>
          <cell r="D18" t="str">
            <v>소계</v>
          </cell>
          <cell r="F18">
            <v>0</v>
          </cell>
          <cell r="H18">
            <v>1</v>
          </cell>
          <cell r="I18">
            <v>1</v>
          </cell>
          <cell r="J18">
            <v>1</v>
          </cell>
          <cell r="K18">
            <v>1</v>
          </cell>
          <cell r="L18">
            <v>1</v>
          </cell>
          <cell r="M18">
            <v>244</v>
          </cell>
          <cell r="N18">
            <v>245</v>
          </cell>
          <cell r="O18">
            <v>241</v>
          </cell>
          <cell r="P18">
            <v>238</v>
          </cell>
          <cell r="Q18">
            <v>244</v>
          </cell>
          <cell r="R18">
            <v>248</v>
          </cell>
          <cell r="S18">
            <v>244</v>
          </cell>
          <cell r="T18">
            <v>245</v>
          </cell>
          <cell r="U18">
            <v>241</v>
          </cell>
          <cell r="V18">
            <v>238</v>
          </cell>
          <cell r="W18">
            <v>244</v>
          </cell>
          <cell r="X18">
            <v>248</v>
          </cell>
          <cell r="Y18">
            <v>244</v>
          </cell>
          <cell r="Z18">
            <v>245</v>
          </cell>
          <cell r="AA18">
            <v>241</v>
          </cell>
          <cell r="AB18">
            <v>238</v>
          </cell>
          <cell r="AC18">
            <v>244</v>
          </cell>
          <cell r="AD18">
            <v>248</v>
          </cell>
        </row>
        <row r="19">
          <cell r="C19" t="str">
            <v>대흥리</v>
          </cell>
          <cell r="D19" t="str">
            <v>소계</v>
          </cell>
          <cell r="M19">
            <v>2084</v>
          </cell>
          <cell r="N19">
            <v>2086</v>
          </cell>
          <cell r="O19">
            <v>2054</v>
          </cell>
          <cell r="P19">
            <v>2033</v>
          </cell>
          <cell r="Q19">
            <v>2082</v>
          </cell>
          <cell r="R19">
            <v>2120</v>
          </cell>
          <cell r="S19">
            <v>2084</v>
          </cell>
          <cell r="T19">
            <v>2086</v>
          </cell>
          <cell r="U19">
            <v>2054</v>
          </cell>
          <cell r="V19">
            <v>2033</v>
          </cell>
          <cell r="W19">
            <v>2082</v>
          </cell>
          <cell r="X19">
            <v>2120</v>
          </cell>
          <cell r="Y19">
            <v>2084</v>
          </cell>
          <cell r="Z19">
            <v>2086</v>
          </cell>
          <cell r="AA19">
            <v>2054</v>
          </cell>
          <cell r="AB19">
            <v>2033</v>
          </cell>
          <cell r="AC19">
            <v>2082</v>
          </cell>
          <cell r="AD19">
            <v>2120</v>
          </cell>
        </row>
        <row r="20">
          <cell r="C20" t="str">
            <v>대흥 1</v>
          </cell>
          <cell r="D20" t="str">
            <v>계</v>
          </cell>
          <cell r="F20">
            <v>0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810</v>
          </cell>
          <cell r="N20">
            <v>811</v>
          </cell>
          <cell r="O20">
            <v>798</v>
          </cell>
          <cell r="P20">
            <v>791</v>
          </cell>
          <cell r="Q20">
            <v>810</v>
          </cell>
          <cell r="R20">
            <v>824</v>
          </cell>
          <cell r="S20">
            <v>810</v>
          </cell>
          <cell r="T20">
            <v>811</v>
          </cell>
          <cell r="U20">
            <v>798</v>
          </cell>
          <cell r="V20">
            <v>791</v>
          </cell>
          <cell r="W20">
            <v>810</v>
          </cell>
          <cell r="X20">
            <v>824</v>
          </cell>
          <cell r="Y20">
            <v>810</v>
          </cell>
          <cell r="Z20">
            <v>811</v>
          </cell>
          <cell r="AA20">
            <v>798</v>
          </cell>
          <cell r="AB20">
            <v>791</v>
          </cell>
          <cell r="AC20">
            <v>810</v>
          </cell>
          <cell r="AD20">
            <v>824</v>
          </cell>
        </row>
        <row r="21">
          <cell r="C21" t="str">
            <v>대흥 2</v>
          </cell>
          <cell r="D21" t="str">
            <v>계</v>
          </cell>
          <cell r="F21">
            <v>0</v>
          </cell>
          <cell r="H21">
            <v>1</v>
          </cell>
          <cell r="I21">
            <v>1</v>
          </cell>
          <cell r="J21">
            <v>1</v>
          </cell>
          <cell r="K21">
            <v>1</v>
          </cell>
          <cell r="L21">
            <v>1</v>
          </cell>
          <cell r="M21">
            <v>346</v>
          </cell>
          <cell r="N21">
            <v>346</v>
          </cell>
          <cell r="O21">
            <v>341</v>
          </cell>
          <cell r="P21">
            <v>337</v>
          </cell>
          <cell r="Q21">
            <v>345</v>
          </cell>
          <cell r="R21">
            <v>352</v>
          </cell>
          <cell r="S21">
            <v>346</v>
          </cell>
          <cell r="T21">
            <v>346</v>
          </cell>
          <cell r="U21">
            <v>341</v>
          </cell>
          <cell r="V21">
            <v>337</v>
          </cell>
          <cell r="W21">
            <v>345</v>
          </cell>
          <cell r="X21">
            <v>352</v>
          </cell>
          <cell r="Y21">
            <v>346</v>
          </cell>
          <cell r="Z21">
            <v>346</v>
          </cell>
          <cell r="AA21">
            <v>341</v>
          </cell>
          <cell r="AB21">
            <v>337</v>
          </cell>
          <cell r="AC21">
            <v>345</v>
          </cell>
          <cell r="AD21">
            <v>352</v>
          </cell>
        </row>
        <row r="22">
          <cell r="C22" t="str">
            <v>대흥 3</v>
          </cell>
          <cell r="D22" t="str">
            <v>계</v>
          </cell>
          <cell r="F22">
            <v>0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928</v>
          </cell>
          <cell r="N22">
            <v>929</v>
          </cell>
          <cell r="O22">
            <v>915</v>
          </cell>
          <cell r="P22">
            <v>905</v>
          </cell>
          <cell r="Q22">
            <v>927</v>
          </cell>
          <cell r="R22">
            <v>944</v>
          </cell>
          <cell r="S22">
            <v>928</v>
          </cell>
          <cell r="T22">
            <v>929</v>
          </cell>
          <cell r="U22">
            <v>915</v>
          </cell>
          <cell r="V22">
            <v>905</v>
          </cell>
          <cell r="W22">
            <v>927</v>
          </cell>
          <cell r="X22">
            <v>944</v>
          </cell>
          <cell r="Y22">
            <v>928</v>
          </cell>
          <cell r="Z22">
            <v>929</v>
          </cell>
          <cell r="AA22">
            <v>915</v>
          </cell>
          <cell r="AB22">
            <v>905</v>
          </cell>
          <cell r="AC22">
            <v>927</v>
          </cell>
          <cell r="AD22">
            <v>944</v>
          </cell>
        </row>
        <row r="23">
          <cell r="C23" t="str">
            <v>황산리</v>
          </cell>
          <cell r="D23" t="str">
            <v>소계</v>
          </cell>
          <cell r="M23">
            <v>1842</v>
          </cell>
          <cell r="N23">
            <v>1843</v>
          </cell>
          <cell r="O23">
            <v>1817</v>
          </cell>
          <cell r="P23">
            <v>1797</v>
          </cell>
          <cell r="Q23">
            <v>1840</v>
          </cell>
          <cell r="R23">
            <v>1874</v>
          </cell>
          <cell r="S23">
            <v>1842</v>
          </cell>
          <cell r="T23">
            <v>1843</v>
          </cell>
          <cell r="U23">
            <v>1817</v>
          </cell>
          <cell r="V23">
            <v>1797</v>
          </cell>
          <cell r="W23">
            <v>1840</v>
          </cell>
          <cell r="X23">
            <v>1874</v>
          </cell>
          <cell r="Y23">
            <v>1842</v>
          </cell>
          <cell r="Z23">
            <v>1843</v>
          </cell>
          <cell r="AA23">
            <v>1817</v>
          </cell>
          <cell r="AB23">
            <v>1797</v>
          </cell>
          <cell r="AC23">
            <v>1840</v>
          </cell>
          <cell r="AD23">
            <v>1874</v>
          </cell>
        </row>
        <row r="24">
          <cell r="C24" t="str">
            <v>황산 1</v>
          </cell>
          <cell r="D24" t="str">
            <v>계</v>
          </cell>
          <cell r="F24">
            <v>0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257</v>
          </cell>
          <cell r="N24">
            <v>257</v>
          </cell>
          <cell r="O24">
            <v>253</v>
          </cell>
          <cell r="P24">
            <v>250</v>
          </cell>
          <cell r="Q24">
            <v>256</v>
          </cell>
          <cell r="R24">
            <v>261</v>
          </cell>
          <cell r="S24">
            <v>257</v>
          </cell>
          <cell r="T24">
            <v>257</v>
          </cell>
          <cell r="U24">
            <v>253</v>
          </cell>
          <cell r="V24">
            <v>250</v>
          </cell>
          <cell r="W24">
            <v>256</v>
          </cell>
          <cell r="X24">
            <v>261</v>
          </cell>
          <cell r="Y24">
            <v>257</v>
          </cell>
          <cell r="Z24">
            <v>257</v>
          </cell>
          <cell r="AA24">
            <v>253</v>
          </cell>
          <cell r="AB24">
            <v>250</v>
          </cell>
          <cell r="AC24">
            <v>256</v>
          </cell>
          <cell r="AD24">
            <v>261</v>
          </cell>
        </row>
        <row r="25">
          <cell r="C25" t="str">
            <v>황산 2</v>
          </cell>
          <cell r="D25" t="str">
            <v>계</v>
          </cell>
          <cell r="F25">
            <v>0</v>
          </cell>
          <cell r="H25">
            <v>1</v>
          </cell>
          <cell r="I25">
            <v>1</v>
          </cell>
          <cell r="J25">
            <v>1</v>
          </cell>
          <cell r="K25">
            <v>1</v>
          </cell>
          <cell r="L25">
            <v>1</v>
          </cell>
          <cell r="M25">
            <v>151</v>
          </cell>
          <cell r="N25">
            <v>151</v>
          </cell>
          <cell r="O25">
            <v>149</v>
          </cell>
          <cell r="P25">
            <v>147</v>
          </cell>
          <cell r="Q25">
            <v>150</v>
          </cell>
          <cell r="R25">
            <v>153</v>
          </cell>
          <cell r="S25">
            <v>151</v>
          </cell>
          <cell r="T25">
            <v>151</v>
          </cell>
          <cell r="U25">
            <v>149</v>
          </cell>
          <cell r="V25">
            <v>147</v>
          </cell>
          <cell r="W25">
            <v>150</v>
          </cell>
          <cell r="X25">
            <v>153</v>
          </cell>
          <cell r="Y25">
            <v>151</v>
          </cell>
          <cell r="Z25">
            <v>151</v>
          </cell>
          <cell r="AA25">
            <v>149</v>
          </cell>
          <cell r="AB25">
            <v>147</v>
          </cell>
          <cell r="AC25">
            <v>150</v>
          </cell>
          <cell r="AD25">
            <v>153</v>
          </cell>
        </row>
        <row r="26">
          <cell r="C26" t="str">
            <v>황산 3</v>
          </cell>
          <cell r="D26" t="str">
            <v>계</v>
          </cell>
          <cell r="F26">
            <v>0</v>
          </cell>
          <cell r="H26">
            <v>1</v>
          </cell>
          <cell r="I26">
            <v>1</v>
          </cell>
          <cell r="J26">
            <v>1</v>
          </cell>
          <cell r="K26">
            <v>1</v>
          </cell>
          <cell r="L26">
            <v>1</v>
          </cell>
          <cell r="M26">
            <v>236</v>
          </cell>
          <cell r="N26">
            <v>236</v>
          </cell>
          <cell r="O26">
            <v>233</v>
          </cell>
          <cell r="P26">
            <v>231</v>
          </cell>
          <cell r="Q26">
            <v>236</v>
          </cell>
          <cell r="R26">
            <v>241</v>
          </cell>
          <cell r="S26">
            <v>236</v>
          </cell>
          <cell r="T26">
            <v>236</v>
          </cell>
          <cell r="U26">
            <v>233</v>
          </cell>
          <cell r="V26">
            <v>231</v>
          </cell>
          <cell r="W26">
            <v>236</v>
          </cell>
          <cell r="X26">
            <v>241</v>
          </cell>
          <cell r="Y26">
            <v>236</v>
          </cell>
          <cell r="Z26">
            <v>236</v>
          </cell>
          <cell r="AA26">
            <v>233</v>
          </cell>
          <cell r="AB26">
            <v>231</v>
          </cell>
          <cell r="AC26">
            <v>236</v>
          </cell>
          <cell r="AD26">
            <v>241</v>
          </cell>
        </row>
        <row r="27">
          <cell r="C27" t="str">
            <v>황산 4</v>
          </cell>
          <cell r="D27" t="str">
            <v>계</v>
          </cell>
          <cell r="F27">
            <v>0</v>
          </cell>
          <cell r="H27">
            <v>1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525</v>
          </cell>
          <cell r="N27">
            <v>525</v>
          </cell>
          <cell r="O27">
            <v>518</v>
          </cell>
          <cell r="P27">
            <v>512</v>
          </cell>
          <cell r="Q27">
            <v>525</v>
          </cell>
          <cell r="R27">
            <v>534</v>
          </cell>
          <cell r="S27">
            <v>525</v>
          </cell>
          <cell r="T27">
            <v>525</v>
          </cell>
          <cell r="U27">
            <v>518</v>
          </cell>
          <cell r="V27">
            <v>512</v>
          </cell>
          <cell r="W27">
            <v>525</v>
          </cell>
          <cell r="X27">
            <v>534</v>
          </cell>
          <cell r="Y27">
            <v>525</v>
          </cell>
          <cell r="Z27">
            <v>525</v>
          </cell>
          <cell r="AA27">
            <v>518</v>
          </cell>
          <cell r="AB27">
            <v>512</v>
          </cell>
          <cell r="AC27">
            <v>525</v>
          </cell>
          <cell r="AD27">
            <v>534</v>
          </cell>
        </row>
        <row r="28">
          <cell r="C28" t="str">
            <v>황산 5</v>
          </cell>
          <cell r="D28" t="str">
            <v>계</v>
          </cell>
          <cell r="F28">
            <v>0</v>
          </cell>
          <cell r="H28">
            <v>1</v>
          </cell>
          <cell r="I28">
            <v>1</v>
          </cell>
          <cell r="J28">
            <v>1</v>
          </cell>
          <cell r="K28">
            <v>1</v>
          </cell>
          <cell r="L28">
            <v>1</v>
          </cell>
          <cell r="M28">
            <v>673</v>
          </cell>
          <cell r="N28">
            <v>674</v>
          </cell>
          <cell r="O28">
            <v>664</v>
          </cell>
          <cell r="P28">
            <v>657</v>
          </cell>
          <cell r="Q28">
            <v>673</v>
          </cell>
          <cell r="R28">
            <v>685</v>
          </cell>
          <cell r="S28">
            <v>673</v>
          </cell>
          <cell r="T28">
            <v>674</v>
          </cell>
          <cell r="U28">
            <v>664</v>
          </cell>
          <cell r="V28">
            <v>657</v>
          </cell>
          <cell r="W28">
            <v>673</v>
          </cell>
          <cell r="X28">
            <v>685</v>
          </cell>
          <cell r="Y28">
            <v>673</v>
          </cell>
          <cell r="Z28">
            <v>674</v>
          </cell>
          <cell r="AA28">
            <v>664</v>
          </cell>
          <cell r="AB28">
            <v>657</v>
          </cell>
          <cell r="AC28">
            <v>673</v>
          </cell>
          <cell r="AD28">
            <v>685</v>
          </cell>
        </row>
        <row r="29">
          <cell r="C29" t="str">
            <v>채산리</v>
          </cell>
          <cell r="D29" t="str">
            <v>소계</v>
          </cell>
          <cell r="M29">
            <v>1499</v>
          </cell>
          <cell r="N29">
            <v>1500</v>
          </cell>
          <cell r="O29">
            <v>1478</v>
          </cell>
          <cell r="P29">
            <v>1462</v>
          </cell>
          <cell r="Q29">
            <v>1497</v>
          </cell>
          <cell r="R29">
            <v>1525</v>
          </cell>
          <cell r="S29">
            <v>1499</v>
          </cell>
          <cell r="T29">
            <v>1500</v>
          </cell>
          <cell r="U29">
            <v>1478</v>
          </cell>
          <cell r="V29">
            <v>1462</v>
          </cell>
          <cell r="W29">
            <v>1497</v>
          </cell>
          <cell r="X29">
            <v>1525</v>
          </cell>
          <cell r="Y29">
            <v>1499</v>
          </cell>
          <cell r="Z29">
            <v>1500</v>
          </cell>
          <cell r="AA29">
            <v>1478</v>
          </cell>
          <cell r="AB29">
            <v>1462</v>
          </cell>
          <cell r="AC29">
            <v>1497</v>
          </cell>
          <cell r="AD29">
            <v>1525</v>
          </cell>
        </row>
        <row r="30">
          <cell r="C30" t="str">
            <v>채산 1</v>
          </cell>
          <cell r="D30" t="str">
            <v>계</v>
          </cell>
          <cell r="F30">
            <v>0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1</v>
          </cell>
          <cell r="M30">
            <v>191</v>
          </cell>
          <cell r="N30">
            <v>191</v>
          </cell>
          <cell r="O30">
            <v>188</v>
          </cell>
          <cell r="P30">
            <v>186</v>
          </cell>
          <cell r="Q30">
            <v>191</v>
          </cell>
          <cell r="R30">
            <v>194</v>
          </cell>
          <cell r="S30">
            <v>191</v>
          </cell>
          <cell r="T30">
            <v>191</v>
          </cell>
          <cell r="U30">
            <v>188</v>
          </cell>
          <cell r="V30">
            <v>186</v>
          </cell>
          <cell r="W30">
            <v>191</v>
          </cell>
          <cell r="X30">
            <v>194</v>
          </cell>
          <cell r="Y30">
            <v>191</v>
          </cell>
          <cell r="Z30">
            <v>191</v>
          </cell>
          <cell r="AA30">
            <v>188</v>
          </cell>
          <cell r="AB30">
            <v>186</v>
          </cell>
          <cell r="AC30">
            <v>191</v>
          </cell>
          <cell r="AD30">
            <v>194</v>
          </cell>
        </row>
        <row r="31">
          <cell r="C31" t="str">
            <v>채산 2</v>
          </cell>
          <cell r="D31" t="str">
            <v>계</v>
          </cell>
          <cell r="F31">
            <v>0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L31">
            <v>1</v>
          </cell>
          <cell r="M31">
            <v>364</v>
          </cell>
          <cell r="N31">
            <v>365</v>
          </cell>
          <cell r="O31">
            <v>359</v>
          </cell>
          <cell r="P31">
            <v>355</v>
          </cell>
          <cell r="Q31">
            <v>363</v>
          </cell>
          <cell r="R31">
            <v>370</v>
          </cell>
          <cell r="S31">
            <v>364</v>
          </cell>
          <cell r="T31">
            <v>365</v>
          </cell>
          <cell r="U31">
            <v>359</v>
          </cell>
          <cell r="V31">
            <v>355</v>
          </cell>
          <cell r="W31">
            <v>363</v>
          </cell>
          <cell r="X31">
            <v>370</v>
          </cell>
          <cell r="Y31">
            <v>364</v>
          </cell>
          <cell r="Z31">
            <v>365</v>
          </cell>
          <cell r="AA31">
            <v>359</v>
          </cell>
          <cell r="AB31">
            <v>355</v>
          </cell>
          <cell r="AC31">
            <v>363</v>
          </cell>
          <cell r="AD31">
            <v>370</v>
          </cell>
        </row>
        <row r="32">
          <cell r="C32" t="str">
            <v>채산 3</v>
          </cell>
          <cell r="D32" t="str">
            <v>계</v>
          </cell>
          <cell r="F32">
            <v>0</v>
          </cell>
          <cell r="H32">
            <v>1</v>
          </cell>
          <cell r="I32">
            <v>1</v>
          </cell>
          <cell r="J32">
            <v>1</v>
          </cell>
          <cell r="K32">
            <v>1</v>
          </cell>
          <cell r="L32">
            <v>1</v>
          </cell>
          <cell r="M32">
            <v>223</v>
          </cell>
          <cell r="N32">
            <v>223</v>
          </cell>
          <cell r="O32">
            <v>220</v>
          </cell>
          <cell r="P32">
            <v>217</v>
          </cell>
          <cell r="Q32">
            <v>223</v>
          </cell>
          <cell r="R32">
            <v>227</v>
          </cell>
          <cell r="S32">
            <v>223</v>
          </cell>
          <cell r="T32">
            <v>223</v>
          </cell>
          <cell r="U32">
            <v>220</v>
          </cell>
          <cell r="V32">
            <v>217</v>
          </cell>
          <cell r="W32">
            <v>223</v>
          </cell>
          <cell r="X32">
            <v>227</v>
          </cell>
          <cell r="Y32">
            <v>223</v>
          </cell>
          <cell r="Z32">
            <v>223</v>
          </cell>
          <cell r="AA32">
            <v>220</v>
          </cell>
          <cell r="AB32">
            <v>217</v>
          </cell>
          <cell r="AC32">
            <v>223</v>
          </cell>
          <cell r="AD32">
            <v>227</v>
          </cell>
        </row>
        <row r="33">
          <cell r="C33" t="str">
            <v>채산 4</v>
          </cell>
          <cell r="D33" t="str">
            <v>계</v>
          </cell>
          <cell r="F33">
            <v>0</v>
          </cell>
          <cell r="H33">
            <v>1</v>
          </cell>
          <cell r="I33">
            <v>1</v>
          </cell>
          <cell r="J33">
            <v>1</v>
          </cell>
          <cell r="K33">
            <v>1</v>
          </cell>
          <cell r="L33">
            <v>1</v>
          </cell>
          <cell r="M33">
            <v>305</v>
          </cell>
          <cell r="N33">
            <v>305</v>
          </cell>
          <cell r="O33">
            <v>301</v>
          </cell>
          <cell r="P33">
            <v>298</v>
          </cell>
          <cell r="Q33">
            <v>305</v>
          </cell>
          <cell r="R33">
            <v>311</v>
          </cell>
          <cell r="S33">
            <v>305</v>
          </cell>
          <cell r="T33">
            <v>305</v>
          </cell>
          <cell r="U33">
            <v>301</v>
          </cell>
          <cell r="V33">
            <v>298</v>
          </cell>
          <cell r="W33">
            <v>305</v>
          </cell>
          <cell r="X33">
            <v>311</v>
          </cell>
          <cell r="Y33">
            <v>305</v>
          </cell>
          <cell r="Z33">
            <v>305</v>
          </cell>
          <cell r="AA33">
            <v>301</v>
          </cell>
          <cell r="AB33">
            <v>298</v>
          </cell>
          <cell r="AC33">
            <v>305</v>
          </cell>
          <cell r="AD33">
            <v>311</v>
          </cell>
        </row>
        <row r="34">
          <cell r="C34" t="str">
            <v>채산 5</v>
          </cell>
          <cell r="D34" t="str">
            <v>계</v>
          </cell>
          <cell r="F34">
            <v>0</v>
          </cell>
          <cell r="H34">
            <v>1</v>
          </cell>
          <cell r="I34">
            <v>1</v>
          </cell>
          <cell r="J34">
            <v>1</v>
          </cell>
          <cell r="K34">
            <v>1</v>
          </cell>
          <cell r="L34">
            <v>1</v>
          </cell>
          <cell r="M34">
            <v>416</v>
          </cell>
          <cell r="N34">
            <v>416</v>
          </cell>
          <cell r="O34">
            <v>410</v>
          </cell>
          <cell r="P34">
            <v>406</v>
          </cell>
          <cell r="Q34">
            <v>415</v>
          </cell>
          <cell r="R34">
            <v>423</v>
          </cell>
          <cell r="S34">
            <v>416</v>
          </cell>
          <cell r="T34">
            <v>416</v>
          </cell>
          <cell r="U34">
            <v>410</v>
          </cell>
          <cell r="V34">
            <v>406</v>
          </cell>
          <cell r="W34">
            <v>415</v>
          </cell>
          <cell r="X34">
            <v>423</v>
          </cell>
          <cell r="Y34">
            <v>416</v>
          </cell>
          <cell r="Z34">
            <v>416</v>
          </cell>
          <cell r="AA34">
            <v>410</v>
          </cell>
          <cell r="AB34">
            <v>406</v>
          </cell>
          <cell r="AC34">
            <v>415</v>
          </cell>
          <cell r="AD34">
            <v>423</v>
          </cell>
        </row>
        <row r="35">
          <cell r="C35" t="str">
            <v>산양리</v>
          </cell>
          <cell r="D35" t="str">
            <v>소계</v>
          </cell>
          <cell r="M35">
            <v>1622</v>
          </cell>
          <cell r="N35">
            <v>1625</v>
          </cell>
          <cell r="O35">
            <v>1600</v>
          </cell>
          <cell r="P35">
            <v>1584</v>
          </cell>
          <cell r="Q35">
            <v>1622</v>
          </cell>
          <cell r="R35">
            <v>1650</v>
          </cell>
          <cell r="S35">
            <v>1622</v>
          </cell>
          <cell r="T35">
            <v>1625</v>
          </cell>
          <cell r="U35">
            <v>1600</v>
          </cell>
          <cell r="V35">
            <v>1584</v>
          </cell>
          <cell r="W35">
            <v>1622</v>
          </cell>
          <cell r="X35">
            <v>1650</v>
          </cell>
          <cell r="Y35">
            <v>1622</v>
          </cell>
          <cell r="Z35">
            <v>1625</v>
          </cell>
          <cell r="AA35">
            <v>1600</v>
          </cell>
          <cell r="AB35">
            <v>1584</v>
          </cell>
          <cell r="AC35">
            <v>1622</v>
          </cell>
          <cell r="AD35">
            <v>1650</v>
          </cell>
        </row>
        <row r="36">
          <cell r="C36" t="str">
            <v>산양 1</v>
          </cell>
          <cell r="D36" t="str">
            <v>계</v>
          </cell>
          <cell r="F36">
            <v>0</v>
          </cell>
          <cell r="H36">
            <v>1</v>
          </cell>
          <cell r="I36">
            <v>1</v>
          </cell>
          <cell r="J36">
            <v>1</v>
          </cell>
          <cell r="K36">
            <v>1</v>
          </cell>
          <cell r="L36">
            <v>1</v>
          </cell>
          <cell r="M36">
            <v>246</v>
          </cell>
          <cell r="N36">
            <v>247</v>
          </cell>
          <cell r="O36">
            <v>243</v>
          </cell>
          <cell r="P36">
            <v>240</v>
          </cell>
          <cell r="Q36">
            <v>246</v>
          </cell>
          <cell r="R36">
            <v>250</v>
          </cell>
          <cell r="S36">
            <v>246</v>
          </cell>
          <cell r="T36">
            <v>247</v>
          </cell>
          <cell r="U36">
            <v>243</v>
          </cell>
          <cell r="V36">
            <v>240</v>
          </cell>
          <cell r="W36">
            <v>246</v>
          </cell>
          <cell r="X36">
            <v>250</v>
          </cell>
          <cell r="Y36">
            <v>246</v>
          </cell>
          <cell r="Z36">
            <v>247</v>
          </cell>
          <cell r="AA36">
            <v>243</v>
          </cell>
          <cell r="AB36">
            <v>240</v>
          </cell>
          <cell r="AC36">
            <v>246</v>
          </cell>
          <cell r="AD36">
            <v>250</v>
          </cell>
        </row>
        <row r="37">
          <cell r="C37" t="str">
            <v>산양 2</v>
          </cell>
          <cell r="D37" t="str">
            <v>계</v>
          </cell>
          <cell r="F37">
            <v>0</v>
          </cell>
          <cell r="H37">
            <v>1</v>
          </cell>
          <cell r="I37">
            <v>1</v>
          </cell>
          <cell r="J37">
            <v>1</v>
          </cell>
          <cell r="K37">
            <v>1</v>
          </cell>
          <cell r="L37">
            <v>1</v>
          </cell>
          <cell r="M37">
            <v>597</v>
          </cell>
          <cell r="N37">
            <v>598</v>
          </cell>
          <cell r="O37">
            <v>589</v>
          </cell>
          <cell r="P37">
            <v>583</v>
          </cell>
          <cell r="Q37">
            <v>597</v>
          </cell>
          <cell r="R37">
            <v>607</v>
          </cell>
          <cell r="S37">
            <v>597</v>
          </cell>
          <cell r="T37">
            <v>598</v>
          </cell>
          <cell r="U37">
            <v>589</v>
          </cell>
          <cell r="V37">
            <v>583</v>
          </cell>
          <cell r="W37">
            <v>597</v>
          </cell>
          <cell r="X37">
            <v>607</v>
          </cell>
          <cell r="Y37">
            <v>597</v>
          </cell>
          <cell r="Z37">
            <v>598</v>
          </cell>
          <cell r="AA37">
            <v>589</v>
          </cell>
          <cell r="AB37">
            <v>583</v>
          </cell>
          <cell r="AC37">
            <v>597</v>
          </cell>
          <cell r="AD37">
            <v>607</v>
          </cell>
        </row>
        <row r="38">
          <cell r="C38" t="str">
            <v>산양 3</v>
          </cell>
          <cell r="D38" t="str">
            <v>계</v>
          </cell>
          <cell r="F38">
            <v>0</v>
          </cell>
          <cell r="H38">
            <v>1</v>
          </cell>
          <cell r="I38">
            <v>1</v>
          </cell>
          <cell r="J38">
            <v>1</v>
          </cell>
          <cell r="K38">
            <v>1</v>
          </cell>
          <cell r="L38">
            <v>1</v>
          </cell>
          <cell r="M38">
            <v>779</v>
          </cell>
          <cell r="N38">
            <v>780</v>
          </cell>
          <cell r="O38">
            <v>768</v>
          </cell>
          <cell r="P38">
            <v>761</v>
          </cell>
          <cell r="Q38">
            <v>779</v>
          </cell>
          <cell r="R38">
            <v>793</v>
          </cell>
          <cell r="S38">
            <v>779</v>
          </cell>
          <cell r="T38">
            <v>780</v>
          </cell>
          <cell r="U38">
            <v>768</v>
          </cell>
          <cell r="V38">
            <v>761</v>
          </cell>
          <cell r="W38">
            <v>779</v>
          </cell>
          <cell r="X38">
            <v>793</v>
          </cell>
          <cell r="Y38">
            <v>779</v>
          </cell>
          <cell r="Z38">
            <v>780</v>
          </cell>
          <cell r="AA38">
            <v>768</v>
          </cell>
          <cell r="AB38">
            <v>761</v>
          </cell>
          <cell r="AC38">
            <v>779</v>
          </cell>
          <cell r="AD38">
            <v>793</v>
          </cell>
        </row>
        <row r="39">
          <cell r="C39" t="str">
            <v>채운리</v>
          </cell>
          <cell r="D39" t="str">
            <v>소계</v>
          </cell>
          <cell r="M39">
            <v>380</v>
          </cell>
          <cell r="N39">
            <v>380</v>
          </cell>
          <cell r="O39">
            <v>374</v>
          </cell>
          <cell r="P39">
            <v>371</v>
          </cell>
          <cell r="Q39">
            <v>380</v>
          </cell>
          <cell r="R39">
            <v>388</v>
          </cell>
          <cell r="S39">
            <v>380</v>
          </cell>
          <cell r="T39">
            <v>380</v>
          </cell>
          <cell r="U39">
            <v>374</v>
          </cell>
          <cell r="V39">
            <v>371</v>
          </cell>
          <cell r="W39">
            <v>380</v>
          </cell>
          <cell r="X39">
            <v>388</v>
          </cell>
          <cell r="Y39">
            <v>380</v>
          </cell>
          <cell r="Z39">
            <v>380</v>
          </cell>
          <cell r="AA39">
            <v>374</v>
          </cell>
          <cell r="AB39">
            <v>371</v>
          </cell>
          <cell r="AC39">
            <v>380</v>
          </cell>
          <cell r="AD39">
            <v>388</v>
          </cell>
        </row>
        <row r="40">
          <cell r="C40" t="str">
            <v>채운 1</v>
          </cell>
          <cell r="D40" t="str">
            <v>계</v>
          </cell>
          <cell r="F40">
            <v>0</v>
          </cell>
          <cell r="H40">
            <v>1</v>
          </cell>
          <cell r="I40">
            <v>1</v>
          </cell>
          <cell r="J40">
            <v>1</v>
          </cell>
          <cell r="K40">
            <v>1</v>
          </cell>
          <cell r="L40">
            <v>1</v>
          </cell>
          <cell r="M40">
            <v>197</v>
          </cell>
          <cell r="N40">
            <v>197</v>
          </cell>
          <cell r="O40">
            <v>194</v>
          </cell>
          <cell r="P40">
            <v>192</v>
          </cell>
          <cell r="Q40">
            <v>197</v>
          </cell>
          <cell r="R40">
            <v>201</v>
          </cell>
          <cell r="S40">
            <v>197</v>
          </cell>
          <cell r="T40">
            <v>197</v>
          </cell>
          <cell r="U40">
            <v>194</v>
          </cell>
          <cell r="V40">
            <v>192</v>
          </cell>
          <cell r="W40">
            <v>197</v>
          </cell>
          <cell r="X40">
            <v>201</v>
          </cell>
          <cell r="Y40">
            <v>197</v>
          </cell>
          <cell r="Z40">
            <v>197</v>
          </cell>
          <cell r="AA40">
            <v>194</v>
          </cell>
          <cell r="AB40">
            <v>192</v>
          </cell>
          <cell r="AC40">
            <v>197</v>
          </cell>
          <cell r="AD40">
            <v>201</v>
          </cell>
        </row>
        <row r="41">
          <cell r="C41" t="str">
            <v>채운 2</v>
          </cell>
          <cell r="D41" t="str">
            <v>계</v>
          </cell>
          <cell r="F41">
            <v>0</v>
          </cell>
          <cell r="H41">
            <v>1</v>
          </cell>
          <cell r="I41">
            <v>1</v>
          </cell>
          <cell r="J41">
            <v>1</v>
          </cell>
          <cell r="K41">
            <v>1</v>
          </cell>
          <cell r="L41">
            <v>1</v>
          </cell>
          <cell r="M41">
            <v>183</v>
          </cell>
          <cell r="N41">
            <v>183</v>
          </cell>
          <cell r="O41">
            <v>180</v>
          </cell>
          <cell r="P41">
            <v>179</v>
          </cell>
          <cell r="Q41">
            <v>183</v>
          </cell>
          <cell r="R41">
            <v>187</v>
          </cell>
          <cell r="S41">
            <v>183</v>
          </cell>
          <cell r="T41">
            <v>183</v>
          </cell>
          <cell r="U41">
            <v>180</v>
          </cell>
          <cell r="V41">
            <v>179</v>
          </cell>
          <cell r="W41">
            <v>183</v>
          </cell>
          <cell r="X41">
            <v>187</v>
          </cell>
          <cell r="Y41">
            <v>183</v>
          </cell>
          <cell r="Z41">
            <v>183</v>
          </cell>
          <cell r="AA41">
            <v>180</v>
          </cell>
          <cell r="AB41">
            <v>179</v>
          </cell>
          <cell r="AC41">
            <v>183</v>
          </cell>
          <cell r="AD41">
            <v>187</v>
          </cell>
        </row>
        <row r="42">
          <cell r="M42">
            <v>16342</v>
          </cell>
          <cell r="N42">
            <v>16540</v>
          </cell>
          <cell r="O42">
            <v>19848</v>
          </cell>
          <cell r="P42">
            <v>19684</v>
          </cell>
          <cell r="Q42">
            <v>20068</v>
          </cell>
          <cell r="R42">
            <v>20364</v>
          </cell>
          <cell r="S42">
            <v>13948</v>
          </cell>
          <cell r="T42">
            <v>14243</v>
          </cell>
          <cell r="U42">
            <v>18940</v>
          </cell>
          <cell r="V42">
            <v>19490</v>
          </cell>
          <cell r="W42">
            <v>19870</v>
          </cell>
          <cell r="X42">
            <v>20163</v>
          </cell>
          <cell r="Y42">
            <v>13987</v>
          </cell>
          <cell r="Z42">
            <v>14282</v>
          </cell>
          <cell r="AA42">
            <v>18940</v>
          </cell>
          <cell r="AB42">
            <v>19490</v>
          </cell>
          <cell r="AC42">
            <v>19870</v>
          </cell>
          <cell r="AD42">
            <v>20163</v>
          </cell>
        </row>
        <row r="43">
          <cell r="C43" t="str">
            <v>마산리</v>
          </cell>
          <cell r="D43" t="str">
            <v>소계</v>
          </cell>
          <cell r="M43">
            <v>1699</v>
          </cell>
          <cell r="N43">
            <v>1701</v>
          </cell>
          <cell r="O43">
            <v>1675</v>
          </cell>
          <cell r="P43">
            <v>1658</v>
          </cell>
          <cell r="Q43">
            <v>1698</v>
          </cell>
          <cell r="R43">
            <v>1729</v>
          </cell>
          <cell r="S43">
            <v>1615</v>
          </cell>
          <cell r="T43">
            <v>1617</v>
          </cell>
          <cell r="U43">
            <v>1592</v>
          </cell>
          <cell r="V43">
            <v>1641</v>
          </cell>
          <cell r="W43">
            <v>1681</v>
          </cell>
          <cell r="X43">
            <v>1711</v>
          </cell>
          <cell r="Y43">
            <v>1615</v>
          </cell>
          <cell r="Z43">
            <v>1617</v>
          </cell>
          <cell r="AA43">
            <v>1592</v>
          </cell>
          <cell r="AB43">
            <v>1641</v>
          </cell>
          <cell r="AC43">
            <v>1681</v>
          </cell>
          <cell r="AD43">
            <v>1711</v>
          </cell>
        </row>
        <row r="44">
          <cell r="C44" t="str">
            <v>마산 1</v>
          </cell>
          <cell r="D44" t="str">
            <v>계</v>
          </cell>
          <cell r="F44">
            <v>0</v>
          </cell>
          <cell r="H44">
            <v>0.95</v>
          </cell>
          <cell r="I44">
            <v>0.95</v>
          </cell>
          <cell r="J44">
            <v>0.99</v>
          </cell>
          <cell r="K44">
            <v>0.99</v>
          </cell>
          <cell r="L44">
            <v>0.99</v>
          </cell>
          <cell r="M44">
            <v>747</v>
          </cell>
          <cell r="N44">
            <v>748</v>
          </cell>
          <cell r="O44">
            <v>737</v>
          </cell>
          <cell r="P44">
            <v>729</v>
          </cell>
          <cell r="Q44">
            <v>746</v>
          </cell>
          <cell r="R44">
            <v>760</v>
          </cell>
          <cell r="S44">
            <v>710</v>
          </cell>
          <cell r="T44">
            <v>711</v>
          </cell>
          <cell r="U44">
            <v>700</v>
          </cell>
          <cell r="V44">
            <v>722</v>
          </cell>
          <cell r="W44">
            <v>739</v>
          </cell>
          <cell r="X44">
            <v>752</v>
          </cell>
          <cell r="Y44">
            <v>710</v>
          </cell>
          <cell r="Z44">
            <v>711</v>
          </cell>
          <cell r="AA44">
            <v>700</v>
          </cell>
          <cell r="AB44">
            <v>722</v>
          </cell>
          <cell r="AC44">
            <v>739</v>
          </cell>
          <cell r="AD44">
            <v>752</v>
          </cell>
        </row>
        <row r="45">
          <cell r="C45" t="str">
            <v>마산 2</v>
          </cell>
          <cell r="D45" t="str">
            <v>계</v>
          </cell>
          <cell r="F45">
            <v>0</v>
          </cell>
          <cell r="H45">
            <v>0.95</v>
          </cell>
          <cell r="I45">
            <v>0.95</v>
          </cell>
          <cell r="J45">
            <v>0.99</v>
          </cell>
          <cell r="K45">
            <v>0.99</v>
          </cell>
          <cell r="L45">
            <v>0.99</v>
          </cell>
          <cell r="M45">
            <v>370</v>
          </cell>
          <cell r="N45">
            <v>370</v>
          </cell>
          <cell r="O45">
            <v>364</v>
          </cell>
          <cell r="P45">
            <v>361</v>
          </cell>
          <cell r="Q45">
            <v>370</v>
          </cell>
          <cell r="R45">
            <v>377</v>
          </cell>
          <cell r="S45">
            <v>352</v>
          </cell>
          <cell r="T45">
            <v>352</v>
          </cell>
          <cell r="U45">
            <v>346</v>
          </cell>
          <cell r="V45">
            <v>357</v>
          </cell>
          <cell r="W45">
            <v>366</v>
          </cell>
          <cell r="X45">
            <v>373</v>
          </cell>
          <cell r="Y45">
            <v>352</v>
          </cell>
          <cell r="Z45">
            <v>352</v>
          </cell>
          <cell r="AA45">
            <v>346</v>
          </cell>
          <cell r="AB45">
            <v>357</v>
          </cell>
          <cell r="AC45">
            <v>366</v>
          </cell>
          <cell r="AD45">
            <v>373</v>
          </cell>
        </row>
        <row r="46">
          <cell r="C46" t="str">
            <v>마산 3</v>
          </cell>
          <cell r="D46" t="str">
            <v>계</v>
          </cell>
          <cell r="E46">
            <v>116151</v>
          </cell>
          <cell r="M46">
            <v>339</v>
          </cell>
          <cell r="N46">
            <v>339</v>
          </cell>
          <cell r="O46">
            <v>334</v>
          </cell>
          <cell r="P46">
            <v>331</v>
          </cell>
          <cell r="Q46">
            <v>339</v>
          </cell>
          <cell r="R46">
            <v>345</v>
          </cell>
          <cell r="S46">
            <v>322</v>
          </cell>
          <cell r="T46">
            <v>322</v>
          </cell>
          <cell r="U46">
            <v>318</v>
          </cell>
          <cell r="V46">
            <v>327</v>
          </cell>
          <cell r="W46">
            <v>335</v>
          </cell>
          <cell r="X46">
            <v>341</v>
          </cell>
          <cell r="Y46">
            <v>322</v>
          </cell>
          <cell r="Z46">
            <v>322</v>
          </cell>
          <cell r="AA46">
            <v>318</v>
          </cell>
          <cell r="AB46">
            <v>327</v>
          </cell>
          <cell r="AC46">
            <v>335</v>
          </cell>
          <cell r="AD46">
            <v>341</v>
          </cell>
        </row>
        <row r="47">
          <cell r="D47" t="str">
            <v>솔무데기</v>
          </cell>
          <cell r="E47">
            <v>24215</v>
          </cell>
          <cell r="F47">
            <v>0</v>
          </cell>
          <cell r="H47">
            <v>0.95</v>
          </cell>
          <cell r="I47">
            <v>0.95</v>
          </cell>
          <cell r="J47">
            <v>0.99</v>
          </cell>
          <cell r="K47">
            <v>0.99</v>
          </cell>
          <cell r="L47">
            <v>0.99</v>
          </cell>
          <cell r="M47">
            <v>71</v>
          </cell>
          <cell r="N47">
            <v>71</v>
          </cell>
          <cell r="O47">
            <v>70</v>
          </cell>
          <cell r="P47">
            <v>69</v>
          </cell>
          <cell r="Q47">
            <v>71</v>
          </cell>
          <cell r="R47">
            <v>72</v>
          </cell>
          <cell r="S47">
            <v>67</v>
          </cell>
          <cell r="T47">
            <v>67</v>
          </cell>
          <cell r="U47">
            <v>67</v>
          </cell>
          <cell r="V47">
            <v>68</v>
          </cell>
          <cell r="W47">
            <v>70</v>
          </cell>
          <cell r="X47">
            <v>71</v>
          </cell>
          <cell r="Y47">
            <v>67</v>
          </cell>
          <cell r="Z47">
            <v>67</v>
          </cell>
          <cell r="AA47">
            <v>67</v>
          </cell>
          <cell r="AB47">
            <v>68</v>
          </cell>
          <cell r="AC47">
            <v>70</v>
          </cell>
          <cell r="AD47">
            <v>71</v>
          </cell>
        </row>
        <row r="48">
          <cell r="D48" t="str">
            <v>진등</v>
          </cell>
          <cell r="E48">
            <v>91936</v>
          </cell>
          <cell r="F48">
            <v>0</v>
          </cell>
          <cell r="H48">
            <v>0.95</v>
          </cell>
          <cell r="I48">
            <v>0.95</v>
          </cell>
          <cell r="J48">
            <v>0.99</v>
          </cell>
          <cell r="K48">
            <v>0.99</v>
          </cell>
          <cell r="L48">
            <v>0.99</v>
          </cell>
          <cell r="M48">
            <v>268</v>
          </cell>
          <cell r="N48">
            <v>268</v>
          </cell>
          <cell r="O48">
            <v>264</v>
          </cell>
          <cell r="P48">
            <v>262</v>
          </cell>
          <cell r="Q48">
            <v>268</v>
          </cell>
          <cell r="R48">
            <v>273</v>
          </cell>
          <cell r="S48">
            <v>255</v>
          </cell>
          <cell r="T48">
            <v>255</v>
          </cell>
          <cell r="U48">
            <v>251</v>
          </cell>
          <cell r="V48">
            <v>259</v>
          </cell>
          <cell r="W48">
            <v>265</v>
          </cell>
          <cell r="X48">
            <v>270</v>
          </cell>
          <cell r="Y48">
            <v>255</v>
          </cell>
          <cell r="Z48">
            <v>255</v>
          </cell>
          <cell r="AA48">
            <v>251</v>
          </cell>
          <cell r="AB48">
            <v>259</v>
          </cell>
          <cell r="AC48">
            <v>265</v>
          </cell>
          <cell r="AD48">
            <v>270</v>
          </cell>
        </row>
        <row r="49">
          <cell r="C49" t="str">
            <v>마산 4</v>
          </cell>
          <cell r="D49" t="str">
            <v>계</v>
          </cell>
          <cell r="F49">
            <v>0</v>
          </cell>
          <cell r="H49">
            <v>0.95</v>
          </cell>
          <cell r="I49">
            <v>0.95</v>
          </cell>
          <cell r="J49">
            <v>0.99</v>
          </cell>
          <cell r="K49">
            <v>0.99</v>
          </cell>
          <cell r="L49">
            <v>0.99</v>
          </cell>
          <cell r="M49">
            <v>243</v>
          </cell>
          <cell r="N49">
            <v>244</v>
          </cell>
          <cell r="O49">
            <v>240</v>
          </cell>
          <cell r="P49">
            <v>237</v>
          </cell>
          <cell r="Q49">
            <v>243</v>
          </cell>
          <cell r="R49">
            <v>247</v>
          </cell>
          <cell r="S49">
            <v>231</v>
          </cell>
          <cell r="T49">
            <v>232</v>
          </cell>
          <cell r="U49">
            <v>228</v>
          </cell>
          <cell r="V49">
            <v>235</v>
          </cell>
          <cell r="W49">
            <v>241</v>
          </cell>
          <cell r="X49">
            <v>245</v>
          </cell>
          <cell r="Y49">
            <v>231</v>
          </cell>
          <cell r="Z49">
            <v>232</v>
          </cell>
          <cell r="AA49">
            <v>228</v>
          </cell>
          <cell r="AB49">
            <v>235</v>
          </cell>
          <cell r="AC49">
            <v>241</v>
          </cell>
          <cell r="AD49">
            <v>245</v>
          </cell>
        </row>
        <row r="50">
          <cell r="C50" t="str">
            <v>죽평리</v>
          </cell>
          <cell r="D50" t="str">
            <v>소계</v>
          </cell>
          <cell r="M50">
            <v>270</v>
          </cell>
          <cell r="N50">
            <v>270</v>
          </cell>
          <cell r="O50">
            <v>266</v>
          </cell>
          <cell r="P50">
            <v>263</v>
          </cell>
          <cell r="Q50">
            <v>270</v>
          </cell>
          <cell r="R50">
            <v>274</v>
          </cell>
          <cell r="S50">
            <v>145</v>
          </cell>
          <cell r="T50">
            <v>254</v>
          </cell>
          <cell r="U50">
            <v>252</v>
          </cell>
          <cell r="V50">
            <v>261</v>
          </cell>
          <cell r="W50">
            <v>267</v>
          </cell>
          <cell r="X50">
            <v>271</v>
          </cell>
          <cell r="Y50">
            <v>145</v>
          </cell>
          <cell r="Z50">
            <v>254</v>
          </cell>
          <cell r="AA50">
            <v>252</v>
          </cell>
          <cell r="AB50">
            <v>261</v>
          </cell>
          <cell r="AC50">
            <v>267</v>
          </cell>
          <cell r="AD50">
            <v>271</v>
          </cell>
        </row>
        <row r="51">
          <cell r="C51" t="str">
            <v>죽평 1</v>
          </cell>
          <cell r="D51" t="str">
            <v>계</v>
          </cell>
          <cell r="M51">
            <v>117</v>
          </cell>
          <cell r="N51">
            <v>117</v>
          </cell>
          <cell r="O51">
            <v>115</v>
          </cell>
          <cell r="P51">
            <v>114</v>
          </cell>
          <cell r="Q51">
            <v>117</v>
          </cell>
          <cell r="R51">
            <v>119</v>
          </cell>
          <cell r="S51">
            <v>0</v>
          </cell>
          <cell r="T51">
            <v>109</v>
          </cell>
          <cell r="U51">
            <v>109</v>
          </cell>
          <cell r="V51">
            <v>113</v>
          </cell>
          <cell r="W51">
            <v>116</v>
          </cell>
          <cell r="X51">
            <v>118</v>
          </cell>
          <cell r="Y51">
            <v>0</v>
          </cell>
          <cell r="Z51">
            <v>109</v>
          </cell>
          <cell r="AA51">
            <v>109</v>
          </cell>
          <cell r="AB51">
            <v>113</v>
          </cell>
          <cell r="AC51">
            <v>116</v>
          </cell>
          <cell r="AD51">
            <v>118</v>
          </cell>
        </row>
        <row r="52">
          <cell r="D52" t="str">
            <v>댓들</v>
          </cell>
          <cell r="F52">
            <v>1</v>
          </cell>
          <cell r="H52">
            <v>0.95</v>
          </cell>
          <cell r="I52">
            <v>0.95</v>
          </cell>
          <cell r="J52">
            <v>0.99</v>
          </cell>
          <cell r="K52">
            <v>0.99</v>
          </cell>
          <cell r="L52">
            <v>0.99</v>
          </cell>
          <cell r="M52">
            <v>117</v>
          </cell>
          <cell r="N52">
            <v>117</v>
          </cell>
          <cell r="O52">
            <v>115</v>
          </cell>
          <cell r="P52">
            <v>114</v>
          </cell>
          <cell r="Q52">
            <v>117</v>
          </cell>
          <cell r="R52">
            <v>119</v>
          </cell>
          <cell r="S52">
            <v>0</v>
          </cell>
          <cell r="T52">
            <v>109</v>
          </cell>
          <cell r="U52">
            <v>109</v>
          </cell>
          <cell r="V52">
            <v>113</v>
          </cell>
          <cell r="W52">
            <v>116</v>
          </cell>
          <cell r="X52">
            <v>118</v>
          </cell>
          <cell r="Y52">
            <v>0</v>
          </cell>
          <cell r="Z52">
            <v>109</v>
          </cell>
          <cell r="AA52">
            <v>109</v>
          </cell>
          <cell r="AB52">
            <v>113</v>
          </cell>
          <cell r="AC52">
            <v>116</v>
          </cell>
          <cell r="AD52">
            <v>118</v>
          </cell>
        </row>
        <row r="53">
          <cell r="C53" t="str">
            <v>죽평 2</v>
          </cell>
          <cell r="D53" t="str">
            <v>계</v>
          </cell>
          <cell r="M53">
            <v>153</v>
          </cell>
          <cell r="N53">
            <v>153</v>
          </cell>
          <cell r="O53">
            <v>151</v>
          </cell>
          <cell r="P53">
            <v>149</v>
          </cell>
          <cell r="Q53">
            <v>153</v>
          </cell>
          <cell r="R53">
            <v>155</v>
          </cell>
          <cell r="S53">
            <v>145</v>
          </cell>
          <cell r="T53">
            <v>145</v>
          </cell>
          <cell r="U53">
            <v>143</v>
          </cell>
          <cell r="V53">
            <v>148</v>
          </cell>
          <cell r="W53">
            <v>151</v>
          </cell>
          <cell r="X53">
            <v>153</v>
          </cell>
          <cell r="Y53">
            <v>145</v>
          </cell>
          <cell r="Z53">
            <v>145</v>
          </cell>
          <cell r="AA53">
            <v>143</v>
          </cell>
          <cell r="AB53">
            <v>148</v>
          </cell>
          <cell r="AC53">
            <v>151</v>
          </cell>
          <cell r="AD53">
            <v>153</v>
          </cell>
        </row>
        <row r="54">
          <cell r="D54" t="str">
            <v>죽평</v>
          </cell>
          <cell r="F54">
            <v>0</v>
          </cell>
          <cell r="H54">
            <v>0.95</v>
          </cell>
          <cell r="I54">
            <v>0.95</v>
          </cell>
          <cell r="J54">
            <v>0.99</v>
          </cell>
          <cell r="K54">
            <v>0.99</v>
          </cell>
          <cell r="L54">
            <v>0.99</v>
          </cell>
          <cell r="M54">
            <v>153</v>
          </cell>
          <cell r="N54">
            <v>153</v>
          </cell>
          <cell r="O54">
            <v>151</v>
          </cell>
          <cell r="P54">
            <v>149</v>
          </cell>
          <cell r="Q54">
            <v>153</v>
          </cell>
          <cell r="R54">
            <v>155</v>
          </cell>
          <cell r="S54">
            <v>145</v>
          </cell>
          <cell r="T54">
            <v>145</v>
          </cell>
          <cell r="U54">
            <v>143</v>
          </cell>
          <cell r="V54">
            <v>148</v>
          </cell>
          <cell r="W54">
            <v>151</v>
          </cell>
          <cell r="X54">
            <v>153</v>
          </cell>
          <cell r="Y54">
            <v>145</v>
          </cell>
          <cell r="Z54">
            <v>145</v>
          </cell>
          <cell r="AA54">
            <v>143</v>
          </cell>
          <cell r="AB54">
            <v>148</v>
          </cell>
          <cell r="AC54">
            <v>151</v>
          </cell>
          <cell r="AD54">
            <v>153</v>
          </cell>
        </row>
        <row r="55">
          <cell r="C55" t="str">
            <v>금곡리</v>
          </cell>
          <cell r="D55" t="str">
            <v>소계</v>
          </cell>
          <cell r="M55">
            <v>1071</v>
          </cell>
          <cell r="N55">
            <v>1071</v>
          </cell>
          <cell r="O55">
            <v>1056</v>
          </cell>
          <cell r="P55">
            <v>1045</v>
          </cell>
          <cell r="Q55">
            <v>1070</v>
          </cell>
          <cell r="R55">
            <v>1089</v>
          </cell>
          <cell r="S55">
            <v>1018</v>
          </cell>
          <cell r="T55">
            <v>1018</v>
          </cell>
          <cell r="U55">
            <v>1004</v>
          </cell>
          <cell r="V55">
            <v>1035</v>
          </cell>
          <cell r="W55">
            <v>1060</v>
          </cell>
          <cell r="X55">
            <v>1079</v>
          </cell>
          <cell r="Y55">
            <v>1018</v>
          </cell>
          <cell r="Z55">
            <v>1018</v>
          </cell>
          <cell r="AA55">
            <v>1004</v>
          </cell>
          <cell r="AB55">
            <v>1035</v>
          </cell>
          <cell r="AC55">
            <v>1060</v>
          </cell>
          <cell r="AD55">
            <v>1079</v>
          </cell>
        </row>
        <row r="56">
          <cell r="C56" t="str">
            <v>금곡 1</v>
          </cell>
          <cell r="D56" t="str">
            <v>계</v>
          </cell>
          <cell r="M56">
            <v>374</v>
          </cell>
          <cell r="N56">
            <v>374</v>
          </cell>
          <cell r="O56">
            <v>368</v>
          </cell>
          <cell r="P56">
            <v>365</v>
          </cell>
          <cell r="Q56">
            <v>374</v>
          </cell>
          <cell r="R56">
            <v>381</v>
          </cell>
          <cell r="S56">
            <v>355</v>
          </cell>
          <cell r="T56">
            <v>355</v>
          </cell>
          <cell r="U56">
            <v>350</v>
          </cell>
          <cell r="V56">
            <v>361</v>
          </cell>
          <cell r="W56">
            <v>370</v>
          </cell>
          <cell r="X56">
            <v>377</v>
          </cell>
          <cell r="Y56">
            <v>355</v>
          </cell>
          <cell r="Z56">
            <v>355</v>
          </cell>
          <cell r="AA56">
            <v>350</v>
          </cell>
          <cell r="AB56">
            <v>361</v>
          </cell>
          <cell r="AC56">
            <v>370</v>
          </cell>
          <cell r="AD56">
            <v>377</v>
          </cell>
        </row>
        <row r="57">
          <cell r="D57" t="str">
            <v>화석</v>
          </cell>
          <cell r="F57">
            <v>0</v>
          </cell>
          <cell r="H57">
            <v>0.95</v>
          </cell>
          <cell r="I57">
            <v>0.95</v>
          </cell>
          <cell r="J57">
            <v>0.99</v>
          </cell>
          <cell r="K57">
            <v>0.99</v>
          </cell>
          <cell r="L57">
            <v>0.99</v>
          </cell>
          <cell r="M57">
            <v>374</v>
          </cell>
          <cell r="N57">
            <v>374</v>
          </cell>
          <cell r="O57">
            <v>368</v>
          </cell>
          <cell r="P57">
            <v>365</v>
          </cell>
          <cell r="Q57">
            <v>374</v>
          </cell>
          <cell r="R57">
            <v>381</v>
          </cell>
          <cell r="S57">
            <v>355</v>
          </cell>
          <cell r="T57">
            <v>355</v>
          </cell>
          <cell r="U57">
            <v>350</v>
          </cell>
          <cell r="V57">
            <v>361</v>
          </cell>
          <cell r="W57">
            <v>370</v>
          </cell>
          <cell r="X57">
            <v>377</v>
          </cell>
          <cell r="Y57">
            <v>355</v>
          </cell>
          <cell r="Z57">
            <v>355</v>
          </cell>
          <cell r="AA57">
            <v>350</v>
          </cell>
          <cell r="AB57">
            <v>361</v>
          </cell>
          <cell r="AC57">
            <v>370</v>
          </cell>
          <cell r="AD57">
            <v>377</v>
          </cell>
        </row>
        <row r="58">
          <cell r="C58" t="str">
            <v>금곡 2</v>
          </cell>
          <cell r="D58" t="str">
            <v>계</v>
          </cell>
          <cell r="F58">
            <v>0</v>
          </cell>
          <cell r="H58">
            <v>0.95</v>
          </cell>
          <cell r="I58">
            <v>0.95</v>
          </cell>
          <cell r="J58">
            <v>0.99</v>
          </cell>
          <cell r="K58">
            <v>0.99</v>
          </cell>
          <cell r="L58">
            <v>0.99</v>
          </cell>
          <cell r="M58">
            <v>309</v>
          </cell>
          <cell r="N58">
            <v>309</v>
          </cell>
          <cell r="O58">
            <v>305</v>
          </cell>
          <cell r="P58">
            <v>301</v>
          </cell>
          <cell r="Q58">
            <v>308</v>
          </cell>
          <cell r="R58">
            <v>314</v>
          </cell>
          <cell r="S58">
            <v>294</v>
          </cell>
          <cell r="T58">
            <v>294</v>
          </cell>
          <cell r="U58">
            <v>290</v>
          </cell>
          <cell r="V58">
            <v>298</v>
          </cell>
          <cell r="W58">
            <v>305</v>
          </cell>
          <cell r="X58">
            <v>311</v>
          </cell>
          <cell r="Y58">
            <v>294</v>
          </cell>
          <cell r="Z58">
            <v>294</v>
          </cell>
          <cell r="AA58">
            <v>290</v>
          </cell>
          <cell r="AB58">
            <v>298</v>
          </cell>
          <cell r="AC58">
            <v>305</v>
          </cell>
          <cell r="AD58">
            <v>311</v>
          </cell>
        </row>
        <row r="59">
          <cell r="C59" t="str">
            <v>금곡 3</v>
          </cell>
          <cell r="D59" t="str">
            <v>계</v>
          </cell>
          <cell r="F59">
            <v>0</v>
          </cell>
          <cell r="H59">
            <v>0.95</v>
          </cell>
          <cell r="I59">
            <v>0.95</v>
          </cell>
          <cell r="J59">
            <v>0.99</v>
          </cell>
          <cell r="K59">
            <v>0.99</v>
          </cell>
          <cell r="L59">
            <v>0.99</v>
          </cell>
          <cell r="M59">
            <v>234</v>
          </cell>
          <cell r="N59">
            <v>234</v>
          </cell>
          <cell r="O59">
            <v>231</v>
          </cell>
          <cell r="P59">
            <v>229</v>
          </cell>
          <cell r="Q59">
            <v>234</v>
          </cell>
          <cell r="R59">
            <v>238</v>
          </cell>
          <cell r="S59">
            <v>222</v>
          </cell>
          <cell r="T59">
            <v>222</v>
          </cell>
          <cell r="U59">
            <v>219</v>
          </cell>
          <cell r="V59">
            <v>227</v>
          </cell>
          <cell r="W59">
            <v>232</v>
          </cell>
          <cell r="X59">
            <v>236</v>
          </cell>
          <cell r="Y59">
            <v>222</v>
          </cell>
          <cell r="Z59">
            <v>222</v>
          </cell>
          <cell r="AA59">
            <v>219</v>
          </cell>
          <cell r="AB59">
            <v>227</v>
          </cell>
          <cell r="AC59">
            <v>232</v>
          </cell>
          <cell r="AD59">
            <v>236</v>
          </cell>
        </row>
        <row r="60">
          <cell r="C60" t="str">
            <v>금곡 4</v>
          </cell>
          <cell r="D60" t="str">
            <v>계</v>
          </cell>
          <cell r="E60">
            <v>70721</v>
          </cell>
          <cell r="M60">
            <v>154</v>
          </cell>
          <cell r="N60">
            <v>154</v>
          </cell>
          <cell r="O60">
            <v>152</v>
          </cell>
          <cell r="P60">
            <v>150</v>
          </cell>
          <cell r="Q60">
            <v>154</v>
          </cell>
          <cell r="R60">
            <v>156</v>
          </cell>
          <cell r="S60">
            <v>147</v>
          </cell>
          <cell r="T60">
            <v>147</v>
          </cell>
          <cell r="U60">
            <v>145</v>
          </cell>
          <cell r="V60">
            <v>149</v>
          </cell>
          <cell r="W60">
            <v>153</v>
          </cell>
          <cell r="X60">
            <v>155</v>
          </cell>
          <cell r="Y60">
            <v>147</v>
          </cell>
          <cell r="Z60">
            <v>147</v>
          </cell>
          <cell r="AA60">
            <v>145</v>
          </cell>
          <cell r="AB60">
            <v>149</v>
          </cell>
          <cell r="AC60">
            <v>153</v>
          </cell>
          <cell r="AD60">
            <v>155</v>
          </cell>
        </row>
        <row r="61">
          <cell r="D61" t="str">
            <v>동촌</v>
          </cell>
          <cell r="E61">
            <v>13758</v>
          </cell>
          <cell r="F61">
            <v>0</v>
          </cell>
          <cell r="H61">
            <v>0.95</v>
          </cell>
          <cell r="I61">
            <v>0.95</v>
          </cell>
          <cell r="J61">
            <v>0.99</v>
          </cell>
          <cell r="K61">
            <v>0.99</v>
          </cell>
          <cell r="L61">
            <v>0.99</v>
          </cell>
          <cell r="M61">
            <v>30</v>
          </cell>
          <cell r="N61">
            <v>30</v>
          </cell>
          <cell r="O61">
            <v>30</v>
          </cell>
          <cell r="P61">
            <v>29</v>
          </cell>
          <cell r="Q61">
            <v>30</v>
          </cell>
          <cell r="R61">
            <v>30</v>
          </cell>
          <cell r="S61">
            <v>29</v>
          </cell>
          <cell r="T61">
            <v>29</v>
          </cell>
          <cell r="U61">
            <v>29</v>
          </cell>
          <cell r="V61">
            <v>29</v>
          </cell>
          <cell r="W61">
            <v>30</v>
          </cell>
          <cell r="X61">
            <v>30</v>
          </cell>
          <cell r="Y61">
            <v>29</v>
          </cell>
          <cell r="Z61">
            <v>29</v>
          </cell>
          <cell r="AA61">
            <v>29</v>
          </cell>
          <cell r="AB61">
            <v>29</v>
          </cell>
          <cell r="AC61">
            <v>30</v>
          </cell>
          <cell r="AD61">
            <v>30</v>
          </cell>
        </row>
        <row r="62">
          <cell r="D62" t="str">
            <v>모청이</v>
          </cell>
          <cell r="E62">
            <v>20485</v>
          </cell>
          <cell r="F62">
            <v>0</v>
          </cell>
          <cell r="H62">
            <v>0.95</v>
          </cell>
          <cell r="I62">
            <v>0.95</v>
          </cell>
          <cell r="J62">
            <v>0.99</v>
          </cell>
          <cell r="K62">
            <v>0.99</v>
          </cell>
          <cell r="L62">
            <v>0.99</v>
          </cell>
          <cell r="M62">
            <v>45</v>
          </cell>
          <cell r="N62">
            <v>45</v>
          </cell>
          <cell r="O62">
            <v>44</v>
          </cell>
          <cell r="P62">
            <v>43</v>
          </cell>
          <cell r="Q62">
            <v>45</v>
          </cell>
          <cell r="R62">
            <v>45</v>
          </cell>
          <cell r="S62">
            <v>43</v>
          </cell>
          <cell r="T62">
            <v>43</v>
          </cell>
          <cell r="U62">
            <v>42</v>
          </cell>
          <cell r="V62">
            <v>43</v>
          </cell>
          <cell r="W62">
            <v>45</v>
          </cell>
          <cell r="X62">
            <v>45</v>
          </cell>
          <cell r="Y62">
            <v>43</v>
          </cell>
          <cell r="Z62">
            <v>43</v>
          </cell>
          <cell r="AA62">
            <v>42</v>
          </cell>
          <cell r="AB62">
            <v>43</v>
          </cell>
          <cell r="AC62">
            <v>45</v>
          </cell>
          <cell r="AD62">
            <v>45</v>
          </cell>
        </row>
        <row r="63">
          <cell r="D63" t="str">
            <v>서촌</v>
          </cell>
          <cell r="E63">
            <v>36478</v>
          </cell>
          <cell r="F63">
            <v>0</v>
          </cell>
          <cell r="H63">
            <v>0.95</v>
          </cell>
          <cell r="I63">
            <v>0.95</v>
          </cell>
          <cell r="J63">
            <v>0.99</v>
          </cell>
          <cell r="K63">
            <v>0.99</v>
          </cell>
          <cell r="L63">
            <v>0.99</v>
          </cell>
          <cell r="M63">
            <v>79</v>
          </cell>
          <cell r="N63">
            <v>79</v>
          </cell>
          <cell r="O63">
            <v>78</v>
          </cell>
          <cell r="P63">
            <v>78</v>
          </cell>
          <cell r="Q63">
            <v>79</v>
          </cell>
          <cell r="R63">
            <v>81</v>
          </cell>
          <cell r="S63">
            <v>75</v>
          </cell>
          <cell r="T63">
            <v>75</v>
          </cell>
          <cell r="U63">
            <v>74</v>
          </cell>
          <cell r="V63">
            <v>77</v>
          </cell>
          <cell r="W63">
            <v>78</v>
          </cell>
          <cell r="X63">
            <v>80</v>
          </cell>
          <cell r="Y63">
            <v>75</v>
          </cell>
          <cell r="Z63">
            <v>75</v>
          </cell>
          <cell r="AA63">
            <v>74</v>
          </cell>
          <cell r="AB63">
            <v>77</v>
          </cell>
          <cell r="AC63">
            <v>78</v>
          </cell>
          <cell r="AD63">
            <v>80</v>
          </cell>
        </row>
        <row r="64">
          <cell r="C64" t="str">
            <v>동산리</v>
          </cell>
          <cell r="D64" t="str">
            <v>소계</v>
          </cell>
          <cell r="M64">
            <v>3589</v>
          </cell>
          <cell r="N64">
            <v>3594</v>
          </cell>
          <cell r="O64">
            <v>7093</v>
          </cell>
          <cell r="P64">
            <v>7056</v>
          </cell>
          <cell r="Q64">
            <v>7140</v>
          </cell>
          <cell r="R64">
            <v>7207</v>
          </cell>
          <cell r="S64">
            <v>3151</v>
          </cell>
          <cell r="T64">
            <v>3155</v>
          </cell>
          <cell r="U64">
            <v>6740</v>
          </cell>
          <cell r="V64">
            <v>6985</v>
          </cell>
          <cell r="W64">
            <v>7068</v>
          </cell>
          <cell r="X64">
            <v>7135</v>
          </cell>
          <cell r="Y64">
            <v>3151</v>
          </cell>
          <cell r="Z64">
            <v>3155</v>
          </cell>
          <cell r="AA64">
            <v>6740</v>
          </cell>
          <cell r="AB64">
            <v>6985</v>
          </cell>
          <cell r="AC64">
            <v>7068</v>
          </cell>
          <cell r="AD64">
            <v>7135</v>
          </cell>
        </row>
        <row r="65">
          <cell r="C65" t="str">
            <v>동산 1</v>
          </cell>
          <cell r="D65" t="str">
            <v>계</v>
          </cell>
          <cell r="M65">
            <v>168</v>
          </cell>
          <cell r="N65">
            <v>169</v>
          </cell>
          <cell r="O65">
            <v>166</v>
          </cell>
          <cell r="P65">
            <v>164</v>
          </cell>
          <cell r="Q65">
            <v>167</v>
          </cell>
          <cell r="R65">
            <v>171</v>
          </cell>
          <cell r="S65">
            <v>160</v>
          </cell>
          <cell r="T65">
            <v>161</v>
          </cell>
          <cell r="U65">
            <v>158</v>
          </cell>
          <cell r="V65">
            <v>162</v>
          </cell>
          <cell r="W65">
            <v>165</v>
          </cell>
          <cell r="X65">
            <v>169</v>
          </cell>
          <cell r="Y65">
            <v>160</v>
          </cell>
          <cell r="Z65">
            <v>161</v>
          </cell>
          <cell r="AA65">
            <v>158</v>
          </cell>
          <cell r="AB65">
            <v>162</v>
          </cell>
          <cell r="AC65">
            <v>165</v>
          </cell>
          <cell r="AD65">
            <v>169</v>
          </cell>
        </row>
        <row r="66">
          <cell r="D66" t="str">
            <v>행정</v>
          </cell>
          <cell r="F66">
            <v>0</v>
          </cell>
          <cell r="H66">
            <v>0.95</v>
          </cell>
          <cell r="I66">
            <v>0.95</v>
          </cell>
          <cell r="J66">
            <v>0.99</v>
          </cell>
          <cell r="K66">
            <v>0.99</v>
          </cell>
          <cell r="L66">
            <v>0.99</v>
          </cell>
          <cell r="M66">
            <v>168</v>
          </cell>
          <cell r="N66">
            <v>169</v>
          </cell>
          <cell r="O66">
            <v>166</v>
          </cell>
          <cell r="P66">
            <v>164</v>
          </cell>
          <cell r="Q66">
            <v>167</v>
          </cell>
          <cell r="R66">
            <v>171</v>
          </cell>
          <cell r="S66">
            <v>160</v>
          </cell>
          <cell r="T66">
            <v>161</v>
          </cell>
          <cell r="U66">
            <v>158</v>
          </cell>
          <cell r="V66">
            <v>162</v>
          </cell>
          <cell r="W66">
            <v>165</v>
          </cell>
          <cell r="X66">
            <v>169</v>
          </cell>
          <cell r="Y66">
            <v>160</v>
          </cell>
          <cell r="Z66">
            <v>161</v>
          </cell>
          <cell r="AA66">
            <v>158</v>
          </cell>
          <cell r="AB66">
            <v>162</v>
          </cell>
          <cell r="AC66">
            <v>165</v>
          </cell>
          <cell r="AD66">
            <v>169</v>
          </cell>
        </row>
        <row r="67">
          <cell r="C67" t="str">
            <v>동산 2</v>
          </cell>
          <cell r="D67" t="str">
            <v>계</v>
          </cell>
          <cell r="M67">
            <v>333</v>
          </cell>
          <cell r="N67">
            <v>333</v>
          </cell>
          <cell r="O67">
            <v>328</v>
          </cell>
          <cell r="P67">
            <v>325</v>
          </cell>
          <cell r="Q67">
            <v>333</v>
          </cell>
          <cell r="R67">
            <v>339</v>
          </cell>
          <cell r="S67">
            <v>316</v>
          </cell>
          <cell r="T67">
            <v>316</v>
          </cell>
          <cell r="U67">
            <v>312</v>
          </cell>
          <cell r="V67">
            <v>322</v>
          </cell>
          <cell r="W67">
            <v>330</v>
          </cell>
          <cell r="X67">
            <v>336</v>
          </cell>
          <cell r="Y67">
            <v>316</v>
          </cell>
          <cell r="Z67">
            <v>316</v>
          </cell>
          <cell r="AA67">
            <v>312</v>
          </cell>
          <cell r="AB67">
            <v>322</v>
          </cell>
          <cell r="AC67">
            <v>330</v>
          </cell>
          <cell r="AD67">
            <v>336</v>
          </cell>
        </row>
        <row r="68">
          <cell r="D68" t="str">
            <v>까치말</v>
          </cell>
          <cell r="F68">
            <v>0</v>
          </cell>
          <cell r="H68">
            <v>0.95</v>
          </cell>
          <cell r="I68">
            <v>0.95</v>
          </cell>
          <cell r="J68">
            <v>0.99</v>
          </cell>
          <cell r="K68">
            <v>0.99</v>
          </cell>
          <cell r="L68">
            <v>0.99</v>
          </cell>
          <cell r="M68">
            <v>333</v>
          </cell>
          <cell r="N68">
            <v>333</v>
          </cell>
          <cell r="O68">
            <v>328</v>
          </cell>
          <cell r="P68">
            <v>325</v>
          </cell>
          <cell r="Q68">
            <v>333</v>
          </cell>
          <cell r="R68">
            <v>339</v>
          </cell>
          <cell r="S68">
            <v>316</v>
          </cell>
          <cell r="T68">
            <v>316</v>
          </cell>
          <cell r="U68">
            <v>312</v>
          </cell>
          <cell r="V68">
            <v>322</v>
          </cell>
          <cell r="W68">
            <v>330</v>
          </cell>
          <cell r="X68">
            <v>336</v>
          </cell>
          <cell r="Y68">
            <v>316</v>
          </cell>
          <cell r="Z68">
            <v>316</v>
          </cell>
          <cell r="AA68">
            <v>312</v>
          </cell>
          <cell r="AB68">
            <v>322</v>
          </cell>
          <cell r="AC68">
            <v>330</v>
          </cell>
          <cell r="AD68">
            <v>336</v>
          </cell>
        </row>
        <row r="69">
          <cell r="C69" t="str">
            <v>동산 3</v>
          </cell>
          <cell r="D69" t="str">
            <v>계</v>
          </cell>
          <cell r="M69">
            <v>598</v>
          </cell>
          <cell r="N69">
            <v>599</v>
          </cell>
          <cell r="O69">
            <v>590</v>
          </cell>
          <cell r="P69">
            <v>584</v>
          </cell>
          <cell r="Q69">
            <v>598</v>
          </cell>
          <cell r="R69">
            <v>608</v>
          </cell>
          <cell r="S69">
            <v>568</v>
          </cell>
          <cell r="T69">
            <v>569</v>
          </cell>
          <cell r="U69">
            <v>561</v>
          </cell>
          <cell r="V69">
            <v>578</v>
          </cell>
          <cell r="W69">
            <v>592</v>
          </cell>
          <cell r="X69">
            <v>602</v>
          </cell>
          <cell r="Y69">
            <v>568</v>
          </cell>
          <cell r="Z69">
            <v>569</v>
          </cell>
          <cell r="AA69">
            <v>561</v>
          </cell>
          <cell r="AB69">
            <v>578</v>
          </cell>
          <cell r="AC69">
            <v>592</v>
          </cell>
          <cell r="AD69">
            <v>602</v>
          </cell>
        </row>
        <row r="70">
          <cell r="D70" t="str">
            <v>장비금</v>
          </cell>
          <cell r="F70">
            <v>0</v>
          </cell>
          <cell r="H70">
            <v>0.95</v>
          </cell>
          <cell r="I70">
            <v>0.95</v>
          </cell>
          <cell r="J70">
            <v>0.99</v>
          </cell>
          <cell r="K70">
            <v>0.99</v>
          </cell>
          <cell r="L70">
            <v>0.99</v>
          </cell>
          <cell r="M70">
            <v>598</v>
          </cell>
          <cell r="N70">
            <v>599</v>
          </cell>
          <cell r="O70">
            <v>590</v>
          </cell>
          <cell r="P70">
            <v>584</v>
          </cell>
          <cell r="Q70">
            <v>598</v>
          </cell>
          <cell r="R70">
            <v>608</v>
          </cell>
          <cell r="S70">
            <v>568</v>
          </cell>
          <cell r="T70">
            <v>569</v>
          </cell>
          <cell r="U70">
            <v>561</v>
          </cell>
          <cell r="V70">
            <v>578</v>
          </cell>
          <cell r="W70">
            <v>592</v>
          </cell>
          <cell r="X70">
            <v>602</v>
          </cell>
          <cell r="Y70">
            <v>568</v>
          </cell>
          <cell r="Z70">
            <v>569</v>
          </cell>
          <cell r="AA70">
            <v>561</v>
          </cell>
          <cell r="AB70">
            <v>578</v>
          </cell>
          <cell r="AC70">
            <v>592</v>
          </cell>
          <cell r="AD70">
            <v>602</v>
          </cell>
        </row>
        <row r="71">
          <cell r="C71" t="str">
            <v>동산 4</v>
          </cell>
          <cell r="D71" t="str">
            <v>계</v>
          </cell>
          <cell r="M71">
            <v>186</v>
          </cell>
          <cell r="N71">
            <v>186</v>
          </cell>
          <cell r="O71">
            <v>183</v>
          </cell>
          <cell r="P71">
            <v>181</v>
          </cell>
          <cell r="Q71">
            <v>185</v>
          </cell>
          <cell r="R71">
            <v>189</v>
          </cell>
          <cell r="S71">
            <v>177</v>
          </cell>
          <cell r="T71">
            <v>177</v>
          </cell>
          <cell r="U71">
            <v>174</v>
          </cell>
          <cell r="V71">
            <v>179</v>
          </cell>
          <cell r="W71">
            <v>183</v>
          </cell>
          <cell r="X71">
            <v>187</v>
          </cell>
          <cell r="Y71">
            <v>177</v>
          </cell>
          <cell r="Z71">
            <v>177</v>
          </cell>
          <cell r="AA71">
            <v>174</v>
          </cell>
          <cell r="AB71">
            <v>179</v>
          </cell>
          <cell r="AC71">
            <v>183</v>
          </cell>
          <cell r="AD71">
            <v>187</v>
          </cell>
        </row>
        <row r="72">
          <cell r="D72" t="str">
            <v>독각골2</v>
          </cell>
          <cell r="F72">
            <v>0</v>
          </cell>
          <cell r="H72">
            <v>0.95</v>
          </cell>
          <cell r="I72">
            <v>0.95</v>
          </cell>
          <cell r="J72">
            <v>0.99</v>
          </cell>
          <cell r="K72">
            <v>0.99</v>
          </cell>
          <cell r="L72">
            <v>0.99</v>
          </cell>
          <cell r="M72">
            <v>186</v>
          </cell>
          <cell r="N72">
            <v>186</v>
          </cell>
          <cell r="O72">
            <v>183</v>
          </cell>
          <cell r="P72">
            <v>181</v>
          </cell>
          <cell r="Q72">
            <v>185</v>
          </cell>
          <cell r="R72">
            <v>189</v>
          </cell>
          <cell r="S72">
            <v>177</v>
          </cell>
          <cell r="T72">
            <v>177</v>
          </cell>
          <cell r="U72">
            <v>174</v>
          </cell>
          <cell r="V72">
            <v>179</v>
          </cell>
          <cell r="W72">
            <v>183</v>
          </cell>
          <cell r="X72">
            <v>187</v>
          </cell>
          <cell r="Y72">
            <v>177</v>
          </cell>
          <cell r="Z72">
            <v>177</v>
          </cell>
          <cell r="AA72">
            <v>174</v>
          </cell>
          <cell r="AB72">
            <v>179</v>
          </cell>
          <cell r="AC72">
            <v>183</v>
          </cell>
          <cell r="AD72">
            <v>187</v>
          </cell>
        </row>
        <row r="73">
          <cell r="C73" t="str">
            <v>동산 5</v>
          </cell>
          <cell r="D73" t="str">
            <v>계</v>
          </cell>
          <cell r="M73">
            <v>101</v>
          </cell>
          <cell r="N73">
            <v>101</v>
          </cell>
          <cell r="O73">
            <v>99</v>
          </cell>
          <cell r="P73">
            <v>98</v>
          </cell>
          <cell r="Q73">
            <v>101</v>
          </cell>
          <cell r="R73">
            <v>103</v>
          </cell>
          <cell r="S73">
            <v>0</v>
          </cell>
          <cell r="T73">
            <v>0</v>
          </cell>
          <cell r="U73">
            <v>94</v>
          </cell>
          <cell r="V73">
            <v>97</v>
          </cell>
          <cell r="W73">
            <v>100</v>
          </cell>
          <cell r="X73">
            <v>102</v>
          </cell>
          <cell r="Y73">
            <v>0</v>
          </cell>
          <cell r="Z73">
            <v>0</v>
          </cell>
          <cell r="AA73">
            <v>94</v>
          </cell>
          <cell r="AB73">
            <v>97</v>
          </cell>
          <cell r="AC73">
            <v>100</v>
          </cell>
          <cell r="AD73">
            <v>102</v>
          </cell>
        </row>
        <row r="74">
          <cell r="D74" t="str">
            <v>올목</v>
          </cell>
          <cell r="E74">
            <v>27637</v>
          </cell>
          <cell r="F74">
            <v>1</v>
          </cell>
          <cell r="H74">
            <v>0.95</v>
          </cell>
          <cell r="I74">
            <v>0.95</v>
          </cell>
          <cell r="J74">
            <v>0.99</v>
          </cell>
          <cell r="K74">
            <v>0.99</v>
          </cell>
          <cell r="L74">
            <v>0.99</v>
          </cell>
          <cell r="M74">
            <v>101</v>
          </cell>
          <cell r="N74">
            <v>101</v>
          </cell>
          <cell r="O74">
            <v>99</v>
          </cell>
          <cell r="P74">
            <v>98</v>
          </cell>
          <cell r="Q74">
            <v>101</v>
          </cell>
          <cell r="R74">
            <v>103</v>
          </cell>
          <cell r="S74">
            <v>0</v>
          </cell>
          <cell r="T74">
            <v>0</v>
          </cell>
          <cell r="U74">
            <v>94</v>
          </cell>
          <cell r="V74">
            <v>97</v>
          </cell>
          <cell r="W74">
            <v>100</v>
          </cell>
          <cell r="X74">
            <v>102</v>
          </cell>
          <cell r="Y74">
            <v>0</v>
          </cell>
          <cell r="Z74">
            <v>0</v>
          </cell>
          <cell r="AA74">
            <v>94</v>
          </cell>
          <cell r="AB74">
            <v>97</v>
          </cell>
          <cell r="AC74">
            <v>100</v>
          </cell>
          <cell r="AD74">
            <v>102</v>
          </cell>
        </row>
        <row r="75">
          <cell r="C75" t="str">
            <v>동산 6</v>
          </cell>
          <cell r="D75" t="str">
            <v>계</v>
          </cell>
          <cell r="M75">
            <v>172</v>
          </cell>
          <cell r="N75">
            <v>173</v>
          </cell>
          <cell r="O75">
            <v>3370</v>
          </cell>
          <cell r="P75">
            <v>3368</v>
          </cell>
          <cell r="Q75">
            <v>3372</v>
          </cell>
          <cell r="R75">
            <v>3375</v>
          </cell>
          <cell r="S75">
            <v>0</v>
          </cell>
          <cell r="T75">
            <v>0</v>
          </cell>
          <cell r="U75">
            <v>3202</v>
          </cell>
          <cell r="V75">
            <v>3334</v>
          </cell>
          <cell r="W75">
            <v>3338</v>
          </cell>
          <cell r="X75">
            <v>3341</v>
          </cell>
          <cell r="Y75">
            <v>0</v>
          </cell>
          <cell r="Z75">
            <v>0</v>
          </cell>
          <cell r="AA75">
            <v>3202</v>
          </cell>
          <cell r="AB75">
            <v>3334</v>
          </cell>
          <cell r="AC75">
            <v>3338</v>
          </cell>
          <cell r="AD75">
            <v>3341</v>
          </cell>
        </row>
        <row r="76">
          <cell r="D76" t="str">
            <v>택리</v>
          </cell>
          <cell r="E76">
            <v>34348</v>
          </cell>
          <cell r="F76">
            <v>1</v>
          </cell>
          <cell r="H76">
            <v>0.95</v>
          </cell>
          <cell r="I76">
            <v>0.95</v>
          </cell>
          <cell r="J76">
            <v>0.99</v>
          </cell>
          <cell r="K76">
            <v>0.99</v>
          </cell>
          <cell r="L76">
            <v>0.99</v>
          </cell>
          <cell r="M76">
            <v>172</v>
          </cell>
          <cell r="N76">
            <v>173</v>
          </cell>
          <cell r="O76">
            <v>3370</v>
          </cell>
          <cell r="P76">
            <v>3368</v>
          </cell>
          <cell r="Q76">
            <v>3372</v>
          </cell>
          <cell r="R76">
            <v>3375</v>
          </cell>
          <cell r="S76">
            <v>0</v>
          </cell>
          <cell r="T76">
            <v>0</v>
          </cell>
          <cell r="U76">
            <v>3202</v>
          </cell>
          <cell r="V76">
            <v>3334</v>
          </cell>
          <cell r="W76">
            <v>3338</v>
          </cell>
          <cell r="X76">
            <v>3341</v>
          </cell>
          <cell r="Y76">
            <v>0</v>
          </cell>
          <cell r="Z76">
            <v>0</v>
          </cell>
          <cell r="AA76">
            <v>3202</v>
          </cell>
          <cell r="AB76">
            <v>3334</v>
          </cell>
          <cell r="AC76">
            <v>3338</v>
          </cell>
          <cell r="AD76">
            <v>3341</v>
          </cell>
        </row>
        <row r="77">
          <cell r="C77" t="str">
            <v>동산 7</v>
          </cell>
          <cell r="D77" t="str">
            <v>계</v>
          </cell>
          <cell r="F77">
            <v>0</v>
          </cell>
          <cell r="H77">
            <v>0.95</v>
          </cell>
          <cell r="I77">
            <v>0.95</v>
          </cell>
          <cell r="J77">
            <v>0.99</v>
          </cell>
          <cell r="K77">
            <v>0.99</v>
          </cell>
          <cell r="L77">
            <v>0.99</v>
          </cell>
          <cell r="M77">
            <v>706</v>
          </cell>
          <cell r="N77">
            <v>707</v>
          </cell>
          <cell r="O77">
            <v>696</v>
          </cell>
          <cell r="P77">
            <v>689</v>
          </cell>
          <cell r="Q77">
            <v>706</v>
          </cell>
          <cell r="R77">
            <v>719</v>
          </cell>
          <cell r="S77">
            <v>671</v>
          </cell>
          <cell r="T77">
            <v>672</v>
          </cell>
          <cell r="U77">
            <v>661</v>
          </cell>
          <cell r="V77">
            <v>682</v>
          </cell>
          <cell r="W77">
            <v>699</v>
          </cell>
          <cell r="X77">
            <v>712</v>
          </cell>
          <cell r="Y77">
            <v>671</v>
          </cell>
          <cell r="Z77">
            <v>672</v>
          </cell>
          <cell r="AA77">
            <v>661</v>
          </cell>
          <cell r="AB77">
            <v>682</v>
          </cell>
          <cell r="AC77">
            <v>699</v>
          </cell>
          <cell r="AD77">
            <v>712</v>
          </cell>
        </row>
        <row r="78">
          <cell r="C78" t="str">
            <v>동산 8</v>
          </cell>
          <cell r="D78" t="str">
            <v>계</v>
          </cell>
          <cell r="M78">
            <v>216</v>
          </cell>
          <cell r="N78">
            <v>216</v>
          </cell>
          <cell r="O78">
            <v>213</v>
          </cell>
          <cell r="P78">
            <v>211</v>
          </cell>
          <cell r="Q78">
            <v>216</v>
          </cell>
          <cell r="R78">
            <v>220</v>
          </cell>
          <cell r="S78">
            <v>205</v>
          </cell>
          <cell r="T78">
            <v>205</v>
          </cell>
          <cell r="U78">
            <v>202</v>
          </cell>
          <cell r="V78">
            <v>209</v>
          </cell>
          <cell r="W78">
            <v>214</v>
          </cell>
          <cell r="X78">
            <v>218</v>
          </cell>
          <cell r="Y78">
            <v>205</v>
          </cell>
          <cell r="Z78">
            <v>205</v>
          </cell>
          <cell r="AA78">
            <v>202</v>
          </cell>
          <cell r="AB78">
            <v>209</v>
          </cell>
          <cell r="AC78">
            <v>214</v>
          </cell>
          <cell r="AD78">
            <v>218</v>
          </cell>
        </row>
        <row r="79">
          <cell r="D79" t="str">
            <v>독각골1</v>
          </cell>
          <cell r="F79">
            <v>0</v>
          </cell>
          <cell r="H79">
            <v>0.95</v>
          </cell>
          <cell r="I79">
            <v>0.95</v>
          </cell>
          <cell r="J79">
            <v>0.99</v>
          </cell>
          <cell r="K79">
            <v>0.99</v>
          </cell>
          <cell r="L79">
            <v>0.99</v>
          </cell>
          <cell r="M79">
            <v>216</v>
          </cell>
          <cell r="N79">
            <v>216</v>
          </cell>
          <cell r="O79">
            <v>213</v>
          </cell>
          <cell r="P79">
            <v>211</v>
          </cell>
          <cell r="Q79">
            <v>216</v>
          </cell>
          <cell r="R79">
            <v>220</v>
          </cell>
          <cell r="S79">
            <v>205</v>
          </cell>
          <cell r="T79">
            <v>205</v>
          </cell>
          <cell r="U79">
            <v>202</v>
          </cell>
          <cell r="V79">
            <v>209</v>
          </cell>
          <cell r="W79">
            <v>214</v>
          </cell>
          <cell r="X79">
            <v>218</v>
          </cell>
          <cell r="Y79">
            <v>205</v>
          </cell>
          <cell r="Z79">
            <v>205</v>
          </cell>
          <cell r="AA79">
            <v>202</v>
          </cell>
          <cell r="AB79">
            <v>209</v>
          </cell>
          <cell r="AC79">
            <v>214</v>
          </cell>
          <cell r="AD79">
            <v>218</v>
          </cell>
        </row>
        <row r="80">
          <cell r="C80" t="str">
            <v>동산 9</v>
          </cell>
          <cell r="D80" t="str">
            <v>계</v>
          </cell>
          <cell r="F80">
            <v>0</v>
          </cell>
          <cell r="H80">
            <v>0.95</v>
          </cell>
          <cell r="I80">
            <v>0.95</v>
          </cell>
          <cell r="J80">
            <v>0.99</v>
          </cell>
          <cell r="K80">
            <v>0.99</v>
          </cell>
          <cell r="L80">
            <v>0.99</v>
          </cell>
          <cell r="M80">
            <v>1109</v>
          </cell>
          <cell r="N80">
            <v>1110</v>
          </cell>
          <cell r="O80">
            <v>1448</v>
          </cell>
          <cell r="P80">
            <v>1436</v>
          </cell>
          <cell r="Q80">
            <v>1462</v>
          </cell>
          <cell r="R80">
            <v>1483</v>
          </cell>
          <cell r="S80">
            <v>1054</v>
          </cell>
          <cell r="T80">
            <v>1055</v>
          </cell>
          <cell r="U80">
            <v>1376</v>
          </cell>
          <cell r="V80">
            <v>1422</v>
          </cell>
          <cell r="W80">
            <v>1447</v>
          </cell>
          <cell r="X80">
            <v>1468</v>
          </cell>
          <cell r="Y80">
            <v>1054</v>
          </cell>
          <cell r="Z80">
            <v>1055</v>
          </cell>
          <cell r="AA80">
            <v>1376</v>
          </cell>
          <cell r="AB80">
            <v>1422</v>
          </cell>
          <cell r="AC80">
            <v>1447</v>
          </cell>
          <cell r="AD80">
            <v>1468</v>
          </cell>
        </row>
        <row r="81">
          <cell r="C81" t="str">
            <v>죽본리</v>
          </cell>
          <cell r="D81" t="str">
            <v>소계</v>
          </cell>
          <cell r="M81">
            <v>261</v>
          </cell>
          <cell r="N81">
            <v>261</v>
          </cell>
          <cell r="O81">
            <v>257</v>
          </cell>
          <cell r="P81">
            <v>254</v>
          </cell>
          <cell r="Q81">
            <v>261</v>
          </cell>
          <cell r="R81">
            <v>265</v>
          </cell>
          <cell r="S81">
            <v>43</v>
          </cell>
          <cell r="T81">
            <v>43</v>
          </cell>
          <cell r="U81">
            <v>244</v>
          </cell>
          <cell r="V81">
            <v>252</v>
          </cell>
          <cell r="W81">
            <v>259</v>
          </cell>
          <cell r="X81">
            <v>263</v>
          </cell>
          <cell r="Y81">
            <v>43</v>
          </cell>
          <cell r="Z81">
            <v>43</v>
          </cell>
          <cell r="AA81">
            <v>244</v>
          </cell>
          <cell r="AB81">
            <v>252</v>
          </cell>
          <cell r="AC81">
            <v>259</v>
          </cell>
          <cell r="AD81">
            <v>263</v>
          </cell>
        </row>
        <row r="82">
          <cell r="C82" t="str">
            <v>죽본 1</v>
          </cell>
          <cell r="D82" t="str">
            <v>계</v>
          </cell>
          <cell r="E82">
            <v>105039</v>
          </cell>
          <cell r="M82">
            <v>189</v>
          </cell>
          <cell r="N82">
            <v>189</v>
          </cell>
          <cell r="O82">
            <v>186</v>
          </cell>
          <cell r="P82">
            <v>184</v>
          </cell>
          <cell r="Q82">
            <v>189</v>
          </cell>
          <cell r="R82">
            <v>192</v>
          </cell>
          <cell r="S82">
            <v>0</v>
          </cell>
          <cell r="T82">
            <v>0</v>
          </cell>
          <cell r="U82">
            <v>176</v>
          </cell>
          <cell r="V82">
            <v>182</v>
          </cell>
          <cell r="W82">
            <v>187</v>
          </cell>
          <cell r="X82">
            <v>190</v>
          </cell>
          <cell r="Y82">
            <v>0</v>
          </cell>
          <cell r="Z82">
            <v>0</v>
          </cell>
          <cell r="AA82">
            <v>176</v>
          </cell>
          <cell r="AB82">
            <v>182</v>
          </cell>
          <cell r="AC82">
            <v>187</v>
          </cell>
          <cell r="AD82">
            <v>190</v>
          </cell>
        </row>
        <row r="83">
          <cell r="D83" t="str">
            <v>죽본</v>
          </cell>
          <cell r="E83">
            <v>87650</v>
          </cell>
          <cell r="F83">
            <v>1</v>
          </cell>
          <cell r="H83">
            <v>0.95</v>
          </cell>
          <cell r="I83">
            <v>0.95</v>
          </cell>
          <cell r="J83">
            <v>0.99</v>
          </cell>
          <cell r="K83">
            <v>0.99</v>
          </cell>
          <cell r="L83">
            <v>0.99</v>
          </cell>
          <cell r="M83">
            <v>158</v>
          </cell>
          <cell r="N83">
            <v>158</v>
          </cell>
          <cell r="O83">
            <v>155</v>
          </cell>
          <cell r="P83">
            <v>154</v>
          </cell>
          <cell r="Q83">
            <v>158</v>
          </cell>
          <cell r="R83">
            <v>160</v>
          </cell>
          <cell r="S83">
            <v>0</v>
          </cell>
          <cell r="T83">
            <v>0</v>
          </cell>
          <cell r="U83">
            <v>147</v>
          </cell>
          <cell r="V83">
            <v>152</v>
          </cell>
          <cell r="W83">
            <v>156</v>
          </cell>
          <cell r="X83">
            <v>158</v>
          </cell>
          <cell r="Y83">
            <v>0</v>
          </cell>
          <cell r="Z83">
            <v>0</v>
          </cell>
          <cell r="AA83">
            <v>147</v>
          </cell>
          <cell r="AB83">
            <v>152</v>
          </cell>
          <cell r="AC83">
            <v>156</v>
          </cell>
          <cell r="AD83">
            <v>158</v>
          </cell>
        </row>
        <row r="84">
          <cell r="D84" t="str">
            <v>황사</v>
          </cell>
          <cell r="E84">
            <v>17389</v>
          </cell>
          <cell r="F84">
            <v>1</v>
          </cell>
          <cell r="H84">
            <v>0.95</v>
          </cell>
          <cell r="I84">
            <v>0.95</v>
          </cell>
          <cell r="J84">
            <v>0.99</v>
          </cell>
          <cell r="K84">
            <v>0.99</v>
          </cell>
          <cell r="L84">
            <v>0.99</v>
          </cell>
          <cell r="M84">
            <v>31</v>
          </cell>
          <cell r="N84">
            <v>31</v>
          </cell>
          <cell r="O84">
            <v>31</v>
          </cell>
          <cell r="P84">
            <v>30</v>
          </cell>
          <cell r="Q84">
            <v>31</v>
          </cell>
          <cell r="R84">
            <v>32</v>
          </cell>
          <cell r="S84">
            <v>0</v>
          </cell>
          <cell r="T84">
            <v>0</v>
          </cell>
          <cell r="U84">
            <v>29</v>
          </cell>
          <cell r="V84">
            <v>30</v>
          </cell>
          <cell r="W84">
            <v>31</v>
          </cell>
          <cell r="X84">
            <v>32</v>
          </cell>
          <cell r="Y84">
            <v>0</v>
          </cell>
          <cell r="Z84">
            <v>0</v>
          </cell>
          <cell r="AA84">
            <v>29</v>
          </cell>
          <cell r="AB84">
            <v>30</v>
          </cell>
          <cell r="AC84">
            <v>31</v>
          </cell>
          <cell r="AD84">
            <v>32</v>
          </cell>
        </row>
        <row r="85">
          <cell r="C85" t="str">
            <v>죽본 2</v>
          </cell>
          <cell r="D85" t="str">
            <v>계</v>
          </cell>
          <cell r="E85">
            <v>32095</v>
          </cell>
          <cell r="M85">
            <v>72</v>
          </cell>
          <cell r="N85">
            <v>72</v>
          </cell>
          <cell r="O85">
            <v>71</v>
          </cell>
          <cell r="P85">
            <v>70</v>
          </cell>
          <cell r="Q85">
            <v>72</v>
          </cell>
          <cell r="R85">
            <v>73</v>
          </cell>
          <cell r="S85">
            <v>43</v>
          </cell>
          <cell r="T85">
            <v>43</v>
          </cell>
          <cell r="U85">
            <v>68</v>
          </cell>
          <cell r="V85">
            <v>70</v>
          </cell>
          <cell r="W85">
            <v>72</v>
          </cell>
          <cell r="X85">
            <v>73</v>
          </cell>
          <cell r="Y85">
            <v>43</v>
          </cell>
          <cell r="Z85">
            <v>43</v>
          </cell>
          <cell r="AA85">
            <v>68</v>
          </cell>
          <cell r="AB85">
            <v>70</v>
          </cell>
          <cell r="AC85">
            <v>72</v>
          </cell>
          <cell r="AD85">
            <v>73</v>
          </cell>
        </row>
        <row r="86">
          <cell r="D86" t="str">
            <v>방죽말</v>
          </cell>
          <cell r="E86">
            <v>20246</v>
          </cell>
          <cell r="F86">
            <v>0</v>
          </cell>
          <cell r="H86">
            <v>0.95</v>
          </cell>
          <cell r="I86">
            <v>0.95</v>
          </cell>
          <cell r="J86">
            <v>0.99</v>
          </cell>
          <cell r="K86">
            <v>0.99</v>
          </cell>
          <cell r="L86">
            <v>0.99</v>
          </cell>
          <cell r="M86">
            <v>45</v>
          </cell>
          <cell r="N86">
            <v>45</v>
          </cell>
          <cell r="O86">
            <v>45</v>
          </cell>
          <cell r="P86">
            <v>44</v>
          </cell>
          <cell r="Q86">
            <v>45</v>
          </cell>
          <cell r="R86">
            <v>46</v>
          </cell>
          <cell r="S86">
            <v>43</v>
          </cell>
          <cell r="T86">
            <v>43</v>
          </cell>
          <cell r="U86">
            <v>43</v>
          </cell>
          <cell r="V86">
            <v>44</v>
          </cell>
          <cell r="W86">
            <v>45</v>
          </cell>
          <cell r="X86">
            <v>46</v>
          </cell>
          <cell r="Y86">
            <v>43</v>
          </cell>
          <cell r="Z86">
            <v>43</v>
          </cell>
          <cell r="AA86">
            <v>43</v>
          </cell>
          <cell r="AB86">
            <v>44</v>
          </cell>
          <cell r="AC86">
            <v>45</v>
          </cell>
          <cell r="AD86">
            <v>46</v>
          </cell>
        </row>
        <row r="87">
          <cell r="D87" t="str">
            <v>서당골</v>
          </cell>
          <cell r="E87">
            <v>11849</v>
          </cell>
          <cell r="F87">
            <v>1</v>
          </cell>
          <cell r="H87">
            <v>0.95</v>
          </cell>
          <cell r="I87">
            <v>0.95</v>
          </cell>
          <cell r="J87">
            <v>0.99</v>
          </cell>
          <cell r="K87">
            <v>0.99</v>
          </cell>
          <cell r="L87">
            <v>0.99</v>
          </cell>
          <cell r="M87">
            <v>27</v>
          </cell>
          <cell r="N87">
            <v>27</v>
          </cell>
          <cell r="O87">
            <v>26</v>
          </cell>
          <cell r="P87">
            <v>26</v>
          </cell>
          <cell r="Q87">
            <v>27</v>
          </cell>
          <cell r="R87">
            <v>27</v>
          </cell>
          <cell r="S87">
            <v>0</v>
          </cell>
          <cell r="T87">
            <v>0</v>
          </cell>
          <cell r="U87">
            <v>25</v>
          </cell>
          <cell r="V87">
            <v>26</v>
          </cell>
          <cell r="W87">
            <v>27</v>
          </cell>
          <cell r="X87">
            <v>27</v>
          </cell>
          <cell r="Y87">
            <v>0</v>
          </cell>
          <cell r="Z87">
            <v>0</v>
          </cell>
          <cell r="AA87">
            <v>25</v>
          </cell>
          <cell r="AB87">
            <v>26</v>
          </cell>
          <cell r="AC87">
            <v>27</v>
          </cell>
          <cell r="AD87">
            <v>27</v>
          </cell>
        </row>
        <row r="88">
          <cell r="C88" t="str">
            <v>소룡리</v>
          </cell>
          <cell r="D88" t="str">
            <v>소계</v>
          </cell>
          <cell r="E88">
            <v>149507</v>
          </cell>
          <cell r="M88">
            <v>335</v>
          </cell>
          <cell r="N88">
            <v>335</v>
          </cell>
          <cell r="O88">
            <v>330</v>
          </cell>
          <cell r="P88">
            <v>327</v>
          </cell>
          <cell r="Q88">
            <v>335</v>
          </cell>
          <cell r="R88">
            <v>341</v>
          </cell>
          <cell r="S88">
            <v>264</v>
          </cell>
          <cell r="T88">
            <v>264</v>
          </cell>
          <cell r="U88">
            <v>295</v>
          </cell>
          <cell r="V88">
            <v>305</v>
          </cell>
          <cell r="W88">
            <v>313</v>
          </cell>
          <cell r="X88">
            <v>319</v>
          </cell>
          <cell r="Y88">
            <v>264</v>
          </cell>
          <cell r="Z88">
            <v>264</v>
          </cell>
          <cell r="AA88">
            <v>295</v>
          </cell>
          <cell r="AB88">
            <v>305</v>
          </cell>
          <cell r="AC88">
            <v>313</v>
          </cell>
          <cell r="AD88">
            <v>319</v>
          </cell>
        </row>
        <row r="89">
          <cell r="D89" t="str">
            <v>기촌</v>
          </cell>
          <cell r="E89">
            <v>79225</v>
          </cell>
          <cell r="F89">
            <v>0</v>
          </cell>
          <cell r="H89">
            <v>0.95</v>
          </cell>
          <cell r="I89">
            <v>0.95</v>
          </cell>
          <cell r="J89">
            <v>0.99</v>
          </cell>
          <cell r="K89">
            <v>0.99</v>
          </cell>
          <cell r="L89">
            <v>0.99</v>
          </cell>
          <cell r="M89">
            <v>178</v>
          </cell>
          <cell r="N89">
            <v>178</v>
          </cell>
          <cell r="O89">
            <v>175</v>
          </cell>
          <cell r="P89">
            <v>173</v>
          </cell>
          <cell r="Q89">
            <v>178</v>
          </cell>
          <cell r="R89">
            <v>181</v>
          </cell>
          <cell r="S89">
            <v>169</v>
          </cell>
          <cell r="T89">
            <v>169</v>
          </cell>
          <cell r="U89">
            <v>166</v>
          </cell>
          <cell r="V89">
            <v>171</v>
          </cell>
          <cell r="W89">
            <v>176</v>
          </cell>
          <cell r="X89">
            <v>179</v>
          </cell>
          <cell r="Y89">
            <v>169</v>
          </cell>
          <cell r="Z89">
            <v>169</v>
          </cell>
          <cell r="AA89">
            <v>166</v>
          </cell>
          <cell r="AB89">
            <v>171</v>
          </cell>
          <cell r="AC89">
            <v>176</v>
          </cell>
          <cell r="AD89">
            <v>179</v>
          </cell>
        </row>
        <row r="90">
          <cell r="D90" t="str">
            <v>대촌</v>
          </cell>
          <cell r="E90">
            <v>44745</v>
          </cell>
          <cell r="F90">
            <v>0</v>
          </cell>
          <cell r="H90">
            <v>0.95</v>
          </cell>
          <cell r="I90">
            <v>0.95</v>
          </cell>
          <cell r="J90">
            <v>0.99</v>
          </cell>
          <cell r="K90">
            <v>0.99</v>
          </cell>
          <cell r="L90">
            <v>0.99</v>
          </cell>
          <cell r="M90">
            <v>100</v>
          </cell>
          <cell r="N90">
            <v>100</v>
          </cell>
          <cell r="O90">
            <v>99</v>
          </cell>
          <cell r="P90">
            <v>98</v>
          </cell>
          <cell r="Q90">
            <v>100</v>
          </cell>
          <cell r="R90">
            <v>102</v>
          </cell>
          <cell r="S90">
            <v>95</v>
          </cell>
          <cell r="T90">
            <v>95</v>
          </cell>
          <cell r="U90">
            <v>94</v>
          </cell>
          <cell r="V90">
            <v>97</v>
          </cell>
          <cell r="W90">
            <v>99</v>
          </cell>
          <cell r="X90">
            <v>101</v>
          </cell>
          <cell r="Y90">
            <v>95</v>
          </cell>
          <cell r="Z90">
            <v>95</v>
          </cell>
          <cell r="AA90">
            <v>94</v>
          </cell>
          <cell r="AB90">
            <v>97</v>
          </cell>
          <cell r="AC90">
            <v>99</v>
          </cell>
          <cell r="AD90">
            <v>101</v>
          </cell>
        </row>
        <row r="91">
          <cell r="D91" t="str">
            <v>차돌배기</v>
          </cell>
          <cell r="E91">
            <v>16946</v>
          </cell>
          <cell r="F91">
            <v>1</v>
          </cell>
          <cell r="H91">
            <v>0.95</v>
          </cell>
          <cell r="I91">
            <v>0.95</v>
          </cell>
          <cell r="J91">
            <v>0.99</v>
          </cell>
          <cell r="K91">
            <v>0.99</v>
          </cell>
          <cell r="L91">
            <v>0.99</v>
          </cell>
          <cell r="M91">
            <v>38</v>
          </cell>
          <cell r="N91">
            <v>38</v>
          </cell>
          <cell r="O91">
            <v>37</v>
          </cell>
          <cell r="P91">
            <v>37</v>
          </cell>
          <cell r="Q91">
            <v>38</v>
          </cell>
          <cell r="R91">
            <v>39</v>
          </cell>
          <cell r="S91">
            <v>0</v>
          </cell>
          <cell r="T91">
            <v>0</v>
          </cell>
          <cell r="U91">
            <v>35</v>
          </cell>
          <cell r="V91">
            <v>37</v>
          </cell>
          <cell r="W91">
            <v>38</v>
          </cell>
          <cell r="X91">
            <v>39</v>
          </cell>
          <cell r="Y91">
            <v>0</v>
          </cell>
          <cell r="Z91">
            <v>0</v>
          </cell>
          <cell r="AA91">
            <v>35</v>
          </cell>
          <cell r="AB91">
            <v>37</v>
          </cell>
          <cell r="AC91">
            <v>38</v>
          </cell>
          <cell r="AD91">
            <v>39</v>
          </cell>
        </row>
        <row r="92">
          <cell r="D92" t="str">
            <v>옻나무골</v>
          </cell>
          <cell r="E92">
            <v>8591</v>
          </cell>
          <cell r="F92">
            <v>6</v>
          </cell>
          <cell r="H92">
            <v>0.95</v>
          </cell>
          <cell r="I92">
            <v>0.95</v>
          </cell>
          <cell r="J92">
            <v>0.99</v>
          </cell>
          <cell r="K92">
            <v>0.99</v>
          </cell>
          <cell r="L92">
            <v>0.99</v>
          </cell>
          <cell r="M92">
            <v>19</v>
          </cell>
          <cell r="N92">
            <v>19</v>
          </cell>
          <cell r="O92">
            <v>19</v>
          </cell>
          <cell r="P92">
            <v>19</v>
          </cell>
          <cell r="Q92">
            <v>19</v>
          </cell>
          <cell r="R92">
            <v>19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</row>
        <row r="93">
          <cell r="C93" t="str">
            <v>양지리</v>
          </cell>
          <cell r="D93" t="str">
            <v>소계</v>
          </cell>
          <cell r="M93">
            <v>357</v>
          </cell>
          <cell r="N93">
            <v>358</v>
          </cell>
          <cell r="O93">
            <v>352</v>
          </cell>
          <cell r="P93">
            <v>349</v>
          </cell>
          <cell r="Q93">
            <v>357</v>
          </cell>
          <cell r="R93">
            <v>364</v>
          </cell>
          <cell r="S93">
            <v>103</v>
          </cell>
          <cell r="T93">
            <v>103</v>
          </cell>
          <cell r="U93">
            <v>335</v>
          </cell>
          <cell r="V93">
            <v>347</v>
          </cell>
          <cell r="W93">
            <v>355</v>
          </cell>
          <cell r="X93">
            <v>362</v>
          </cell>
          <cell r="Y93">
            <v>142</v>
          </cell>
          <cell r="Z93">
            <v>142</v>
          </cell>
          <cell r="AA93">
            <v>335</v>
          </cell>
          <cell r="AB93">
            <v>347</v>
          </cell>
          <cell r="AC93">
            <v>355</v>
          </cell>
          <cell r="AD93">
            <v>362</v>
          </cell>
        </row>
        <row r="94">
          <cell r="C94" t="str">
            <v>양지 1</v>
          </cell>
          <cell r="D94" t="str">
            <v>계</v>
          </cell>
          <cell r="E94">
            <v>84326</v>
          </cell>
          <cell r="M94">
            <v>249</v>
          </cell>
          <cell r="N94">
            <v>250</v>
          </cell>
          <cell r="O94">
            <v>246</v>
          </cell>
          <cell r="P94">
            <v>243</v>
          </cell>
          <cell r="Q94">
            <v>249</v>
          </cell>
          <cell r="R94">
            <v>254</v>
          </cell>
          <cell r="S94">
            <v>0</v>
          </cell>
          <cell r="T94">
            <v>0</v>
          </cell>
          <cell r="U94">
            <v>234</v>
          </cell>
          <cell r="V94">
            <v>242</v>
          </cell>
          <cell r="W94">
            <v>248</v>
          </cell>
          <cell r="X94">
            <v>253</v>
          </cell>
          <cell r="Y94">
            <v>39</v>
          </cell>
          <cell r="Z94">
            <v>39</v>
          </cell>
          <cell r="AA94">
            <v>234</v>
          </cell>
          <cell r="AB94">
            <v>242</v>
          </cell>
          <cell r="AC94">
            <v>248</v>
          </cell>
          <cell r="AD94">
            <v>253</v>
          </cell>
        </row>
        <row r="95">
          <cell r="D95" t="str">
            <v>중말</v>
          </cell>
          <cell r="E95">
            <v>22937</v>
          </cell>
          <cell r="F95">
            <v>1</v>
          </cell>
          <cell r="H95">
            <v>0.95</v>
          </cell>
          <cell r="I95">
            <v>0.95</v>
          </cell>
          <cell r="J95">
            <v>0.99</v>
          </cell>
          <cell r="K95">
            <v>0.99</v>
          </cell>
          <cell r="L95">
            <v>0.99</v>
          </cell>
          <cell r="M95">
            <v>68</v>
          </cell>
          <cell r="N95">
            <v>68</v>
          </cell>
          <cell r="O95">
            <v>67</v>
          </cell>
          <cell r="P95">
            <v>66</v>
          </cell>
          <cell r="Q95">
            <v>68</v>
          </cell>
          <cell r="R95">
            <v>69</v>
          </cell>
          <cell r="S95">
            <v>0</v>
          </cell>
          <cell r="T95">
            <v>0</v>
          </cell>
          <cell r="U95">
            <v>64</v>
          </cell>
          <cell r="V95">
            <v>65</v>
          </cell>
          <cell r="W95">
            <v>67</v>
          </cell>
          <cell r="X95">
            <v>68</v>
          </cell>
          <cell r="Y95">
            <v>0</v>
          </cell>
          <cell r="Z95">
            <v>0</v>
          </cell>
          <cell r="AA95">
            <v>64</v>
          </cell>
          <cell r="AB95">
            <v>65</v>
          </cell>
          <cell r="AC95">
            <v>67</v>
          </cell>
          <cell r="AD95">
            <v>68</v>
          </cell>
        </row>
        <row r="96">
          <cell r="D96" t="str">
            <v>양지편</v>
          </cell>
          <cell r="E96">
            <v>5200</v>
          </cell>
          <cell r="F96">
            <v>1</v>
          </cell>
          <cell r="H96">
            <v>0.95</v>
          </cell>
          <cell r="I96">
            <v>0.95</v>
          </cell>
          <cell r="J96">
            <v>0.99</v>
          </cell>
          <cell r="K96">
            <v>0.99</v>
          </cell>
          <cell r="L96">
            <v>0.99</v>
          </cell>
          <cell r="M96">
            <v>15</v>
          </cell>
          <cell r="N96">
            <v>15</v>
          </cell>
          <cell r="O96">
            <v>15</v>
          </cell>
          <cell r="P96">
            <v>15</v>
          </cell>
          <cell r="Q96">
            <v>15</v>
          </cell>
          <cell r="R96">
            <v>16</v>
          </cell>
          <cell r="S96">
            <v>0</v>
          </cell>
          <cell r="T96">
            <v>0</v>
          </cell>
          <cell r="U96">
            <v>14</v>
          </cell>
          <cell r="V96">
            <v>15</v>
          </cell>
          <cell r="W96">
            <v>15</v>
          </cell>
          <cell r="X96">
            <v>16</v>
          </cell>
          <cell r="Y96">
            <v>0</v>
          </cell>
          <cell r="Z96">
            <v>0</v>
          </cell>
          <cell r="AA96">
            <v>14</v>
          </cell>
          <cell r="AB96">
            <v>15</v>
          </cell>
          <cell r="AC96">
            <v>15</v>
          </cell>
          <cell r="AD96">
            <v>16</v>
          </cell>
        </row>
        <row r="97">
          <cell r="D97" t="str">
            <v>구억갱이</v>
          </cell>
          <cell r="E97">
            <v>14825</v>
          </cell>
          <cell r="F97">
            <v>1</v>
          </cell>
          <cell r="H97">
            <v>0.95</v>
          </cell>
          <cell r="I97">
            <v>0.95</v>
          </cell>
          <cell r="J97">
            <v>0.99</v>
          </cell>
          <cell r="K97">
            <v>0.99</v>
          </cell>
          <cell r="L97">
            <v>0.99</v>
          </cell>
          <cell r="M97">
            <v>44</v>
          </cell>
          <cell r="N97">
            <v>44</v>
          </cell>
          <cell r="O97">
            <v>43</v>
          </cell>
          <cell r="P97">
            <v>43</v>
          </cell>
          <cell r="Q97">
            <v>44</v>
          </cell>
          <cell r="R97">
            <v>45</v>
          </cell>
          <cell r="S97">
            <v>0</v>
          </cell>
          <cell r="T97">
            <v>0</v>
          </cell>
          <cell r="U97">
            <v>41</v>
          </cell>
          <cell r="V97">
            <v>43</v>
          </cell>
          <cell r="W97">
            <v>44</v>
          </cell>
          <cell r="X97">
            <v>45</v>
          </cell>
          <cell r="Y97">
            <v>0</v>
          </cell>
          <cell r="Z97">
            <v>0</v>
          </cell>
          <cell r="AA97">
            <v>41</v>
          </cell>
          <cell r="AB97">
            <v>43</v>
          </cell>
          <cell r="AC97">
            <v>44</v>
          </cell>
          <cell r="AD97">
            <v>45</v>
          </cell>
        </row>
        <row r="98">
          <cell r="D98" t="str">
            <v>구억말</v>
          </cell>
          <cell r="E98">
            <v>13732</v>
          </cell>
          <cell r="F98">
            <v>5</v>
          </cell>
          <cell r="H98">
            <v>0.95</v>
          </cell>
          <cell r="I98">
            <v>0.95</v>
          </cell>
          <cell r="J98">
            <v>0.99</v>
          </cell>
          <cell r="K98">
            <v>0.99</v>
          </cell>
          <cell r="L98">
            <v>0.99</v>
          </cell>
          <cell r="M98">
            <v>41</v>
          </cell>
          <cell r="N98">
            <v>41</v>
          </cell>
          <cell r="O98">
            <v>40</v>
          </cell>
          <cell r="P98">
            <v>40</v>
          </cell>
          <cell r="Q98">
            <v>41</v>
          </cell>
          <cell r="R98">
            <v>41</v>
          </cell>
          <cell r="S98">
            <v>0</v>
          </cell>
          <cell r="T98">
            <v>0</v>
          </cell>
          <cell r="U98">
            <v>38</v>
          </cell>
          <cell r="V98">
            <v>40</v>
          </cell>
          <cell r="W98">
            <v>41</v>
          </cell>
          <cell r="X98">
            <v>41</v>
          </cell>
          <cell r="Y98">
            <v>39</v>
          </cell>
          <cell r="Z98">
            <v>39</v>
          </cell>
          <cell r="AA98">
            <v>38</v>
          </cell>
          <cell r="AB98">
            <v>40</v>
          </cell>
          <cell r="AC98">
            <v>41</v>
          </cell>
          <cell r="AD98">
            <v>41</v>
          </cell>
        </row>
        <row r="99">
          <cell r="D99" t="str">
            <v>당산말</v>
          </cell>
          <cell r="E99">
            <v>14742</v>
          </cell>
          <cell r="F99">
            <v>1</v>
          </cell>
          <cell r="H99">
            <v>0.95</v>
          </cell>
          <cell r="I99">
            <v>0.95</v>
          </cell>
          <cell r="J99">
            <v>0.99</v>
          </cell>
          <cell r="K99">
            <v>0.99</v>
          </cell>
          <cell r="L99">
            <v>0.99</v>
          </cell>
          <cell r="M99">
            <v>44</v>
          </cell>
          <cell r="N99">
            <v>44</v>
          </cell>
          <cell r="O99">
            <v>43</v>
          </cell>
          <cell r="P99">
            <v>42</v>
          </cell>
          <cell r="Q99">
            <v>44</v>
          </cell>
          <cell r="R99">
            <v>44</v>
          </cell>
          <cell r="S99">
            <v>0</v>
          </cell>
          <cell r="T99">
            <v>0</v>
          </cell>
          <cell r="U99">
            <v>41</v>
          </cell>
          <cell r="V99">
            <v>42</v>
          </cell>
          <cell r="W99">
            <v>44</v>
          </cell>
          <cell r="X99">
            <v>44</v>
          </cell>
          <cell r="Y99">
            <v>0</v>
          </cell>
          <cell r="Z99">
            <v>0</v>
          </cell>
          <cell r="AA99">
            <v>41</v>
          </cell>
          <cell r="AB99">
            <v>42</v>
          </cell>
          <cell r="AC99">
            <v>44</v>
          </cell>
          <cell r="AD99">
            <v>44</v>
          </cell>
        </row>
        <row r="100">
          <cell r="D100" t="str">
            <v>발화지</v>
          </cell>
          <cell r="E100">
            <v>12890</v>
          </cell>
          <cell r="F100">
            <v>1</v>
          </cell>
          <cell r="H100">
            <v>0.95</v>
          </cell>
          <cell r="I100">
            <v>0.95</v>
          </cell>
          <cell r="J100">
            <v>0.99</v>
          </cell>
          <cell r="K100">
            <v>0.99</v>
          </cell>
          <cell r="L100">
            <v>0.99</v>
          </cell>
          <cell r="M100">
            <v>37</v>
          </cell>
          <cell r="N100">
            <v>38</v>
          </cell>
          <cell r="O100">
            <v>38</v>
          </cell>
          <cell r="P100">
            <v>37</v>
          </cell>
          <cell r="Q100">
            <v>37</v>
          </cell>
          <cell r="R100">
            <v>39</v>
          </cell>
          <cell r="S100">
            <v>0</v>
          </cell>
          <cell r="T100">
            <v>0</v>
          </cell>
          <cell r="U100">
            <v>36</v>
          </cell>
          <cell r="V100">
            <v>37</v>
          </cell>
          <cell r="W100">
            <v>37</v>
          </cell>
          <cell r="X100">
            <v>39</v>
          </cell>
          <cell r="Y100">
            <v>0</v>
          </cell>
          <cell r="Z100">
            <v>0</v>
          </cell>
          <cell r="AA100">
            <v>36</v>
          </cell>
          <cell r="AB100">
            <v>37</v>
          </cell>
          <cell r="AC100">
            <v>37</v>
          </cell>
          <cell r="AD100">
            <v>39</v>
          </cell>
        </row>
        <row r="101">
          <cell r="C101" t="str">
            <v>양지 2</v>
          </cell>
          <cell r="D101" t="str">
            <v>계</v>
          </cell>
          <cell r="M101">
            <v>108</v>
          </cell>
          <cell r="N101">
            <v>108</v>
          </cell>
          <cell r="O101">
            <v>106</v>
          </cell>
          <cell r="P101">
            <v>106</v>
          </cell>
          <cell r="Q101">
            <v>108</v>
          </cell>
          <cell r="R101">
            <v>110</v>
          </cell>
          <cell r="S101">
            <v>103</v>
          </cell>
          <cell r="T101">
            <v>103</v>
          </cell>
          <cell r="U101">
            <v>101</v>
          </cell>
          <cell r="V101">
            <v>105</v>
          </cell>
          <cell r="W101">
            <v>107</v>
          </cell>
          <cell r="X101">
            <v>109</v>
          </cell>
          <cell r="Y101">
            <v>103</v>
          </cell>
          <cell r="Z101">
            <v>103</v>
          </cell>
          <cell r="AA101">
            <v>101</v>
          </cell>
          <cell r="AB101">
            <v>105</v>
          </cell>
          <cell r="AC101">
            <v>107</v>
          </cell>
          <cell r="AD101">
            <v>109</v>
          </cell>
        </row>
        <row r="102">
          <cell r="D102" t="str">
            <v>감바우</v>
          </cell>
          <cell r="F102">
            <v>0</v>
          </cell>
          <cell r="H102">
            <v>0.95</v>
          </cell>
          <cell r="I102">
            <v>0.95</v>
          </cell>
          <cell r="J102">
            <v>0.99</v>
          </cell>
          <cell r="K102">
            <v>0.99</v>
          </cell>
          <cell r="L102">
            <v>0.99</v>
          </cell>
          <cell r="M102">
            <v>108</v>
          </cell>
          <cell r="N102">
            <v>108</v>
          </cell>
          <cell r="O102">
            <v>106</v>
          </cell>
          <cell r="P102">
            <v>106</v>
          </cell>
          <cell r="Q102">
            <v>108</v>
          </cell>
          <cell r="R102">
            <v>110</v>
          </cell>
          <cell r="S102">
            <v>103</v>
          </cell>
          <cell r="T102">
            <v>103</v>
          </cell>
          <cell r="U102">
            <v>101</v>
          </cell>
          <cell r="V102">
            <v>105</v>
          </cell>
          <cell r="W102">
            <v>107</v>
          </cell>
          <cell r="X102">
            <v>109</v>
          </cell>
          <cell r="Y102">
            <v>103</v>
          </cell>
          <cell r="Z102">
            <v>103</v>
          </cell>
          <cell r="AA102">
            <v>101</v>
          </cell>
          <cell r="AB102">
            <v>105</v>
          </cell>
          <cell r="AC102">
            <v>107</v>
          </cell>
          <cell r="AD102">
            <v>109</v>
          </cell>
        </row>
        <row r="103">
          <cell r="C103" t="str">
            <v>마전리</v>
          </cell>
          <cell r="D103" t="str">
            <v>소계</v>
          </cell>
          <cell r="M103">
            <v>801</v>
          </cell>
          <cell r="N103">
            <v>801</v>
          </cell>
          <cell r="O103">
            <v>790</v>
          </cell>
          <cell r="P103">
            <v>782</v>
          </cell>
          <cell r="Q103">
            <v>801</v>
          </cell>
          <cell r="R103">
            <v>816</v>
          </cell>
          <cell r="S103">
            <v>474</v>
          </cell>
          <cell r="T103">
            <v>474</v>
          </cell>
          <cell r="U103">
            <v>751</v>
          </cell>
          <cell r="V103">
            <v>773</v>
          </cell>
          <cell r="W103">
            <v>792</v>
          </cell>
          <cell r="X103">
            <v>807</v>
          </cell>
          <cell r="Y103">
            <v>474</v>
          </cell>
          <cell r="Z103">
            <v>474</v>
          </cell>
          <cell r="AA103">
            <v>751</v>
          </cell>
          <cell r="AB103">
            <v>773</v>
          </cell>
          <cell r="AC103">
            <v>792</v>
          </cell>
          <cell r="AD103">
            <v>807</v>
          </cell>
        </row>
        <row r="104">
          <cell r="C104" t="str">
            <v>마전 1</v>
          </cell>
          <cell r="D104" t="str">
            <v>계</v>
          </cell>
          <cell r="E104">
            <v>113148</v>
          </cell>
          <cell r="M104">
            <v>251</v>
          </cell>
          <cell r="N104">
            <v>251</v>
          </cell>
          <cell r="O104">
            <v>248</v>
          </cell>
          <cell r="P104">
            <v>245</v>
          </cell>
          <cell r="Q104">
            <v>251</v>
          </cell>
          <cell r="R104">
            <v>256</v>
          </cell>
          <cell r="S104">
            <v>239</v>
          </cell>
          <cell r="T104">
            <v>239</v>
          </cell>
          <cell r="U104">
            <v>236</v>
          </cell>
          <cell r="V104">
            <v>242</v>
          </cell>
          <cell r="W104">
            <v>248</v>
          </cell>
          <cell r="X104">
            <v>253</v>
          </cell>
          <cell r="Y104">
            <v>239</v>
          </cell>
          <cell r="Z104">
            <v>239</v>
          </cell>
          <cell r="AA104">
            <v>236</v>
          </cell>
          <cell r="AB104">
            <v>242</v>
          </cell>
          <cell r="AC104">
            <v>248</v>
          </cell>
          <cell r="AD104">
            <v>253</v>
          </cell>
        </row>
        <row r="105">
          <cell r="D105" t="str">
            <v>주촌</v>
          </cell>
          <cell r="E105">
            <v>35513</v>
          </cell>
          <cell r="F105">
            <v>0</v>
          </cell>
          <cell r="H105">
            <v>0.95</v>
          </cell>
          <cell r="I105">
            <v>0.95</v>
          </cell>
          <cell r="J105">
            <v>0.99</v>
          </cell>
          <cell r="K105">
            <v>0.99</v>
          </cell>
          <cell r="L105">
            <v>0.99</v>
          </cell>
          <cell r="M105">
            <v>79</v>
          </cell>
          <cell r="N105">
            <v>79</v>
          </cell>
          <cell r="O105">
            <v>78</v>
          </cell>
          <cell r="P105">
            <v>77</v>
          </cell>
          <cell r="Q105">
            <v>79</v>
          </cell>
          <cell r="R105">
            <v>80</v>
          </cell>
          <cell r="S105">
            <v>75</v>
          </cell>
          <cell r="T105">
            <v>75</v>
          </cell>
          <cell r="U105">
            <v>74</v>
          </cell>
          <cell r="V105">
            <v>76</v>
          </cell>
          <cell r="W105">
            <v>78</v>
          </cell>
          <cell r="X105">
            <v>79</v>
          </cell>
          <cell r="Y105">
            <v>75</v>
          </cell>
          <cell r="Z105">
            <v>75</v>
          </cell>
          <cell r="AA105">
            <v>74</v>
          </cell>
          <cell r="AB105">
            <v>76</v>
          </cell>
          <cell r="AC105">
            <v>78</v>
          </cell>
          <cell r="AD105">
            <v>79</v>
          </cell>
        </row>
        <row r="106">
          <cell r="D106" t="str">
            <v>신양</v>
          </cell>
          <cell r="E106">
            <v>12318</v>
          </cell>
          <cell r="F106">
            <v>0</v>
          </cell>
          <cell r="H106">
            <v>0.95</v>
          </cell>
          <cell r="I106">
            <v>0.95</v>
          </cell>
          <cell r="J106">
            <v>0.99</v>
          </cell>
          <cell r="K106">
            <v>0.99</v>
          </cell>
          <cell r="L106">
            <v>0.99</v>
          </cell>
          <cell r="M106">
            <v>27</v>
          </cell>
          <cell r="N106">
            <v>27</v>
          </cell>
          <cell r="O106">
            <v>27</v>
          </cell>
          <cell r="P106">
            <v>27</v>
          </cell>
          <cell r="Q106">
            <v>27</v>
          </cell>
          <cell r="R106">
            <v>28</v>
          </cell>
          <cell r="S106">
            <v>26</v>
          </cell>
          <cell r="T106">
            <v>26</v>
          </cell>
          <cell r="U106">
            <v>26</v>
          </cell>
          <cell r="V106">
            <v>27</v>
          </cell>
          <cell r="W106">
            <v>27</v>
          </cell>
          <cell r="X106">
            <v>28</v>
          </cell>
          <cell r="Y106">
            <v>26</v>
          </cell>
          <cell r="Z106">
            <v>26</v>
          </cell>
          <cell r="AA106">
            <v>26</v>
          </cell>
          <cell r="AB106">
            <v>27</v>
          </cell>
          <cell r="AC106">
            <v>27</v>
          </cell>
          <cell r="AD106">
            <v>28</v>
          </cell>
        </row>
        <row r="107">
          <cell r="D107" t="str">
            <v>마봉</v>
          </cell>
          <cell r="E107">
            <v>37973</v>
          </cell>
          <cell r="F107">
            <v>0</v>
          </cell>
          <cell r="H107">
            <v>0.95</v>
          </cell>
          <cell r="I107">
            <v>0.95</v>
          </cell>
          <cell r="J107">
            <v>0.99</v>
          </cell>
          <cell r="K107">
            <v>0.99</v>
          </cell>
          <cell r="L107">
            <v>0.99</v>
          </cell>
          <cell r="M107">
            <v>84</v>
          </cell>
          <cell r="N107">
            <v>84</v>
          </cell>
          <cell r="O107">
            <v>83</v>
          </cell>
          <cell r="P107">
            <v>82</v>
          </cell>
          <cell r="Q107">
            <v>84</v>
          </cell>
          <cell r="R107">
            <v>86</v>
          </cell>
          <cell r="S107">
            <v>80</v>
          </cell>
          <cell r="T107">
            <v>80</v>
          </cell>
          <cell r="U107">
            <v>79</v>
          </cell>
          <cell r="V107">
            <v>81</v>
          </cell>
          <cell r="W107">
            <v>83</v>
          </cell>
          <cell r="X107">
            <v>85</v>
          </cell>
          <cell r="Y107">
            <v>80</v>
          </cell>
          <cell r="Z107">
            <v>80</v>
          </cell>
          <cell r="AA107">
            <v>79</v>
          </cell>
          <cell r="AB107">
            <v>81</v>
          </cell>
          <cell r="AC107">
            <v>83</v>
          </cell>
          <cell r="AD107">
            <v>85</v>
          </cell>
        </row>
        <row r="108">
          <cell r="D108" t="str">
            <v>도장골</v>
          </cell>
          <cell r="E108">
            <v>27344</v>
          </cell>
          <cell r="F108">
            <v>0</v>
          </cell>
          <cell r="H108">
            <v>0.95</v>
          </cell>
          <cell r="I108">
            <v>0.95</v>
          </cell>
          <cell r="J108">
            <v>0.99</v>
          </cell>
          <cell r="K108">
            <v>0.99</v>
          </cell>
          <cell r="L108">
            <v>0.99</v>
          </cell>
          <cell r="M108">
            <v>61</v>
          </cell>
          <cell r="N108">
            <v>61</v>
          </cell>
          <cell r="O108">
            <v>60</v>
          </cell>
          <cell r="P108">
            <v>59</v>
          </cell>
          <cell r="Q108">
            <v>61</v>
          </cell>
          <cell r="R108">
            <v>62</v>
          </cell>
          <cell r="S108">
            <v>58</v>
          </cell>
          <cell r="T108">
            <v>58</v>
          </cell>
          <cell r="U108">
            <v>57</v>
          </cell>
          <cell r="V108">
            <v>58</v>
          </cell>
          <cell r="W108">
            <v>60</v>
          </cell>
          <cell r="X108">
            <v>61</v>
          </cell>
          <cell r="Y108">
            <v>58</v>
          </cell>
          <cell r="Z108">
            <v>58</v>
          </cell>
          <cell r="AA108">
            <v>57</v>
          </cell>
          <cell r="AB108">
            <v>58</v>
          </cell>
          <cell r="AC108">
            <v>60</v>
          </cell>
          <cell r="AD108">
            <v>61</v>
          </cell>
        </row>
        <row r="109">
          <cell r="C109" t="str">
            <v>마전 2</v>
          </cell>
          <cell r="D109" t="str">
            <v>계</v>
          </cell>
          <cell r="E109">
            <v>48482</v>
          </cell>
          <cell r="M109">
            <v>157</v>
          </cell>
          <cell r="N109">
            <v>157</v>
          </cell>
          <cell r="O109">
            <v>155</v>
          </cell>
          <cell r="P109">
            <v>153</v>
          </cell>
          <cell r="Q109">
            <v>157</v>
          </cell>
          <cell r="R109">
            <v>160</v>
          </cell>
          <cell r="S109">
            <v>0</v>
          </cell>
          <cell r="T109">
            <v>0</v>
          </cell>
          <cell r="U109">
            <v>147</v>
          </cell>
          <cell r="V109">
            <v>151</v>
          </cell>
          <cell r="W109">
            <v>155</v>
          </cell>
          <cell r="X109">
            <v>158</v>
          </cell>
          <cell r="Y109">
            <v>0</v>
          </cell>
          <cell r="Z109">
            <v>0</v>
          </cell>
          <cell r="AA109">
            <v>147</v>
          </cell>
          <cell r="AB109">
            <v>151</v>
          </cell>
          <cell r="AC109">
            <v>155</v>
          </cell>
          <cell r="AD109">
            <v>158</v>
          </cell>
        </row>
        <row r="110">
          <cell r="D110" t="str">
            <v>승지</v>
          </cell>
          <cell r="E110">
            <v>31521</v>
          </cell>
          <cell r="F110">
            <v>1</v>
          </cell>
          <cell r="H110">
            <v>0.95</v>
          </cell>
          <cell r="I110">
            <v>0.95</v>
          </cell>
          <cell r="J110">
            <v>0.99</v>
          </cell>
          <cell r="K110">
            <v>0.99</v>
          </cell>
          <cell r="L110">
            <v>0.99</v>
          </cell>
          <cell r="M110">
            <v>102</v>
          </cell>
          <cell r="N110">
            <v>102</v>
          </cell>
          <cell r="O110">
            <v>101</v>
          </cell>
          <cell r="P110">
            <v>99</v>
          </cell>
          <cell r="Q110">
            <v>102</v>
          </cell>
          <cell r="R110">
            <v>104</v>
          </cell>
          <cell r="S110">
            <v>0</v>
          </cell>
          <cell r="T110">
            <v>0</v>
          </cell>
          <cell r="U110">
            <v>96</v>
          </cell>
          <cell r="V110">
            <v>98</v>
          </cell>
          <cell r="W110">
            <v>101</v>
          </cell>
          <cell r="X110">
            <v>103</v>
          </cell>
          <cell r="Y110">
            <v>0</v>
          </cell>
          <cell r="Z110">
            <v>0</v>
          </cell>
          <cell r="AA110">
            <v>96</v>
          </cell>
          <cell r="AB110">
            <v>98</v>
          </cell>
          <cell r="AC110">
            <v>101</v>
          </cell>
          <cell r="AD110">
            <v>103</v>
          </cell>
        </row>
        <row r="111">
          <cell r="D111" t="str">
            <v>삼밭내</v>
          </cell>
          <cell r="E111">
            <v>16961</v>
          </cell>
          <cell r="F111">
            <v>1</v>
          </cell>
          <cell r="H111">
            <v>0.95</v>
          </cell>
          <cell r="I111">
            <v>0.95</v>
          </cell>
          <cell r="J111">
            <v>0.99</v>
          </cell>
          <cell r="K111">
            <v>0.99</v>
          </cell>
          <cell r="L111">
            <v>0.99</v>
          </cell>
          <cell r="M111">
            <v>55</v>
          </cell>
          <cell r="N111">
            <v>55</v>
          </cell>
          <cell r="O111">
            <v>54</v>
          </cell>
          <cell r="P111">
            <v>54</v>
          </cell>
          <cell r="Q111">
            <v>55</v>
          </cell>
          <cell r="R111">
            <v>56</v>
          </cell>
          <cell r="S111">
            <v>0</v>
          </cell>
          <cell r="T111">
            <v>0</v>
          </cell>
          <cell r="U111">
            <v>51</v>
          </cell>
          <cell r="V111">
            <v>53</v>
          </cell>
          <cell r="W111">
            <v>54</v>
          </cell>
          <cell r="X111">
            <v>55</v>
          </cell>
          <cell r="Y111">
            <v>0</v>
          </cell>
          <cell r="Z111">
            <v>0</v>
          </cell>
          <cell r="AA111">
            <v>51</v>
          </cell>
          <cell r="AB111">
            <v>53</v>
          </cell>
          <cell r="AC111">
            <v>54</v>
          </cell>
          <cell r="AD111">
            <v>55</v>
          </cell>
        </row>
        <row r="112">
          <cell r="C112" t="str">
            <v>마전 3</v>
          </cell>
          <cell r="D112" t="str">
            <v>계</v>
          </cell>
          <cell r="M112">
            <v>146</v>
          </cell>
          <cell r="N112">
            <v>146</v>
          </cell>
          <cell r="O112">
            <v>144</v>
          </cell>
          <cell r="P112">
            <v>143</v>
          </cell>
          <cell r="Q112">
            <v>146</v>
          </cell>
          <cell r="R112">
            <v>149</v>
          </cell>
          <cell r="S112">
            <v>0</v>
          </cell>
          <cell r="T112">
            <v>0</v>
          </cell>
          <cell r="U112">
            <v>137</v>
          </cell>
          <cell r="V112">
            <v>142</v>
          </cell>
          <cell r="W112">
            <v>145</v>
          </cell>
          <cell r="X112">
            <v>148</v>
          </cell>
          <cell r="Y112">
            <v>0</v>
          </cell>
          <cell r="Z112">
            <v>0</v>
          </cell>
          <cell r="AA112">
            <v>137</v>
          </cell>
          <cell r="AB112">
            <v>142</v>
          </cell>
          <cell r="AC112">
            <v>145</v>
          </cell>
          <cell r="AD112">
            <v>148</v>
          </cell>
        </row>
        <row r="113">
          <cell r="D113" t="str">
            <v>노루목</v>
          </cell>
          <cell r="F113">
            <v>1</v>
          </cell>
          <cell r="H113">
            <v>0.95</v>
          </cell>
          <cell r="I113">
            <v>0.95</v>
          </cell>
          <cell r="J113">
            <v>0.99</v>
          </cell>
          <cell r="K113">
            <v>0.99</v>
          </cell>
          <cell r="L113">
            <v>0.99</v>
          </cell>
          <cell r="M113">
            <v>146</v>
          </cell>
          <cell r="N113">
            <v>146</v>
          </cell>
          <cell r="O113">
            <v>144</v>
          </cell>
          <cell r="P113">
            <v>143</v>
          </cell>
          <cell r="Q113">
            <v>146</v>
          </cell>
          <cell r="R113">
            <v>149</v>
          </cell>
          <cell r="S113">
            <v>0</v>
          </cell>
          <cell r="T113">
            <v>0</v>
          </cell>
          <cell r="U113">
            <v>137</v>
          </cell>
          <cell r="V113">
            <v>142</v>
          </cell>
          <cell r="W113">
            <v>145</v>
          </cell>
          <cell r="X113">
            <v>148</v>
          </cell>
          <cell r="Y113">
            <v>0</v>
          </cell>
          <cell r="Z113">
            <v>0</v>
          </cell>
          <cell r="AA113">
            <v>137</v>
          </cell>
          <cell r="AB113">
            <v>142</v>
          </cell>
          <cell r="AC113">
            <v>145</v>
          </cell>
          <cell r="AD113">
            <v>148</v>
          </cell>
        </row>
        <row r="114">
          <cell r="C114" t="str">
            <v>마전 4</v>
          </cell>
          <cell r="D114" t="str">
            <v>계</v>
          </cell>
          <cell r="E114">
            <v>27580</v>
          </cell>
          <cell r="M114">
            <v>106</v>
          </cell>
          <cell r="N114">
            <v>106</v>
          </cell>
          <cell r="O114">
            <v>104</v>
          </cell>
          <cell r="P114">
            <v>103</v>
          </cell>
          <cell r="Q114">
            <v>106</v>
          </cell>
          <cell r="R114">
            <v>108</v>
          </cell>
          <cell r="S114">
            <v>101</v>
          </cell>
          <cell r="T114">
            <v>101</v>
          </cell>
          <cell r="U114">
            <v>99</v>
          </cell>
          <cell r="V114">
            <v>102</v>
          </cell>
          <cell r="W114">
            <v>105</v>
          </cell>
          <cell r="X114">
            <v>107</v>
          </cell>
          <cell r="Y114">
            <v>101</v>
          </cell>
          <cell r="Z114">
            <v>101</v>
          </cell>
          <cell r="AA114">
            <v>99</v>
          </cell>
          <cell r="AB114">
            <v>102</v>
          </cell>
          <cell r="AC114">
            <v>105</v>
          </cell>
          <cell r="AD114">
            <v>107</v>
          </cell>
        </row>
        <row r="115">
          <cell r="D115" t="str">
            <v>야황</v>
          </cell>
          <cell r="E115">
            <v>6129</v>
          </cell>
          <cell r="F115">
            <v>0</v>
          </cell>
          <cell r="H115">
            <v>0.95</v>
          </cell>
          <cell r="I115">
            <v>0.95</v>
          </cell>
          <cell r="J115">
            <v>0.99</v>
          </cell>
          <cell r="K115">
            <v>0.99</v>
          </cell>
          <cell r="L115">
            <v>0.99</v>
          </cell>
          <cell r="M115">
            <v>24</v>
          </cell>
          <cell r="N115">
            <v>24</v>
          </cell>
          <cell r="O115">
            <v>23</v>
          </cell>
          <cell r="P115">
            <v>23</v>
          </cell>
          <cell r="Q115">
            <v>24</v>
          </cell>
          <cell r="R115">
            <v>24</v>
          </cell>
          <cell r="S115">
            <v>23</v>
          </cell>
          <cell r="T115">
            <v>23</v>
          </cell>
          <cell r="U115">
            <v>22</v>
          </cell>
          <cell r="V115">
            <v>23</v>
          </cell>
          <cell r="W115">
            <v>24</v>
          </cell>
          <cell r="X115">
            <v>24</v>
          </cell>
          <cell r="Y115">
            <v>23</v>
          </cell>
          <cell r="Z115">
            <v>23</v>
          </cell>
          <cell r="AA115">
            <v>22</v>
          </cell>
          <cell r="AB115">
            <v>23</v>
          </cell>
          <cell r="AC115">
            <v>24</v>
          </cell>
          <cell r="AD115">
            <v>24</v>
          </cell>
        </row>
        <row r="116">
          <cell r="D116" t="str">
            <v>황화</v>
          </cell>
          <cell r="E116">
            <v>21451</v>
          </cell>
          <cell r="F116">
            <v>0</v>
          </cell>
          <cell r="H116">
            <v>0.95</v>
          </cell>
          <cell r="I116">
            <v>0.95</v>
          </cell>
          <cell r="J116">
            <v>0.99</v>
          </cell>
          <cell r="K116">
            <v>0.99</v>
          </cell>
          <cell r="L116">
            <v>0.99</v>
          </cell>
          <cell r="M116">
            <v>82</v>
          </cell>
          <cell r="N116">
            <v>82</v>
          </cell>
          <cell r="O116">
            <v>81</v>
          </cell>
          <cell r="P116">
            <v>80</v>
          </cell>
          <cell r="Q116">
            <v>82</v>
          </cell>
          <cell r="R116">
            <v>84</v>
          </cell>
          <cell r="S116">
            <v>78</v>
          </cell>
          <cell r="T116">
            <v>78</v>
          </cell>
          <cell r="U116">
            <v>77</v>
          </cell>
          <cell r="V116">
            <v>79</v>
          </cell>
          <cell r="W116">
            <v>81</v>
          </cell>
          <cell r="X116">
            <v>83</v>
          </cell>
          <cell r="Y116">
            <v>78</v>
          </cell>
          <cell r="Z116">
            <v>78</v>
          </cell>
          <cell r="AA116">
            <v>77</v>
          </cell>
          <cell r="AB116">
            <v>79</v>
          </cell>
          <cell r="AC116">
            <v>81</v>
          </cell>
          <cell r="AD116">
            <v>83</v>
          </cell>
        </row>
        <row r="117">
          <cell r="C117" t="str">
            <v>마전 5</v>
          </cell>
          <cell r="D117" t="str">
            <v>계</v>
          </cell>
          <cell r="M117">
            <v>81</v>
          </cell>
          <cell r="N117">
            <v>81</v>
          </cell>
          <cell r="O117">
            <v>80</v>
          </cell>
          <cell r="P117">
            <v>79</v>
          </cell>
          <cell r="Q117">
            <v>81</v>
          </cell>
          <cell r="R117">
            <v>82</v>
          </cell>
          <cell r="S117">
            <v>77</v>
          </cell>
          <cell r="T117">
            <v>77</v>
          </cell>
          <cell r="U117">
            <v>76</v>
          </cell>
          <cell r="V117">
            <v>78</v>
          </cell>
          <cell r="W117">
            <v>80</v>
          </cell>
          <cell r="X117">
            <v>81</v>
          </cell>
          <cell r="Y117">
            <v>77</v>
          </cell>
          <cell r="Z117">
            <v>77</v>
          </cell>
          <cell r="AA117">
            <v>76</v>
          </cell>
          <cell r="AB117">
            <v>78</v>
          </cell>
          <cell r="AC117">
            <v>80</v>
          </cell>
          <cell r="AD117">
            <v>81</v>
          </cell>
        </row>
        <row r="118">
          <cell r="D118" t="str">
            <v>신기</v>
          </cell>
          <cell r="F118">
            <v>0</v>
          </cell>
          <cell r="H118">
            <v>0.95</v>
          </cell>
          <cell r="I118">
            <v>0.95</v>
          </cell>
          <cell r="J118">
            <v>0.99</v>
          </cell>
          <cell r="K118">
            <v>0.99</v>
          </cell>
          <cell r="L118">
            <v>0.99</v>
          </cell>
          <cell r="M118">
            <v>81</v>
          </cell>
          <cell r="N118">
            <v>81</v>
          </cell>
          <cell r="O118">
            <v>80</v>
          </cell>
          <cell r="P118">
            <v>79</v>
          </cell>
          <cell r="Q118">
            <v>81</v>
          </cell>
          <cell r="R118">
            <v>82</v>
          </cell>
          <cell r="S118">
            <v>77</v>
          </cell>
          <cell r="T118">
            <v>77</v>
          </cell>
          <cell r="U118">
            <v>76</v>
          </cell>
          <cell r="V118">
            <v>78</v>
          </cell>
          <cell r="W118">
            <v>80</v>
          </cell>
          <cell r="X118">
            <v>81</v>
          </cell>
          <cell r="Y118">
            <v>77</v>
          </cell>
          <cell r="Z118">
            <v>77</v>
          </cell>
          <cell r="AA118">
            <v>76</v>
          </cell>
          <cell r="AB118">
            <v>78</v>
          </cell>
          <cell r="AC118">
            <v>80</v>
          </cell>
          <cell r="AD118">
            <v>81</v>
          </cell>
        </row>
        <row r="119">
          <cell r="C119" t="str">
            <v>마전 6</v>
          </cell>
          <cell r="D119" t="str">
            <v>계</v>
          </cell>
          <cell r="M119">
            <v>60</v>
          </cell>
          <cell r="N119">
            <v>60</v>
          </cell>
          <cell r="O119">
            <v>59</v>
          </cell>
          <cell r="P119">
            <v>59</v>
          </cell>
          <cell r="Q119">
            <v>60</v>
          </cell>
          <cell r="R119">
            <v>61</v>
          </cell>
          <cell r="S119">
            <v>57</v>
          </cell>
          <cell r="T119">
            <v>57</v>
          </cell>
          <cell r="U119">
            <v>56</v>
          </cell>
          <cell r="V119">
            <v>58</v>
          </cell>
          <cell r="W119">
            <v>59</v>
          </cell>
          <cell r="X119">
            <v>60</v>
          </cell>
          <cell r="Y119">
            <v>57</v>
          </cell>
          <cell r="Z119">
            <v>57</v>
          </cell>
          <cell r="AA119">
            <v>56</v>
          </cell>
          <cell r="AB119">
            <v>58</v>
          </cell>
          <cell r="AC119">
            <v>59</v>
          </cell>
          <cell r="AD119">
            <v>60</v>
          </cell>
        </row>
        <row r="120">
          <cell r="D120" t="str">
            <v>구양</v>
          </cell>
          <cell r="F120">
            <v>0</v>
          </cell>
          <cell r="H120">
            <v>0.95</v>
          </cell>
          <cell r="I120">
            <v>0.95</v>
          </cell>
          <cell r="J120">
            <v>0.99</v>
          </cell>
          <cell r="K120">
            <v>0.99</v>
          </cell>
          <cell r="L120">
            <v>0.99</v>
          </cell>
          <cell r="M120">
            <v>60</v>
          </cell>
          <cell r="N120">
            <v>60</v>
          </cell>
          <cell r="O120">
            <v>59</v>
          </cell>
          <cell r="P120">
            <v>59</v>
          </cell>
          <cell r="Q120">
            <v>60</v>
          </cell>
          <cell r="R120">
            <v>61</v>
          </cell>
          <cell r="S120">
            <v>57</v>
          </cell>
          <cell r="T120">
            <v>57</v>
          </cell>
          <cell r="U120">
            <v>56</v>
          </cell>
          <cell r="V120">
            <v>58</v>
          </cell>
          <cell r="W120">
            <v>59</v>
          </cell>
          <cell r="X120">
            <v>60</v>
          </cell>
          <cell r="Y120">
            <v>57</v>
          </cell>
          <cell r="Z120">
            <v>57</v>
          </cell>
          <cell r="AA120">
            <v>56</v>
          </cell>
          <cell r="AB120">
            <v>58</v>
          </cell>
          <cell r="AC120">
            <v>59</v>
          </cell>
          <cell r="AD120">
            <v>60</v>
          </cell>
        </row>
        <row r="121">
          <cell r="C121" t="str">
            <v>고내리</v>
          </cell>
          <cell r="D121" t="str">
            <v>소계</v>
          </cell>
          <cell r="M121">
            <v>644</v>
          </cell>
          <cell r="N121">
            <v>644</v>
          </cell>
          <cell r="O121">
            <v>635</v>
          </cell>
          <cell r="P121">
            <v>629</v>
          </cell>
          <cell r="Q121">
            <v>644</v>
          </cell>
          <cell r="R121">
            <v>654</v>
          </cell>
          <cell r="S121">
            <v>525</v>
          </cell>
          <cell r="T121">
            <v>525</v>
          </cell>
          <cell r="U121">
            <v>602</v>
          </cell>
          <cell r="V121">
            <v>624</v>
          </cell>
          <cell r="W121">
            <v>638</v>
          </cell>
          <cell r="X121">
            <v>648</v>
          </cell>
          <cell r="Y121">
            <v>525</v>
          </cell>
          <cell r="Z121">
            <v>525</v>
          </cell>
          <cell r="AA121">
            <v>602</v>
          </cell>
          <cell r="AB121">
            <v>624</v>
          </cell>
          <cell r="AC121">
            <v>638</v>
          </cell>
          <cell r="AD121">
            <v>648</v>
          </cell>
        </row>
        <row r="122">
          <cell r="C122" t="str">
            <v>고내 1</v>
          </cell>
          <cell r="D122" t="str">
            <v>계</v>
          </cell>
          <cell r="M122">
            <v>55</v>
          </cell>
          <cell r="N122">
            <v>55</v>
          </cell>
          <cell r="O122">
            <v>55</v>
          </cell>
          <cell r="P122">
            <v>54</v>
          </cell>
          <cell r="Q122">
            <v>55</v>
          </cell>
          <cell r="R122">
            <v>56</v>
          </cell>
          <cell r="S122">
            <v>0</v>
          </cell>
          <cell r="T122">
            <v>0</v>
          </cell>
          <cell r="U122">
            <v>52</v>
          </cell>
          <cell r="V122">
            <v>53</v>
          </cell>
          <cell r="W122">
            <v>54</v>
          </cell>
          <cell r="X122">
            <v>55</v>
          </cell>
          <cell r="Y122">
            <v>0</v>
          </cell>
          <cell r="Z122">
            <v>0</v>
          </cell>
          <cell r="AA122">
            <v>52</v>
          </cell>
          <cell r="AB122">
            <v>53</v>
          </cell>
          <cell r="AC122">
            <v>54</v>
          </cell>
          <cell r="AD122">
            <v>55</v>
          </cell>
        </row>
        <row r="123">
          <cell r="D123" t="str">
            <v>고내골</v>
          </cell>
          <cell r="F123">
            <v>1</v>
          </cell>
          <cell r="H123">
            <v>0.95</v>
          </cell>
          <cell r="I123">
            <v>0.95</v>
          </cell>
          <cell r="J123">
            <v>0.99</v>
          </cell>
          <cell r="K123">
            <v>0.99</v>
          </cell>
          <cell r="L123">
            <v>0.99</v>
          </cell>
          <cell r="M123">
            <v>55</v>
          </cell>
          <cell r="N123">
            <v>55</v>
          </cell>
          <cell r="O123">
            <v>55</v>
          </cell>
          <cell r="P123">
            <v>54</v>
          </cell>
          <cell r="Q123">
            <v>55</v>
          </cell>
          <cell r="R123">
            <v>56</v>
          </cell>
          <cell r="S123">
            <v>0</v>
          </cell>
          <cell r="T123">
            <v>0</v>
          </cell>
          <cell r="U123">
            <v>52</v>
          </cell>
          <cell r="V123">
            <v>53</v>
          </cell>
          <cell r="W123">
            <v>54</v>
          </cell>
          <cell r="X123">
            <v>55</v>
          </cell>
          <cell r="Y123">
            <v>0</v>
          </cell>
          <cell r="Z123">
            <v>0</v>
          </cell>
          <cell r="AA123">
            <v>52</v>
          </cell>
          <cell r="AB123">
            <v>53</v>
          </cell>
          <cell r="AC123">
            <v>54</v>
          </cell>
          <cell r="AD123">
            <v>55</v>
          </cell>
        </row>
        <row r="124">
          <cell r="C124" t="str">
            <v>고내 2</v>
          </cell>
          <cell r="D124" t="str">
            <v>계</v>
          </cell>
          <cell r="E124">
            <v>54640</v>
          </cell>
          <cell r="M124">
            <v>127</v>
          </cell>
          <cell r="N124">
            <v>127</v>
          </cell>
          <cell r="O124">
            <v>125</v>
          </cell>
          <cell r="P124">
            <v>124</v>
          </cell>
          <cell r="Q124">
            <v>127</v>
          </cell>
          <cell r="R124">
            <v>129</v>
          </cell>
          <cell r="S124">
            <v>120</v>
          </cell>
          <cell r="T124">
            <v>120</v>
          </cell>
          <cell r="U124">
            <v>118</v>
          </cell>
          <cell r="V124">
            <v>123</v>
          </cell>
          <cell r="W124">
            <v>125</v>
          </cell>
          <cell r="X124">
            <v>127</v>
          </cell>
          <cell r="Y124">
            <v>120</v>
          </cell>
          <cell r="Z124">
            <v>120</v>
          </cell>
          <cell r="AA124">
            <v>118</v>
          </cell>
          <cell r="AB124">
            <v>123</v>
          </cell>
          <cell r="AC124">
            <v>125</v>
          </cell>
          <cell r="AD124">
            <v>127</v>
          </cell>
        </row>
        <row r="125">
          <cell r="D125" t="str">
            <v>황화</v>
          </cell>
          <cell r="E125">
            <v>32405</v>
          </cell>
          <cell r="F125">
            <v>0</v>
          </cell>
          <cell r="H125">
            <v>0.95</v>
          </cell>
          <cell r="I125">
            <v>0.95</v>
          </cell>
          <cell r="J125">
            <v>0.99</v>
          </cell>
          <cell r="K125">
            <v>0.99</v>
          </cell>
          <cell r="L125">
            <v>0.99</v>
          </cell>
          <cell r="M125">
            <v>75</v>
          </cell>
          <cell r="N125">
            <v>75</v>
          </cell>
          <cell r="O125">
            <v>74</v>
          </cell>
          <cell r="P125">
            <v>74</v>
          </cell>
          <cell r="Q125">
            <v>75</v>
          </cell>
          <cell r="R125">
            <v>77</v>
          </cell>
          <cell r="S125">
            <v>71</v>
          </cell>
          <cell r="T125">
            <v>71</v>
          </cell>
          <cell r="U125">
            <v>70</v>
          </cell>
          <cell r="V125">
            <v>73</v>
          </cell>
          <cell r="W125">
            <v>74</v>
          </cell>
          <cell r="X125">
            <v>76</v>
          </cell>
          <cell r="Y125">
            <v>71</v>
          </cell>
          <cell r="Z125">
            <v>71</v>
          </cell>
          <cell r="AA125">
            <v>70</v>
          </cell>
          <cell r="AB125">
            <v>73</v>
          </cell>
          <cell r="AC125">
            <v>74</v>
          </cell>
          <cell r="AD125">
            <v>76</v>
          </cell>
        </row>
        <row r="126">
          <cell r="D126" t="str">
            <v>효죽</v>
          </cell>
          <cell r="E126">
            <v>22235</v>
          </cell>
          <cell r="F126">
            <v>0</v>
          </cell>
          <cell r="H126">
            <v>0.95</v>
          </cell>
          <cell r="I126">
            <v>0.95</v>
          </cell>
          <cell r="J126">
            <v>0.99</v>
          </cell>
          <cell r="K126">
            <v>0.99</v>
          </cell>
          <cell r="L126">
            <v>0.99</v>
          </cell>
          <cell r="M126">
            <v>52</v>
          </cell>
          <cell r="N126">
            <v>52</v>
          </cell>
          <cell r="O126">
            <v>51</v>
          </cell>
          <cell r="P126">
            <v>50</v>
          </cell>
          <cell r="Q126">
            <v>52</v>
          </cell>
          <cell r="R126">
            <v>52</v>
          </cell>
          <cell r="S126">
            <v>49</v>
          </cell>
          <cell r="T126">
            <v>49</v>
          </cell>
          <cell r="U126">
            <v>48</v>
          </cell>
          <cell r="V126">
            <v>50</v>
          </cell>
          <cell r="W126">
            <v>51</v>
          </cell>
          <cell r="X126">
            <v>51</v>
          </cell>
          <cell r="Y126">
            <v>49</v>
          </cell>
          <cell r="Z126">
            <v>49</v>
          </cell>
          <cell r="AA126">
            <v>48</v>
          </cell>
          <cell r="AB126">
            <v>50</v>
          </cell>
          <cell r="AC126">
            <v>51</v>
          </cell>
          <cell r="AD126">
            <v>51</v>
          </cell>
        </row>
        <row r="127">
          <cell r="C127" t="str">
            <v>고내 3</v>
          </cell>
          <cell r="D127" t="str">
            <v>계</v>
          </cell>
          <cell r="E127">
            <v>63904</v>
          </cell>
          <cell r="M127">
            <v>138</v>
          </cell>
          <cell r="N127">
            <v>138</v>
          </cell>
          <cell r="O127">
            <v>136</v>
          </cell>
          <cell r="P127">
            <v>135</v>
          </cell>
          <cell r="Q127">
            <v>138</v>
          </cell>
          <cell r="R127">
            <v>140</v>
          </cell>
          <cell r="S127">
            <v>124</v>
          </cell>
          <cell r="T127">
            <v>124</v>
          </cell>
          <cell r="U127">
            <v>129</v>
          </cell>
          <cell r="V127">
            <v>135</v>
          </cell>
          <cell r="W127">
            <v>138</v>
          </cell>
          <cell r="X127">
            <v>140</v>
          </cell>
          <cell r="Y127">
            <v>124</v>
          </cell>
          <cell r="Z127">
            <v>124</v>
          </cell>
          <cell r="AA127">
            <v>129</v>
          </cell>
          <cell r="AB127">
            <v>135</v>
          </cell>
          <cell r="AC127">
            <v>138</v>
          </cell>
          <cell r="AD127">
            <v>140</v>
          </cell>
        </row>
        <row r="128">
          <cell r="D128" t="str">
            <v>고내</v>
          </cell>
          <cell r="E128">
            <v>34996</v>
          </cell>
          <cell r="F128">
            <v>0</v>
          </cell>
          <cell r="H128">
            <v>0.9</v>
          </cell>
          <cell r="I128">
            <v>0.95</v>
          </cell>
          <cell r="J128">
            <v>1</v>
          </cell>
          <cell r="K128">
            <v>1</v>
          </cell>
          <cell r="L128">
            <v>1</v>
          </cell>
          <cell r="M128">
            <v>76</v>
          </cell>
          <cell r="N128">
            <v>76</v>
          </cell>
          <cell r="O128">
            <v>74</v>
          </cell>
          <cell r="P128">
            <v>74</v>
          </cell>
          <cell r="Q128">
            <v>76</v>
          </cell>
          <cell r="R128">
            <v>77</v>
          </cell>
          <cell r="S128">
            <v>68</v>
          </cell>
          <cell r="T128">
            <v>68</v>
          </cell>
          <cell r="U128">
            <v>70</v>
          </cell>
          <cell r="V128">
            <v>74</v>
          </cell>
          <cell r="W128">
            <v>76</v>
          </cell>
          <cell r="X128">
            <v>77</v>
          </cell>
          <cell r="Y128">
            <v>68</v>
          </cell>
          <cell r="Z128">
            <v>68</v>
          </cell>
          <cell r="AA128">
            <v>70</v>
          </cell>
          <cell r="AB128">
            <v>74</v>
          </cell>
          <cell r="AC128">
            <v>76</v>
          </cell>
          <cell r="AD128">
            <v>77</v>
          </cell>
        </row>
        <row r="129">
          <cell r="D129" t="str">
            <v>신평</v>
          </cell>
          <cell r="E129">
            <v>28908</v>
          </cell>
          <cell r="F129">
            <v>0</v>
          </cell>
          <cell r="H129">
            <v>0.9</v>
          </cell>
          <cell r="I129">
            <v>0.95</v>
          </cell>
          <cell r="J129">
            <v>1</v>
          </cell>
          <cell r="K129">
            <v>1</v>
          </cell>
          <cell r="L129">
            <v>1</v>
          </cell>
          <cell r="M129">
            <v>62</v>
          </cell>
          <cell r="N129">
            <v>62</v>
          </cell>
          <cell r="O129">
            <v>62</v>
          </cell>
          <cell r="P129">
            <v>61</v>
          </cell>
          <cell r="Q129">
            <v>62</v>
          </cell>
          <cell r="R129">
            <v>63</v>
          </cell>
          <cell r="S129">
            <v>56</v>
          </cell>
          <cell r="T129">
            <v>56</v>
          </cell>
          <cell r="U129">
            <v>59</v>
          </cell>
          <cell r="V129">
            <v>61</v>
          </cell>
          <cell r="W129">
            <v>62</v>
          </cell>
          <cell r="X129">
            <v>63</v>
          </cell>
          <cell r="Y129">
            <v>56</v>
          </cell>
          <cell r="Z129">
            <v>56</v>
          </cell>
          <cell r="AA129">
            <v>59</v>
          </cell>
          <cell r="AB129">
            <v>61</v>
          </cell>
          <cell r="AC129">
            <v>62</v>
          </cell>
          <cell r="AD129">
            <v>63</v>
          </cell>
        </row>
        <row r="130">
          <cell r="C130" t="str">
            <v>고내 4</v>
          </cell>
          <cell r="D130" t="str">
            <v>계</v>
          </cell>
          <cell r="E130">
            <v>41030</v>
          </cell>
          <cell r="M130">
            <v>73</v>
          </cell>
          <cell r="N130">
            <v>73</v>
          </cell>
          <cell r="O130">
            <v>72</v>
          </cell>
          <cell r="P130">
            <v>71</v>
          </cell>
          <cell r="Q130">
            <v>73</v>
          </cell>
          <cell r="R130">
            <v>74</v>
          </cell>
          <cell r="S130">
            <v>43</v>
          </cell>
          <cell r="T130">
            <v>43</v>
          </cell>
          <cell r="U130">
            <v>69</v>
          </cell>
          <cell r="V130">
            <v>71</v>
          </cell>
          <cell r="W130">
            <v>73</v>
          </cell>
          <cell r="X130">
            <v>74</v>
          </cell>
          <cell r="Y130">
            <v>43</v>
          </cell>
          <cell r="Z130">
            <v>43</v>
          </cell>
          <cell r="AA130">
            <v>69</v>
          </cell>
          <cell r="AB130">
            <v>71</v>
          </cell>
          <cell r="AC130">
            <v>73</v>
          </cell>
          <cell r="AD130">
            <v>74</v>
          </cell>
        </row>
        <row r="131">
          <cell r="D131" t="str">
            <v>보성</v>
          </cell>
          <cell r="E131">
            <v>25398</v>
          </cell>
          <cell r="F131">
            <v>0</v>
          </cell>
          <cell r="H131">
            <v>0.95</v>
          </cell>
          <cell r="I131">
            <v>0.95</v>
          </cell>
          <cell r="J131">
            <v>0.99</v>
          </cell>
          <cell r="K131">
            <v>0.99</v>
          </cell>
          <cell r="L131">
            <v>0.99</v>
          </cell>
          <cell r="M131">
            <v>45</v>
          </cell>
          <cell r="N131">
            <v>45</v>
          </cell>
          <cell r="O131">
            <v>45</v>
          </cell>
          <cell r="P131">
            <v>44</v>
          </cell>
          <cell r="Q131">
            <v>45</v>
          </cell>
          <cell r="R131">
            <v>46</v>
          </cell>
          <cell r="S131">
            <v>43</v>
          </cell>
          <cell r="T131">
            <v>43</v>
          </cell>
          <cell r="U131">
            <v>43</v>
          </cell>
          <cell r="V131">
            <v>44</v>
          </cell>
          <cell r="W131">
            <v>45</v>
          </cell>
          <cell r="X131">
            <v>46</v>
          </cell>
          <cell r="Y131">
            <v>43</v>
          </cell>
          <cell r="Z131">
            <v>43</v>
          </cell>
          <cell r="AA131">
            <v>43</v>
          </cell>
          <cell r="AB131">
            <v>44</v>
          </cell>
          <cell r="AC131">
            <v>45</v>
          </cell>
          <cell r="AD131">
            <v>46</v>
          </cell>
        </row>
        <row r="132">
          <cell r="D132" t="str">
            <v>용정</v>
          </cell>
          <cell r="E132">
            <v>15632</v>
          </cell>
          <cell r="F132">
            <v>1</v>
          </cell>
          <cell r="H132">
            <v>0.95</v>
          </cell>
          <cell r="I132">
            <v>0.95</v>
          </cell>
          <cell r="J132">
            <v>0.99</v>
          </cell>
          <cell r="K132">
            <v>0.99</v>
          </cell>
          <cell r="L132">
            <v>0.99</v>
          </cell>
          <cell r="M132">
            <v>28</v>
          </cell>
          <cell r="N132">
            <v>28</v>
          </cell>
          <cell r="O132">
            <v>27</v>
          </cell>
          <cell r="P132">
            <v>27</v>
          </cell>
          <cell r="Q132">
            <v>28</v>
          </cell>
          <cell r="R132">
            <v>28</v>
          </cell>
          <cell r="S132">
            <v>0</v>
          </cell>
          <cell r="T132">
            <v>0</v>
          </cell>
          <cell r="U132">
            <v>26</v>
          </cell>
          <cell r="V132">
            <v>27</v>
          </cell>
          <cell r="W132">
            <v>28</v>
          </cell>
          <cell r="X132">
            <v>28</v>
          </cell>
          <cell r="Y132">
            <v>0</v>
          </cell>
          <cell r="Z132">
            <v>0</v>
          </cell>
          <cell r="AA132">
            <v>26</v>
          </cell>
          <cell r="AB132">
            <v>27</v>
          </cell>
          <cell r="AC132">
            <v>28</v>
          </cell>
          <cell r="AD132">
            <v>28</v>
          </cell>
        </row>
        <row r="133">
          <cell r="C133" t="str">
            <v>고내 5</v>
          </cell>
          <cell r="D133" t="str">
            <v>계</v>
          </cell>
          <cell r="M133">
            <v>72</v>
          </cell>
          <cell r="N133">
            <v>72</v>
          </cell>
          <cell r="O133">
            <v>71</v>
          </cell>
          <cell r="P133">
            <v>70</v>
          </cell>
          <cell r="Q133">
            <v>72</v>
          </cell>
          <cell r="R133">
            <v>73</v>
          </cell>
          <cell r="S133">
            <v>68</v>
          </cell>
          <cell r="T133">
            <v>68</v>
          </cell>
          <cell r="U133">
            <v>67</v>
          </cell>
          <cell r="V133">
            <v>69</v>
          </cell>
          <cell r="W133">
            <v>71</v>
          </cell>
          <cell r="X133">
            <v>72</v>
          </cell>
          <cell r="Y133">
            <v>68</v>
          </cell>
          <cell r="Z133">
            <v>68</v>
          </cell>
          <cell r="AA133">
            <v>67</v>
          </cell>
          <cell r="AB133">
            <v>69</v>
          </cell>
          <cell r="AC133">
            <v>71</v>
          </cell>
          <cell r="AD133">
            <v>72</v>
          </cell>
        </row>
        <row r="134">
          <cell r="D134" t="str">
            <v>외평</v>
          </cell>
          <cell r="F134">
            <v>0</v>
          </cell>
          <cell r="H134">
            <v>0.95</v>
          </cell>
          <cell r="I134">
            <v>0.95</v>
          </cell>
          <cell r="J134">
            <v>0.99</v>
          </cell>
          <cell r="K134">
            <v>0.99</v>
          </cell>
          <cell r="L134">
            <v>0.99</v>
          </cell>
          <cell r="M134">
            <v>72</v>
          </cell>
          <cell r="N134">
            <v>72</v>
          </cell>
          <cell r="O134">
            <v>71</v>
          </cell>
          <cell r="P134">
            <v>70</v>
          </cell>
          <cell r="Q134">
            <v>72</v>
          </cell>
          <cell r="R134">
            <v>73</v>
          </cell>
          <cell r="S134">
            <v>68</v>
          </cell>
          <cell r="T134">
            <v>68</v>
          </cell>
          <cell r="U134">
            <v>67</v>
          </cell>
          <cell r="V134">
            <v>69</v>
          </cell>
          <cell r="W134">
            <v>71</v>
          </cell>
          <cell r="X134">
            <v>72</v>
          </cell>
          <cell r="Y134">
            <v>68</v>
          </cell>
          <cell r="Z134">
            <v>68</v>
          </cell>
          <cell r="AA134">
            <v>67</v>
          </cell>
          <cell r="AB134">
            <v>69</v>
          </cell>
          <cell r="AC134">
            <v>71</v>
          </cell>
          <cell r="AD134">
            <v>72</v>
          </cell>
        </row>
        <row r="135">
          <cell r="C135" t="str">
            <v>고내 6</v>
          </cell>
          <cell r="D135" t="str">
            <v>계</v>
          </cell>
          <cell r="M135">
            <v>179</v>
          </cell>
          <cell r="N135">
            <v>179</v>
          </cell>
          <cell r="O135">
            <v>176</v>
          </cell>
          <cell r="P135">
            <v>175</v>
          </cell>
          <cell r="Q135">
            <v>179</v>
          </cell>
          <cell r="R135">
            <v>182</v>
          </cell>
          <cell r="S135">
            <v>170</v>
          </cell>
          <cell r="T135">
            <v>170</v>
          </cell>
          <cell r="U135">
            <v>167</v>
          </cell>
          <cell r="V135">
            <v>173</v>
          </cell>
          <cell r="W135">
            <v>177</v>
          </cell>
          <cell r="X135">
            <v>180</v>
          </cell>
          <cell r="Y135">
            <v>170</v>
          </cell>
          <cell r="Z135">
            <v>170</v>
          </cell>
          <cell r="AA135">
            <v>167</v>
          </cell>
          <cell r="AB135">
            <v>173</v>
          </cell>
          <cell r="AC135">
            <v>177</v>
          </cell>
          <cell r="AD135">
            <v>180</v>
          </cell>
        </row>
        <row r="136">
          <cell r="D136" t="str">
            <v>중기</v>
          </cell>
          <cell r="F136">
            <v>0</v>
          </cell>
          <cell r="H136">
            <v>0.95</v>
          </cell>
          <cell r="I136">
            <v>0.95</v>
          </cell>
          <cell r="J136">
            <v>0.99</v>
          </cell>
          <cell r="K136">
            <v>0.99</v>
          </cell>
          <cell r="L136">
            <v>0.99</v>
          </cell>
          <cell r="M136">
            <v>179</v>
          </cell>
          <cell r="N136">
            <v>179</v>
          </cell>
          <cell r="O136">
            <v>176</v>
          </cell>
          <cell r="P136">
            <v>175</v>
          </cell>
          <cell r="Q136">
            <v>179</v>
          </cell>
          <cell r="R136">
            <v>182</v>
          </cell>
          <cell r="S136">
            <v>170</v>
          </cell>
          <cell r="T136">
            <v>170</v>
          </cell>
          <cell r="U136">
            <v>167</v>
          </cell>
          <cell r="V136">
            <v>173</v>
          </cell>
          <cell r="W136">
            <v>177</v>
          </cell>
          <cell r="X136">
            <v>180</v>
          </cell>
          <cell r="Y136">
            <v>170</v>
          </cell>
          <cell r="Z136">
            <v>170</v>
          </cell>
          <cell r="AA136">
            <v>167</v>
          </cell>
          <cell r="AB136">
            <v>173</v>
          </cell>
          <cell r="AC136">
            <v>177</v>
          </cell>
          <cell r="AD136">
            <v>180</v>
          </cell>
        </row>
        <row r="137">
          <cell r="C137" t="str">
            <v>황화정리</v>
          </cell>
          <cell r="D137" t="str">
            <v>소계</v>
          </cell>
          <cell r="M137">
            <v>729</v>
          </cell>
          <cell r="N137">
            <v>731</v>
          </cell>
          <cell r="O137">
            <v>719</v>
          </cell>
          <cell r="P137">
            <v>712</v>
          </cell>
          <cell r="Q137">
            <v>729</v>
          </cell>
          <cell r="R137">
            <v>743</v>
          </cell>
          <cell r="S137">
            <v>540</v>
          </cell>
          <cell r="T137">
            <v>541</v>
          </cell>
          <cell r="U137">
            <v>695</v>
          </cell>
          <cell r="V137">
            <v>708</v>
          </cell>
          <cell r="W137">
            <v>725</v>
          </cell>
          <cell r="X137">
            <v>738</v>
          </cell>
          <cell r="Y137">
            <v>540</v>
          </cell>
          <cell r="Z137">
            <v>541</v>
          </cell>
          <cell r="AA137">
            <v>695</v>
          </cell>
          <cell r="AB137">
            <v>708</v>
          </cell>
          <cell r="AC137">
            <v>725</v>
          </cell>
          <cell r="AD137">
            <v>738</v>
          </cell>
        </row>
        <row r="138">
          <cell r="C138" t="str">
            <v>황화정 1</v>
          </cell>
          <cell r="D138" t="str">
            <v>계</v>
          </cell>
          <cell r="E138">
            <v>76635</v>
          </cell>
          <cell r="M138">
            <v>173</v>
          </cell>
          <cell r="N138">
            <v>174</v>
          </cell>
          <cell r="O138">
            <v>171</v>
          </cell>
          <cell r="P138">
            <v>169</v>
          </cell>
          <cell r="Q138">
            <v>173</v>
          </cell>
          <cell r="R138">
            <v>176</v>
          </cell>
          <cell r="S138">
            <v>0</v>
          </cell>
          <cell r="T138">
            <v>0</v>
          </cell>
          <cell r="U138">
            <v>163</v>
          </cell>
          <cell r="V138">
            <v>168</v>
          </cell>
          <cell r="W138">
            <v>172</v>
          </cell>
          <cell r="X138">
            <v>175</v>
          </cell>
          <cell r="Y138">
            <v>0</v>
          </cell>
          <cell r="Z138">
            <v>0</v>
          </cell>
          <cell r="AA138">
            <v>163</v>
          </cell>
          <cell r="AB138">
            <v>168</v>
          </cell>
          <cell r="AC138">
            <v>172</v>
          </cell>
          <cell r="AD138">
            <v>175</v>
          </cell>
        </row>
        <row r="139">
          <cell r="D139" t="str">
            <v>구합선</v>
          </cell>
          <cell r="E139">
            <v>40233</v>
          </cell>
          <cell r="F139">
            <v>1</v>
          </cell>
          <cell r="H139">
            <v>0.95</v>
          </cell>
          <cell r="I139">
            <v>0.95</v>
          </cell>
          <cell r="J139">
            <v>0.99</v>
          </cell>
          <cell r="K139">
            <v>0.99</v>
          </cell>
          <cell r="L139">
            <v>0.99</v>
          </cell>
          <cell r="M139">
            <v>91</v>
          </cell>
          <cell r="N139">
            <v>91</v>
          </cell>
          <cell r="O139">
            <v>90</v>
          </cell>
          <cell r="P139">
            <v>89</v>
          </cell>
          <cell r="Q139">
            <v>91</v>
          </cell>
          <cell r="R139">
            <v>92</v>
          </cell>
          <cell r="S139">
            <v>0</v>
          </cell>
          <cell r="T139">
            <v>0</v>
          </cell>
          <cell r="U139">
            <v>86</v>
          </cell>
          <cell r="V139">
            <v>88</v>
          </cell>
          <cell r="W139">
            <v>90</v>
          </cell>
          <cell r="X139">
            <v>91</v>
          </cell>
          <cell r="Y139">
            <v>0</v>
          </cell>
          <cell r="Z139">
            <v>0</v>
          </cell>
          <cell r="AA139">
            <v>86</v>
          </cell>
          <cell r="AB139">
            <v>88</v>
          </cell>
          <cell r="AC139">
            <v>90</v>
          </cell>
          <cell r="AD139">
            <v>91</v>
          </cell>
        </row>
        <row r="140">
          <cell r="D140" t="str">
            <v>신내</v>
          </cell>
          <cell r="E140">
            <v>17992</v>
          </cell>
          <cell r="F140">
            <v>1</v>
          </cell>
          <cell r="H140">
            <v>0.95</v>
          </cell>
          <cell r="I140">
            <v>0.95</v>
          </cell>
          <cell r="J140">
            <v>0.99</v>
          </cell>
          <cell r="K140">
            <v>0.99</v>
          </cell>
          <cell r="L140">
            <v>0.99</v>
          </cell>
          <cell r="M140">
            <v>41</v>
          </cell>
          <cell r="N140">
            <v>41</v>
          </cell>
          <cell r="O140">
            <v>40</v>
          </cell>
          <cell r="P140">
            <v>40</v>
          </cell>
          <cell r="Q140">
            <v>41</v>
          </cell>
          <cell r="R140">
            <v>41</v>
          </cell>
          <cell r="S140">
            <v>0</v>
          </cell>
          <cell r="T140">
            <v>0</v>
          </cell>
          <cell r="U140">
            <v>38</v>
          </cell>
          <cell r="V140">
            <v>40</v>
          </cell>
          <cell r="W140">
            <v>41</v>
          </cell>
          <cell r="X140">
            <v>41</v>
          </cell>
          <cell r="Y140">
            <v>0</v>
          </cell>
          <cell r="Z140">
            <v>0</v>
          </cell>
          <cell r="AA140">
            <v>38</v>
          </cell>
          <cell r="AB140">
            <v>40</v>
          </cell>
          <cell r="AC140">
            <v>41</v>
          </cell>
          <cell r="AD140">
            <v>41</v>
          </cell>
        </row>
        <row r="141">
          <cell r="D141" t="str">
            <v>죽림동</v>
          </cell>
          <cell r="E141">
            <v>18410</v>
          </cell>
          <cell r="F141">
            <v>1</v>
          </cell>
          <cell r="H141">
            <v>0.95</v>
          </cell>
          <cell r="I141">
            <v>0.95</v>
          </cell>
          <cell r="J141">
            <v>0.99</v>
          </cell>
          <cell r="K141">
            <v>0.99</v>
          </cell>
          <cell r="L141">
            <v>0.99</v>
          </cell>
          <cell r="M141">
            <v>41</v>
          </cell>
          <cell r="N141">
            <v>42</v>
          </cell>
          <cell r="O141">
            <v>41</v>
          </cell>
          <cell r="P141">
            <v>40</v>
          </cell>
          <cell r="Q141">
            <v>41</v>
          </cell>
          <cell r="R141">
            <v>43</v>
          </cell>
          <cell r="S141">
            <v>0</v>
          </cell>
          <cell r="T141">
            <v>0</v>
          </cell>
          <cell r="U141">
            <v>39</v>
          </cell>
          <cell r="V141">
            <v>40</v>
          </cell>
          <cell r="W141">
            <v>41</v>
          </cell>
          <cell r="X141">
            <v>43</v>
          </cell>
          <cell r="Y141">
            <v>0</v>
          </cell>
          <cell r="Z141">
            <v>0</v>
          </cell>
          <cell r="AA141">
            <v>39</v>
          </cell>
          <cell r="AB141">
            <v>40</v>
          </cell>
          <cell r="AC141">
            <v>41</v>
          </cell>
          <cell r="AD141">
            <v>43</v>
          </cell>
        </row>
        <row r="142">
          <cell r="C142" t="str">
            <v>황화정 2</v>
          </cell>
          <cell r="D142" t="str">
            <v>계</v>
          </cell>
          <cell r="E142">
            <v>58336</v>
          </cell>
          <cell r="M142">
            <v>145</v>
          </cell>
          <cell r="N142">
            <v>145</v>
          </cell>
          <cell r="O142">
            <v>143</v>
          </cell>
          <cell r="P142">
            <v>142</v>
          </cell>
          <cell r="Q142">
            <v>145</v>
          </cell>
          <cell r="R142">
            <v>148</v>
          </cell>
          <cell r="S142">
            <v>138</v>
          </cell>
          <cell r="T142">
            <v>138</v>
          </cell>
          <cell r="U142">
            <v>136</v>
          </cell>
          <cell r="V142">
            <v>141</v>
          </cell>
          <cell r="W142">
            <v>144</v>
          </cell>
          <cell r="X142">
            <v>146</v>
          </cell>
          <cell r="Y142">
            <v>138</v>
          </cell>
          <cell r="Z142">
            <v>138</v>
          </cell>
          <cell r="AA142">
            <v>136</v>
          </cell>
          <cell r="AB142">
            <v>141</v>
          </cell>
          <cell r="AC142">
            <v>144</v>
          </cell>
          <cell r="AD142">
            <v>146</v>
          </cell>
        </row>
        <row r="143">
          <cell r="D143" t="str">
            <v>반월</v>
          </cell>
          <cell r="E143">
            <v>13639</v>
          </cell>
          <cell r="F143">
            <v>0</v>
          </cell>
          <cell r="H143">
            <v>0.95</v>
          </cell>
          <cell r="I143">
            <v>0.95</v>
          </cell>
          <cell r="J143">
            <v>0.99</v>
          </cell>
          <cell r="K143">
            <v>0.99</v>
          </cell>
          <cell r="L143">
            <v>0.99</v>
          </cell>
          <cell r="M143">
            <v>34</v>
          </cell>
          <cell r="N143">
            <v>34</v>
          </cell>
          <cell r="O143">
            <v>33</v>
          </cell>
          <cell r="P143">
            <v>33</v>
          </cell>
          <cell r="Q143">
            <v>34</v>
          </cell>
          <cell r="R143">
            <v>35</v>
          </cell>
          <cell r="S143">
            <v>32</v>
          </cell>
          <cell r="T143">
            <v>32</v>
          </cell>
          <cell r="U143">
            <v>31</v>
          </cell>
          <cell r="V143">
            <v>33</v>
          </cell>
          <cell r="W143">
            <v>34</v>
          </cell>
          <cell r="X143">
            <v>35</v>
          </cell>
          <cell r="Y143">
            <v>32</v>
          </cell>
          <cell r="Z143">
            <v>32</v>
          </cell>
          <cell r="AA143">
            <v>31</v>
          </cell>
          <cell r="AB143">
            <v>33</v>
          </cell>
          <cell r="AC143">
            <v>34</v>
          </cell>
          <cell r="AD143">
            <v>35</v>
          </cell>
        </row>
        <row r="144">
          <cell r="D144" t="str">
            <v>월성</v>
          </cell>
          <cell r="E144">
            <v>24402</v>
          </cell>
          <cell r="F144">
            <v>0</v>
          </cell>
          <cell r="H144">
            <v>0.95</v>
          </cell>
          <cell r="I144">
            <v>0.95</v>
          </cell>
          <cell r="J144">
            <v>0.99</v>
          </cell>
          <cell r="K144">
            <v>0.99</v>
          </cell>
          <cell r="L144">
            <v>0.99</v>
          </cell>
          <cell r="M144">
            <v>61</v>
          </cell>
          <cell r="N144">
            <v>61</v>
          </cell>
          <cell r="O144">
            <v>60</v>
          </cell>
          <cell r="P144">
            <v>59</v>
          </cell>
          <cell r="Q144">
            <v>61</v>
          </cell>
          <cell r="R144">
            <v>62</v>
          </cell>
          <cell r="S144">
            <v>58</v>
          </cell>
          <cell r="T144">
            <v>58</v>
          </cell>
          <cell r="U144">
            <v>57</v>
          </cell>
          <cell r="V144">
            <v>58</v>
          </cell>
          <cell r="W144">
            <v>60</v>
          </cell>
          <cell r="X144">
            <v>61</v>
          </cell>
          <cell r="Y144">
            <v>58</v>
          </cell>
          <cell r="Z144">
            <v>58</v>
          </cell>
          <cell r="AA144">
            <v>57</v>
          </cell>
          <cell r="AB144">
            <v>58</v>
          </cell>
          <cell r="AC144">
            <v>60</v>
          </cell>
          <cell r="AD144">
            <v>61</v>
          </cell>
        </row>
        <row r="145">
          <cell r="D145" t="str">
            <v>수철</v>
          </cell>
          <cell r="E145">
            <v>20295</v>
          </cell>
          <cell r="F145">
            <v>0</v>
          </cell>
          <cell r="H145">
            <v>0.95</v>
          </cell>
          <cell r="I145">
            <v>0.95</v>
          </cell>
          <cell r="J145">
            <v>0.99</v>
          </cell>
          <cell r="K145">
            <v>0.99</v>
          </cell>
          <cell r="L145">
            <v>0.99</v>
          </cell>
          <cell r="M145">
            <v>50</v>
          </cell>
          <cell r="N145">
            <v>50</v>
          </cell>
          <cell r="O145">
            <v>50</v>
          </cell>
          <cell r="P145">
            <v>50</v>
          </cell>
          <cell r="Q145">
            <v>50</v>
          </cell>
          <cell r="R145">
            <v>51</v>
          </cell>
          <cell r="S145">
            <v>48</v>
          </cell>
          <cell r="T145">
            <v>48</v>
          </cell>
          <cell r="U145">
            <v>48</v>
          </cell>
          <cell r="V145">
            <v>50</v>
          </cell>
          <cell r="W145">
            <v>50</v>
          </cell>
          <cell r="X145">
            <v>50</v>
          </cell>
          <cell r="Y145">
            <v>48</v>
          </cell>
          <cell r="Z145">
            <v>48</v>
          </cell>
          <cell r="AA145">
            <v>48</v>
          </cell>
          <cell r="AB145">
            <v>50</v>
          </cell>
          <cell r="AC145">
            <v>50</v>
          </cell>
          <cell r="AD145">
            <v>50</v>
          </cell>
        </row>
        <row r="146">
          <cell r="C146" t="str">
            <v>황화정 3</v>
          </cell>
          <cell r="D146" t="str">
            <v>계</v>
          </cell>
          <cell r="E146">
            <v>115138</v>
          </cell>
          <cell r="M146">
            <v>289</v>
          </cell>
          <cell r="N146">
            <v>290</v>
          </cell>
          <cell r="O146">
            <v>285</v>
          </cell>
          <cell r="P146">
            <v>282</v>
          </cell>
          <cell r="Q146">
            <v>289</v>
          </cell>
          <cell r="R146">
            <v>295</v>
          </cell>
          <cell r="S146">
            <v>286</v>
          </cell>
          <cell r="T146">
            <v>287</v>
          </cell>
          <cell r="U146">
            <v>282</v>
          </cell>
          <cell r="V146">
            <v>281</v>
          </cell>
          <cell r="W146">
            <v>288</v>
          </cell>
          <cell r="X146">
            <v>294</v>
          </cell>
          <cell r="Y146">
            <v>286</v>
          </cell>
          <cell r="Z146">
            <v>287</v>
          </cell>
          <cell r="AA146">
            <v>282</v>
          </cell>
          <cell r="AB146">
            <v>281</v>
          </cell>
          <cell r="AC146">
            <v>288</v>
          </cell>
          <cell r="AD146">
            <v>294</v>
          </cell>
        </row>
        <row r="147">
          <cell r="D147" t="str">
            <v>황화정</v>
          </cell>
          <cell r="E147">
            <v>93098</v>
          </cell>
          <cell r="F147">
            <v>0</v>
          </cell>
          <cell r="H147">
            <v>1</v>
          </cell>
          <cell r="I147">
            <v>1</v>
          </cell>
          <cell r="J147">
            <v>1</v>
          </cell>
          <cell r="K147">
            <v>1</v>
          </cell>
          <cell r="L147">
            <v>1</v>
          </cell>
          <cell r="M147">
            <v>234</v>
          </cell>
          <cell r="N147">
            <v>234</v>
          </cell>
          <cell r="O147">
            <v>230</v>
          </cell>
          <cell r="P147">
            <v>228</v>
          </cell>
          <cell r="Q147">
            <v>234</v>
          </cell>
          <cell r="R147">
            <v>239</v>
          </cell>
          <cell r="S147">
            <v>234</v>
          </cell>
          <cell r="T147">
            <v>234</v>
          </cell>
          <cell r="U147">
            <v>230</v>
          </cell>
          <cell r="V147">
            <v>228</v>
          </cell>
          <cell r="W147">
            <v>234</v>
          </cell>
          <cell r="X147">
            <v>239</v>
          </cell>
          <cell r="Y147">
            <v>234</v>
          </cell>
          <cell r="Z147">
            <v>234</v>
          </cell>
          <cell r="AA147">
            <v>230</v>
          </cell>
          <cell r="AB147">
            <v>228</v>
          </cell>
          <cell r="AC147">
            <v>234</v>
          </cell>
          <cell r="AD147">
            <v>239</v>
          </cell>
        </row>
        <row r="148">
          <cell r="D148" t="str">
            <v>길리</v>
          </cell>
          <cell r="E148">
            <v>22040</v>
          </cell>
          <cell r="F148">
            <v>0</v>
          </cell>
          <cell r="H148">
            <v>0.95</v>
          </cell>
          <cell r="I148">
            <v>0.95</v>
          </cell>
          <cell r="J148">
            <v>0.99</v>
          </cell>
          <cell r="K148">
            <v>0.99</v>
          </cell>
          <cell r="L148">
            <v>0.99</v>
          </cell>
          <cell r="M148">
            <v>55</v>
          </cell>
          <cell r="N148">
            <v>56</v>
          </cell>
          <cell r="O148">
            <v>55</v>
          </cell>
          <cell r="P148">
            <v>54</v>
          </cell>
          <cell r="Q148">
            <v>55</v>
          </cell>
          <cell r="R148">
            <v>56</v>
          </cell>
          <cell r="S148">
            <v>52</v>
          </cell>
          <cell r="T148">
            <v>53</v>
          </cell>
          <cell r="U148">
            <v>52</v>
          </cell>
          <cell r="V148">
            <v>53</v>
          </cell>
          <cell r="W148">
            <v>54</v>
          </cell>
          <cell r="X148">
            <v>55</v>
          </cell>
          <cell r="Y148">
            <v>52</v>
          </cell>
          <cell r="Z148">
            <v>53</v>
          </cell>
          <cell r="AA148">
            <v>52</v>
          </cell>
          <cell r="AB148">
            <v>53</v>
          </cell>
          <cell r="AC148">
            <v>54</v>
          </cell>
          <cell r="AD148">
            <v>55</v>
          </cell>
        </row>
        <row r="149">
          <cell r="C149" t="str">
            <v>황화정 4</v>
          </cell>
          <cell r="D149" t="str">
            <v>계</v>
          </cell>
          <cell r="M149">
            <v>122</v>
          </cell>
          <cell r="N149">
            <v>122</v>
          </cell>
          <cell r="O149">
            <v>120</v>
          </cell>
          <cell r="P149">
            <v>119</v>
          </cell>
          <cell r="Q149">
            <v>122</v>
          </cell>
          <cell r="R149">
            <v>124</v>
          </cell>
          <cell r="S149">
            <v>116</v>
          </cell>
          <cell r="T149">
            <v>116</v>
          </cell>
          <cell r="U149">
            <v>114</v>
          </cell>
          <cell r="V149">
            <v>118</v>
          </cell>
          <cell r="W149">
            <v>121</v>
          </cell>
          <cell r="X149">
            <v>123</v>
          </cell>
          <cell r="Y149">
            <v>116</v>
          </cell>
          <cell r="Z149">
            <v>116</v>
          </cell>
          <cell r="AA149">
            <v>114</v>
          </cell>
          <cell r="AB149">
            <v>118</v>
          </cell>
          <cell r="AC149">
            <v>121</v>
          </cell>
          <cell r="AD149">
            <v>123</v>
          </cell>
        </row>
        <row r="150">
          <cell r="D150" t="str">
            <v>원황</v>
          </cell>
          <cell r="F150">
            <v>0</v>
          </cell>
          <cell r="H150">
            <v>0.95</v>
          </cell>
          <cell r="I150">
            <v>0.95</v>
          </cell>
          <cell r="J150">
            <v>0.99</v>
          </cell>
          <cell r="K150">
            <v>0.99</v>
          </cell>
          <cell r="L150">
            <v>0.99</v>
          </cell>
          <cell r="M150">
            <v>122</v>
          </cell>
          <cell r="N150">
            <v>122</v>
          </cell>
          <cell r="O150">
            <v>120</v>
          </cell>
          <cell r="P150">
            <v>119</v>
          </cell>
          <cell r="Q150">
            <v>122</v>
          </cell>
          <cell r="R150">
            <v>124</v>
          </cell>
          <cell r="S150">
            <v>116</v>
          </cell>
          <cell r="T150">
            <v>116</v>
          </cell>
          <cell r="U150">
            <v>114</v>
          </cell>
          <cell r="V150">
            <v>118</v>
          </cell>
          <cell r="W150">
            <v>121</v>
          </cell>
          <cell r="X150">
            <v>123</v>
          </cell>
          <cell r="Y150">
            <v>116</v>
          </cell>
          <cell r="Z150">
            <v>116</v>
          </cell>
          <cell r="AA150">
            <v>114</v>
          </cell>
          <cell r="AB150">
            <v>118</v>
          </cell>
          <cell r="AC150">
            <v>121</v>
          </cell>
          <cell r="AD150">
            <v>123</v>
          </cell>
        </row>
        <row r="151">
          <cell r="C151" t="str">
            <v>안심리</v>
          </cell>
          <cell r="D151" t="str">
            <v>소계</v>
          </cell>
          <cell r="M151">
            <v>5468</v>
          </cell>
          <cell r="N151">
            <v>5656</v>
          </cell>
          <cell r="O151">
            <v>5574</v>
          </cell>
          <cell r="P151">
            <v>5519</v>
          </cell>
          <cell r="Q151">
            <v>5645</v>
          </cell>
          <cell r="R151">
            <v>5744</v>
          </cell>
          <cell r="S151">
            <v>5196</v>
          </cell>
          <cell r="T151">
            <v>5375</v>
          </cell>
          <cell r="U151">
            <v>5384</v>
          </cell>
          <cell r="V151">
            <v>5480</v>
          </cell>
          <cell r="W151">
            <v>5606</v>
          </cell>
          <cell r="X151">
            <v>5704</v>
          </cell>
          <cell r="Y151">
            <v>5196</v>
          </cell>
          <cell r="Z151">
            <v>5375</v>
          </cell>
          <cell r="AA151">
            <v>5384</v>
          </cell>
          <cell r="AB151">
            <v>5480</v>
          </cell>
          <cell r="AC151">
            <v>5606</v>
          </cell>
          <cell r="AD151">
            <v>5704</v>
          </cell>
        </row>
        <row r="152">
          <cell r="C152" t="str">
            <v>안심 1</v>
          </cell>
          <cell r="D152" t="str">
            <v>계</v>
          </cell>
          <cell r="F152">
            <v>0</v>
          </cell>
          <cell r="H152">
            <v>0.95</v>
          </cell>
          <cell r="I152">
            <v>0.95</v>
          </cell>
          <cell r="J152">
            <v>0.99</v>
          </cell>
          <cell r="K152">
            <v>0.99</v>
          </cell>
          <cell r="L152">
            <v>0.99</v>
          </cell>
          <cell r="M152">
            <v>637</v>
          </cell>
          <cell r="N152">
            <v>820</v>
          </cell>
          <cell r="O152">
            <v>810</v>
          </cell>
          <cell r="P152">
            <v>804</v>
          </cell>
          <cell r="Q152">
            <v>819</v>
          </cell>
          <cell r="R152">
            <v>830</v>
          </cell>
          <cell r="S152">
            <v>605</v>
          </cell>
          <cell r="T152">
            <v>779</v>
          </cell>
          <cell r="U152">
            <v>770</v>
          </cell>
          <cell r="V152">
            <v>796</v>
          </cell>
          <cell r="W152">
            <v>811</v>
          </cell>
          <cell r="X152">
            <v>822</v>
          </cell>
          <cell r="Y152">
            <v>605</v>
          </cell>
          <cell r="Z152">
            <v>779</v>
          </cell>
          <cell r="AA152">
            <v>770</v>
          </cell>
          <cell r="AB152">
            <v>796</v>
          </cell>
          <cell r="AC152">
            <v>811</v>
          </cell>
          <cell r="AD152">
            <v>822</v>
          </cell>
        </row>
        <row r="153">
          <cell r="C153" t="str">
            <v>안심 2</v>
          </cell>
          <cell r="D153" t="str">
            <v>계</v>
          </cell>
          <cell r="F153">
            <v>0</v>
          </cell>
          <cell r="H153">
            <v>0.95</v>
          </cell>
          <cell r="I153">
            <v>0.95</v>
          </cell>
          <cell r="J153">
            <v>0.99</v>
          </cell>
          <cell r="K153">
            <v>0.99</v>
          </cell>
          <cell r="L153">
            <v>0.99</v>
          </cell>
          <cell r="M153">
            <v>475</v>
          </cell>
          <cell r="N153">
            <v>476</v>
          </cell>
          <cell r="O153">
            <v>469</v>
          </cell>
          <cell r="P153">
            <v>464</v>
          </cell>
          <cell r="Q153">
            <v>475</v>
          </cell>
          <cell r="R153">
            <v>483</v>
          </cell>
          <cell r="S153">
            <v>451</v>
          </cell>
          <cell r="T153">
            <v>452</v>
          </cell>
          <cell r="U153">
            <v>446</v>
          </cell>
          <cell r="V153">
            <v>459</v>
          </cell>
          <cell r="W153">
            <v>470</v>
          </cell>
          <cell r="X153">
            <v>478</v>
          </cell>
          <cell r="Y153">
            <v>451</v>
          </cell>
          <cell r="Z153">
            <v>452</v>
          </cell>
          <cell r="AA153">
            <v>446</v>
          </cell>
          <cell r="AB153">
            <v>459</v>
          </cell>
          <cell r="AC153">
            <v>470</v>
          </cell>
          <cell r="AD153">
            <v>478</v>
          </cell>
        </row>
        <row r="154">
          <cell r="C154" t="str">
            <v>안심 3</v>
          </cell>
          <cell r="D154" t="str">
            <v>계</v>
          </cell>
          <cell r="M154">
            <v>149</v>
          </cell>
          <cell r="N154">
            <v>149</v>
          </cell>
          <cell r="O154">
            <v>147</v>
          </cell>
          <cell r="P154">
            <v>145</v>
          </cell>
          <cell r="Q154">
            <v>148</v>
          </cell>
          <cell r="R154">
            <v>151</v>
          </cell>
          <cell r="S154">
            <v>142</v>
          </cell>
          <cell r="T154">
            <v>142</v>
          </cell>
          <cell r="U154">
            <v>140</v>
          </cell>
          <cell r="V154">
            <v>144</v>
          </cell>
          <cell r="W154">
            <v>147</v>
          </cell>
          <cell r="X154">
            <v>149</v>
          </cell>
          <cell r="Y154">
            <v>142</v>
          </cell>
          <cell r="Z154">
            <v>142</v>
          </cell>
          <cell r="AA154">
            <v>140</v>
          </cell>
          <cell r="AB154">
            <v>144</v>
          </cell>
          <cell r="AC154">
            <v>147</v>
          </cell>
          <cell r="AD154">
            <v>149</v>
          </cell>
        </row>
        <row r="155">
          <cell r="D155" t="str">
            <v>죽산</v>
          </cell>
          <cell r="F155">
            <v>0</v>
          </cell>
          <cell r="H155">
            <v>0.95</v>
          </cell>
          <cell r="I155">
            <v>0.95</v>
          </cell>
          <cell r="J155">
            <v>0.99</v>
          </cell>
          <cell r="K155">
            <v>0.99</v>
          </cell>
          <cell r="L155">
            <v>0.99</v>
          </cell>
          <cell r="M155">
            <v>149</v>
          </cell>
          <cell r="N155">
            <v>149</v>
          </cell>
          <cell r="O155">
            <v>147</v>
          </cell>
          <cell r="P155">
            <v>145</v>
          </cell>
          <cell r="Q155">
            <v>148</v>
          </cell>
          <cell r="R155">
            <v>151</v>
          </cell>
          <cell r="S155">
            <v>142</v>
          </cell>
          <cell r="T155">
            <v>142</v>
          </cell>
          <cell r="U155">
            <v>140</v>
          </cell>
          <cell r="V155">
            <v>144</v>
          </cell>
          <cell r="W155">
            <v>147</v>
          </cell>
          <cell r="X155">
            <v>149</v>
          </cell>
          <cell r="Y155">
            <v>142</v>
          </cell>
          <cell r="Z155">
            <v>142</v>
          </cell>
          <cell r="AA155">
            <v>140</v>
          </cell>
          <cell r="AB155">
            <v>144</v>
          </cell>
          <cell r="AC155">
            <v>147</v>
          </cell>
          <cell r="AD155">
            <v>149</v>
          </cell>
        </row>
        <row r="156">
          <cell r="C156" t="str">
            <v>안심 4</v>
          </cell>
          <cell r="D156" t="str">
            <v>계</v>
          </cell>
          <cell r="F156">
            <v>0</v>
          </cell>
          <cell r="H156">
            <v>0.95</v>
          </cell>
          <cell r="I156">
            <v>0.95</v>
          </cell>
          <cell r="J156">
            <v>0.99</v>
          </cell>
          <cell r="K156">
            <v>0.99</v>
          </cell>
          <cell r="L156">
            <v>0.99</v>
          </cell>
          <cell r="M156">
            <v>264</v>
          </cell>
          <cell r="N156">
            <v>264</v>
          </cell>
          <cell r="O156">
            <v>260</v>
          </cell>
          <cell r="P156">
            <v>258</v>
          </cell>
          <cell r="Q156">
            <v>264</v>
          </cell>
          <cell r="R156">
            <v>269</v>
          </cell>
          <cell r="S156">
            <v>251</v>
          </cell>
          <cell r="T156">
            <v>251</v>
          </cell>
          <cell r="U156">
            <v>247</v>
          </cell>
          <cell r="V156">
            <v>255</v>
          </cell>
          <cell r="W156">
            <v>261</v>
          </cell>
          <cell r="X156">
            <v>266</v>
          </cell>
          <cell r="Y156">
            <v>251</v>
          </cell>
          <cell r="Z156">
            <v>251</v>
          </cell>
          <cell r="AA156">
            <v>247</v>
          </cell>
          <cell r="AB156">
            <v>255</v>
          </cell>
          <cell r="AC156">
            <v>261</v>
          </cell>
          <cell r="AD156">
            <v>266</v>
          </cell>
        </row>
        <row r="157">
          <cell r="C157" t="str">
            <v>안심 5</v>
          </cell>
          <cell r="D157" t="str">
            <v>계</v>
          </cell>
          <cell r="E157">
            <v>82566</v>
          </cell>
          <cell r="M157">
            <v>216</v>
          </cell>
          <cell r="N157">
            <v>216</v>
          </cell>
          <cell r="O157">
            <v>213</v>
          </cell>
          <cell r="P157">
            <v>211</v>
          </cell>
          <cell r="Q157">
            <v>216</v>
          </cell>
          <cell r="R157">
            <v>220</v>
          </cell>
          <cell r="S157">
            <v>206</v>
          </cell>
          <cell r="T157">
            <v>206</v>
          </cell>
          <cell r="U157">
            <v>203</v>
          </cell>
          <cell r="V157">
            <v>209</v>
          </cell>
          <cell r="W157">
            <v>214</v>
          </cell>
          <cell r="X157">
            <v>218</v>
          </cell>
          <cell r="Y157">
            <v>206</v>
          </cell>
          <cell r="Z157">
            <v>206</v>
          </cell>
          <cell r="AA157">
            <v>203</v>
          </cell>
          <cell r="AB157">
            <v>209</v>
          </cell>
          <cell r="AC157">
            <v>214</v>
          </cell>
          <cell r="AD157">
            <v>218</v>
          </cell>
        </row>
        <row r="158">
          <cell r="D158" t="str">
            <v>구상동</v>
          </cell>
          <cell r="E158">
            <v>72731</v>
          </cell>
          <cell r="F158">
            <v>0</v>
          </cell>
          <cell r="H158">
            <v>0.95</v>
          </cell>
          <cell r="I158">
            <v>0.95</v>
          </cell>
          <cell r="J158">
            <v>0.99</v>
          </cell>
          <cell r="K158">
            <v>0.99</v>
          </cell>
          <cell r="L158">
            <v>0.99</v>
          </cell>
          <cell r="M158">
            <v>190</v>
          </cell>
          <cell r="N158">
            <v>190</v>
          </cell>
          <cell r="O158">
            <v>188</v>
          </cell>
          <cell r="P158">
            <v>186</v>
          </cell>
          <cell r="Q158">
            <v>190</v>
          </cell>
          <cell r="R158">
            <v>194</v>
          </cell>
          <cell r="S158">
            <v>181</v>
          </cell>
          <cell r="T158">
            <v>181</v>
          </cell>
          <cell r="U158">
            <v>179</v>
          </cell>
          <cell r="V158">
            <v>184</v>
          </cell>
          <cell r="W158">
            <v>188</v>
          </cell>
          <cell r="X158">
            <v>192</v>
          </cell>
          <cell r="Y158">
            <v>181</v>
          </cell>
          <cell r="Z158">
            <v>181</v>
          </cell>
          <cell r="AA158">
            <v>179</v>
          </cell>
          <cell r="AB158">
            <v>184</v>
          </cell>
          <cell r="AC158">
            <v>188</v>
          </cell>
          <cell r="AD158">
            <v>192</v>
          </cell>
        </row>
        <row r="159">
          <cell r="D159" t="str">
            <v>원심암</v>
          </cell>
          <cell r="E159">
            <v>9835</v>
          </cell>
          <cell r="F159">
            <v>0</v>
          </cell>
          <cell r="H159">
            <v>0.95</v>
          </cell>
          <cell r="I159">
            <v>0.95</v>
          </cell>
          <cell r="J159">
            <v>0.99</v>
          </cell>
          <cell r="K159">
            <v>0.99</v>
          </cell>
          <cell r="L159">
            <v>0.99</v>
          </cell>
          <cell r="M159">
            <v>26</v>
          </cell>
          <cell r="N159">
            <v>26</v>
          </cell>
          <cell r="O159">
            <v>25</v>
          </cell>
          <cell r="P159">
            <v>25</v>
          </cell>
          <cell r="Q159">
            <v>26</v>
          </cell>
          <cell r="R159">
            <v>26</v>
          </cell>
          <cell r="S159">
            <v>25</v>
          </cell>
          <cell r="T159">
            <v>25</v>
          </cell>
          <cell r="U159">
            <v>24</v>
          </cell>
          <cell r="V159">
            <v>25</v>
          </cell>
          <cell r="W159">
            <v>26</v>
          </cell>
          <cell r="X159">
            <v>26</v>
          </cell>
          <cell r="Y159">
            <v>25</v>
          </cell>
          <cell r="Z159">
            <v>25</v>
          </cell>
          <cell r="AA159">
            <v>24</v>
          </cell>
          <cell r="AB159">
            <v>25</v>
          </cell>
          <cell r="AC159">
            <v>26</v>
          </cell>
          <cell r="AD159">
            <v>26</v>
          </cell>
        </row>
        <row r="160">
          <cell r="C160" t="str">
            <v>안심 6</v>
          </cell>
          <cell r="D160" t="str">
            <v>계</v>
          </cell>
          <cell r="E160">
            <v>54907</v>
          </cell>
          <cell r="M160">
            <v>160</v>
          </cell>
          <cell r="N160">
            <v>160</v>
          </cell>
          <cell r="O160">
            <v>158</v>
          </cell>
          <cell r="P160">
            <v>156</v>
          </cell>
          <cell r="Q160">
            <v>160</v>
          </cell>
          <cell r="R160">
            <v>163</v>
          </cell>
          <cell r="S160">
            <v>152</v>
          </cell>
          <cell r="T160">
            <v>152</v>
          </cell>
          <cell r="U160">
            <v>150</v>
          </cell>
          <cell r="V160">
            <v>154</v>
          </cell>
          <cell r="W160">
            <v>158</v>
          </cell>
          <cell r="X160">
            <v>161</v>
          </cell>
          <cell r="Y160">
            <v>152</v>
          </cell>
          <cell r="Z160">
            <v>152</v>
          </cell>
          <cell r="AA160">
            <v>150</v>
          </cell>
          <cell r="AB160">
            <v>154</v>
          </cell>
          <cell r="AC160">
            <v>158</v>
          </cell>
          <cell r="AD160">
            <v>161</v>
          </cell>
        </row>
        <row r="161">
          <cell r="D161" t="str">
            <v>안심</v>
          </cell>
          <cell r="E161">
            <v>28067</v>
          </cell>
          <cell r="F161">
            <v>0</v>
          </cell>
          <cell r="H161">
            <v>0.95</v>
          </cell>
          <cell r="I161">
            <v>0.95</v>
          </cell>
          <cell r="J161">
            <v>0.99</v>
          </cell>
          <cell r="K161">
            <v>0.99</v>
          </cell>
          <cell r="L161">
            <v>0.99</v>
          </cell>
          <cell r="M161">
            <v>82</v>
          </cell>
          <cell r="N161">
            <v>82</v>
          </cell>
          <cell r="O161">
            <v>81</v>
          </cell>
          <cell r="P161">
            <v>80</v>
          </cell>
          <cell r="Q161">
            <v>82</v>
          </cell>
          <cell r="R161">
            <v>83</v>
          </cell>
          <cell r="S161">
            <v>78</v>
          </cell>
          <cell r="T161">
            <v>78</v>
          </cell>
          <cell r="U161">
            <v>77</v>
          </cell>
          <cell r="V161">
            <v>79</v>
          </cell>
          <cell r="W161">
            <v>81</v>
          </cell>
          <cell r="X161">
            <v>82</v>
          </cell>
          <cell r="Y161">
            <v>78</v>
          </cell>
          <cell r="Z161">
            <v>78</v>
          </cell>
          <cell r="AA161">
            <v>77</v>
          </cell>
          <cell r="AB161">
            <v>79</v>
          </cell>
          <cell r="AC161">
            <v>81</v>
          </cell>
          <cell r="AD161">
            <v>82</v>
          </cell>
        </row>
        <row r="162">
          <cell r="D162" t="str">
            <v>역전</v>
          </cell>
          <cell r="E162">
            <v>26840</v>
          </cell>
          <cell r="F162">
            <v>0</v>
          </cell>
          <cell r="H162">
            <v>0.95</v>
          </cell>
          <cell r="I162">
            <v>0.95</v>
          </cell>
          <cell r="J162">
            <v>0.99</v>
          </cell>
          <cell r="K162">
            <v>0.99</v>
          </cell>
          <cell r="L162">
            <v>0.99</v>
          </cell>
          <cell r="M162">
            <v>78</v>
          </cell>
          <cell r="N162">
            <v>78</v>
          </cell>
          <cell r="O162">
            <v>77</v>
          </cell>
          <cell r="P162">
            <v>76</v>
          </cell>
          <cell r="Q162">
            <v>78</v>
          </cell>
          <cell r="R162">
            <v>80</v>
          </cell>
          <cell r="S162">
            <v>74</v>
          </cell>
          <cell r="T162">
            <v>74</v>
          </cell>
          <cell r="U162">
            <v>73</v>
          </cell>
          <cell r="V162">
            <v>75</v>
          </cell>
          <cell r="W162">
            <v>77</v>
          </cell>
          <cell r="X162">
            <v>79</v>
          </cell>
          <cell r="Y162">
            <v>74</v>
          </cell>
          <cell r="Z162">
            <v>74</v>
          </cell>
          <cell r="AA162">
            <v>73</v>
          </cell>
          <cell r="AB162">
            <v>75</v>
          </cell>
          <cell r="AC162">
            <v>77</v>
          </cell>
          <cell r="AD162">
            <v>79</v>
          </cell>
        </row>
        <row r="163">
          <cell r="C163" t="str">
            <v>안심 7</v>
          </cell>
          <cell r="D163" t="str">
            <v>계</v>
          </cell>
          <cell r="M163">
            <v>808</v>
          </cell>
          <cell r="N163">
            <v>809</v>
          </cell>
          <cell r="O163">
            <v>796</v>
          </cell>
          <cell r="P163">
            <v>789</v>
          </cell>
          <cell r="Q163">
            <v>807</v>
          </cell>
          <cell r="R163">
            <v>822</v>
          </cell>
          <cell r="S163">
            <v>768</v>
          </cell>
          <cell r="T163">
            <v>769</v>
          </cell>
          <cell r="U163">
            <v>756</v>
          </cell>
          <cell r="V163">
            <v>781</v>
          </cell>
          <cell r="W163">
            <v>799</v>
          </cell>
          <cell r="X163">
            <v>814</v>
          </cell>
          <cell r="Y163">
            <v>768</v>
          </cell>
          <cell r="Z163">
            <v>769</v>
          </cell>
          <cell r="AA163">
            <v>756</v>
          </cell>
          <cell r="AB163">
            <v>781</v>
          </cell>
          <cell r="AC163">
            <v>799</v>
          </cell>
          <cell r="AD163">
            <v>814</v>
          </cell>
        </row>
        <row r="164">
          <cell r="D164" t="str">
            <v>개태골</v>
          </cell>
          <cell r="F164">
            <v>0</v>
          </cell>
          <cell r="H164">
            <v>0.95</v>
          </cell>
          <cell r="I164">
            <v>0.95</v>
          </cell>
          <cell r="J164">
            <v>0.99</v>
          </cell>
          <cell r="K164">
            <v>0.99</v>
          </cell>
          <cell r="L164">
            <v>0.99</v>
          </cell>
          <cell r="M164">
            <v>808</v>
          </cell>
          <cell r="N164">
            <v>809</v>
          </cell>
          <cell r="O164">
            <v>796</v>
          </cell>
          <cell r="P164">
            <v>789</v>
          </cell>
          <cell r="Q164">
            <v>807</v>
          </cell>
          <cell r="R164">
            <v>822</v>
          </cell>
          <cell r="S164">
            <v>768</v>
          </cell>
          <cell r="T164">
            <v>769</v>
          </cell>
          <cell r="U164">
            <v>756</v>
          </cell>
          <cell r="V164">
            <v>781</v>
          </cell>
          <cell r="W164">
            <v>799</v>
          </cell>
          <cell r="X164">
            <v>814</v>
          </cell>
          <cell r="Y164">
            <v>768</v>
          </cell>
          <cell r="Z164">
            <v>769</v>
          </cell>
          <cell r="AA164">
            <v>756</v>
          </cell>
          <cell r="AB164">
            <v>781</v>
          </cell>
          <cell r="AC164">
            <v>799</v>
          </cell>
          <cell r="AD164">
            <v>814</v>
          </cell>
        </row>
        <row r="165">
          <cell r="C165" t="str">
            <v>안심 8</v>
          </cell>
          <cell r="D165" t="str">
            <v>계</v>
          </cell>
          <cell r="F165">
            <v>0</v>
          </cell>
          <cell r="H165">
            <v>0.95</v>
          </cell>
          <cell r="I165">
            <v>0.95</v>
          </cell>
          <cell r="J165">
            <v>0.99</v>
          </cell>
          <cell r="K165">
            <v>0.99</v>
          </cell>
          <cell r="L165">
            <v>0.99</v>
          </cell>
          <cell r="M165">
            <v>994</v>
          </cell>
          <cell r="N165">
            <v>995</v>
          </cell>
          <cell r="O165">
            <v>980</v>
          </cell>
          <cell r="P165">
            <v>970</v>
          </cell>
          <cell r="Q165">
            <v>993</v>
          </cell>
          <cell r="R165">
            <v>1011</v>
          </cell>
          <cell r="S165">
            <v>944</v>
          </cell>
          <cell r="T165">
            <v>945</v>
          </cell>
          <cell r="U165">
            <v>931</v>
          </cell>
          <cell r="V165">
            <v>960</v>
          </cell>
          <cell r="W165">
            <v>983</v>
          </cell>
          <cell r="X165">
            <v>1001</v>
          </cell>
          <cell r="Y165">
            <v>944</v>
          </cell>
          <cell r="Z165">
            <v>945</v>
          </cell>
          <cell r="AA165">
            <v>931</v>
          </cell>
          <cell r="AB165">
            <v>960</v>
          </cell>
          <cell r="AC165">
            <v>983</v>
          </cell>
          <cell r="AD165">
            <v>1001</v>
          </cell>
        </row>
        <row r="166">
          <cell r="C166" t="str">
            <v>안심 9</v>
          </cell>
          <cell r="D166" t="str">
            <v>계</v>
          </cell>
          <cell r="M166">
            <v>1765</v>
          </cell>
          <cell r="N166">
            <v>1767</v>
          </cell>
          <cell r="O166">
            <v>1741</v>
          </cell>
          <cell r="P166">
            <v>1722</v>
          </cell>
          <cell r="Q166">
            <v>1763</v>
          </cell>
          <cell r="R166">
            <v>1795</v>
          </cell>
          <cell r="S166">
            <v>1677</v>
          </cell>
          <cell r="T166">
            <v>1679</v>
          </cell>
          <cell r="U166">
            <v>1741</v>
          </cell>
          <cell r="V166">
            <v>1722</v>
          </cell>
          <cell r="W166">
            <v>1763</v>
          </cell>
          <cell r="X166">
            <v>1795</v>
          </cell>
          <cell r="Y166">
            <v>1677</v>
          </cell>
          <cell r="Z166">
            <v>1679</v>
          </cell>
          <cell r="AA166">
            <v>1741</v>
          </cell>
          <cell r="AB166">
            <v>1722</v>
          </cell>
          <cell r="AC166">
            <v>1763</v>
          </cell>
          <cell r="AD166">
            <v>1795</v>
          </cell>
        </row>
        <row r="167">
          <cell r="D167" t="str">
            <v>모래내</v>
          </cell>
          <cell r="F167">
            <v>0</v>
          </cell>
          <cell r="H167">
            <v>0.95</v>
          </cell>
          <cell r="I167">
            <v>1</v>
          </cell>
          <cell r="J167">
            <v>1</v>
          </cell>
          <cell r="K167">
            <v>1</v>
          </cell>
          <cell r="L167">
            <v>1</v>
          </cell>
          <cell r="M167">
            <v>1765</v>
          </cell>
          <cell r="N167">
            <v>1767</v>
          </cell>
          <cell r="O167">
            <v>1741</v>
          </cell>
          <cell r="P167">
            <v>1722</v>
          </cell>
          <cell r="Q167">
            <v>1763</v>
          </cell>
          <cell r="R167">
            <v>1795</v>
          </cell>
          <cell r="S167">
            <v>1677</v>
          </cell>
          <cell r="T167">
            <v>1679</v>
          </cell>
          <cell r="U167">
            <v>1741</v>
          </cell>
          <cell r="V167">
            <v>1722</v>
          </cell>
          <cell r="W167">
            <v>1763</v>
          </cell>
          <cell r="X167">
            <v>1795</v>
          </cell>
          <cell r="Y167">
            <v>1677</v>
          </cell>
          <cell r="Z167">
            <v>1679</v>
          </cell>
          <cell r="AA167">
            <v>1741</v>
          </cell>
          <cell r="AB167">
            <v>1722</v>
          </cell>
          <cell r="AC167">
            <v>1763</v>
          </cell>
          <cell r="AD167">
            <v>1795</v>
          </cell>
        </row>
        <row r="168">
          <cell r="C168" t="str">
            <v>신화리</v>
          </cell>
          <cell r="D168" t="str">
            <v>소계</v>
          </cell>
          <cell r="M168">
            <v>384</v>
          </cell>
          <cell r="N168">
            <v>384</v>
          </cell>
          <cell r="O168">
            <v>378</v>
          </cell>
          <cell r="P168">
            <v>374</v>
          </cell>
          <cell r="Q168">
            <v>384</v>
          </cell>
          <cell r="R168">
            <v>391</v>
          </cell>
          <cell r="S168">
            <v>365</v>
          </cell>
          <cell r="T168">
            <v>365</v>
          </cell>
          <cell r="U168">
            <v>359</v>
          </cell>
          <cell r="V168">
            <v>370</v>
          </cell>
          <cell r="W168">
            <v>380</v>
          </cell>
          <cell r="X168">
            <v>387</v>
          </cell>
          <cell r="Y168">
            <v>365</v>
          </cell>
          <cell r="Z168">
            <v>365</v>
          </cell>
          <cell r="AA168">
            <v>359</v>
          </cell>
          <cell r="AB168">
            <v>370</v>
          </cell>
          <cell r="AC168">
            <v>380</v>
          </cell>
          <cell r="AD168">
            <v>387</v>
          </cell>
        </row>
        <row r="169">
          <cell r="C169" t="str">
            <v>신화 1</v>
          </cell>
          <cell r="D169" t="str">
            <v>계</v>
          </cell>
          <cell r="M169">
            <v>196</v>
          </cell>
          <cell r="N169">
            <v>196</v>
          </cell>
          <cell r="O169">
            <v>193</v>
          </cell>
          <cell r="P169">
            <v>191</v>
          </cell>
          <cell r="Q169">
            <v>196</v>
          </cell>
          <cell r="R169">
            <v>200</v>
          </cell>
          <cell r="S169">
            <v>186</v>
          </cell>
          <cell r="T169">
            <v>186</v>
          </cell>
          <cell r="U169">
            <v>183</v>
          </cell>
          <cell r="V169">
            <v>189</v>
          </cell>
          <cell r="W169">
            <v>194</v>
          </cell>
          <cell r="X169">
            <v>198</v>
          </cell>
          <cell r="Y169">
            <v>186</v>
          </cell>
          <cell r="Z169">
            <v>186</v>
          </cell>
          <cell r="AA169">
            <v>183</v>
          </cell>
          <cell r="AB169">
            <v>189</v>
          </cell>
          <cell r="AC169">
            <v>194</v>
          </cell>
          <cell r="AD169">
            <v>198</v>
          </cell>
        </row>
        <row r="170">
          <cell r="D170" t="str">
            <v>신화</v>
          </cell>
          <cell r="F170">
            <v>0</v>
          </cell>
          <cell r="H170">
            <v>0.95</v>
          </cell>
          <cell r="I170">
            <v>0.95</v>
          </cell>
          <cell r="J170">
            <v>0.99</v>
          </cell>
          <cell r="K170">
            <v>0.99</v>
          </cell>
          <cell r="L170">
            <v>0.99</v>
          </cell>
          <cell r="M170">
            <v>196</v>
          </cell>
          <cell r="N170">
            <v>196</v>
          </cell>
          <cell r="O170">
            <v>193</v>
          </cell>
          <cell r="P170">
            <v>191</v>
          </cell>
          <cell r="Q170">
            <v>196</v>
          </cell>
          <cell r="R170">
            <v>200</v>
          </cell>
          <cell r="S170">
            <v>186</v>
          </cell>
          <cell r="T170">
            <v>186</v>
          </cell>
          <cell r="U170">
            <v>183</v>
          </cell>
          <cell r="V170">
            <v>189</v>
          </cell>
          <cell r="W170">
            <v>194</v>
          </cell>
          <cell r="X170">
            <v>198</v>
          </cell>
          <cell r="Y170">
            <v>186</v>
          </cell>
          <cell r="Z170">
            <v>186</v>
          </cell>
          <cell r="AA170">
            <v>183</v>
          </cell>
          <cell r="AB170">
            <v>189</v>
          </cell>
          <cell r="AC170">
            <v>194</v>
          </cell>
          <cell r="AD170">
            <v>198</v>
          </cell>
        </row>
        <row r="171">
          <cell r="C171" t="str">
            <v>신화 2</v>
          </cell>
          <cell r="D171" t="str">
            <v>계</v>
          </cell>
          <cell r="M171">
            <v>103</v>
          </cell>
          <cell r="N171">
            <v>103</v>
          </cell>
          <cell r="O171">
            <v>101</v>
          </cell>
          <cell r="P171">
            <v>100</v>
          </cell>
          <cell r="Q171">
            <v>103</v>
          </cell>
          <cell r="R171">
            <v>105</v>
          </cell>
          <cell r="S171">
            <v>98</v>
          </cell>
          <cell r="T171">
            <v>98</v>
          </cell>
          <cell r="U171">
            <v>96</v>
          </cell>
          <cell r="V171">
            <v>99</v>
          </cell>
          <cell r="W171">
            <v>102</v>
          </cell>
          <cell r="X171">
            <v>104</v>
          </cell>
          <cell r="Y171">
            <v>98</v>
          </cell>
          <cell r="Z171">
            <v>98</v>
          </cell>
          <cell r="AA171">
            <v>96</v>
          </cell>
          <cell r="AB171">
            <v>99</v>
          </cell>
          <cell r="AC171">
            <v>102</v>
          </cell>
          <cell r="AD171">
            <v>104</v>
          </cell>
        </row>
        <row r="172">
          <cell r="D172" t="str">
            <v>원신화</v>
          </cell>
          <cell r="F172">
            <v>0</v>
          </cell>
          <cell r="H172">
            <v>0.95</v>
          </cell>
          <cell r="I172">
            <v>0.95</v>
          </cell>
          <cell r="J172">
            <v>0.99</v>
          </cell>
          <cell r="K172">
            <v>0.99</v>
          </cell>
          <cell r="L172">
            <v>0.99</v>
          </cell>
          <cell r="M172">
            <v>103</v>
          </cell>
          <cell r="N172">
            <v>103</v>
          </cell>
          <cell r="O172">
            <v>101</v>
          </cell>
          <cell r="P172">
            <v>100</v>
          </cell>
          <cell r="Q172">
            <v>103</v>
          </cell>
          <cell r="R172">
            <v>105</v>
          </cell>
          <cell r="S172">
            <v>98</v>
          </cell>
          <cell r="T172">
            <v>98</v>
          </cell>
          <cell r="U172">
            <v>96</v>
          </cell>
          <cell r="V172">
            <v>99</v>
          </cell>
          <cell r="W172">
            <v>102</v>
          </cell>
          <cell r="X172">
            <v>104</v>
          </cell>
          <cell r="Y172">
            <v>98</v>
          </cell>
          <cell r="Z172">
            <v>98</v>
          </cell>
          <cell r="AA172">
            <v>96</v>
          </cell>
          <cell r="AB172">
            <v>99</v>
          </cell>
          <cell r="AC172">
            <v>102</v>
          </cell>
          <cell r="AD172">
            <v>104</v>
          </cell>
        </row>
        <row r="173">
          <cell r="C173" t="str">
            <v>신화 3</v>
          </cell>
          <cell r="D173" t="str">
            <v>계</v>
          </cell>
          <cell r="M173">
            <v>85</v>
          </cell>
          <cell r="N173">
            <v>85</v>
          </cell>
          <cell r="O173">
            <v>84</v>
          </cell>
          <cell r="P173">
            <v>83</v>
          </cell>
          <cell r="Q173">
            <v>85</v>
          </cell>
          <cell r="R173">
            <v>86</v>
          </cell>
          <cell r="S173">
            <v>81</v>
          </cell>
          <cell r="T173">
            <v>81</v>
          </cell>
          <cell r="U173">
            <v>80</v>
          </cell>
          <cell r="V173">
            <v>82</v>
          </cell>
          <cell r="W173">
            <v>84</v>
          </cell>
          <cell r="X173">
            <v>85</v>
          </cell>
          <cell r="Y173">
            <v>81</v>
          </cell>
          <cell r="Z173">
            <v>81</v>
          </cell>
          <cell r="AA173">
            <v>80</v>
          </cell>
          <cell r="AB173">
            <v>82</v>
          </cell>
          <cell r="AC173">
            <v>84</v>
          </cell>
          <cell r="AD173">
            <v>85</v>
          </cell>
        </row>
        <row r="174">
          <cell r="D174" t="str">
            <v>선들</v>
          </cell>
          <cell r="F174">
            <v>0</v>
          </cell>
          <cell r="H174">
            <v>0.95</v>
          </cell>
          <cell r="I174">
            <v>0.95</v>
          </cell>
          <cell r="J174">
            <v>0.99</v>
          </cell>
          <cell r="K174">
            <v>0.99</v>
          </cell>
          <cell r="L174">
            <v>0.99</v>
          </cell>
          <cell r="M174">
            <v>85</v>
          </cell>
          <cell r="N174">
            <v>85</v>
          </cell>
          <cell r="O174">
            <v>84</v>
          </cell>
          <cell r="P174">
            <v>83</v>
          </cell>
          <cell r="Q174">
            <v>85</v>
          </cell>
          <cell r="R174">
            <v>86</v>
          </cell>
          <cell r="S174">
            <v>81</v>
          </cell>
          <cell r="T174">
            <v>81</v>
          </cell>
          <cell r="U174">
            <v>80</v>
          </cell>
          <cell r="V174">
            <v>82</v>
          </cell>
          <cell r="W174">
            <v>84</v>
          </cell>
          <cell r="X174">
            <v>85</v>
          </cell>
          <cell r="Y174">
            <v>81</v>
          </cell>
          <cell r="Z174">
            <v>81</v>
          </cell>
          <cell r="AA174">
            <v>80</v>
          </cell>
          <cell r="AB174">
            <v>82</v>
          </cell>
          <cell r="AC174">
            <v>84</v>
          </cell>
          <cell r="AD174">
            <v>85</v>
          </cell>
        </row>
        <row r="175">
          <cell r="C175" t="str">
            <v>봉동리</v>
          </cell>
          <cell r="D175" t="str">
            <v>소계</v>
          </cell>
          <cell r="M175">
            <v>734</v>
          </cell>
          <cell r="N175">
            <v>734</v>
          </cell>
          <cell r="O175">
            <v>723</v>
          </cell>
          <cell r="P175">
            <v>716</v>
          </cell>
          <cell r="Q175">
            <v>734</v>
          </cell>
          <cell r="R175">
            <v>747</v>
          </cell>
          <cell r="S175">
            <v>509</v>
          </cell>
          <cell r="T175">
            <v>509</v>
          </cell>
          <cell r="U175">
            <v>687</v>
          </cell>
          <cell r="V175">
            <v>709</v>
          </cell>
          <cell r="W175">
            <v>726</v>
          </cell>
          <cell r="X175">
            <v>739</v>
          </cell>
          <cell r="Y175">
            <v>509</v>
          </cell>
          <cell r="Z175">
            <v>509</v>
          </cell>
          <cell r="AA175">
            <v>687</v>
          </cell>
          <cell r="AB175">
            <v>709</v>
          </cell>
          <cell r="AC175">
            <v>726</v>
          </cell>
          <cell r="AD175">
            <v>739</v>
          </cell>
        </row>
        <row r="176">
          <cell r="C176" t="str">
            <v>봉동 1</v>
          </cell>
          <cell r="D176" t="str">
            <v>계</v>
          </cell>
          <cell r="M176">
            <v>147</v>
          </cell>
          <cell r="N176">
            <v>147</v>
          </cell>
          <cell r="O176">
            <v>145</v>
          </cell>
          <cell r="P176">
            <v>144</v>
          </cell>
          <cell r="Q176">
            <v>147</v>
          </cell>
          <cell r="R176">
            <v>150</v>
          </cell>
          <cell r="S176">
            <v>140</v>
          </cell>
          <cell r="T176">
            <v>140</v>
          </cell>
          <cell r="U176">
            <v>138</v>
          </cell>
          <cell r="V176">
            <v>143</v>
          </cell>
          <cell r="W176">
            <v>146</v>
          </cell>
          <cell r="X176">
            <v>149</v>
          </cell>
          <cell r="Y176">
            <v>140</v>
          </cell>
          <cell r="Z176">
            <v>140</v>
          </cell>
          <cell r="AA176">
            <v>138</v>
          </cell>
          <cell r="AB176">
            <v>143</v>
          </cell>
          <cell r="AC176">
            <v>146</v>
          </cell>
          <cell r="AD176">
            <v>149</v>
          </cell>
        </row>
        <row r="177">
          <cell r="D177" t="str">
            <v>외송</v>
          </cell>
          <cell r="F177">
            <v>0</v>
          </cell>
          <cell r="H177">
            <v>0.95</v>
          </cell>
          <cell r="I177">
            <v>0.95</v>
          </cell>
          <cell r="J177">
            <v>0.99</v>
          </cell>
          <cell r="K177">
            <v>0.99</v>
          </cell>
          <cell r="L177">
            <v>0.99</v>
          </cell>
          <cell r="M177">
            <v>147</v>
          </cell>
          <cell r="N177">
            <v>147</v>
          </cell>
          <cell r="O177">
            <v>145</v>
          </cell>
          <cell r="P177">
            <v>144</v>
          </cell>
          <cell r="Q177">
            <v>147</v>
          </cell>
          <cell r="R177">
            <v>150</v>
          </cell>
          <cell r="S177">
            <v>140</v>
          </cell>
          <cell r="T177">
            <v>140</v>
          </cell>
          <cell r="U177">
            <v>138</v>
          </cell>
          <cell r="V177">
            <v>143</v>
          </cell>
          <cell r="W177">
            <v>146</v>
          </cell>
          <cell r="X177">
            <v>149</v>
          </cell>
          <cell r="Y177">
            <v>140</v>
          </cell>
          <cell r="Z177">
            <v>140</v>
          </cell>
          <cell r="AA177">
            <v>138</v>
          </cell>
          <cell r="AB177">
            <v>143</v>
          </cell>
          <cell r="AC177">
            <v>146</v>
          </cell>
          <cell r="AD177">
            <v>149</v>
          </cell>
        </row>
        <row r="178">
          <cell r="C178" t="str">
            <v>봉동 2</v>
          </cell>
          <cell r="D178" t="str">
            <v>계</v>
          </cell>
          <cell r="M178">
            <v>103</v>
          </cell>
          <cell r="N178">
            <v>103</v>
          </cell>
          <cell r="O178">
            <v>101</v>
          </cell>
          <cell r="P178">
            <v>100</v>
          </cell>
          <cell r="Q178">
            <v>103</v>
          </cell>
          <cell r="R178">
            <v>105</v>
          </cell>
          <cell r="S178">
            <v>98</v>
          </cell>
          <cell r="T178">
            <v>98</v>
          </cell>
          <cell r="U178">
            <v>96</v>
          </cell>
          <cell r="V178">
            <v>99</v>
          </cell>
          <cell r="W178">
            <v>102</v>
          </cell>
          <cell r="X178">
            <v>104</v>
          </cell>
          <cell r="Y178">
            <v>98</v>
          </cell>
          <cell r="Z178">
            <v>98</v>
          </cell>
          <cell r="AA178">
            <v>96</v>
          </cell>
          <cell r="AB178">
            <v>99</v>
          </cell>
          <cell r="AC178">
            <v>102</v>
          </cell>
          <cell r="AD178">
            <v>104</v>
          </cell>
        </row>
        <row r="179">
          <cell r="D179" t="str">
            <v>하봉</v>
          </cell>
          <cell r="F179">
            <v>0</v>
          </cell>
          <cell r="H179">
            <v>0.95</v>
          </cell>
          <cell r="I179">
            <v>0.95</v>
          </cell>
          <cell r="J179">
            <v>0.99</v>
          </cell>
          <cell r="K179">
            <v>0.99</v>
          </cell>
          <cell r="L179">
            <v>0.99</v>
          </cell>
          <cell r="M179">
            <v>103</v>
          </cell>
          <cell r="N179">
            <v>103</v>
          </cell>
          <cell r="O179">
            <v>101</v>
          </cell>
          <cell r="P179">
            <v>100</v>
          </cell>
          <cell r="Q179">
            <v>103</v>
          </cell>
          <cell r="R179">
            <v>105</v>
          </cell>
          <cell r="S179">
            <v>98</v>
          </cell>
          <cell r="T179">
            <v>98</v>
          </cell>
          <cell r="U179">
            <v>96</v>
          </cell>
          <cell r="V179">
            <v>99</v>
          </cell>
          <cell r="W179">
            <v>102</v>
          </cell>
          <cell r="X179">
            <v>104</v>
          </cell>
          <cell r="Y179">
            <v>98</v>
          </cell>
          <cell r="Z179">
            <v>98</v>
          </cell>
          <cell r="AA179">
            <v>96</v>
          </cell>
          <cell r="AB179">
            <v>99</v>
          </cell>
          <cell r="AC179">
            <v>102</v>
          </cell>
          <cell r="AD179">
            <v>104</v>
          </cell>
        </row>
        <row r="180">
          <cell r="C180" t="str">
            <v>봉동 3</v>
          </cell>
          <cell r="D180" t="str">
            <v>계</v>
          </cell>
          <cell r="M180">
            <v>199</v>
          </cell>
          <cell r="N180">
            <v>199</v>
          </cell>
          <cell r="O180">
            <v>196</v>
          </cell>
          <cell r="P180">
            <v>195</v>
          </cell>
          <cell r="Q180">
            <v>199</v>
          </cell>
          <cell r="R180">
            <v>203</v>
          </cell>
          <cell r="S180">
            <v>0</v>
          </cell>
          <cell r="T180">
            <v>0</v>
          </cell>
          <cell r="U180">
            <v>186</v>
          </cell>
          <cell r="V180">
            <v>193</v>
          </cell>
          <cell r="W180">
            <v>197</v>
          </cell>
          <cell r="X180">
            <v>201</v>
          </cell>
          <cell r="Y180">
            <v>0</v>
          </cell>
          <cell r="Z180">
            <v>0</v>
          </cell>
          <cell r="AA180">
            <v>186</v>
          </cell>
          <cell r="AB180">
            <v>193</v>
          </cell>
          <cell r="AC180">
            <v>197</v>
          </cell>
          <cell r="AD180">
            <v>201</v>
          </cell>
        </row>
        <row r="181">
          <cell r="D181" t="str">
            <v>칠동</v>
          </cell>
          <cell r="F181">
            <v>1</v>
          </cell>
          <cell r="H181">
            <v>0.95</v>
          </cell>
          <cell r="I181">
            <v>0.95</v>
          </cell>
          <cell r="J181">
            <v>0.99</v>
          </cell>
          <cell r="K181">
            <v>0.99</v>
          </cell>
          <cell r="L181">
            <v>0.99</v>
          </cell>
          <cell r="M181">
            <v>199</v>
          </cell>
          <cell r="N181">
            <v>199</v>
          </cell>
          <cell r="O181">
            <v>196</v>
          </cell>
          <cell r="P181">
            <v>195</v>
          </cell>
          <cell r="Q181">
            <v>199</v>
          </cell>
          <cell r="R181">
            <v>203</v>
          </cell>
          <cell r="S181">
            <v>0</v>
          </cell>
          <cell r="T181">
            <v>0</v>
          </cell>
          <cell r="U181">
            <v>186</v>
          </cell>
          <cell r="V181">
            <v>193</v>
          </cell>
          <cell r="W181">
            <v>197</v>
          </cell>
          <cell r="X181">
            <v>201</v>
          </cell>
          <cell r="Y181">
            <v>0</v>
          </cell>
          <cell r="Z181">
            <v>0</v>
          </cell>
          <cell r="AA181">
            <v>186</v>
          </cell>
          <cell r="AB181">
            <v>193</v>
          </cell>
          <cell r="AC181">
            <v>197</v>
          </cell>
          <cell r="AD181">
            <v>201</v>
          </cell>
        </row>
        <row r="182">
          <cell r="C182" t="str">
            <v>봉동 4</v>
          </cell>
          <cell r="D182" t="str">
            <v>계</v>
          </cell>
          <cell r="M182">
            <v>153</v>
          </cell>
          <cell r="N182">
            <v>153</v>
          </cell>
          <cell r="O182">
            <v>151</v>
          </cell>
          <cell r="P182">
            <v>149</v>
          </cell>
          <cell r="Q182">
            <v>153</v>
          </cell>
          <cell r="R182">
            <v>155</v>
          </cell>
          <cell r="S182">
            <v>145</v>
          </cell>
          <cell r="T182">
            <v>145</v>
          </cell>
          <cell r="U182">
            <v>143</v>
          </cell>
          <cell r="V182">
            <v>148</v>
          </cell>
          <cell r="W182">
            <v>151</v>
          </cell>
          <cell r="X182">
            <v>153</v>
          </cell>
          <cell r="Y182">
            <v>145</v>
          </cell>
          <cell r="Z182">
            <v>145</v>
          </cell>
          <cell r="AA182">
            <v>143</v>
          </cell>
          <cell r="AB182">
            <v>148</v>
          </cell>
          <cell r="AC182">
            <v>151</v>
          </cell>
          <cell r="AD182">
            <v>153</v>
          </cell>
        </row>
        <row r="183">
          <cell r="D183" t="str">
            <v>두화</v>
          </cell>
          <cell r="F183">
            <v>0</v>
          </cell>
          <cell r="H183">
            <v>0.95</v>
          </cell>
          <cell r="I183">
            <v>0.95</v>
          </cell>
          <cell r="J183">
            <v>0.99</v>
          </cell>
          <cell r="K183">
            <v>0.99</v>
          </cell>
          <cell r="L183">
            <v>0.99</v>
          </cell>
          <cell r="M183">
            <v>153</v>
          </cell>
          <cell r="N183">
            <v>153</v>
          </cell>
          <cell r="O183">
            <v>151</v>
          </cell>
          <cell r="P183">
            <v>149</v>
          </cell>
          <cell r="Q183">
            <v>153</v>
          </cell>
          <cell r="R183">
            <v>155</v>
          </cell>
          <cell r="S183">
            <v>145</v>
          </cell>
          <cell r="T183">
            <v>145</v>
          </cell>
          <cell r="U183">
            <v>143</v>
          </cell>
          <cell r="V183">
            <v>148</v>
          </cell>
          <cell r="W183">
            <v>151</v>
          </cell>
          <cell r="X183">
            <v>153</v>
          </cell>
          <cell r="Y183">
            <v>145</v>
          </cell>
          <cell r="Z183">
            <v>145</v>
          </cell>
          <cell r="AA183">
            <v>143</v>
          </cell>
          <cell r="AB183">
            <v>148</v>
          </cell>
          <cell r="AC183">
            <v>151</v>
          </cell>
          <cell r="AD183">
            <v>153</v>
          </cell>
        </row>
        <row r="184">
          <cell r="C184" t="str">
            <v>봉동 5</v>
          </cell>
          <cell r="D184" t="str">
            <v>계</v>
          </cell>
          <cell r="M184">
            <v>67</v>
          </cell>
          <cell r="N184">
            <v>67</v>
          </cell>
          <cell r="O184">
            <v>66</v>
          </cell>
          <cell r="P184">
            <v>65</v>
          </cell>
          <cell r="Q184">
            <v>67</v>
          </cell>
          <cell r="R184">
            <v>68</v>
          </cell>
          <cell r="S184">
            <v>64</v>
          </cell>
          <cell r="T184">
            <v>64</v>
          </cell>
          <cell r="U184">
            <v>63</v>
          </cell>
          <cell r="V184">
            <v>64</v>
          </cell>
          <cell r="W184">
            <v>66</v>
          </cell>
          <cell r="X184">
            <v>67</v>
          </cell>
          <cell r="Y184">
            <v>64</v>
          </cell>
          <cell r="Z184">
            <v>64</v>
          </cell>
          <cell r="AA184">
            <v>63</v>
          </cell>
          <cell r="AB184">
            <v>64</v>
          </cell>
          <cell r="AC184">
            <v>66</v>
          </cell>
          <cell r="AD184">
            <v>67</v>
          </cell>
        </row>
        <row r="185">
          <cell r="D185" t="str">
            <v>상봉</v>
          </cell>
          <cell r="F185">
            <v>0</v>
          </cell>
          <cell r="H185">
            <v>0.95</v>
          </cell>
          <cell r="I185">
            <v>0.95</v>
          </cell>
          <cell r="J185">
            <v>0.99</v>
          </cell>
          <cell r="K185">
            <v>0.99</v>
          </cell>
          <cell r="L185">
            <v>0.99</v>
          </cell>
          <cell r="M185">
            <v>67</v>
          </cell>
          <cell r="N185">
            <v>67</v>
          </cell>
          <cell r="O185">
            <v>66</v>
          </cell>
          <cell r="P185">
            <v>65</v>
          </cell>
          <cell r="Q185">
            <v>67</v>
          </cell>
          <cell r="R185">
            <v>68</v>
          </cell>
          <cell r="S185">
            <v>64</v>
          </cell>
          <cell r="T185">
            <v>64</v>
          </cell>
          <cell r="U185">
            <v>63</v>
          </cell>
          <cell r="V185">
            <v>64</v>
          </cell>
          <cell r="W185">
            <v>66</v>
          </cell>
          <cell r="X185">
            <v>67</v>
          </cell>
          <cell r="Y185">
            <v>64</v>
          </cell>
          <cell r="Z185">
            <v>64</v>
          </cell>
          <cell r="AA185">
            <v>63</v>
          </cell>
          <cell r="AB185">
            <v>64</v>
          </cell>
          <cell r="AC185">
            <v>66</v>
          </cell>
          <cell r="AD185">
            <v>67</v>
          </cell>
        </row>
        <row r="186">
          <cell r="C186" t="str">
            <v>봉동 6</v>
          </cell>
          <cell r="D186" t="str">
            <v>계</v>
          </cell>
          <cell r="M186">
            <v>65</v>
          </cell>
          <cell r="N186">
            <v>65</v>
          </cell>
          <cell r="O186">
            <v>64</v>
          </cell>
          <cell r="P186">
            <v>63</v>
          </cell>
          <cell r="Q186">
            <v>65</v>
          </cell>
          <cell r="R186">
            <v>66</v>
          </cell>
          <cell r="S186">
            <v>62</v>
          </cell>
          <cell r="T186">
            <v>62</v>
          </cell>
          <cell r="U186">
            <v>61</v>
          </cell>
          <cell r="V186">
            <v>62</v>
          </cell>
          <cell r="W186">
            <v>64</v>
          </cell>
          <cell r="X186">
            <v>65</v>
          </cell>
          <cell r="Y186">
            <v>62</v>
          </cell>
          <cell r="Z186">
            <v>62</v>
          </cell>
          <cell r="AA186">
            <v>61</v>
          </cell>
          <cell r="AB186">
            <v>62</v>
          </cell>
          <cell r="AC186">
            <v>64</v>
          </cell>
          <cell r="AD186">
            <v>65</v>
          </cell>
        </row>
        <row r="187">
          <cell r="D187" t="str">
            <v>내송</v>
          </cell>
          <cell r="F187">
            <v>0</v>
          </cell>
          <cell r="H187">
            <v>0.95</v>
          </cell>
          <cell r="I187">
            <v>0.95</v>
          </cell>
          <cell r="J187">
            <v>0.99</v>
          </cell>
          <cell r="K187">
            <v>0.99</v>
          </cell>
          <cell r="L187">
            <v>0.99</v>
          </cell>
          <cell r="M187">
            <v>65</v>
          </cell>
          <cell r="N187">
            <v>65</v>
          </cell>
          <cell r="O187">
            <v>64</v>
          </cell>
          <cell r="P187">
            <v>63</v>
          </cell>
          <cell r="Q187">
            <v>65</v>
          </cell>
          <cell r="R187">
            <v>66</v>
          </cell>
          <cell r="S187">
            <v>62</v>
          </cell>
          <cell r="T187">
            <v>62</v>
          </cell>
          <cell r="U187">
            <v>61</v>
          </cell>
          <cell r="V187">
            <v>62</v>
          </cell>
          <cell r="W187">
            <v>64</v>
          </cell>
          <cell r="X187">
            <v>65</v>
          </cell>
          <cell r="Y187">
            <v>62</v>
          </cell>
          <cell r="Z187">
            <v>62</v>
          </cell>
          <cell r="AA187">
            <v>61</v>
          </cell>
          <cell r="AB187">
            <v>62</v>
          </cell>
          <cell r="AC187">
            <v>64</v>
          </cell>
          <cell r="AD187">
            <v>65</v>
          </cell>
        </row>
        <row r="188">
          <cell r="M188">
            <v>5357</v>
          </cell>
          <cell r="N188">
            <v>5363</v>
          </cell>
          <cell r="O188">
            <v>5283</v>
          </cell>
          <cell r="P188">
            <v>5227</v>
          </cell>
          <cell r="Q188">
            <v>5351</v>
          </cell>
          <cell r="R188">
            <v>5447</v>
          </cell>
          <cell r="S188">
            <v>3680</v>
          </cell>
          <cell r="T188">
            <v>4111</v>
          </cell>
          <cell r="U188">
            <v>4509</v>
          </cell>
          <cell r="V188">
            <v>4726</v>
          </cell>
          <cell r="W188">
            <v>4838</v>
          </cell>
          <cell r="X188">
            <v>4925</v>
          </cell>
          <cell r="Y188">
            <v>3876</v>
          </cell>
          <cell r="Z188">
            <v>4307</v>
          </cell>
          <cell r="AA188">
            <v>4509</v>
          </cell>
          <cell r="AB188">
            <v>4726</v>
          </cell>
          <cell r="AC188">
            <v>4838</v>
          </cell>
          <cell r="AD188">
            <v>4925</v>
          </cell>
        </row>
        <row r="189">
          <cell r="C189" t="str">
            <v>삼산리</v>
          </cell>
          <cell r="D189" t="str">
            <v>소계</v>
          </cell>
          <cell r="M189">
            <v>363</v>
          </cell>
          <cell r="N189">
            <v>363</v>
          </cell>
          <cell r="O189">
            <v>358</v>
          </cell>
          <cell r="P189">
            <v>354</v>
          </cell>
          <cell r="Q189">
            <v>363</v>
          </cell>
          <cell r="R189">
            <v>369</v>
          </cell>
          <cell r="S189">
            <v>290</v>
          </cell>
          <cell r="T189">
            <v>290</v>
          </cell>
          <cell r="U189">
            <v>322</v>
          </cell>
          <cell r="V189">
            <v>336</v>
          </cell>
          <cell r="W189">
            <v>345</v>
          </cell>
          <cell r="X189">
            <v>351</v>
          </cell>
          <cell r="Y189">
            <v>290</v>
          </cell>
          <cell r="Z189">
            <v>290</v>
          </cell>
          <cell r="AA189">
            <v>322</v>
          </cell>
          <cell r="AB189">
            <v>336</v>
          </cell>
          <cell r="AC189">
            <v>345</v>
          </cell>
          <cell r="AD189">
            <v>351</v>
          </cell>
        </row>
        <row r="190">
          <cell r="C190" t="str">
            <v>삼산 1</v>
          </cell>
          <cell r="D190" t="str">
            <v>계</v>
          </cell>
          <cell r="M190">
            <v>223</v>
          </cell>
          <cell r="N190">
            <v>223</v>
          </cell>
          <cell r="O190">
            <v>220</v>
          </cell>
          <cell r="P190">
            <v>217</v>
          </cell>
          <cell r="Q190">
            <v>223</v>
          </cell>
          <cell r="R190">
            <v>227</v>
          </cell>
          <cell r="S190">
            <v>178</v>
          </cell>
          <cell r="T190">
            <v>178</v>
          </cell>
          <cell r="U190">
            <v>198</v>
          </cell>
          <cell r="V190">
            <v>206</v>
          </cell>
          <cell r="W190">
            <v>212</v>
          </cell>
          <cell r="X190">
            <v>216</v>
          </cell>
          <cell r="Y190">
            <v>178</v>
          </cell>
          <cell r="Z190">
            <v>178</v>
          </cell>
          <cell r="AA190">
            <v>198</v>
          </cell>
          <cell r="AB190">
            <v>206</v>
          </cell>
          <cell r="AC190">
            <v>212</v>
          </cell>
          <cell r="AD190">
            <v>216</v>
          </cell>
        </row>
        <row r="191">
          <cell r="D191" t="str">
            <v>소하</v>
          </cell>
          <cell r="F191">
            <v>0</v>
          </cell>
          <cell r="H191">
            <v>0.8</v>
          </cell>
          <cell r="I191">
            <v>0.9</v>
          </cell>
          <cell r="J191">
            <v>0.95</v>
          </cell>
          <cell r="K191">
            <v>0.95</v>
          </cell>
          <cell r="L191">
            <v>0.95</v>
          </cell>
          <cell r="M191">
            <v>223</v>
          </cell>
          <cell r="N191">
            <v>223</v>
          </cell>
          <cell r="O191">
            <v>220</v>
          </cell>
          <cell r="P191">
            <v>217</v>
          </cell>
          <cell r="Q191">
            <v>223</v>
          </cell>
          <cell r="R191">
            <v>227</v>
          </cell>
          <cell r="S191">
            <v>178</v>
          </cell>
          <cell r="T191">
            <v>178</v>
          </cell>
          <cell r="U191">
            <v>198</v>
          </cell>
          <cell r="V191">
            <v>206</v>
          </cell>
          <cell r="W191">
            <v>212</v>
          </cell>
          <cell r="X191">
            <v>216</v>
          </cell>
          <cell r="Y191">
            <v>178</v>
          </cell>
          <cell r="Z191">
            <v>178</v>
          </cell>
          <cell r="AA191">
            <v>198</v>
          </cell>
          <cell r="AB191">
            <v>206</v>
          </cell>
          <cell r="AC191">
            <v>212</v>
          </cell>
          <cell r="AD191">
            <v>216</v>
          </cell>
        </row>
        <row r="192">
          <cell r="C192" t="str">
            <v>삼산 2</v>
          </cell>
          <cell r="D192" t="str">
            <v>계</v>
          </cell>
          <cell r="M192">
            <v>140</v>
          </cell>
          <cell r="N192">
            <v>140</v>
          </cell>
          <cell r="O192">
            <v>138</v>
          </cell>
          <cell r="P192">
            <v>137</v>
          </cell>
          <cell r="Q192">
            <v>140</v>
          </cell>
          <cell r="R192">
            <v>142</v>
          </cell>
          <cell r="S192">
            <v>112</v>
          </cell>
          <cell r="T192">
            <v>112</v>
          </cell>
          <cell r="U192">
            <v>124</v>
          </cell>
          <cell r="V192">
            <v>130</v>
          </cell>
          <cell r="W192">
            <v>133</v>
          </cell>
          <cell r="X192">
            <v>135</v>
          </cell>
          <cell r="Y192">
            <v>112</v>
          </cell>
          <cell r="Z192">
            <v>112</v>
          </cell>
          <cell r="AA192">
            <v>124</v>
          </cell>
          <cell r="AB192">
            <v>130</v>
          </cell>
          <cell r="AC192">
            <v>133</v>
          </cell>
          <cell r="AD192">
            <v>135</v>
          </cell>
        </row>
        <row r="193">
          <cell r="D193" t="str">
            <v>대하</v>
          </cell>
          <cell r="F193">
            <v>0</v>
          </cell>
          <cell r="H193">
            <v>0.8</v>
          </cell>
          <cell r="I193">
            <v>0.9</v>
          </cell>
          <cell r="J193">
            <v>0.95</v>
          </cell>
          <cell r="K193">
            <v>0.95</v>
          </cell>
          <cell r="L193">
            <v>0.95</v>
          </cell>
          <cell r="M193">
            <v>140</v>
          </cell>
          <cell r="N193">
            <v>140</v>
          </cell>
          <cell r="O193">
            <v>138</v>
          </cell>
          <cell r="P193">
            <v>137</v>
          </cell>
          <cell r="Q193">
            <v>140</v>
          </cell>
          <cell r="R193">
            <v>142</v>
          </cell>
          <cell r="S193">
            <v>112</v>
          </cell>
          <cell r="T193">
            <v>112</v>
          </cell>
          <cell r="U193">
            <v>124</v>
          </cell>
          <cell r="V193">
            <v>130</v>
          </cell>
          <cell r="W193">
            <v>133</v>
          </cell>
          <cell r="X193">
            <v>135</v>
          </cell>
          <cell r="Y193">
            <v>112</v>
          </cell>
          <cell r="Z193">
            <v>112</v>
          </cell>
          <cell r="AA193">
            <v>124</v>
          </cell>
          <cell r="AB193">
            <v>130</v>
          </cell>
          <cell r="AC193">
            <v>133</v>
          </cell>
          <cell r="AD193">
            <v>135</v>
          </cell>
        </row>
        <row r="194">
          <cell r="C194" t="str">
            <v>월성리</v>
          </cell>
          <cell r="D194" t="str">
            <v>소계</v>
          </cell>
          <cell r="M194">
            <v>470</v>
          </cell>
          <cell r="N194">
            <v>471</v>
          </cell>
          <cell r="O194">
            <v>464</v>
          </cell>
          <cell r="P194">
            <v>458</v>
          </cell>
          <cell r="Q194">
            <v>469</v>
          </cell>
          <cell r="R194">
            <v>478</v>
          </cell>
          <cell r="S194">
            <v>118</v>
          </cell>
          <cell r="T194">
            <v>389</v>
          </cell>
          <cell r="U194">
            <v>394</v>
          </cell>
          <cell r="V194">
            <v>413</v>
          </cell>
          <cell r="W194">
            <v>422</v>
          </cell>
          <cell r="X194">
            <v>431</v>
          </cell>
          <cell r="Y194">
            <v>118</v>
          </cell>
          <cell r="Z194">
            <v>389</v>
          </cell>
          <cell r="AA194">
            <v>394</v>
          </cell>
          <cell r="AB194">
            <v>413</v>
          </cell>
          <cell r="AC194">
            <v>422</v>
          </cell>
          <cell r="AD194">
            <v>431</v>
          </cell>
        </row>
        <row r="195">
          <cell r="C195" t="str">
            <v>월성 1</v>
          </cell>
          <cell r="D195" t="str">
            <v>계</v>
          </cell>
          <cell r="M195">
            <v>133</v>
          </cell>
          <cell r="N195">
            <v>134</v>
          </cell>
          <cell r="O195">
            <v>132</v>
          </cell>
          <cell r="P195">
            <v>129</v>
          </cell>
          <cell r="Q195">
            <v>132</v>
          </cell>
          <cell r="R195">
            <v>135</v>
          </cell>
          <cell r="S195">
            <v>0</v>
          </cell>
          <cell r="T195">
            <v>112</v>
          </cell>
          <cell r="U195">
            <v>112</v>
          </cell>
          <cell r="V195">
            <v>116</v>
          </cell>
          <cell r="W195">
            <v>119</v>
          </cell>
          <cell r="X195">
            <v>122</v>
          </cell>
          <cell r="Y195">
            <v>0</v>
          </cell>
          <cell r="Z195">
            <v>112</v>
          </cell>
          <cell r="AA195">
            <v>112</v>
          </cell>
          <cell r="AB195">
            <v>116</v>
          </cell>
          <cell r="AC195">
            <v>119</v>
          </cell>
          <cell r="AD195">
            <v>122</v>
          </cell>
        </row>
        <row r="196">
          <cell r="D196" t="str">
            <v>황촌</v>
          </cell>
          <cell r="F196">
            <v>1</v>
          </cell>
          <cell r="H196">
            <v>0.8</v>
          </cell>
          <cell r="I196">
            <v>0.85</v>
          </cell>
          <cell r="J196">
            <v>0.9</v>
          </cell>
          <cell r="K196">
            <v>0.9</v>
          </cell>
          <cell r="L196">
            <v>0.9</v>
          </cell>
          <cell r="M196">
            <v>133</v>
          </cell>
          <cell r="N196">
            <v>134</v>
          </cell>
          <cell r="O196">
            <v>132</v>
          </cell>
          <cell r="P196">
            <v>129</v>
          </cell>
          <cell r="Q196">
            <v>132</v>
          </cell>
          <cell r="R196">
            <v>135</v>
          </cell>
          <cell r="S196">
            <v>0</v>
          </cell>
          <cell r="T196">
            <v>112</v>
          </cell>
          <cell r="U196">
            <v>112</v>
          </cell>
          <cell r="V196">
            <v>116</v>
          </cell>
          <cell r="W196">
            <v>119</v>
          </cell>
          <cell r="X196">
            <v>122</v>
          </cell>
          <cell r="Y196">
            <v>0</v>
          </cell>
          <cell r="Z196">
            <v>112</v>
          </cell>
          <cell r="AA196">
            <v>112</v>
          </cell>
          <cell r="AB196">
            <v>116</v>
          </cell>
          <cell r="AC196">
            <v>119</v>
          </cell>
          <cell r="AD196">
            <v>122</v>
          </cell>
        </row>
        <row r="197">
          <cell r="C197" t="str">
            <v>월성 2</v>
          </cell>
          <cell r="D197" t="str">
            <v>계</v>
          </cell>
          <cell r="M197">
            <v>190</v>
          </cell>
          <cell r="N197">
            <v>190</v>
          </cell>
          <cell r="O197">
            <v>187</v>
          </cell>
          <cell r="P197">
            <v>185</v>
          </cell>
          <cell r="Q197">
            <v>190</v>
          </cell>
          <cell r="R197">
            <v>193</v>
          </cell>
          <cell r="S197">
            <v>0</v>
          </cell>
          <cell r="T197">
            <v>159</v>
          </cell>
          <cell r="U197">
            <v>159</v>
          </cell>
          <cell r="V197">
            <v>167</v>
          </cell>
          <cell r="W197">
            <v>171</v>
          </cell>
          <cell r="X197">
            <v>174</v>
          </cell>
          <cell r="Y197">
            <v>0</v>
          </cell>
          <cell r="Z197">
            <v>159</v>
          </cell>
          <cell r="AA197">
            <v>159</v>
          </cell>
          <cell r="AB197">
            <v>167</v>
          </cell>
          <cell r="AC197">
            <v>171</v>
          </cell>
          <cell r="AD197">
            <v>174</v>
          </cell>
        </row>
        <row r="198">
          <cell r="D198" t="str">
            <v>월성</v>
          </cell>
          <cell r="F198">
            <v>1</v>
          </cell>
          <cell r="H198">
            <v>0.8</v>
          </cell>
          <cell r="I198">
            <v>0.85</v>
          </cell>
          <cell r="J198">
            <v>0.9</v>
          </cell>
          <cell r="K198">
            <v>0.9</v>
          </cell>
          <cell r="L198">
            <v>0.9</v>
          </cell>
          <cell r="M198">
            <v>190</v>
          </cell>
          <cell r="N198">
            <v>190</v>
          </cell>
          <cell r="O198">
            <v>187</v>
          </cell>
          <cell r="P198">
            <v>185</v>
          </cell>
          <cell r="Q198">
            <v>190</v>
          </cell>
          <cell r="R198">
            <v>193</v>
          </cell>
          <cell r="S198">
            <v>0</v>
          </cell>
          <cell r="T198">
            <v>159</v>
          </cell>
          <cell r="U198">
            <v>159</v>
          </cell>
          <cell r="V198">
            <v>167</v>
          </cell>
          <cell r="W198">
            <v>171</v>
          </cell>
          <cell r="X198">
            <v>174</v>
          </cell>
          <cell r="Y198">
            <v>0</v>
          </cell>
          <cell r="Z198">
            <v>159</v>
          </cell>
          <cell r="AA198">
            <v>159</v>
          </cell>
          <cell r="AB198">
            <v>167</v>
          </cell>
          <cell r="AC198">
            <v>171</v>
          </cell>
          <cell r="AD198">
            <v>174</v>
          </cell>
        </row>
        <row r="199">
          <cell r="C199" t="str">
            <v>월성 3</v>
          </cell>
          <cell r="D199" t="str">
            <v>계</v>
          </cell>
          <cell r="M199">
            <v>147</v>
          </cell>
          <cell r="N199">
            <v>147</v>
          </cell>
          <cell r="O199">
            <v>145</v>
          </cell>
          <cell r="P199">
            <v>144</v>
          </cell>
          <cell r="Q199">
            <v>147</v>
          </cell>
          <cell r="R199">
            <v>150</v>
          </cell>
          <cell r="S199">
            <v>118</v>
          </cell>
          <cell r="T199">
            <v>118</v>
          </cell>
          <cell r="U199">
            <v>123</v>
          </cell>
          <cell r="V199">
            <v>130</v>
          </cell>
          <cell r="W199">
            <v>132</v>
          </cell>
          <cell r="X199">
            <v>135</v>
          </cell>
          <cell r="Y199">
            <v>118</v>
          </cell>
          <cell r="Z199">
            <v>118</v>
          </cell>
          <cell r="AA199">
            <v>123</v>
          </cell>
          <cell r="AB199">
            <v>130</v>
          </cell>
          <cell r="AC199">
            <v>132</v>
          </cell>
          <cell r="AD199">
            <v>135</v>
          </cell>
        </row>
        <row r="200">
          <cell r="D200" t="str">
            <v>삼성</v>
          </cell>
          <cell r="F200">
            <v>0</v>
          </cell>
          <cell r="H200">
            <v>0.8</v>
          </cell>
          <cell r="I200">
            <v>0.85</v>
          </cell>
          <cell r="J200">
            <v>0.9</v>
          </cell>
          <cell r="K200">
            <v>0.9</v>
          </cell>
          <cell r="L200">
            <v>0.9</v>
          </cell>
          <cell r="M200">
            <v>147</v>
          </cell>
          <cell r="N200">
            <v>147</v>
          </cell>
          <cell r="O200">
            <v>145</v>
          </cell>
          <cell r="P200">
            <v>144</v>
          </cell>
          <cell r="Q200">
            <v>147</v>
          </cell>
          <cell r="R200">
            <v>150</v>
          </cell>
          <cell r="S200">
            <v>118</v>
          </cell>
          <cell r="T200">
            <v>118</v>
          </cell>
          <cell r="U200">
            <v>123</v>
          </cell>
          <cell r="V200">
            <v>130</v>
          </cell>
          <cell r="W200">
            <v>132</v>
          </cell>
          <cell r="X200">
            <v>135</v>
          </cell>
          <cell r="Y200">
            <v>118</v>
          </cell>
          <cell r="Z200">
            <v>118</v>
          </cell>
          <cell r="AA200">
            <v>123</v>
          </cell>
          <cell r="AB200">
            <v>130</v>
          </cell>
          <cell r="AC200">
            <v>132</v>
          </cell>
          <cell r="AD200">
            <v>135</v>
          </cell>
        </row>
        <row r="201">
          <cell r="C201" t="str">
            <v>병촌리</v>
          </cell>
          <cell r="D201" t="str">
            <v>소계</v>
          </cell>
          <cell r="M201">
            <v>300</v>
          </cell>
          <cell r="N201">
            <v>300</v>
          </cell>
          <cell r="O201">
            <v>295</v>
          </cell>
          <cell r="P201">
            <v>293</v>
          </cell>
          <cell r="Q201">
            <v>300</v>
          </cell>
          <cell r="R201">
            <v>305</v>
          </cell>
          <cell r="S201">
            <v>44</v>
          </cell>
          <cell r="T201">
            <v>44</v>
          </cell>
          <cell r="U201">
            <v>251</v>
          </cell>
          <cell r="V201">
            <v>264</v>
          </cell>
          <cell r="W201">
            <v>270</v>
          </cell>
          <cell r="X201">
            <v>274</v>
          </cell>
          <cell r="Y201">
            <v>240</v>
          </cell>
          <cell r="Z201">
            <v>240</v>
          </cell>
          <cell r="AA201">
            <v>251</v>
          </cell>
          <cell r="AB201">
            <v>264</v>
          </cell>
          <cell r="AC201">
            <v>270</v>
          </cell>
          <cell r="AD201">
            <v>274</v>
          </cell>
        </row>
        <row r="202">
          <cell r="C202" t="str">
            <v>병촌 1</v>
          </cell>
          <cell r="D202" t="str">
            <v>계</v>
          </cell>
          <cell r="M202">
            <v>123</v>
          </cell>
          <cell r="N202">
            <v>123</v>
          </cell>
          <cell r="O202">
            <v>121</v>
          </cell>
          <cell r="P202">
            <v>120</v>
          </cell>
          <cell r="Q202">
            <v>123</v>
          </cell>
          <cell r="R202">
            <v>125</v>
          </cell>
          <cell r="S202">
            <v>0</v>
          </cell>
          <cell r="T202">
            <v>0</v>
          </cell>
          <cell r="U202">
            <v>103</v>
          </cell>
          <cell r="V202">
            <v>108</v>
          </cell>
          <cell r="W202">
            <v>111</v>
          </cell>
          <cell r="X202">
            <v>113</v>
          </cell>
          <cell r="Y202">
            <v>98</v>
          </cell>
          <cell r="Z202">
            <v>98</v>
          </cell>
          <cell r="AA202">
            <v>103</v>
          </cell>
          <cell r="AB202">
            <v>108</v>
          </cell>
          <cell r="AC202">
            <v>111</v>
          </cell>
          <cell r="AD202">
            <v>113</v>
          </cell>
        </row>
        <row r="203">
          <cell r="D203" t="str">
            <v>중리</v>
          </cell>
          <cell r="F203">
            <v>5</v>
          </cell>
          <cell r="H203">
            <v>0.8</v>
          </cell>
          <cell r="I203">
            <v>0.85</v>
          </cell>
          <cell r="J203">
            <v>0.9</v>
          </cell>
          <cell r="K203">
            <v>0.9</v>
          </cell>
          <cell r="L203">
            <v>0.9</v>
          </cell>
          <cell r="M203">
            <v>123</v>
          </cell>
          <cell r="N203">
            <v>123</v>
          </cell>
          <cell r="O203">
            <v>121</v>
          </cell>
          <cell r="P203">
            <v>120</v>
          </cell>
          <cell r="Q203">
            <v>123</v>
          </cell>
          <cell r="R203">
            <v>125</v>
          </cell>
          <cell r="S203">
            <v>0</v>
          </cell>
          <cell r="T203">
            <v>0</v>
          </cell>
          <cell r="U203">
            <v>103</v>
          </cell>
          <cell r="V203">
            <v>108</v>
          </cell>
          <cell r="W203">
            <v>111</v>
          </cell>
          <cell r="X203">
            <v>113</v>
          </cell>
          <cell r="Y203">
            <v>98</v>
          </cell>
          <cell r="Z203">
            <v>98</v>
          </cell>
          <cell r="AA203">
            <v>103</v>
          </cell>
          <cell r="AB203">
            <v>108</v>
          </cell>
          <cell r="AC203">
            <v>111</v>
          </cell>
          <cell r="AD203">
            <v>113</v>
          </cell>
        </row>
        <row r="204">
          <cell r="C204" t="str">
            <v>병촌 2</v>
          </cell>
          <cell r="D204" t="str">
            <v>계</v>
          </cell>
          <cell r="E204">
            <v>103988</v>
          </cell>
          <cell r="M204">
            <v>177</v>
          </cell>
          <cell r="N204">
            <v>177</v>
          </cell>
          <cell r="O204">
            <v>174</v>
          </cell>
          <cell r="P204">
            <v>173</v>
          </cell>
          <cell r="Q204">
            <v>177</v>
          </cell>
          <cell r="R204">
            <v>180</v>
          </cell>
          <cell r="S204">
            <v>44</v>
          </cell>
          <cell r="T204">
            <v>44</v>
          </cell>
          <cell r="U204">
            <v>148</v>
          </cell>
          <cell r="V204">
            <v>156</v>
          </cell>
          <cell r="W204">
            <v>159</v>
          </cell>
          <cell r="X204">
            <v>161</v>
          </cell>
          <cell r="Y204">
            <v>142</v>
          </cell>
          <cell r="Z204">
            <v>142</v>
          </cell>
          <cell r="AA204">
            <v>148</v>
          </cell>
          <cell r="AB204">
            <v>156</v>
          </cell>
          <cell r="AC204">
            <v>159</v>
          </cell>
          <cell r="AD204">
            <v>161</v>
          </cell>
        </row>
        <row r="205">
          <cell r="D205" t="str">
            <v>까치말</v>
          </cell>
          <cell r="E205">
            <v>32140</v>
          </cell>
          <cell r="F205">
            <v>0</v>
          </cell>
          <cell r="H205">
            <v>0.8</v>
          </cell>
          <cell r="I205">
            <v>0.85</v>
          </cell>
          <cell r="J205">
            <v>0.9</v>
          </cell>
          <cell r="K205">
            <v>0.9</v>
          </cell>
          <cell r="L205">
            <v>0.9</v>
          </cell>
          <cell r="M205">
            <v>55</v>
          </cell>
          <cell r="N205">
            <v>55</v>
          </cell>
          <cell r="O205">
            <v>54</v>
          </cell>
          <cell r="P205">
            <v>53</v>
          </cell>
          <cell r="Q205">
            <v>55</v>
          </cell>
          <cell r="R205">
            <v>56</v>
          </cell>
          <cell r="S205">
            <v>44</v>
          </cell>
          <cell r="T205">
            <v>44</v>
          </cell>
          <cell r="U205">
            <v>46</v>
          </cell>
          <cell r="V205">
            <v>48</v>
          </cell>
          <cell r="W205">
            <v>50</v>
          </cell>
          <cell r="X205">
            <v>50</v>
          </cell>
          <cell r="Y205">
            <v>44</v>
          </cell>
          <cell r="Z205">
            <v>44</v>
          </cell>
          <cell r="AA205">
            <v>46</v>
          </cell>
          <cell r="AB205">
            <v>48</v>
          </cell>
          <cell r="AC205">
            <v>50</v>
          </cell>
          <cell r="AD205">
            <v>50</v>
          </cell>
        </row>
        <row r="206">
          <cell r="D206" t="str">
            <v>병골</v>
          </cell>
          <cell r="E206">
            <v>15386</v>
          </cell>
          <cell r="F206">
            <v>5</v>
          </cell>
          <cell r="H206">
            <v>0.8</v>
          </cell>
          <cell r="I206">
            <v>0.85</v>
          </cell>
          <cell r="J206">
            <v>0.9</v>
          </cell>
          <cell r="K206">
            <v>0.9</v>
          </cell>
          <cell r="L206">
            <v>0.9</v>
          </cell>
          <cell r="M206">
            <v>26</v>
          </cell>
          <cell r="N206">
            <v>26</v>
          </cell>
          <cell r="O206">
            <v>26</v>
          </cell>
          <cell r="P206">
            <v>26</v>
          </cell>
          <cell r="Q206">
            <v>26</v>
          </cell>
          <cell r="R206">
            <v>27</v>
          </cell>
          <cell r="S206">
            <v>0</v>
          </cell>
          <cell r="T206">
            <v>0</v>
          </cell>
          <cell r="U206">
            <v>22</v>
          </cell>
          <cell r="V206">
            <v>23</v>
          </cell>
          <cell r="W206">
            <v>23</v>
          </cell>
          <cell r="X206">
            <v>24</v>
          </cell>
          <cell r="Y206">
            <v>21</v>
          </cell>
          <cell r="Z206">
            <v>21</v>
          </cell>
          <cell r="AA206">
            <v>22</v>
          </cell>
          <cell r="AB206">
            <v>23</v>
          </cell>
          <cell r="AC206">
            <v>23</v>
          </cell>
          <cell r="AD206">
            <v>24</v>
          </cell>
        </row>
        <row r="207">
          <cell r="D207" t="str">
            <v>삼잿골</v>
          </cell>
          <cell r="E207">
            <v>56462</v>
          </cell>
          <cell r="F207">
            <v>5</v>
          </cell>
          <cell r="H207">
            <v>0.8</v>
          </cell>
          <cell r="I207">
            <v>0.85</v>
          </cell>
          <cell r="J207">
            <v>0.9</v>
          </cell>
          <cell r="K207">
            <v>0.9</v>
          </cell>
          <cell r="L207">
            <v>0.9</v>
          </cell>
          <cell r="M207">
            <v>96</v>
          </cell>
          <cell r="N207">
            <v>96</v>
          </cell>
          <cell r="O207">
            <v>94</v>
          </cell>
          <cell r="P207">
            <v>94</v>
          </cell>
          <cell r="Q207">
            <v>96</v>
          </cell>
          <cell r="R207">
            <v>97</v>
          </cell>
          <cell r="S207">
            <v>0</v>
          </cell>
          <cell r="T207">
            <v>0</v>
          </cell>
          <cell r="U207">
            <v>80</v>
          </cell>
          <cell r="V207">
            <v>85</v>
          </cell>
          <cell r="W207">
            <v>86</v>
          </cell>
          <cell r="X207">
            <v>87</v>
          </cell>
          <cell r="Y207">
            <v>77</v>
          </cell>
          <cell r="Z207">
            <v>77</v>
          </cell>
          <cell r="AA207">
            <v>80</v>
          </cell>
          <cell r="AB207">
            <v>85</v>
          </cell>
          <cell r="AC207">
            <v>86</v>
          </cell>
          <cell r="AD207">
            <v>87</v>
          </cell>
        </row>
        <row r="208">
          <cell r="C208" t="str">
            <v>개척리</v>
          </cell>
          <cell r="D208" t="str">
            <v>소계</v>
          </cell>
          <cell r="M208">
            <v>571</v>
          </cell>
          <cell r="N208">
            <v>573</v>
          </cell>
          <cell r="O208">
            <v>564</v>
          </cell>
          <cell r="P208">
            <v>556</v>
          </cell>
          <cell r="Q208">
            <v>571</v>
          </cell>
          <cell r="R208">
            <v>580</v>
          </cell>
          <cell r="S208">
            <v>457</v>
          </cell>
          <cell r="T208">
            <v>459</v>
          </cell>
          <cell r="U208">
            <v>480</v>
          </cell>
          <cell r="V208">
            <v>500</v>
          </cell>
          <cell r="W208">
            <v>515</v>
          </cell>
          <cell r="X208">
            <v>522</v>
          </cell>
          <cell r="Y208">
            <v>457</v>
          </cell>
          <cell r="Z208">
            <v>459</v>
          </cell>
          <cell r="AA208">
            <v>480</v>
          </cell>
          <cell r="AB208">
            <v>500</v>
          </cell>
          <cell r="AC208">
            <v>515</v>
          </cell>
          <cell r="AD208">
            <v>522</v>
          </cell>
        </row>
        <row r="209">
          <cell r="C209" t="str">
            <v>개척 1</v>
          </cell>
          <cell r="D209" t="str">
            <v>계</v>
          </cell>
          <cell r="M209">
            <v>245</v>
          </cell>
          <cell r="N209">
            <v>246</v>
          </cell>
          <cell r="O209">
            <v>242</v>
          </cell>
          <cell r="P209">
            <v>239</v>
          </cell>
          <cell r="Q209">
            <v>245</v>
          </cell>
          <cell r="R209">
            <v>249</v>
          </cell>
          <cell r="S209">
            <v>196</v>
          </cell>
          <cell r="T209">
            <v>197</v>
          </cell>
          <cell r="U209">
            <v>206</v>
          </cell>
          <cell r="V209">
            <v>215</v>
          </cell>
          <cell r="W209">
            <v>221</v>
          </cell>
          <cell r="X209">
            <v>224</v>
          </cell>
          <cell r="Y209">
            <v>196</v>
          </cell>
          <cell r="Z209">
            <v>197</v>
          </cell>
          <cell r="AA209">
            <v>206</v>
          </cell>
          <cell r="AB209">
            <v>215</v>
          </cell>
          <cell r="AC209">
            <v>221</v>
          </cell>
          <cell r="AD209">
            <v>224</v>
          </cell>
        </row>
        <row r="210">
          <cell r="D210" t="str">
            <v>개척</v>
          </cell>
          <cell r="F210">
            <v>0</v>
          </cell>
          <cell r="H210">
            <v>0.8</v>
          </cell>
          <cell r="I210">
            <v>0.85</v>
          </cell>
          <cell r="J210">
            <v>0.9</v>
          </cell>
          <cell r="K210">
            <v>0.9</v>
          </cell>
          <cell r="L210">
            <v>0.9</v>
          </cell>
          <cell r="M210">
            <v>245</v>
          </cell>
          <cell r="N210">
            <v>246</v>
          </cell>
          <cell r="O210">
            <v>242</v>
          </cell>
          <cell r="P210">
            <v>239</v>
          </cell>
          <cell r="Q210">
            <v>245</v>
          </cell>
          <cell r="R210">
            <v>249</v>
          </cell>
          <cell r="S210">
            <v>196</v>
          </cell>
          <cell r="T210">
            <v>197</v>
          </cell>
          <cell r="U210">
            <v>206</v>
          </cell>
          <cell r="V210">
            <v>215</v>
          </cell>
          <cell r="W210">
            <v>221</v>
          </cell>
          <cell r="X210">
            <v>224</v>
          </cell>
          <cell r="Y210">
            <v>196</v>
          </cell>
          <cell r="Z210">
            <v>197</v>
          </cell>
          <cell r="AA210">
            <v>206</v>
          </cell>
          <cell r="AB210">
            <v>215</v>
          </cell>
          <cell r="AC210">
            <v>221</v>
          </cell>
          <cell r="AD210">
            <v>224</v>
          </cell>
        </row>
        <row r="211">
          <cell r="C211" t="str">
            <v>개척 2</v>
          </cell>
          <cell r="D211" t="str">
            <v>계</v>
          </cell>
          <cell r="M211">
            <v>134</v>
          </cell>
          <cell r="N211">
            <v>135</v>
          </cell>
          <cell r="O211">
            <v>133</v>
          </cell>
          <cell r="P211">
            <v>130</v>
          </cell>
          <cell r="Q211">
            <v>134</v>
          </cell>
          <cell r="R211">
            <v>136</v>
          </cell>
          <cell r="S211">
            <v>107</v>
          </cell>
          <cell r="T211">
            <v>108</v>
          </cell>
          <cell r="U211">
            <v>113</v>
          </cell>
          <cell r="V211">
            <v>117</v>
          </cell>
          <cell r="W211">
            <v>121</v>
          </cell>
          <cell r="X211">
            <v>122</v>
          </cell>
          <cell r="Y211">
            <v>107</v>
          </cell>
          <cell r="Z211">
            <v>108</v>
          </cell>
          <cell r="AA211">
            <v>113</v>
          </cell>
          <cell r="AB211">
            <v>117</v>
          </cell>
          <cell r="AC211">
            <v>121</v>
          </cell>
          <cell r="AD211">
            <v>122</v>
          </cell>
        </row>
        <row r="212">
          <cell r="D212" t="str">
            <v>금성</v>
          </cell>
          <cell r="F212">
            <v>0</v>
          </cell>
          <cell r="H212">
            <v>0.8</v>
          </cell>
          <cell r="I212">
            <v>0.85</v>
          </cell>
          <cell r="J212">
            <v>0.9</v>
          </cell>
          <cell r="K212">
            <v>0.9</v>
          </cell>
          <cell r="L212">
            <v>0.9</v>
          </cell>
          <cell r="M212">
            <v>134</v>
          </cell>
          <cell r="N212">
            <v>135</v>
          </cell>
          <cell r="O212">
            <v>133</v>
          </cell>
          <cell r="P212">
            <v>130</v>
          </cell>
          <cell r="Q212">
            <v>134</v>
          </cell>
          <cell r="R212">
            <v>136</v>
          </cell>
          <cell r="S212">
            <v>107</v>
          </cell>
          <cell r="T212">
            <v>108</v>
          </cell>
          <cell r="U212">
            <v>113</v>
          </cell>
          <cell r="V212">
            <v>117</v>
          </cell>
          <cell r="W212">
            <v>121</v>
          </cell>
          <cell r="X212">
            <v>122</v>
          </cell>
          <cell r="Y212">
            <v>107</v>
          </cell>
          <cell r="Z212">
            <v>108</v>
          </cell>
          <cell r="AA212">
            <v>113</v>
          </cell>
          <cell r="AB212">
            <v>117</v>
          </cell>
          <cell r="AC212">
            <v>121</v>
          </cell>
          <cell r="AD212">
            <v>122</v>
          </cell>
        </row>
        <row r="213">
          <cell r="C213" t="str">
            <v>개척 3</v>
          </cell>
          <cell r="D213" t="str">
            <v>계</v>
          </cell>
          <cell r="E213">
            <v>58542</v>
          </cell>
          <cell r="M213">
            <v>192</v>
          </cell>
          <cell r="N213">
            <v>192</v>
          </cell>
          <cell r="O213">
            <v>189</v>
          </cell>
          <cell r="P213">
            <v>187</v>
          </cell>
          <cell r="Q213">
            <v>192</v>
          </cell>
          <cell r="R213">
            <v>195</v>
          </cell>
          <cell r="S213">
            <v>154</v>
          </cell>
          <cell r="T213">
            <v>154</v>
          </cell>
          <cell r="U213">
            <v>161</v>
          </cell>
          <cell r="V213">
            <v>168</v>
          </cell>
          <cell r="W213">
            <v>173</v>
          </cell>
          <cell r="X213">
            <v>176</v>
          </cell>
          <cell r="Y213">
            <v>154</v>
          </cell>
          <cell r="Z213">
            <v>154</v>
          </cell>
          <cell r="AA213">
            <v>161</v>
          </cell>
          <cell r="AB213">
            <v>168</v>
          </cell>
          <cell r="AC213">
            <v>173</v>
          </cell>
          <cell r="AD213">
            <v>176</v>
          </cell>
        </row>
        <row r="214">
          <cell r="D214" t="str">
            <v>불암</v>
          </cell>
          <cell r="E214">
            <v>39898</v>
          </cell>
          <cell r="F214">
            <v>0</v>
          </cell>
          <cell r="H214">
            <v>0.8</v>
          </cell>
          <cell r="I214">
            <v>0.85</v>
          </cell>
          <cell r="J214">
            <v>0.9</v>
          </cell>
          <cell r="K214">
            <v>0.9</v>
          </cell>
          <cell r="L214">
            <v>0.9</v>
          </cell>
          <cell r="M214">
            <v>131</v>
          </cell>
          <cell r="N214">
            <v>131</v>
          </cell>
          <cell r="O214">
            <v>129</v>
          </cell>
          <cell r="P214">
            <v>127</v>
          </cell>
          <cell r="Q214">
            <v>131</v>
          </cell>
          <cell r="R214">
            <v>133</v>
          </cell>
          <cell r="S214">
            <v>105</v>
          </cell>
          <cell r="T214">
            <v>105</v>
          </cell>
          <cell r="U214">
            <v>110</v>
          </cell>
          <cell r="V214">
            <v>114</v>
          </cell>
          <cell r="W214">
            <v>118</v>
          </cell>
          <cell r="X214">
            <v>120</v>
          </cell>
          <cell r="Y214">
            <v>105</v>
          </cell>
          <cell r="Z214">
            <v>105</v>
          </cell>
          <cell r="AA214">
            <v>110</v>
          </cell>
          <cell r="AB214">
            <v>114</v>
          </cell>
          <cell r="AC214">
            <v>118</v>
          </cell>
          <cell r="AD214">
            <v>120</v>
          </cell>
        </row>
        <row r="215">
          <cell r="D215" t="str">
            <v>개자</v>
          </cell>
          <cell r="E215">
            <v>18644</v>
          </cell>
          <cell r="F215">
            <v>0</v>
          </cell>
          <cell r="H215">
            <v>0.8</v>
          </cell>
          <cell r="I215">
            <v>0.85</v>
          </cell>
          <cell r="J215">
            <v>0.9</v>
          </cell>
          <cell r="K215">
            <v>0.9</v>
          </cell>
          <cell r="L215">
            <v>0.9</v>
          </cell>
          <cell r="M215">
            <v>61</v>
          </cell>
          <cell r="N215">
            <v>61</v>
          </cell>
          <cell r="O215">
            <v>60</v>
          </cell>
          <cell r="P215">
            <v>60</v>
          </cell>
          <cell r="Q215">
            <v>61</v>
          </cell>
          <cell r="R215">
            <v>62</v>
          </cell>
          <cell r="S215">
            <v>49</v>
          </cell>
          <cell r="T215">
            <v>49</v>
          </cell>
          <cell r="U215">
            <v>51</v>
          </cell>
          <cell r="V215">
            <v>54</v>
          </cell>
          <cell r="W215">
            <v>55</v>
          </cell>
          <cell r="X215">
            <v>56</v>
          </cell>
          <cell r="Y215">
            <v>49</v>
          </cell>
          <cell r="Z215">
            <v>49</v>
          </cell>
          <cell r="AA215">
            <v>51</v>
          </cell>
          <cell r="AB215">
            <v>54</v>
          </cell>
          <cell r="AC215">
            <v>55</v>
          </cell>
          <cell r="AD215">
            <v>56</v>
          </cell>
        </row>
        <row r="216">
          <cell r="C216" t="str">
            <v>우곤리</v>
          </cell>
          <cell r="D216" t="str">
            <v>소계</v>
          </cell>
          <cell r="M216">
            <v>697</v>
          </cell>
          <cell r="N216">
            <v>697</v>
          </cell>
          <cell r="O216">
            <v>687</v>
          </cell>
          <cell r="P216">
            <v>680</v>
          </cell>
          <cell r="Q216">
            <v>696</v>
          </cell>
          <cell r="R216">
            <v>709</v>
          </cell>
          <cell r="S216">
            <v>557</v>
          </cell>
          <cell r="T216">
            <v>557</v>
          </cell>
          <cell r="U216">
            <v>584</v>
          </cell>
          <cell r="V216">
            <v>612</v>
          </cell>
          <cell r="W216">
            <v>628</v>
          </cell>
          <cell r="X216">
            <v>637</v>
          </cell>
          <cell r="Y216">
            <v>557</v>
          </cell>
          <cell r="Z216">
            <v>557</v>
          </cell>
          <cell r="AA216">
            <v>584</v>
          </cell>
          <cell r="AB216">
            <v>612</v>
          </cell>
          <cell r="AC216">
            <v>628</v>
          </cell>
          <cell r="AD216">
            <v>637</v>
          </cell>
        </row>
        <row r="217">
          <cell r="C217" t="str">
            <v>우곤 1</v>
          </cell>
          <cell r="D217" t="str">
            <v>계</v>
          </cell>
          <cell r="F217">
            <v>0</v>
          </cell>
          <cell r="H217">
            <v>0.8</v>
          </cell>
          <cell r="I217">
            <v>0.85</v>
          </cell>
          <cell r="J217">
            <v>0.9</v>
          </cell>
          <cell r="K217">
            <v>0.9</v>
          </cell>
          <cell r="L217">
            <v>0.9</v>
          </cell>
          <cell r="M217">
            <v>213</v>
          </cell>
          <cell r="N217">
            <v>213</v>
          </cell>
          <cell r="O217">
            <v>210</v>
          </cell>
          <cell r="P217">
            <v>208</v>
          </cell>
          <cell r="Q217">
            <v>213</v>
          </cell>
          <cell r="R217">
            <v>217</v>
          </cell>
          <cell r="S217">
            <v>170</v>
          </cell>
          <cell r="T217">
            <v>170</v>
          </cell>
          <cell r="U217">
            <v>179</v>
          </cell>
          <cell r="V217">
            <v>187</v>
          </cell>
          <cell r="W217">
            <v>192</v>
          </cell>
          <cell r="X217">
            <v>195</v>
          </cell>
          <cell r="Y217">
            <v>170</v>
          </cell>
          <cell r="Z217">
            <v>170</v>
          </cell>
          <cell r="AA217">
            <v>179</v>
          </cell>
          <cell r="AB217">
            <v>187</v>
          </cell>
          <cell r="AC217">
            <v>192</v>
          </cell>
          <cell r="AD217">
            <v>195</v>
          </cell>
        </row>
        <row r="218">
          <cell r="C218" t="str">
            <v>우곤 2</v>
          </cell>
          <cell r="D218" t="str">
            <v>계</v>
          </cell>
          <cell r="F218">
            <v>0</v>
          </cell>
          <cell r="H218">
            <v>0.8</v>
          </cell>
          <cell r="I218">
            <v>0.85</v>
          </cell>
          <cell r="J218">
            <v>0.9</v>
          </cell>
          <cell r="K218">
            <v>0.9</v>
          </cell>
          <cell r="L218">
            <v>0.9</v>
          </cell>
          <cell r="M218">
            <v>154</v>
          </cell>
          <cell r="N218">
            <v>154</v>
          </cell>
          <cell r="O218">
            <v>152</v>
          </cell>
          <cell r="P218">
            <v>150</v>
          </cell>
          <cell r="Q218">
            <v>154</v>
          </cell>
          <cell r="R218">
            <v>156</v>
          </cell>
          <cell r="S218">
            <v>123</v>
          </cell>
          <cell r="T218">
            <v>123</v>
          </cell>
          <cell r="U218">
            <v>129</v>
          </cell>
          <cell r="V218">
            <v>135</v>
          </cell>
          <cell r="W218">
            <v>139</v>
          </cell>
          <cell r="X218">
            <v>140</v>
          </cell>
          <cell r="Y218">
            <v>123</v>
          </cell>
          <cell r="Z218">
            <v>123</v>
          </cell>
          <cell r="AA218">
            <v>129</v>
          </cell>
          <cell r="AB218">
            <v>135</v>
          </cell>
          <cell r="AC218">
            <v>139</v>
          </cell>
          <cell r="AD218">
            <v>140</v>
          </cell>
        </row>
        <row r="219">
          <cell r="C219" t="str">
            <v>우곤 3</v>
          </cell>
          <cell r="D219" t="str">
            <v>계</v>
          </cell>
          <cell r="F219">
            <v>0</v>
          </cell>
          <cell r="H219">
            <v>0.8</v>
          </cell>
          <cell r="I219">
            <v>0.85</v>
          </cell>
          <cell r="J219">
            <v>0.9</v>
          </cell>
          <cell r="K219">
            <v>0.9</v>
          </cell>
          <cell r="L219">
            <v>0.9</v>
          </cell>
          <cell r="M219">
            <v>115</v>
          </cell>
          <cell r="N219">
            <v>115</v>
          </cell>
          <cell r="O219">
            <v>113</v>
          </cell>
          <cell r="P219">
            <v>112</v>
          </cell>
          <cell r="Q219">
            <v>114</v>
          </cell>
          <cell r="R219">
            <v>117</v>
          </cell>
          <cell r="S219">
            <v>92</v>
          </cell>
          <cell r="T219">
            <v>92</v>
          </cell>
          <cell r="U219">
            <v>96</v>
          </cell>
          <cell r="V219">
            <v>101</v>
          </cell>
          <cell r="W219">
            <v>103</v>
          </cell>
          <cell r="X219">
            <v>105</v>
          </cell>
          <cell r="Y219">
            <v>92</v>
          </cell>
          <cell r="Z219">
            <v>92</v>
          </cell>
          <cell r="AA219">
            <v>96</v>
          </cell>
          <cell r="AB219">
            <v>101</v>
          </cell>
          <cell r="AC219">
            <v>103</v>
          </cell>
          <cell r="AD219">
            <v>105</v>
          </cell>
        </row>
        <row r="220">
          <cell r="C220" t="str">
            <v>우곤 4</v>
          </cell>
          <cell r="D220" t="str">
            <v>계</v>
          </cell>
          <cell r="F220">
            <v>0</v>
          </cell>
          <cell r="H220">
            <v>0.8</v>
          </cell>
          <cell r="I220">
            <v>0.85</v>
          </cell>
          <cell r="J220">
            <v>0.9</v>
          </cell>
          <cell r="K220">
            <v>0.9</v>
          </cell>
          <cell r="L220">
            <v>0.9</v>
          </cell>
          <cell r="M220">
            <v>215</v>
          </cell>
          <cell r="N220">
            <v>215</v>
          </cell>
          <cell r="O220">
            <v>212</v>
          </cell>
          <cell r="P220">
            <v>210</v>
          </cell>
          <cell r="Q220">
            <v>215</v>
          </cell>
          <cell r="R220">
            <v>219</v>
          </cell>
          <cell r="S220">
            <v>172</v>
          </cell>
          <cell r="T220">
            <v>172</v>
          </cell>
          <cell r="U220">
            <v>180</v>
          </cell>
          <cell r="V220">
            <v>189</v>
          </cell>
          <cell r="W220">
            <v>194</v>
          </cell>
          <cell r="X220">
            <v>197</v>
          </cell>
          <cell r="Y220">
            <v>172</v>
          </cell>
          <cell r="Z220">
            <v>172</v>
          </cell>
          <cell r="AA220">
            <v>180</v>
          </cell>
          <cell r="AB220">
            <v>189</v>
          </cell>
          <cell r="AC220">
            <v>194</v>
          </cell>
          <cell r="AD220">
            <v>197</v>
          </cell>
        </row>
        <row r="221">
          <cell r="C221" t="str">
            <v>원남리</v>
          </cell>
          <cell r="D221" t="str">
            <v>소계</v>
          </cell>
          <cell r="M221">
            <v>471</v>
          </cell>
          <cell r="N221">
            <v>471</v>
          </cell>
          <cell r="O221">
            <v>464</v>
          </cell>
          <cell r="P221">
            <v>460</v>
          </cell>
          <cell r="Q221">
            <v>470</v>
          </cell>
          <cell r="R221">
            <v>478</v>
          </cell>
          <cell r="S221">
            <v>377</v>
          </cell>
          <cell r="T221">
            <v>377</v>
          </cell>
          <cell r="U221">
            <v>394</v>
          </cell>
          <cell r="V221">
            <v>414</v>
          </cell>
          <cell r="W221">
            <v>423</v>
          </cell>
          <cell r="X221">
            <v>430</v>
          </cell>
          <cell r="Y221">
            <v>377</v>
          </cell>
          <cell r="Z221">
            <v>377</v>
          </cell>
          <cell r="AA221">
            <v>394</v>
          </cell>
          <cell r="AB221">
            <v>414</v>
          </cell>
          <cell r="AC221">
            <v>423</v>
          </cell>
          <cell r="AD221">
            <v>430</v>
          </cell>
        </row>
        <row r="222">
          <cell r="C222" t="str">
            <v>원남 1</v>
          </cell>
          <cell r="D222" t="str">
            <v>계</v>
          </cell>
          <cell r="M222">
            <v>275</v>
          </cell>
          <cell r="N222">
            <v>275</v>
          </cell>
          <cell r="O222">
            <v>271</v>
          </cell>
          <cell r="P222">
            <v>268</v>
          </cell>
          <cell r="Q222">
            <v>274</v>
          </cell>
          <cell r="R222">
            <v>279</v>
          </cell>
          <cell r="S222">
            <v>220</v>
          </cell>
          <cell r="T222">
            <v>220</v>
          </cell>
          <cell r="U222">
            <v>230</v>
          </cell>
          <cell r="V222">
            <v>241</v>
          </cell>
          <cell r="W222">
            <v>247</v>
          </cell>
          <cell r="X222">
            <v>251</v>
          </cell>
          <cell r="Y222">
            <v>220</v>
          </cell>
          <cell r="Z222">
            <v>220</v>
          </cell>
          <cell r="AA222">
            <v>230</v>
          </cell>
          <cell r="AB222">
            <v>241</v>
          </cell>
          <cell r="AC222">
            <v>247</v>
          </cell>
          <cell r="AD222">
            <v>251</v>
          </cell>
        </row>
        <row r="223">
          <cell r="D223" t="str">
            <v>성디</v>
          </cell>
          <cell r="F223">
            <v>0</v>
          </cell>
          <cell r="H223">
            <v>0.8</v>
          </cell>
          <cell r="I223">
            <v>0.85</v>
          </cell>
          <cell r="J223">
            <v>0.9</v>
          </cell>
          <cell r="K223">
            <v>0.9</v>
          </cell>
          <cell r="L223">
            <v>0.9</v>
          </cell>
          <cell r="M223">
            <v>275</v>
          </cell>
          <cell r="N223">
            <v>275</v>
          </cell>
          <cell r="O223">
            <v>271</v>
          </cell>
          <cell r="P223">
            <v>268</v>
          </cell>
          <cell r="Q223">
            <v>274</v>
          </cell>
          <cell r="R223">
            <v>279</v>
          </cell>
          <cell r="S223">
            <v>220</v>
          </cell>
          <cell r="T223">
            <v>220</v>
          </cell>
          <cell r="U223">
            <v>230</v>
          </cell>
          <cell r="V223">
            <v>241</v>
          </cell>
          <cell r="W223">
            <v>247</v>
          </cell>
          <cell r="X223">
            <v>251</v>
          </cell>
          <cell r="Y223">
            <v>220</v>
          </cell>
          <cell r="Z223">
            <v>220</v>
          </cell>
          <cell r="AA223">
            <v>230</v>
          </cell>
          <cell r="AB223">
            <v>241</v>
          </cell>
          <cell r="AC223">
            <v>247</v>
          </cell>
          <cell r="AD223">
            <v>251</v>
          </cell>
        </row>
        <row r="224">
          <cell r="C224" t="str">
            <v>원남 2</v>
          </cell>
          <cell r="D224" t="str">
            <v>계</v>
          </cell>
          <cell r="M224">
            <v>86</v>
          </cell>
          <cell r="N224">
            <v>86</v>
          </cell>
          <cell r="O224">
            <v>85</v>
          </cell>
          <cell r="P224">
            <v>84</v>
          </cell>
          <cell r="Q224">
            <v>86</v>
          </cell>
          <cell r="R224">
            <v>87</v>
          </cell>
          <cell r="S224">
            <v>69</v>
          </cell>
          <cell r="T224">
            <v>69</v>
          </cell>
          <cell r="U224">
            <v>72</v>
          </cell>
          <cell r="V224">
            <v>76</v>
          </cell>
          <cell r="W224">
            <v>77</v>
          </cell>
          <cell r="X224">
            <v>78</v>
          </cell>
          <cell r="Y224">
            <v>69</v>
          </cell>
          <cell r="Z224">
            <v>69</v>
          </cell>
          <cell r="AA224">
            <v>72</v>
          </cell>
          <cell r="AB224">
            <v>76</v>
          </cell>
          <cell r="AC224">
            <v>77</v>
          </cell>
          <cell r="AD224">
            <v>78</v>
          </cell>
        </row>
        <row r="225">
          <cell r="D225" t="str">
            <v>소죽</v>
          </cell>
          <cell r="F225">
            <v>0</v>
          </cell>
          <cell r="H225">
            <v>0.8</v>
          </cell>
          <cell r="I225">
            <v>0.85</v>
          </cell>
          <cell r="J225">
            <v>0.9</v>
          </cell>
          <cell r="K225">
            <v>0.9</v>
          </cell>
          <cell r="L225">
            <v>0.9</v>
          </cell>
          <cell r="M225">
            <v>86</v>
          </cell>
          <cell r="N225">
            <v>86</v>
          </cell>
          <cell r="O225">
            <v>85</v>
          </cell>
          <cell r="P225">
            <v>84</v>
          </cell>
          <cell r="Q225">
            <v>86</v>
          </cell>
          <cell r="R225">
            <v>87</v>
          </cell>
          <cell r="S225">
            <v>69</v>
          </cell>
          <cell r="T225">
            <v>69</v>
          </cell>
          <cell r="U225">
            <v>72</v>
          </cell>
          <cell r="V225">
            <v>76</v>
          </cell>
          <cell r="W225">
            <v>77</v>
          </cell>
          <cell r="X225">
            <v>78</v>
          </cell>
          <cell r="Y225">
            <v>69</v>
          </cell>
          <cell r="Z225">
            <v>69</v>
          </cell>
          <cell r="AA225">
            <v>72</v>
          </cell>
          <cell r="AB225">
            <v>76</v>
          </cell>
          <cell r="AC225">
            <v>77</v>
          </cell>
          <cell r="AD225">
            <v>78</v>
          </cell>
        </row>
        <row r="226">
          <cell r="C226" t="str">
            <v>원남 3</v>
          </cell>
          <cell r="D226" t="str">
            <v>계</v>
          </cell>
          <cell r="M226">
            <v>110</v>
          </cell>
          <cell r="N226">
            <v>110</v>
          </cell>
          <cell r="O226">
            <v>108</v>
          </cell>
          <cell r="P226">
            <v>108</v>
          </cell>
          <cell r="Q226">
            <v>110</v>
          </cell>
          <cell r="R226">
            <v>112</v>
          </cell>
          <cell r="S226">
            <v>88</v>
          </cell>
          <cell r="T226">
            <v>88</v>
          </cell>
          <cell r="U226">
            <v>92</v>
          </cell>
          <cell r="V226">
            <v>97</v>
          </cell>
          <cell r="W226">
            <v>99</v>
          </cell>
          <cell r="X226">
            <v>101</v>
          </cell>
          <cell r="Y226">
            <v>88</v>
          </cell>
          <cell r="Z226">
            <v>88</v>
          </cell>
          <cell r="AA226">
            <v>92</v>
          </cell>
          <cell r="AB226">
            <v>97</v>
          </cell>
          <cell r="AC226">
            <v>99</v>
          </cell>
          <cell r="AD226">
            <v>101</v>
          </cell>
        </row>
        <row r="227">
          <cell r="D227" t="str">
            <v>대죽</v>
          </cell>
          <cell r="F227">
            <v>0</v>
          </cell>
          <cell r="H227">
            <v>0.8</v>
          </cell>
          <cell r="I227">
            <v>0.85</v>
          </cell>
          <cell r="J227">
            <v>0.9</v>
          </cell>
          <cell r="K227">
            <v>0.9</v>
          </cell>
          <cell r="L227">
            <v>0.9</v>
          </cell>
          <cell r="M227">
            <v>110</v>
          </cell>
          <cell r="N227">
            <v>110</v>
          </cell>
          <cell r="O227">
            <v>108</v>
          </cell>
          <cell r="P227">
            <v>108</v>
          </cell>
          <cell r="Q227">
            <v>110</v>
          </cell>
          <cell r="R227">
            <v>112</v>
          </cell>
          <cell r="S227">
            <v>88</v>
          </cell>
          <cell r="T227">
            <v>88</v>
          </cell>
          <cell r="U227">
            <v>92</v>
          </cell>
          <cell r="V227">
            <v>97</v>
          </cell>
          <cell r="W227">
            <v>99</v>
          </cell>
          <cell r="X227">
            <v>101</v>
          </cell>
          <cell r="Y227">
            <v>88</v>
          </cell>
          <cell r="Z227">
            <v>88</v>
          </cell>
          <cell r="AA227">
            <v>92</v>
          </cell>
          <cell r="AB227">
            <v>97</v>
          </cell>
          <cell r="AC227">
            <v>99</v>
          </cell>
          <cell r="AD227">
            <v>101</v>
          </cell>
        </row>
        <row r="228">
          <cell r="C228" t="str">
            <v>원북리</v>
          </cell>
          <cell r="D228" t="str">
            <v>소계</v>
          </cell>
          <cell r="M228">
            <v>568</v>
          </cell>
          <cell r="N228">
            <v>568</v>
          </cell>
          <cell r="O228">
            <v>560</v>
          </cell>
          <cell r="P228">
            <v>555</v>
          </cell>
          <cell r="Q228">
            <v>568</v>
          </cell>
          <cell r="R228">
            <v>578</v>
          </cell>
          <cell r="S228">
            <v>455</v>
          </cell>
          <cell r="T228">
            <v>455</v>
          </cell>
          <cell r="U228">
            <v>476</v>
          </cell>
          <cell r="V228">
            <v>500</v>
          </cell>
          <cell r="W228">
            <v>511</v>
          </cell>
          <cell r="X228">
            <v>521</v>
          </cell>
          <cell r="Y228">
            <v>455</v>
          </cell>
          <cell r="Z228">
            <v>455</v>
          </cell>
          <cell r="AA228">
            <v>476</v>
          </cell>
          <cell r="AB228">
            <v>500</v>
          </cell>
          <cell r="AC228">
            <v>511</v>
          </cell>
          <cell r="AD228">
            <v>521</v>
          </cell>
        </row>
        <row r="229">
          <cell r="C229" t="str">
            <v>원북 1</v>
          </cell>
          <cell r="D229" t="str">
            <v>계</v>
          </cell>
          <cell r="M229">
            <v>231</v>
          </cell>
          <cell r="N229">
            <v>231</v>
          </cell>
          <cell r="O229">
            <v>228</v>
          </cell>
          <cell r="P229">
            <v>226</v>
          </cell>
          <cell r="Q229">
            <v>231</v>
          </cell>
          <cell r="R229">
            <v>235</v>
          </cell>
          <cell r="S229">
            <v>185</v>
          </cell>
          <cell r="T229">
            <v>185</v>
          </cell>
          <cell r="U229">
            <v>194</v>
          </cell>
          <cell r="V229">
            <v>203</v>
          </cell>
          <cell r="W229">
            <v>208</v>
          </cell>
          <cell r="X229">
            <v>212</v>
          </cell>
          <cell r="Y229">
            <v>185</v>
          </cell>
          <cell r="Z229">
            <v>185</v>
          </cell>
          <cell r="AA229">
            <v>194</v>
          </cell>
          <cell r="AB229">
            <v>203</v>
          </cell>
          <cell r="AC229">
            <v>208</v>
          </cell>
          <cell r="AD229">
            <v>212</v>
          </cell>
        </row>
        <row r="230">
          <cell r="D230" t="str">
            <v>새갈미</v>
          </cell>
          <cell r="F230">
            <v>0</v>
          </cell>
          <cell r="H230">
            <v>0.8</v>
          </cell>
          <cell r="I230">
            <v>0.85</v>
          </cell>
          <cell r="J230">
            <v>0.9</v>
          </cell>
          <cell r="K230">
            <v>0.9</v>
          </cell>
          <cell r="L230">
            <v>0.9</v>
          </cell>
          <cell r="M230">
            <v>231</v>
          </cell>
          <cell r="N230">
            <v>231</v>
          </cell>
          <cell r="O230">
            <v>228</v>
          </cell>
          <cell r="P230">
            <v>226</v>
          </cell>
          <cell r="Q230">
            <v>231</v>
          </cell>
          <cell r="R230">
            <v>235</v>
          </cell>
          <cell r="S230">
            <v>185</v>
          </cell>
          <cell r="T230">
            <v>185</v>
          </cell>
          <cell r="U230">
            <v>194</v>
          </cell>
          <cell r="V230">
            <v>203</v>
          </cell>
          <cell r="W230">
            <v>208</v>
          </cell>
          <cell r="X230">
            <v>212</v>
          </cell>
          <cell r="Y230">
            <v>185</v>
          </cell>
          <cell r="Z230">
            <v>185</v>
          </cell>
          <cell r="AA230">
            <v>194</v>
          </cell>
          <cell r="AB230">
            <v>203</v>
          </cell>
          <cell r="AC230">
            <v>208</v>
          </cell>
          <cell r="AD230">
            <v>212</v>
          </cell>
        </row>
        <row r="231">
          <cell r="C231" t="str">
            <v>원북 2</v>
          </cell>
          <cell r="D231" t="str">
            <v>계</v>
          </cell>
          <cell r="M231">
            <v>176</v>
          </cell>
          <cell r="N231">
            <v>176</v>
          </cell>
          <cell r="O231">
            <v>173</v>
          </cell>
          <cell r="P231">
            <v>172</v>
          </cell>
          <cell r="Q231">
            <v>176</v>
          </cell>
          <cell r="R231">
            <v>179</v>
          </cell>
          <cell r="S231">
            <v>141</v>
          </cell>
          <cell r="T231">
            <v>141</v>
          </cell>
          <cell r="U231">
            <v>147</v>
          </cell>
          <cell r="V231">
            <v>155</v>
          </cell>
          <cell r="W231">
            <v>158</v>
          </cell>
          <cell r="X231">
            <v>161</v>
          </cell>
          <cell r="Y231">
            <v>141</v>
          </cell>
          <cell r="Z231">
            <v>141</v>
          </cell>
          <cell r="AA231">
            <v>147</v>
          </cell>
          <cell r="AB231">
            <v>155</v>
          </cell>
          <cell r="AC231">
            <v>158</v>
          </cell>
          <cell r="AD231">
            <v>161</v>
          </cell>
        </row>
        <row r="232">
          <cell r="D232" t="str">
            <v>장구매</v>
          </cell>
          <cell r="F232">
            <v>0</v>
          </cell>
          <cell r="H232">
            <v>0.8</v>
          </cell>
          <cell r="I232">
            <v>0.85</v>
          </cell>
          <cell r="J232">
            <v>0.9</v>
          </cell>
          <cell r="K232">
            <v>0.9</v>
          </cell>
          <cell r="L232">
            <v>0.9</v>
          </cell>
          <cell r="M232">
            <v>176</v>
          </cell>
          <cell r="N232">
            <v>176</v>
          </cell>
          <cell r="O232">
            <v>173</v>
          </cell>
          <cell r="P232">
            <v>172</v>
          </cell>
          <cell r="Q232">
            <v>176</v>
          </cell>
          <cell r="R232">
            <v>179</v>
          </cell>
          <cell r="S232">
            <v>141</v>
          </cell>
          <cell r="T232">
            <v>141</v>
          </cell>
          <cell r="U232">
            <v>147</v>
          </cell>
          <cell r="V232">
            <v>155</v>
          </cell>
          <cell r="W232">
            <v>158</v>
          </cell>
          <cell r="X232">
            <v>161</v>
          </cell>
          <cell r="Y232">
            <v>141</v>
          </cell>
          <cell r="Z232">
            <v>141</v>
          </cell>
          <cell r="AA232">
            <v>147</v>
          </cell>
          <cell r="AB232">
            <v>155</v>
          </cell>
          <cell r="AC232">
            <v>158</v>
          </cell>
          <cell r="AD232">
            <v>161</v>
          </cell>
        </row>
        <row r="233">
          <cell r="C233" t="str">
            <v>원북 3</v>
          </cell>
          <cell r="D233" t="str">
            <v>계</v>
          </cell>
          <cell r="E233">
            <v>78738</v>
          </cell>
          <cell r="M233">
            <v>161</v>
          </cell>
          <cell r="N233">
            <v>161</v>
          </cell>
          <cell r="O233">
            <v>159</v>
          </cell>
          <cell r="P233">
            <v>157</v>
          </cell>
          <cell r="Q233">
            <v>161</v>
          </cell>
          <cell r="R233">
            <v>164</v>
          </cell>
          <cell r="S233">
            <v>129</v>
          </cell>
          <cell r="T233">
            <v>129</v>
          </cell>
          <cell r="U233">
            <v>135</v>
          </cell>
          <cell r="V233">
            <v>142</v>
          </cell>
          <cell r="W233">
            <v>145</v>
          </cell>
          <cell r="X233">
            <v>148</v>
          </cell>
          <cell r="Y233">
            <v>129</v>
          </cell>
          <cell r="Z233">
            <v>129</v>
          </cell>
          <cell r="AA233">
            <v>135</v>
          </cell>
          <cell r="AB233">
            <v>142</v>
          </cell>
          <cell r="AC233">
            <v>145</v>
          </cell>
          <cell r="AD233">
            <v>148</v>
          </cell>
        </row>
        <row r="234">
          <cell r="D234" t="str">
            <v>장뚝굴</v>
          </cell>
          <cell r="E234">
            <v>29546</v>
          </cell>
          <cell r="F234">
            <v>0</v>
          </cell>
          <cell r="H234">
            <v>0.8</v>
          </cell>
          <cell r="I234">
            <v>0.85</v>
          </cell>
          <cell r="J234">
            <v>0.9</v>
          </cell>
          <cell r="K234">
            <v>0.9</v>
          </cell>
          <cell r="L234">
            <v>0.9</v>
          </cell>
          <cell r="M234">
            <v>60</v>
          </cell>
          <cell r="N234">
            <v>60</v>
          </cell>
          <cell r="O234">
            <v>60</v>
          </cell>
          <cell r="P234">
            <v>59</v>
          </cell>
          <cell r="Q234">
            <v>60</v>
          </cell>
          <cell r="R234">
            <v>62</v>
          </cell>
          <cell r="S234">
            <v>48</v>
          </cell>
          <cell r="T234">
            <v>48</v>
          </cell>
          <cell r="U234">
            <v>51</v>
          </cell>
          <cell r="V234">
            <v>53</v>
          </cell>
          <cell r="W234">
            <v>54</v>
          </cell>
          <cell r="X234">
            <v>56</v>
          </cell>
          <cell r="Y234">
            <v>48</v>
          </cell>
          <cell r="Z234">
            <v>48</v>
          </cell>
          <cell r="AA234">
            <v>51</v>
          </cell>
          <cell r="AB234">
            <v>53</v>
          </cell>
          <cell r="AC234">
            <v>54</v>
          </cell>
          <cell r="AD234">
            <v>56</v>
          </cell>
        </row>
        <row r="235">
          <cell r="D235" t="str">
            <v>양지뜸</v>
          </cell>
          <cell r="E235">
            <v>22600</v>
          </cell>
          <cell r="F235">
            <v>0</v>
          </cell>
          <cell r="H235">
            <v>0.8</v>
          </cell>
          <cell r="I235">
            <v>0.85</v>
          </cell>
          <cell r="J235">
            <v>0.9</v>
          </cell>
          <cell r="K235">
            <v>0.9</v>
          </cell>
          <cell r="L235">
            <v>0.9</v>
          </cell>
          <cell r="M235">
            <v>46</v>
          </cell>
          <cell r="N235">
            <v>46</v>
          </cell>
          <cell r="O235">
            <v>46</v>
          </cell>
          <cell r="P235">
            <v>45</v>
          </cell>
          <cell r="Q235">
            <v>46</v>
          </cell>
          <cell r="R235">
            <v>47</v>
          </cell>
          <cell r="S235">
            <v>37</v>
          </cell>
          <cell r="T235">
            <v>37</v>
          </cell>
          <cell r="U235">
            <v>39</v>
          </cell>
          <cell r="V235">
            <v>41</v>
          </cell>
          <cell r="W235">
            <v>41</v>
          </cell>
          <cell r="X235">
            <v>42</v>
          </cell>
          <cell r="Y235">
            <v>37</v>
          </cell>
          <cell r="Z235">
            <v>37</v>
          </cell>
          <cell r="AA235">
            <v>39</v>
          </cell>
          <cell r="AB235">
            <v>41</v>
          </cell>
          <cell r="AC235">
            <v>41</v>
          </cell>
          <cell r="AD235">
            <v>42</v>
          </cell>
        </row>
        <row r="236">
          <cell r="D236" t="str">
            <v>음지뜸</v>
          </cell>
          <cell r="E236">
            <v>26592</v>
          </cell>
          <cell r="F236">
            <v>0</v>
          </cell>
          <cell r="H236">
            <v>0.8</v>
          </cell>
          <cell r="I236">
            <v>0.85</v>
          </cell>
          <cell r="J236">
            <v>0.9</v>
          </cell>
          <cell r="K236">
            <v>0.9</v>
          </cell>
          <cell r="L236">
            <v>0.9</v>
          </cell>
          <cell r="M236">
            <v>55</v>
          </cell>
          <cell r="N236">
            <v>55</v>
          </cell>
          <cell r="O236">
            <v>53</v>
          </cell>
          <cell r="P236">
            <v>53</v>
          </cell>
          <cell r="Q236">
            <v>55</v>
          </cell>
          <cell r="R236">
            <v>55</v>
          </cell>
          <cell r="S236">
            <v>44</v>
          </cell>
          <cell r="T236">
            <v>44</v>
          </cell>
          <cell r="U236">
            <v>45</v>
          </cell>
          <cell r="V236">
            <v>48</v>
          </cell>
          <cell r="W236">
            <v>50</v>
          </cell>
          <cell r="X236">
            <v>50</v>
          </cell>
          <cell r="Y236">
            <v>44</v>
          </cell>
          <cell r="Z236">
            <v>44</v>
          </cell>
          <cell r="AA236">
            <v>45</v>
          </cell>
          <cell r="AB236">
            <v>48</v>
          </cell>
          <cell r="AC236">
            <v>50</v>
          </cell>
          <cell r="AD236">
            <v>50</v>
          </cell>
        </row>
        <row r="237">
          <cell r="C237" t="str">
            <v>정지리</v>
          </cell>
          <cell r="D237" t="str">
            <v>소계</v>
          </cell>
          <cell r="M237">
            <v>751</v>
          </cell>
          <cell r="N237">
            <v>752</v>
          </cell>
          <cell r="O237">
            <v>741</v>
          </cell>
          <cell r="P237">
            <v>733</v>
          </cell>
          <cell r="Q237">
            <v>750</v>
          </cell>
          <cell r="R237">
            <v>764</v>
          </cell>
          <cell r="S237">
            <v>600</v>
          </cell>
          <cell r="T237">
            <v>601</v>
          </cell>
          <cell r="U237">
            <v>630</v>
          </cell>
          <cell r="V237">
            <v>660</v>
          </cell>
          <cell r="W237">
            <v>675</v>
          </cell>
          <cell r="X237">
            <v>689</v>
          </cell>
          <cell r="Y237">
            <v>600</v>
          </cell>
          <cell r="Z237">
            <v>601</v>
          </cell>
          <cell r="AA237">
            <v>630</v>
          </cell>
          <cell r="AB237">
            <v>660</v>
          </cell>
          <cell r="AC237">
            <v>675</v>
          </cell>
          <cell r="AD237">
            <v>689</v>
          </cell>
        </row>
        <row r="238">
          <cell r="C238" t="str">
            <v>정지 1</v>
          </cell>
          <cell r="D238" t="str">
            <v>계</v>
          </cell>
          <cell r="F238">
            <v>0</v>
          </cell>
          <cell r="H238">
            <v>0.8</v>
          </cell>
          <cell r="I238">
            <v>0.85</v>
          </cell>
          <cell r="J238">
            <v>0.9</v>
          </cell>
          <cell r="K238">
            <v>0.9</v>
          </cell>
          <cell r="L238">
            <v>0.9</v>
          </cell>
          <cell r="M238">
            <v>259</v>
          </cell>
          <cell r="N238">
            <v>259</v>
          </cell>
          <cell r="O238">
            <v>255</v>
          </cell>
          <cell r="P238">
            <v>253</v>
          </cell>
          <cell r="Q238">
            <v>259</v>
          </cell>
          <cell r="R238">
            <v>263</v>
          </cell>
          <cell r="S238">
            <v>207</v>
          </cell>
          <cell r="T238">
            <v>207</v>
          </cell>
          <cell r="U238">
            <v>217</v>
          </cell>
          <cell r="V238">
            <v>228</v>
          </cell>
          <cell r="W238">
            <v>233</v>
          </cell>
          <cell r="X238">
            <v>237</v>
          </cell>
          <cell r="Y238">
            <v>207</v>
          </cell>
          <cell r="Z238">
            <v>207</v>
          </cell>
          <cell r="AA238">
            <v>217</v>
          </cell>
          <cell r="AB238">
            <v>228</v>
          </cell>
          <cell r="AC238">
            <v>233</v>
          </cell>
          <cell r="AD238">
            <v>237</v>
          </cell>
        </row>
        <row r="239">
          <cell r="C239" t="str">
            <v>정지 2</v>
          </cell>
          <cell r="D239" t="str">
            <v>계</v>
          </cell>
          <cell r="F239">
            <v>0</v>
          </cell>
          <cell r="H239">
            <v>0.8</v>
          </cell>
          <cell r="I239">
            <v>0.85</v>
          </cell>
          <cell r="J239">
            <v>0.9</v>
          </cell>
          <cell r="K239">
            <v>0.9</v>
          </cell>
          <cell r="L239">
            <v>0.9</v>
          </cell>
          <cell r="M239">
            <v>160</v>
          </cell>
          <cell r="N239">
            <v>160</v>
          </cell>
          <cell r="O239">
            <v>158</v>
          </cell>
          <cell r="P239">
            <v>156</v>
          </cell>
          <cell r="Q239">
            <v>160</v>
          </cell>
          <cell r="R239">
            <v>163</v>
          </cell>
          <cell r="S239">
            <v>128</v>
          </cell>
          <cell r="T239">
            <v>128</v>
          </cell>
          <cell r="U239">
            <v>134</v>
          </cell>
          <cell r="V239">
            <v>140</v>
          </cell>
          <cell r="W239">
            <v>144</v>
          </cell>
          <cell r="X239">
            <v>147</v>
          </cell>
          <cell r="Y239">
            <v>128</v>
          </cell>
          <cell r="Z239">
            <v>128</v>
          </cell>
          <cell r="AA239">
            <v>134</v>
          </cell>
          <cell r="AB239">
            <v>140</v>
          </cell>
          <cell r="AC239">
            <v>144</v>
          </cell>
          <cell r="AD239">
            <v>147</v>
          </cell>
        </row>
        <row r="240">
          <cell r="C240" t="str">
            <v>정지 3</v>
          </cell>
          <cell r="D240" t="str">
            <v>계</v>
          </cell>
          <cell r="F240">
            <v>0</v>
          </cell>
          <cell r="H240">
            <v>0.8</v>
          </cell>
          <cell r="I240">
            <v>0.85</v>
          </cell>
          <cell r="J240">
            <v>0.9</v>
          </cell>
          <cell r="K240">
            <v>0.9</v>
          </cell>
          <cell r="L240">
            <v>0.9</v>
          </cell>
          <cell r="M240">
            <v>199</v>
          </cell>
          <cell r="N240">
            <v>199</v>
          </cell>
          <cell r="O240">
            <v>196</v>
          </cell>
          <cell r="P240">
            <v>195</v>
          </cell>
          <cell r="Q240">
            <v>199</v>
          </cell>
          <cell r="R240">
            <v>203</v>
          </cell>
          <cell r="S240">
            <v>159</v>
          </cell>
          <cell r="T240">
            <v>159</v>
          </cell>
          <cell r="U240">
            <v>167</v>
          </cell>
          <cell r="V240">
            <v>176</v>
          </cell>
          <cell r="W240">
            <v>179</v>
          </cell>
          <cell r="X240">
            <v>183</v>
          </cell>
          <cell r="Y240">
            <v>159</v>
          </cell>
          <cell r="Z240">
            <v>159</v>
          </cell>
          <cell r="AA240">
            <v>167</v>
          </cell>
          <cell r="AB240">
            <v>176</v>
          </cell>
          <cell r="AC240">
            <v>179</v>
          </cell>
          <cell r="AD240">
            <v>183</v>
          </cell>
        </row>
        <row r="241">
          <cell r="C241" t="str">
            <v>정지 4</v>
          </cell>
          <cell r="D241" t="str">
            <v>계</v>
          </cell>
          <cell r="F241">
            <v>0</v>
          </cell>
          <cell r="H241">
            <v>0.8</v>
          </cell>
          <cell r="I241">
            <v>0.85</v>
          </cell>
          <cell r="J241">
            <v>0.9</v>
          </cell>
          <cell r="K241">
            <v>0.9</v>
          </cell>
          <cell r="L241">
            <v>0.9</v>
          </cell>
          <cell r="M241">
            <v>133</v>
          </cell>
          <cell r="N241">
            <v>134</v>
          </cell>
          <cell r="O241">
            <v>132</v>
          </cell>
          <cell r="P241">
            <v>129</v>
          </cell>
          <cell r="Q241">
            <v>132</v>
          </cell>
          <cell r="R241">
            <v>135</v>
          </cell>
          <cell r="S241">
            <v>106</v>
          </cell>
          <cell r="T241">
            <v>107</v>
          </cell>
          <cell r="U241">
            <v>112</v>
          </cell>
          <cell r="V241">
            <v>116</v>
          </cell>
          <cell r="W241">
            <v>119</v>
          </cell>
          <cell r="X241">
            <v>122</v>
          </cell>
          <cell r="Y241">
            <v>106</v>
          </cell>
          <cell r="Z241">
            <v>107</v>
          </cell>
          <cell r="AA241">
            <v>112</v>
          </cell>
          <cell r="AB241">
            <v>116</v>
          </cell>
          <cell r="AC241">
            <v>119</v>
          </cell>
          <cell r="AD241">
            <v>122</v>
          </cell>
        </row>
        <row r="242">
          <cell r="C242" t="str">
            <v>원봉리</v>
          </cell>
          <cell r="D242" t="str">
            <v>소계</v>
          </cell>
          <cell r="M242">
            <v>698</v>
          </cell>
          <cell r="N242">
            <v>699</v>
          </cell>
          <cell r="O242">
            <v>688</v>
          </cell>
          <cell r="P242">
            <v>682</v>
          </cell>
          <cell r="Q242">
            <v>697</v>
          </cell>
          <cell r="R242">
            <v>710</v>
          </cell>
          <cell r="S242">
            <v>557</v>
          </cell>
          <cell r="T242">
            <v>558</v>
          </cell>
          <cell r="U242">
            <v>585</v>
          </cell>
          <cell r="V242">
            <v>615</v>
          </cell>
          <cell r="W242">
            <v>627</v>
          </cell>
          <cell r="X242">
            <v>640</v>
          </cell>
          <cell r="Y242">
            <v>557</v>
          </cell>
          <cell r="Z242">
            <v>558</v>
          </cell>
          <cell r="AA242">
            <v>585</v>
          </cell>
          <cell r="AB242">
            <v>615</v>
          </cell>
          <cell r="AC242">
            <v>627</v>
          </cell>
          <cell r="AD242">
            <v>640</v>
          </cell>
        </row>
        <row r="243">
          <cell r="C243" t="str">
            <v>원봉 1</v>
          </cell>
          <cell r="D243" t="str">
            <v>계</v>
          </cell>
          <cell r="M243">
            <v>153</v>
          </cell>
          <cell r="N243">
            <v>153</v>
          </cell>
          <cell r="O243">
            <v>151</v>
          </cell>
          <cell r="P243">
            <v>149</v>
          </cell>
          <cell r="Q243">
            <v>153</v>
          </cell>
          <cell r="R243">
            <v>155</v>
          </cell>
          <cell r="S243">
            <v>122</v>
          </cell>
          <cell r="T243">
            <v>122</v>
          </cell>
          <cell r="U243">
            <v>128</v>
          </cell>
          <cell r="V243">
            <v>134</v>
          </cell>
          <cell r="W243">
            <v>138</v>
          </cell>
          <cell r="X243">
            <v>140</v>
          </cell>
          <cell r="Y243">
            <v>122</v>
          </cell>
          <cell r="Z243">
            <v>122</v>
          </cell>
          <cell r="AA243">
            <v>128</v>
          </cell>
          <cell r="AB243">
            <v>134</v>
          </cell>
          <cell r="AC243">
            <v>138</v>
          </cell>
          <cell r="AD243">
            <v>140</v>
          </cell>
        </row>
        <row r="244">
          <cell r="D244" t="str">
            <v>대매</v>
          </cell>
          <cell r="F244">
            <v>0</v>
          </cell>
          <cell r="H244">
            <v>0.8</v>
          </cell>
          <cell r="I244">
            <v>0.85</v>
          </cell>
          <cell r="J244">
            <v>0.9</v>
          </cell>
          <cell r="K244">
            <v>0.9</v>
          </cell>
          <cell r="L244">
            <v>0.9</v>
          </cell>
          <cell r="M244">
            <v>153</v>
          </cell>
          <cell r="N244">
            <v>153</v>
          </cell>
          <cell r="O244">
            <v>151</v>
          </cell>
          <cell r="P244">
            <v>149</v>
          </cell>
          <cell r="Q244">
            <v>153</v>
          </cell>
          <cell r="R244">
            <v>155</v>
          </cell>
          <cell r="S244">
            <v>122</v>
          </cell>
          <cell r="T244">
            <v>122</v>
          </cell>
          <cell r="U244">
            <v>128</v>
          </cell>
          <cell r="V244">
            <v>134</v>
          </cell>
          <cell r="W244">
            <v>138</v>
          </cell>
          <cell r="X244">
            <v>140</v>
          </cell>
          <cell r="Y244">
            <v>122</v>
          </cell>
          <cell r="Z244">
            <v>122</v>
          </cell>
          <cell r="AA244">
            <v>128</v>
          </cell>
          <cell r="AB244">
            <v>134</v>
          </cell>
          <cell r="AC244">
            <v>138</v>
          </cell>
          <cell r="AD244">
            <v>140</v>
          </cell>
        </row>
        <row r="245">
          <cell r="C245" t="str">
            <v>원봉 2</v>
          </cell>
          <cell r="D245" t="str">
            <v>계</v>
          </cell>
          <cell r="M245">
            <v>168</v>
          </cell>
          <cell r="N245">
            <v>169</v>
          </cell>
          <cell r="O245">
            <v>166</v>
          </cell>
          <cell r="P245">
            <v>164</v>
          </cell>
          <cell r="Q245">
            <v>167</v>
          </cell>
          <cell r="R245">
            <v>171</v>
          </cell>
          <cell r="S245">
            <v>134</v>
          </cell>
          <cell r="T245">
            <v>135</v>
          </cell>
          <cell r="U245">
            <v>141</v>
          </cell>
          <cell r="V245">
            <v>148</v>
          </cell>
          <cell r="W245">
            <v>150</v>
          </cell>
          <cell r="X245">
            <v>154</v>
          </cell>
          <cell r="Y245">
            <v>134</v>
          </cell>
          <cell r="Z245">
            <v>135</v>
          </cell>
          <cell r="AA245">
            <v>141</v>
          </cell>
          <cell r="AB245">
            <v>148</v>
          </cell>
          <cell r="AC245">
            <v>150</v>
          </cell>
          <cell r="AD245">
            <v>154</v>
          </cell>
        </row>
        <row r="246">
          <cell r="D246" t="str">
            <v>선돌</v>
          </cell>
          <cell r="F246">
            <v>0</v>
          </cell>
          <cell r="H246">
            <v>0.8</v>
          </cell>
          <cell r="I246">
            <v>0.85</v>
          </cell>
          <cell r="J246">
            <v>0.9</v>
          </cell>
          <cell r="K246">
            <v>0.9</v>
          </cell>
          <cell r="L246">
            <v>0.9</v>
          </cell>
          <cell r="M246">
            <v>168</v>
          </cell>
          <cell r="N246">
            <v>169</v>
          </cell>
          <cell r="O246">
            <v>166</v>
          </cell>
          <cell r="P246">
            <v>164</v>
          </cell>
          <cell r="Q246">
            <v>167</v>
          </cell>
          <cell r="R246">
            <v>171</v>
          </cell>
          <cell r="S246">
            <v>134</v>
          </cell>
          <cell r="T246">
            <v>135</v>
          </cell>
          <cell r="U246">
            <v>141</v>
          </cell>
          <cell r="V246">
            <v>148</v>
          </cell>
          <cell r="W246">
            <v>150</v>
          </cell>
          <cell r="X246">
            <v>154</v>
          </cell>
          <cell r="Y246">
            <v>134</v>
          </cell>
          <cell r="Z246">
            <v>135</v>
          </cell>
          <cell r="AA246">
            <v>141</v>
          </cell>
          <cell r="AB246">
            <v>148</v>
          </cell>
          <cell r="AC246">
            <v>150</v>
          </cell>
          <cell r="AD246">
            <v>154</v>
          </cell>
        </row>
        <row r="247">
          <cell r="C247" t="str">
            <v>원봉 3</v>
          </cell>
          <cell r="D247" t="str">
            <v>계</v>
          </cell>
          <cell r="M247">
            <v>199</v>
          </cell>
          <cell r="N247">
            <v>199</v>
          </cell>
          <cell r="O247">
            <v>196</v>
          </cell>
          <cell r="P247">
            <v>195</v>
          </cell>
          <cell r="Q247">
            <v>199</v>
          </cell>
          <cell r="R247">
            <v>203</v>
          </cell>
          <cell r="S247">
            <v>159</v>
          </cell>
          <cell r="T247">
            <v>159</v>
          </cell>
          <cell r="U247">
            <v>167</v>
          </cell>
          <cell r="V247">
            <v>176</v>
          </cell>
          <cell r="W247">
            <v>179</v>
          </cell>
          <cell r="X247">
            <v>183</v>
          </cell>
          <cell r="Y247">
            <v>159</v>
          </cell>
          <cell r="Z247">
            <v>159</v>
          </cell>
          <cell r="AA247">
            <v>167</v>
          </cell>
          <cell r="AB247">
            <v>176</v>
          </cell>
          <cell r="AC247">
            <v>179</v>
          </cell>
          <cell r="AD247">
            <v>183</v>
          </cell>
        </row>
        <row r="248">
          <cell r="D248" t="str">
            <v>증지</v>
          </cell>
          <cell r="F248">
            <v>0</v>
          </cell>
          <cell r="H248">
            <v>0.8</v>
          </cell>
          <cell r="I248">
            <v>0.85</v>
          </cell>
          <cell r="J248">
            <v>0.9</v>
          </cell>
          <cell r="K248">
            <v>0.9</v>
          </cell>
          <cell r="L248">
            <v>0.9</v>
          </cell>
          <cell r="M248">
            <v>199</v>
          </cell>
          <cell r="N248">
            <v>199</v>
          </cell>
          <cell r="O248">
            <v>196</v>
          </cell>
          <cell r="P248">
            <v>195</v>
          </cell>
          <cell r="Q248">
            <v>199</v>
          </cell>
          <cell r="R248">
            <v>203</v>
          </cell>
          <cell r="S248">
            <v>159</v>
          </cell>
          <cell r="T248">
            <v>159</v>
          </cell>
          <cell r="U248">
            <v>167</v>
          </cell>
          <cell r="V248">
            <v>176</v>
          </cell>
          <cell r="W248">
            <v>179</v>
          </cell>
          <cell r="X248">
            <v>183</v>
          </cell>
          <cell r="Y248">
            <v>159</v>
          </cell>
          <cell r="Z248">
            <v>159</v>
          </cell>
          <cell r="AA248">
            <v>167</v>
          </cell>
          <cell r="AB248">
            <v>176</v>
          </cell>
          <cell r="AC248">
            <v>179</v>
          </cell>
          <cell r="AD248">
            <v>183</v>
          </cell>
        </row>
        <row r="249">
          <cell r="C249" t="str">
            <v>원봉 4</v>
          </cell>
          <cell r="D249" t="str">
            <v>계</v>
          </cell>
          <cell r="M249">
            <v>178</v>
          </cell>
          <cell r="N249">
            <v>178</v>
          </cell>
          <cell r="O249">
            <v>175</v>
          </cell>
          <cell r="P249">
            <v>174</v>
          </cell>
          <cell r="Q249">
            <v>178</v>
          </cell>
          <cell r="R249">
            <v>181</v>
          </cell>
          <cell r="S249">
            <v>142</v>
          </cell>
          <cell r="T249">
            <v>142</v>
          </cell>
          <cell r="U249">
            <v>149</v>
          </cell>
          <cell r="V249">
            <v>157</v>
          </cell>
          <cell r="W249">
            <v>160</v>
          </cell>
          <cell r="X249">
            <v>163</v>
          </cell>
          <cell r="Y249">
            <v>142</v>
          </cell>
          <cell r="Z249">
            <v>142</v>
          </cell>
          <cell r="AA249">
            <v>149</v>
          </cell>
          <cell r="AB249">
            <v>157</v>
          </cell>
          <cell r="AC249">
            <v>160</v>
          </cell>
          <cell r="AD249">
            <v>163</v>
          </cell>
        </row>
        <row r="250">
          <cell r="D250" t="str">
            <v>골말</v>
          </cell>
          <cell r="F250">
            <v>0</v>
          </cell>
          <cell r="H250">
            <v>0.8</v>
          </cell>
          <cell r="I250">
            <v>0.85</v>
          </cell>
          <cell r="J250">
            <v>0.9</v>
          </cell>
          <cell r="K250">
            <v>0.9</v>
          </cell>
          <cell r="L250">
            <v>0.9</v>
          </cell>
          <cell r="M250">
            <v>178</v>
          </cell>
          <cell r="N250">
            <v>178</v>
          </cell>
          <cell r="O250">
            <v>175</v>
          </cell>
          <cell r="P250">
            <v>174</v>
          </cell>
          <cell r="Q250">
            <v>178</v>
          </cell>
          <cell r="R250">
            <v>181</v>
          </cell>
          <cell r="S250">
            <v>142</v>
          </cell>
          <cell r="T250">
            <v>142</v>
          </cell>
          <cell r="U250">
            <v>149</v>
          </cell>
          <cell r="V250">
            <v>157</v>
          </cell>
          <cell r="W250">
            <v>160</v>
          </cell>
          <cell r="X250">
            <v>163</v>
          </cell>
          <cell r="Y250">
            <v>142</v>
          </cell>
          <cell r="Z250">
            <v>142</v>
          </cell>
          <cell r="AA250">
            <v>149</v>
          </cell>
          <cell r="AB250">
            <v>157</v>
          </cell>
          <cell r="AC250">
            <v>160</v>
          </cell>
          <cell r="AD250">
            <v>163</v>
          </cell>
        </row>
        <row r="251">
          <cell r="C251" t="str">
            <v>화정리-</v>
          </cell>
          <cell r="D251" t="str">
            <v>소계</v>
          </cell>
          <cell r="M251">
            <v>334</v>
          </cell>
          <cell r="N251">
            <v>334</v>
          </cell>
          <cell r="O251">
            <v>329</v>
          </cell>
          <cell r="P251">
            <v>326</v>
          </cell>
          <cell r="Q251">
            <v>333</v>
          </cell>
          <cell r="R251">
            <v>340</v>
          </cell>
          <cell r="S251">
            <v>118</v>
          </cell>
          <cell r="T251">
            <v>274</v>
          </cell>
          <cell r="U251">
            <v>280</v>
          </cell>
          <cell r="V251">
            <v>294</v>
          </cell>
          <cell r="W251">
            <v>300</v>
          </cell>
          <cell r="X251">
            <v>306</v>
          </cell>
          <cell r="Y251">
            <v>118</v>
          </cell>
          <cell r="Z251">
            <v>274</v>
          </cell>
          <cell r="AA251">
            <v>280</v>
          </cell>
          <cell r="AB251">
            <v>294</v>
          </cell>
          <cell r="AC251">
            <v>300</v>
          </cell>
          <cell r="AD251">
            <v>306</v>
          </cell>
        </row>
        <row r="252">
          <cell r="C252" t="str">
            <v>화정- 1</v>
          </cell>
          <cell r="D252" t="str">
            <v>계</v>
          </cell>
          <cell r="E252">
            <v>123145</v>
          </cell>
          <cell r="M252">
            <v>186</v>
          </cell>
          <cell r="N252">
            <v>186</v>
          </cell>
          <cell r="O252">
            <v>183</v>
          </cell>
          <cell r="P252">
            <v>181</v>
          </cell>
          <cell r="Q252">
            <v>185</v>
          </cell>
          <cell r="R252">
            <v>189</v>
          </cell>
          <cell r="S252">
            <v>0</v>
          </cell>
          <cell r="T252">
            <v>156</v>
          </cell>
          <cell r="U252">
            <v>156</v>
          </cell>
          <cell r="V252">
            <v>163</v>
          </cell>
          <cell r="W252">
            <v>167</v>
          </cell>
          <cell r="X252">
            <v>170</v>
          </cell>
          <cell r="Y252">
            <v>0</v>
          </cell>
          <cell r="Z252">
            <v>156</v>
          </cell>
          <cell r="AA252">
            <v>156</v>
          </cell>
          <cell r="AB252">
            <v>163</v>
          </cell>
          <cell r="AC252">
            <v>167</v>
          </cell>
          <cell r="AD252">
            <v>170</v>
          </cell>
        </row>
        <row r="253">
          <cell r="D253" t="str">
            <v>화정</v>
          </cell>
          <cell r="E253">
            <v>76061</v>
          </cell>
          <cell r="F253">
            <v>1</v>
          </cell>
          <cell r="H253">
            <v>0.8</v>
          </cell>
          <cell r="I253">
            <v>0.85</v>
          </cell>
          <cell r="J253">
            <v>0.9</v>
          </cell>
          <cell r="K253">
            <v>0.9</v>
          </cell>
          <cell r="L253">
            <v>0.9</v>
          </cell>
          <cell r="M253">
            <v>115</v>
          </cell>
          <cell r="N253">
            <v>115</v>
          </cell>
          <cell r="O253">
            <v>113</v>
          </cell>
          <cell r="P253">
            <v>112</v>
          </cell>
          <cell r="Q253">
            <v>114</v>
          </cell>
          <cell r="R253">
            <v>117</v>
          </cell>
          <cell r="S253">
            <v>0</v>
          </cell>
          <cell r="T253">
            <v>96</v>
          </cell>
          <cell r="U253">
            <v>96</v>
          </cell>
          <cell r="V253">
            <v>101</v>
          </cell>
          <cell r="W253">
            <v>103</v>
          </cell>
          <cell r="X253">
            <v>105</v>
          </cell>
          <cell r="Y253">
            <v>0</v>
          </cell>
          <cell r="Z253">
            <v>96</v>
          </cell>
          <cell r="AA253">
            <v>96</v>
          </cell>
          <cell r="AB253">
            <v>101</v>
          </cell>
          <cell r="AC253">
            <v>103</v>
          </cell>
          <cell r="AD253">
            <v>105</v>
          </cell>
        </row>
        <row r="254">
          <cell r="D254" t="str">
            <v>중리</v>
          </cell>
          <cell r="E254">
            <v>47084</v>
          </cell>
          <cell r="F254">
            <v>1</v>
          </cell>
          <cell r="H254">
            <v>0.8</v>
          </cell>
          <cell r="I254">
            <v>0.85</v>
          </cell>
          <cell r="J254">
            <v>0.9</v>
          </cell>
          <cell r="K254">
            <v>0.9</v>
          </cell>
          <cell r="L254">
            <v>0.9</v>
          </cell>
          <cell r="M254">
            <v>71</v>
          </cell>
          <cell r="N254">
            <v>71</v>
          </cell>
          <cell r="O254">
            <v>70</v>
          </cell>
          <cell r="P254">
            <v>69</v>
          </cell>
          <cell r="Q254">
            <v>71</v>
          </cell>
          <cell r="R254">
            <v>72</v>
          </cell>
          <cell r="S254">
            <v>0</v>
          </cell>
          <cell r="T254">
            <v>60</v>
          </cell>
          <cell r="U254">
            <v>60</v>
          </cell>
          <cell r="V254">
            <v>62</v>
          </cell>
          <cell r="W254">
            <v>64</v>
          </cell>
          <cell r="X254">
            <v>65</v>
          </cell>
          <cell r="Y254">
            <v>0</v>
          </cell>
          <cell r="Z254">
            <v>60</v>
          </cell>
          <cell r="AA254">
            <v>60</v>
          </cell>
          <cell r="AB254">
            <v>62</v>
          </cell>
          <cell r="AC254">
            <v>64</v>
          </cell>
          <cell r="AD254">
            <v>65</v>
          </cell>
        </row>
        <row r="255">
          <cell r="C255" t="str">
            <v>화정- 2</v>
          </cell>
          <cell r="D255" t="str">
            <v>계</v>
          </cell>
          <cell r="M255">
            <v>148</v>
          </cell>
          <cell r="N255">
            <v>148</v>
          </cell>
          <cell r="O255">
            <v>146</v>
          </cell>
          <cell r="P255">
            <v>145</v>
          </cell>
          <cell r="Q255">
            <v>148</v>
          </cell>
          <cell r="R255">
            <v>151</v>
          </cell>
          <cell r="S255">
            <v>118</v>
          </cell>
          <cell r="T255">
            <v>118</v>
          </cell>
          <cell r="U255">
            <v>124</v>
          </cell>
          <cell r="V255">
            <v>131</v>
          </cell>
          <cell r="W255">
            <v>133</v>
          </cell>
          <cell r="X255">
            <v>136</v>
          </cell>
          <cell r="Y255">
            <v>118</v>
          </cell>
          <cell r="Z255">
            <v>118</v>
          </cell>
          <cell r="AA255">
            <v>124</v>
          </cell>
          <cell r="AB255">
            <v>131</v>
          </cell>
          <cell r="AC255">
            <v>133</v>
          </cell>
          <cell r="AD255">
            <v>136</v>
          </cell>
        </row>
        <row r="256">
          <cell r="D256" t="str">
            <v>화상</v>
          </cell>
          <cell r="F256">
            <v>0</v>
          </cell>
          <cell r="H256">
            <v>0.8</v>
          </cell>
          <cell r="I256">
            <v>0.85</v>
          </cell>
          <cell r="J256">
            <v>0.9</v>
          </cell>
          <cell r="K256">
            <v>0.9</v>
          </cell>
          <cell r="L256">
            <v>0.9</v>
          </cell>
          <cell r="M256">
            <v>148</v>
          </cell>
          <cell r="N256">
            <v>148</v>
          </cell>
          <cell r="O256">
            <v>146</v>
          </cell>
          <cell r="P256">
            <v>145</v>
          </cell>
          <cell r="Q256">
            <v>148</v>
          </cell>
          <cell r="R256">
            <v>151</v>
          </cell>
          <cell r="S256">
            <v>118</v>
          </cell>
          <cell r="T256">
            <v>118</v>
          </cell>
          <cell r="U256">
            <v>124</v>
          </cell>
          <cell r="V256">
            <v>131</v>
          </cell>
          <cell r="W256">
            <v>133</v>
          </cell>
          <cell r="X256">
            <v>136</v>
          </cell>
          <cell r="Y256">
            <v>118</v>
          </cell>
          <cell r="Z256">
            <v>118</v>
          </cell>
          <cell r="AA256">
            <v>124</v>
          </cell>
          <cell r="AB256">
            <v>131</v>
          </cell>
          <cell r="AC256">
            <v>133</v>
          </cell>
          <cell r="AD256">
            <v>136</v>
          </cell>
        </row>
        <row r="257">
          <cell r="C257" t="str">
            <v>삼호리</v>
          </cell>
          <cell r="D257" t="str">
            <v>소계</v>
          </cell>
          <cell r="E257">
            <v>4</v>
          </cell>
          <cell r="M257">
            <v>134</v>
          </cell>
          <cell r="N257">
            <v>135</v>
          </cell>
          <cell r="O257">
            <v>133</v>
          </cell>
          <cell r="P257">
            <v>130</v>
          </cell>
          <cell r="Q257">
            <v>134</v>
          </cell>
          <cell r="R257">
            <v>136</v>
          </cell>
          <cell r="S257">
            <v>107</v>
          </cell>
          <cell r="T257">
            <v>107</v>
          </cell>
          <cell r="U257">
            <v>113</v>
          </cell>
          <cell r="V257">
            <v>118</v>
          </cell>
          <cell r="W257">
            <v>122</v>
          </cell>
          <cell r="X257">
            <v>124</v>
          </cell>
          <cell r="Y257">
            <v>107</v>
          </cell>
          <cell r="Z257">
            <v>107</v>
          </cell>
          <cell r="AA257">
            <v>113</v>
          </cell>
          <cell r="AB257">
            <v>118</v>
          </cell>
          <cell r="AC257">
            <v>122</v>
          </cell>
          <cell r="AD257">
            <v>124</v>
          </cell>
        </row>
        <row r="258">
          <cell r="D258" t="str">
            <v>대장</v>
          </cell>
          <cell r="E258">
            <v>1</v>
          </cell>
          <cell r="F258">
            <v>0</v>
          </cell>
          <cell r="H258">
            <v>0.8</v>
          </cell>
          <cell r="I258">
            <v>0.85</v>
          </cell>
          <cell r="J258">
            <v>0.9</v>
          </cell>
          <cell r="K258">
            <v>0.9</v>
          </cell>
          <cell r="L258">
            <v>0.9</v>
          </cell>
          <cell r="M258">
            <v>34</v>
          </cell>
          <cell r="N258">
            <v>34</v>
          </cell>
          <cell r="O258">
            <v>33</v>
          </cell>
          <cell r="P258">
            <v>33</v>
          </cell>
          <cell r="Q258">
            <v>34</v>
          </cell>
          <cell r="R258">
            <v>34</v>
          </cell>
          <cell r="S258">
            <v>27</v>
          </cell>
          <cell r="T258">
            <v>27</v>
          </cell>
          <cell r="U258">
            <v>28</v>
          </cell>
          <cell r="V258">
            <v>30</v>
          </cell>
          <cell r="W258">
            <v>31</v>
          </cell>
          <cell r="X258">
            <v>31</v>
          </cell>
          <cell r="Y258">
            <v>27</v>
          </cell>
          <cell r="Z258">
            <v>27</v>
          </cell>
          <cell r="AA258">
            <v>28</v>
          </cell>
          <cell r="AB258">
            <v>30</v>
          </cell>
          <cell r="AC258">
            <v>31</v>
          </cell>
          <cell r="AD258">
            <v>31</v>
          </cell>
        </row>
        <row r="259">
          <cell r="D259" t="str">
            <v>삼호</v>
          </cell>
          <cell r="E259">
            <v>1</v>
          </cell>
          <cell r="F259">
            <v>0</v>
          </cell>
          <cell r="H259">
            <v>0.8</v>
          </cell>
          <cell r="I259">
            <v>0.85</v>
          </cell>
          <cell r="J259">
            <v>0.9</v>
          </cell>
          <cell r="K259">
            <v>0.9</v>
          </cell>
          <cell r="L259">
            <v>0.9</v>
          </cell>
          <cell r="M259">
            <v>34</v>
          </cell>
          <cell r="N259">
            <v>34</v>
          </cell>
          <cell r="O259">
            <v>33</v>
          </cell>
          <cell r="P259">
            <v>33</v>
          </cell>
          <cell r="Q259">
            <v>34</v>
          </cell>
          <cell r="R259">
            <v>34</v>
          </cell>
          <cell r="S259">
            <v>27</v>
          </cell>
          <cell r="T259">
            <v>27</v>
          </cell>
          <cell r="U259">
            <v>28</v>
          </cell>
          <cell r="V259">
            <v>30</v>
          </cell>
          <cell r="W259">
            <v>31</v>
          </cell>
          <cell r="X259">
            <v>31</v>
          </cell>
          <cell r="Y259">
            <v>27</v>
          </cell>
          <cell r="Z259">
            <v>27</v>
          </cell>
          <cell r="AA259">
            <v>28</v>
          </cell>
          <cell r="AB259">
            <v>30</v>
          </cell>
          <cell r="AC259">
            <v>31</v>
          </cell>
          <cell r="AD259">
            <v>31</v>
          </cell>
        </row>
        <row r="260">
          <cell r="D260" t="str">
            <v>오미</v>
          </cell>
          <cell r="E260">
            <v>1</v>
          </cell>
          <cell r="F260">
            <v>0</v>
          </cell>
          <cell r="H260">
            <v>0.8</v>
          </cell>
          <cell r="I260">
            <v>0.85</v>
          </cell>
          <cell r="J260">
            <v>0.9</v>
          </cell>
          <cell r="K260">
            <v>0.9</v>
          </cell>
          <cell r="L260">
            <v>0.9</v>
          </cell>
          <cell r="M260">
            <v>34</v>
          </cell>
          <cell r="N260">
            <v>34</v>
          </cell>
          <cell r="O260">
            <v>33</v>
          </cell>
          <cell r="P260">
            <v>33</v>
          </cell>
          <cell r="Q260">
            <v>34</v>
          </cell>
          <cell r="R260">
            <v>34</v>
          </cell>
          <cell r="S260">
            <v>27</v>
          </cell>
          <cell r="T260">
            <v>27</v>
          </cell>
          <cell r="U260">
            <v>28</v>
          </cell>
          <cell r="V260">
            <v>30</v>
          </cell>
          <cell r="W260">
            <v>31</v>
          </cell>
          <cell r="X260">
            <v>31</v>
          </cell>
          <cell r="Y260">
            <v>27</v>
          </cell>
          <cell r="Z260">
            <v>27</v>
          </cell>
          <cell r="AA260">
            <v>28</v>
          </cell>
          <cell r="AB260">
            <v>30</v>
          </cell>
          <cell r="AC260">
            <v>31</v>
          </cell>
          <cell r="AD260">
            <v>31</v>
          </cell>
        </row>
        <row r="261">
          <cell r="D261" t="str">
            <v>장급</v>
          </cell>
          <cell r="E261">
            <v>1</v>
          </cell>
          <cell r="F261">
            <v>0</v>
          </cell>
          <cell r="H261">
            <v>0.8</v>
          </cell>
          <cell r="I261">
            <v>0.85</v>
          </cell>
          <cell r="J261">
            <v>0.9</v>
          </cell>
          <cell r="K261">
            <v>0.9</v>
          </cell>
          <cell r="L261">
            <v>0.9</v>
          </cell>
          <cell r="M261">
            <v>32</v>
          </cell>
          <cell r="N261">
            <v>33</v>
          </cell>
          <cell r="O261">
            <v>34</v>
          </cell>
          <cell r="P261">
            <v>31</v>
          </cell>
          <cell r="Q261">
            <v>32</v>
          </cell>
          <cell r="R261">
            <v>34</v>
          </cell>
          <cell r="S261">
            <v>26</v>
          </cell>
          <cell r="T261">
            <v>26</v>
          </cell>
          <cell r="U261">
            <v>29</v>
          </cell>
          <cell r="V261">
            <v>28</v>
          </cell>
          <cell r="W261">
            <v>29</v>
          </cell>
          <cell r="X261">
            <v>31</v>
          </cell>
          <cell r="Y261">
            <v>26</v>
          </cell>
          <cell r="Z261">
            <v>26</v>
          </cell>
          <cell r="AA261">
            <v>29</v>
          </cell>
          <cell r="AB261">
            <v>28</v>
          </cell>
          <cell r="AC261">
            <v>29</v>
          </cell>
          <cell r="AD261">
            <v>31</v>
          </cell>
        </row>
        <row r="262">
          <cell r="M262">
            <v>5303</v>
          </cell>
          <cell r="N262">
            <v>5311</v>
          </cell>
          <cell r="O262">
            <v>5230</v>
          </cell>
          <cell r="P262">
            <v>5173</v>
          </cell>
          <cell r="Q262">
            <v>5297</v>
          </cell>
          <cell r="R262">
            <v>5395</v>
          </cell>
          <cell r="S262">
            <v>1841</v>
          </cell>
          <cell r="T262">
            <v>2010</v>
          </cell>
          <cell r="U262">
            <v>3373</v>
          </cell>
          <cell r="V262">
            <v>4400</v>
          </cell>
          <cell r="W262">
            <v>4769</v>
          </cell>
          <cell r="X262">
            <v>4855</v>
          </cell>
          <cell r="Y262">
            <v>1841</v>
          </cell>
          <cell r="Z262">
            <v>2010</v>
          </cell>
          <cell r="AA262">
            <v>3373</v>
          </cell>
          <cell r="AB262">
            <v>4400</v>
          </cell>
          <cell r="AC262">
            <v>4769</v>
          </cell>
          <cell r="AD262">
            <v>4855</v>
          </cell>
        </row>
        <row r="263">
          <cell r="C263" t="str">
            <v>신당리</v>
          </cell>
          <cell r="D263" t="str">
            <v>소계</v>
          </cell>
          <cell r="M263">
            <v>625</v>
          </cell>
          <cell r="N263">
            <v>626</v>
          </cell>
          <cell r="O263">
            <v>616</v>
          </cell>
          <cell r="P263">
            <v>610</v>
          </cell>
          <cell r="Q263">
            <v>625</v>
          </cell>
          <cell r="R263">
            <v>636</v>
          </cell>
          <cell r="S263">
            <v>469</v>
          </cell>
          <cell r="T263">
            <v>470</v>
          </cell>
          <cell r="U263">
            <v>493</v>
          </cell>
          <cell r="V263">
            <v>518</v>
          </cell>
          <cell r="W263">
            <v>563</v>
          </cell>
          <cell r="X263">
            <v>572</v>
          </cell>
          <cell r="Y263">
            <v>469</v>
          </cell>
          <cell r="Z263">
            <v>470</v>
          </cell>
          <cell r="AA263">
            <v>493</v>
          </cell>
          <cell r="AB263">
            <v>518</v>
          </cell>
          <cell r="AC263">
            <v>563</v>
          </cell>
          <cell r="AD263">
            <v>572</v>
          </cell>
        </row>
        <row r="264">
          <cell r="C264" t="str">
            <v>신당 1</v>
          </cell>
          <cell r="D264" t="str">
            <v>계</v>
          </cell>
          <cell r="E264">
            <v>91411</v>
          </cell>
          <cell r="M264">
            <v>300</v>
          </cell>
          <cell r="N264">
            <v>300</v>
          </cell>
          <cell r="O264">
            <v>295</v>
          </cell>
          <cell r="P264">
            <v>293</v>
          </cell>
          <cell r="Q264">
            <v>300</v>
          </cell>
          <cell r="R264">
            <v>305</v>
          </cell>
          <cell r="S264">
            <v>225</v>
          </cell>
          <cell r="T264">
            <v>225</v>
          </cell>
          <cell r="U264">
            <v>236</v>
          </cell>
          <cell r="V264">
            <v>249</v>
          </cell>
          <cell r="W264">
            <v>270</v>
          </cell>
          <cell r="X264">
            <v>275</v>
          </cell>
          <cell r="Y264">
            <v>225</v>
          </cell>
          <cell r="Z264">
            <v>225</v>
          </cell>
          <cell r="AA264">
            <v>236</v>
          </cell>
          <cell r="AB264">
            <v>249</v>
          </cell>
          <cell r="AC264">
            <v>270</v>
          </cell>
          <cell r="AD264">
            <v>275</v>
          </cell>
        </row>
        <row r="265">
          <cell r="D265" t="str">
            <v>신당</v>
          </cell>
          <cell r="E265">
            <v>79532</v>
          </cell>
          <cell r="F265">
            <v>0</v>
          </cell>
          <cell r="H265">
            <v>0.75</v>
          </cell>
          <cell r="I265">
            <v>0.8</v>
          </cell>
          <cell r="J265">
            <v>0.85</v>
          </cell>
          <cell r="K265">
            <v>0.9</v>
          </cell>
          <cell r="L265">
            <v>0.9</v>
          </cell>
          <cell r="M265">
            <v>261</v>
          </cell>
          <cell r="N265">
            <v>261</v>
          </cell>
          <cell r="O265">
            <v>257</v>
          </cell>
          <cell r="P265">
            <v>255</v>
          </cell>
          <cell r="Q265">
            <v>261</v>
          </cell>
          <cell r="R265">
            <v>265</v>
          </cell>
          <cell r="S265">
            <v>196</v>
          </cell>
          <cell r="T265">
            <v>196</v>
          </cell>
          <cell r="U265">
            <v>206</v>
          </cell>
          <cell r="V265">
            <v>217</v>
          </cell>
          <cell r="W265">
            <v>235</v>
          </cell>
          <cell r="X265">
            <v>239</v>
          </cell>
          <cell r="Y265">
            <v>196</v>
          </cell>
          <cell r="Z265">
            <v>196</v>
          </cell>
          <cell r="AA265">
            <v>206</v>
          </cell>
          <cell r="AB265">
            <v>217</v>
          </cell>
          <cell r="AC265">
            <v>235</v>
          </cell>
          <cell r="AD265">
            <v>239</v>
          </cell>
        </row>
        <row r="266">
          <cell r="D266" t="str">
            <v>담넘어</v>
          </cell>
          <cell r="E266">
            <v>11879</v>
          </cell>
          <cell r="F266">
            <v>0</v>
          </cell>
          <cell r="H266">
            <v>0.75</v>
          </cell>
          <cell r="I266">
            <v>0.8</v>
          </cell>
          <cell r="J266">
            <v>0.85</v>
          </cell>
          <cell r="K266">
            <v>0.9</v>
          </cell>
          <cell r="L266">
            <v>0.9</v>
          </cell>
          <cell r="M266">
            <v>39</v>
          </cell>
          <cell r="N266">
            <v>39</v>
          </cell>
          <cell r="O266">
            <v>38</v>
          </cell>
          <cell r="P266">
            <v>38</v>
          </cell>
          <cell r="Q266">
            <v>39</v>
          </cell>
          <cell r="R266">
            <v>40</v>
          </cell>
          <cell r="S266">
            <v>29</v>
          </cell>
          <cell r="T266">
            <v>29</v>
          </cell>
          <cell r="U266">
            <v>30</v>
          </cell>
          <cell r="V266">
            <v>32</v>
          </cell>
          <cell r="W266">
            <v>35</v>
          </cell>
          <cell r="X266">
            <v>36</v>
          </cell>
          <cell r="Y266">
            <v>29</v>
          </cell>
          <cell r="Z266">
            <v>29</v>
          </cell>
          <cell r="AA266">
            <v>30</v>
          </cell>
          <cell r="AB266">
            <v>32</v>
          </cell>
          <cell r="AC266">
            <v>35</v>
          </cell>
          <cell r="AD266">
            <v>36</v>
          </cell>
        </row>
        <row r="267">
          <cell r="C267" t="str">
            <v>신당 2</v>
          </cell>
          <cell r="D267" t="str">
            <v>계</v>
          </cell>
          <cell r="E267">
            <v>84269</v>
          </cell>
          <cell r="M267">
            <v>170</v>
          </cell>
          <cell r="N267">
            <v>171</v>
          </cell>
          <cell r="O267">
            <v>168</v>
          </cell>
          <cell r="P267">
            <v>166</v>
          </cell>
          <cell r="Q267">
            <v>170</v>
          </cell>
          <cell r="R267">
            <v>173</v>
          </cell>
          <cell r="S267">
            <v>128</v>
          </cell>
          <cell r="T267">
            <v>129</v>
          </cell>
          <cell r="U267">
            <v>135</v>
          </cell>
          <cell r="V267">
            <v>141</v>
          </cell>
          <cell r="W267">
            <v>153</v>
          </cell>
          <cell r="X267">
            <v>155</v>
          </cell>
          <cell r="Y267">
            <v>128</v>
          </cell>
          <cell r="Z267">
            <v>129</v>
          </cell>
          <cell r="AA267">
            <v>135</v>
          </cell>
          <cell r="AB267">
            <v>141</v>
          </cell>
          <cell r="AC267">
            <v>153</v>
          </cell>
          <cell r="AD267">
            <v>155</v>
          </cell>
        </row>
        <row r="268">
          <cell r="D268" t="str">
            <v>구당</v>
          </cell>
          <cell r="E268">
            <v>27988</v>
          </cell>
          <cell r="F268">
            <v>0</v>
          </cell>
          <cell r="H268">
            <v>0.75</v>
          </cell>
          <cell r="I268">
            <v>0.8</v>
          </cell>
          <cell r="J268">
            <v>0.85</v>
          </cell>
          <cell r="K268">
            <v>0.9</v>
          </cell>
          <cell r="L268">
            <v>0.9</v>
          </cell>
          <cell r="M268">
            <v>56</v>
          </cell>
          <cell r="N268">
            <v>57</v>
          </cell>
          <cell r="O268">
            <v>56</v>
          </cell>
          <cell r="P268">
            <v>55</v>
          </cell>
          <cell r="Q268">
            <v>56</v>
          </cell>
          <cell r="R268">
            <v>57</v>
          </cell>
          <cell r="S268">
            <v>42</v>
          </cell>
          <cell r="T268">
            <v>43</v>
          </cell>
          <cell r="U268">
            <v>45</v>
          </cell>
          <cell r="V268">
            <v>47</v>
          </cell>
          <cell r="W268">
            <v>50</v>
          </cell>
          <cell r="X268">
            <v>51</v>
          </cell>
          <cell r="Y268">
            <v>42</v>
          </cell>
          <cell r="Z268">
            <v>43</v>
          </cell>
          <cell r="AA268">
            <v>45</v>
          </cell>
          <cell r="AB268">
            <v>47</v>
          </cell>
          <cell r="AC268">
            <v>50</v>
          </cell>
          <cell r="AD268">
            <v>51</v>
          </cell>
        </row>
        <row r="269">
          <cell r="D269" t="str">
            <v>회정이</v>
          </cell>
          <cell r="E269">
            <v>56281</v>
          </cell>
          <cell r="F269">
            <v>0</v>
          </cell>
          <cell r="H269">
            <v>0.75</v>
          </cell>
          <cell r="I269">
            <v>0.8</v>
          </cell>
          <cell r="J269">
            <v>0.85</v>
          </cell>
          <cell r="K269">
            <v>0.9</v>
          </cell>
          <cell r="L269">
            <v>0.9</v>
          </cell>
          <cell r="M269">
            <v>114</v>
          </cell>
          <cell r="N269">
            <v>114</v>
          </cell>
          <cell r="O269">
            <v>112</v>
          </cell>
          <cell r="P269">
            <v>111</v>
          </cell>
          <cell r="Q269">
            <v>114</v>
          </cell>
          <cell r="R269">
            <v>116</v>
          </cell>
          <cell r="S269">
            <v>86</v>
          </cell>
          <cell r="T269">
            <v>86</v>
          </cell>
          <cell r="U269">
            <v>90</v>
          </cell>
          <cell r="V269">
            <v>94</v>
          </cell>
          <cell r="W269">
            <v>103</v>
          </cell>
          <cell r="X269">
            <v>104</v>
          </cell>
          <cell r="Y269">
            <v>86</v>
          </cell>
          <cell r="Z269">
            <v>86</v>
          </cell>
          <cell r="AA269">
            <v>90</v>
          </cell>
          <cell r="AB269">
            <v>94</v>
          </cell>
          <cell r="AC269">
            <v>103</v>
          </cell>
          <cell r="AD269">
            <v>104</v>
          </cell>
        </row>
        <row r="270">
          <cell r="C270" t="str">
            <v>신당 3</v>
          </cell>
          <cell r="D270" t="str">
            <v>계</v>
          </cell>
          <cell r="M270">
            <v>155</v>
          </cell>
          <cell r="N270">
            <v>155</v>
          </cell>
          <cell r="O270">
            <v>153</v>
          </cell>
          <cell r="P270">
            <v>151</v>
          </cell>
          <cell r="Q270">
            <v>155</v>
          </cell>
          <cell r="R270">
            <v>158</v>
          </cell>
          <cell r="S270">
            <v>116</v>
          </cell>
          <cell r="T270">
            <v>116</v>
          </cell>
          <cell r="U270">
            <v>122</v>
          </cell>
          <cell r="V270">
            <v>128</v>
          </cell>
          <cell r="W270">
            <v>140</v>
          </cell>
          <cell r="X270">
            <v>142</v>
          </cell>
          <cell r="Y270">
            <v>116</v>
          </cell>
          <cell r="Z270">
            <v>116</v>
          </cell>
          <cell r="AA270">
            <v>122</v>
          </cell>
          <cell r="AB270">
            <v>128</v>
          </cell>
          <cell r="AC270">
            <v>140</v>
          </cell>
          <cell r="AD270">
            <v>142</v>
          </cell>
        </row>
        <row r="271">
          <cell r="D271" t="str">
            <v>덕포</v>
          </cell>
          <cell r="F271">
            <v>0</v>
          </cell>
          <cell r="H271">
            <v>0.75</v>
          </cell>
          <cell r="I271">
            <v>0.8</v>
          </cell>
          <cell r="J271">
            <v>0.85</v>
          </cell>
          <cell r="K271">
            <v>0.9</v>
          </cell>
          <cell r="L271">
            <v>0.9</v>
          </cell>
          <cell r="M271">
            <v>155</v>
          </cell>
          <cell r="N271">
            <v>155</v>
          </cell>
          <cell r="O271">
            <v>153</v>
          </cell>
          <cell r="P271">
            <v>151</v>
          </cell>
          <cell r="Q271">
            <v>155</v>
          </cell>
          <cell r="R271">
            <v>158</v>
          </cell>
          <cell r="S271">
            <v>116</v>
          </cell>
          <cell r="T271">
            <v>116</v>
          </cell>
          <cell r="U271">
            <v>122</v>
          </cell>
          <cell r="V271">
            <v>128</v>
          </cell>
          <cell r="W271">
            <v>140</v>
          </cell>
          <cell r="X271">
            <v>142</v>
          </cell>
          <cell r="Y271">
            <v>116</v>
          </cell>
          <cell r="Z271">
            <v>116</v>
          </cell>
          <cell r="AA271">
            <v>122</v>
          </cell>
          <cell r="AB271">
            <v>128</v>
          </cell>
          <cell r="AC271">
            <v>140</v>
          </cell>
          <cell r="AD271">
            <v>142</v>
          </cell>
        </row>
        <row r="272">
          <cell r="C272" t="str">
            <v>중리</v>
          </cell>
          <cell r="D272" t="str">
            <v>소계</v>
          </cell>
          <cell r="M272">
            <v>240</v>
          </cell>
          <cell r="N272">
            <v>240</v>
          </cell>
          <cell r="O272">
            <v>236</v>
          </cell>
          <cell r="P272">
            <v>234</v>
          </cell>
          <cell r="Q272">
            <v>239</v>
          </cell>
          <cell r="R272">
            <v>244</v>
          </cell>
          <cell r="S272">
            <v>181</v>
          </cell>
          <cell r="T272">
            <v>181</v>
          </cell>
          <cell r="U272">
            <v>188</v>
          </cell>
          <cell r="V272">
            <v>199</v>
          </cell>
          <cell r="W272">
            <v>216</v>
          </cell>
          <cell r="X272">
            <v>219</v>
          </cell>
          <cell r="Y272">
            <v>181</v>
          </cell>
          <cell r="Z272">
            <v>181</v>
          </cell>
          <cell r="AA272">
            <v>188</v>
          </cell>
          <cell r="AB272">
            <v>199</v>
          </cell>
          <cell r="AC272">
            <v>216</v>
          </cell>
          <cell r="AD272">
            <v>219</v>
          </cell>
        </row>
        <row r="273">
          <cell r="C273" t="str">
            <v>중리 1</v>
          </cell>
          <cell r="D273" t="str">
            <v>계</v>
          </cell>
          <cell r="M273">
            <v>125</v>
          </cell>
          <cell r="N273">
            <v>125</v>
          </cell>
          <cell r="O273">
            <v>123</v>
          </cell>
          <cell r="P273">
            <v>122</v>
          </cell>
          <cell r="Q273">
            <v>125</v>
          </cell>
          <cell r="R273">
            <v>127</v>
          </cell>
          <cell r="S273">
            <v>94</v>
          </cell>
          <cell r="T273">
            <v>94</v>
          </cell>
          <cell r="U273">
            <v>98</v>
          </cell>
          <cell r="V273">
            <v>104</v>
          </cell>
          <cell r="W273">
            <v>113</v>
          </cell>
          <cell r="X273">
            <v>114</v>
          </cell>
          <cell r="Y273">
            <v>94</v>
          </cell>
          <cell r="Z273">
            <v>94</v>
          </cell>
          <cell r="AA273">
            <v>98</v>
          </cell>
          <cell r="AB273">
            <v>104</v>
          </cell>
          <cell r="AC273">
            <v>113</v>
          </cell>
          <cell r="AD273">
            <v>114</v>
          </cell>
        </row>
        <row r="274">
          <cell r="D274" t="str">
            <v>여술</v>
          </cell>
          <cell r="F274">
            <v>0</v>
          </cell>
          <cell r="H274">
            <v>0.75</v>
          </cell>
          <cell r="I274">
            <v>0.8</v>
          </cell>
          <cell r="J274">
            <v>0.85</v>
          </cell>
          <cell r="K274">
            <v>0.9</v>
          </cell>
          <cell r="L274">
            <v>0.9</v>
          </cell>
          <cell r="M274">
            <v>125</v>
          </cell>
          <cell r="N274">
            <v>125</v>
          </cell>
          <cell r="O274">
            <v>123</v>
          </cell>
          <cell r="P274">
            <v>122</v>
          </cell>
          <cell r="Q274">
            <v>125</v>
          </cell>
          <cell r="R274">
            <v>127</v>
          </cell>
          <cell r="S274">
            <v>94</v>
          </cell>
          <cell r="T274">
            <v>94</v>
          </cell>
          <cell r="U274">
            <v>98</v>
          </cell>
          <cell r="V274">
            <v>104</v>
          </cell>
          <cell r="W274">
            <v>113</v>
          </cell>
          <cell r="X274">
            <v>114</v>
          </cell>
          <cell r="Y274">
            <v>94</v>
          </cell>
          <cell r="Z274">
            <v>94</v>
          </cell>
          <cell r="AA274">
            <v>98</v>
          </cell>
          <cell r="AB274">
            <v>104</v>
          </cell>
          <cell r="AC274">
            <v>113</v>
          </cell>
          <cell r="AD274">
            <v>114</v>
          </cell>
        </row>
        <row r="275">
          <cell r="C275" t="str">
            <v>중리 2</v>
          </cell>
          <cell r="D275" t="str">
            <v>계</v>
          </cell>
          <cell r="E275">
            <v>52215</v>
          </cell>
          <cell r="M275">
            <v>115</v>
          </cell>
          <cell r="N275">
            <v>115</v>
          </cell>
          <cell r="O275">
            <v>113</v>
          </cell>
          <cell r="P275">
            <v>112</v>
          </cell>
          <cell r="Q275">
            <v>114</v>
          </cell>
          <cell r="R275">
            <v>117</v>
          </cell>
          <cell r="S275">
            <v>87</v>
          </cell>
          <cell r="T275">
            <v>87</v>
          </cell>
          <cell r="U275">
            <v>90</v>
          </cell>
          <cell r="V275">
            <v>95</v>
          </cell>
          <cell r="W275">
            <v>103</v>
          </cell>
          <cell r="X275">
            <v>105</v>
          </cell>
          <cell r="Y275">
            <v>87</v>
          </cell>
          <cell r="Z275">
            <v>87</v>
          </cell>
          <cell r="AA275">
            <v>90</v>
          </cell>
          <cell r="AB275">
            <v>95</v>
          </cell>
          <cell r="AC275">
            <v>103</v>
          </cell>
          <cell r="AD275">
            <v>105</v>
          </cell>
        </row>
        <row r="276">
          <cell r="D276" t="str">
            <v>지밑</v>
          </cell>
          <cell r="E276">
            <v>31431</v>
          </cell>
          <cell r="F276">
            <v>0</v>
          </cell>
          <cell r="H276">
            <v>0.75</v>
          </cell>
          <cell r="I276">
            <v>0.8</v>
          </cell>
          <cell r="J276">
            <v>0.85</v>
          </cell>
          <cell r="K276">
            <v>0.9</v>
          </cell>
          <cell r="L276">
            <v>0.9</v>
          </cell>
          <cell r="M276">
            <v>69</v>
          </cell>
          <cell r="N276">
            <v>69</v>
          </cell>
          <cell r="O276">
            <v>68</v>
          </cell>
          <cell r="P276">
            <v>67</v>
          </cell>
          <cell r="Q276">
            <v>69</v>
          </cell>
          <cell r="R276">
            <v>70</v>
          </cell>
          <cell r="S276">
            <v>52</v>
          </cell>
          <cell r="T276">
            <v>52</v>
          </cell>
          <cell r="U276">
            <v>54</v>
          </cell>
          <cell r="V276">
            <v>57</v>
          </cell>
          <cell r="W276">
            <v>62</v>
          </cell>
          <cell r="X276">
            <v>63</v>
          </cell>
          <cell r="Y276">
            <v>52</v>
          </cell>
          <cell r="Z276">
            <v>52</v>
          </cell>
          <cell r="AA276">
            <v>54</v>
          </cell>
          <cell r="AB276">
            <v>57</v>
          </cell>
          <cell r="AC276">
            <v>62</v>
          </cell>
          <cell r="AD276">
            <v>63</v>
          </cell>
        </row>
        <row r="277">
          <cell r="D277" t="str">
            <v>참새골</v>
          </cell>
          <cell r="E277">
            <v>20784</v>
          </cell>
          <cell r="F277">
            <v>0</v>
          </cell>
          <cell r="H277">
            <v>0.75</v>
          </cell>
          <cell r="I277">
            <v>0.8</v>
          </cell>
          <cell r="J277">
            <v>0.85</v>
          </cell>
          <cell r="K277">
            <v>0.9</v>
          </cell>
          <cell r="L277">
            <v>0.9</v>
          </cell>
          <cell r="M277">
            <v>46</v>
          </cell>
          <cell r="N277">
            <v>46</v>
          </cell>
          <cell r="O277">
            <v>45</v>
          </cell>
          <cell r="P277">
            <v>45</v>
          </cell>
          <cell r="Q277">
            <v>45</v>
          </cell>
          <cell r="R277">
            <v>47</v>
          </cell>
          <cell r="S277">
            <v>35</v>
          </cell>
          <cell r="T277">
            <v>35</v>
          </cell>
          <cell r="U277">
            <v>36</v>
          </cell>
          <cell r="V277">
            <v>38</v>
          </cell>
          <cell r="W277">
            <v>41</v>
          </cell>
          <cell r="X277">
            <v>42</v>
          </cell>
          <cell r="Y277">
            <v>35</v>
          </cell>
          <cell r="Z277">
            <v>35</v>
          </cell>
          <cell r="AA277">
            <v>36</v>
          </cell>
          <cell r="AB277">
            <v>38</v>
          </cell>
          <cell r="AC277">
            <v>41</v>
          </cell>
          <cell r="AD277">
            <v>42</v>
          </cell>
        </row>
        <row r="278">
          <cell r="C278" t="str">
            <v>득윤리</v>
          </cell>
          <cell r="D278" t="str">
            <v>소계</v>
          </cell>
          <cell r="M278">
            <v>586</v>
          </cell>
          <cell r="N278">
            <v>587</v>
          </cell>
          <cell r="O278">
            <v>577</v>
          </cell>
          <cell r="P278">
            <v>572</v>
          </cell>
          <cell r="Q278">
            <v>586</v>
          </cell>
          <cell r="R278">
            <v>597</v>
          </cell>
          <cell r="S278">
            <v>281</v>
          </cell>
          <cell r="T278">
            <v>447</v>
          </cell>
          <cell r="U278">
            <v>461</v>
          </cell>
          <cell r="V278">
            <v>487</v>
          </cell>
          <cell r="W278">
            <v>528</v>
          </cell>
          <cell r="X278">
            <v>538</v>
          </cell>
          <cell r="Y278">
            <v>281</v>
          </cell>
          <cell r="Z278">
            <v>447</v>
          </cell>
          <cell r="AA278">
            <v>461</v>
          </cell>
          <cell r="AB278">
            <v>487</v>
          </cell>
          <cell r="AC278">
            <v>528</v>
          </cell>
          <cell r="AD278">
            <v>538</v>
          </cell>
        </row>
        <row r="279">
          <cell r="C279" t="str">
            <v>득윤 1</v>
          </cell>
          <cell r="D279" t="str">
            <v>계</v>
          </cell>
          <cell r="M279">
            <v>192</v>
          </cell>
          <cell r="N279">
            <v>192</v>
          </cell>
          <cell r="O279">
            <v>189</v>
          </cell>
          <cell r="P279">
            <v>187</v>
          </cell>
          <cell r="Q279">
            <v>192</v>
          </cell>
          <cell r="R279">
            <v>195</v>
          </cell>
          <cell r="S279">
            <v>144</v>
          </cell>
          <cell r="T279">
            <v>144</v>
          </cell>
          <cell r="U279">
            <v>151</v>
          </cell>
          <cell r="V279">
            <v>159</v>
          </cell>
          <cell r="W279">
            <v>173</v>
          </cell>
          <cell r="X279">
            <v>176</v>
          </cell>
          <cell r="Y279">
            <v>144</v>
          </cell>
          <cell r="Z279">
            <v>144</v>
          </cell>
          <cell r="AA279">
            <v>151</v>
          </cell>
          <cell r="AB279">
            <v>159</v>
          </cell>
          <cell r="AC279">
            <v>173</v>
          </cell>
          <cell r="AD279">
            <v>176</v>
          </cell>
        </row>
        <row r="280">
          <cell r="D280" t="str">
            <v>득윤</v>
          </cell>
          <cell r="F280">
            <v>0</v>
          </cell>
          <cell r="H280">
            <v>0.75</v>
          </cell>
          <cell r="I280">
            <v>0.8</v>
          </cell>
          <cell r="J280">
            <v>0.85</v>
          </cell>
          <cell r="K280">
            <v>0.9</v>
          </cell>
          <cell r="L280">
            <v>0.9</v>
          </cell>
          <cell r="M280">
            <v>192</v>
          </cell>
          <cell r="N280">
            <v>192</v>
          </cell>
          <cell r="O280">
            <v>189</v>
          </cell>
          <cell r="P280">
            <v>187</v>
          </cell>
          <cell r="Q280">
            <v>192</v>
          </cell>
          <cell r="R280">
            <v>195</v>
          </cell>
          <cell r="S280">
            <v>144</v>
          </cell>
          <cell r="T280">
            <v>144</v>
          </cell>
          <cell r="U280">
            <v>151</v>
          </cell>
          <cell r="V280">
            <v>159</v>
          </cell>
          <cell r="W280">
            <v>173</v>
          </cell>
          <cell r="X280">
            <v>176</v>
          </cell>
          <cell r="Y280">
            <v>144</v>
          </cell>
          <cell r="Z280">
            <v>144</v>
          </cell>
          <cell r="AA280">
            <v>151</v>
          </cell>
          <cell r="AB280">
            <v>159</v>
          </cell>
          <cell r="AC280">
            <v>173</v>
          </cell>
          <cell r="AD280">
            <v>176</v>
          </cell>
        </row>
        <row r="281">
          <cell r="C281" t="str">
            <v>득윤 2</v>
          </cell>
          <cell r="D281" t="str">
            <v>계</v>
          </cell>
          <cell r="E281">
            <v>142924</v>
          </cell>
          <cell r="M281">
            <v>211</v>
          </cell>
          <cell r="N281">
            <v>212</v>
          </cell>
          <cell r="O281">
            <v>208</v>
          </cell>
          <cell r="P281">
            <v>206</v>
          </cell>
          <cell r="Q281">
            <v>211</v>
          </cell>
          <cell r="R281">
            <v>215</v>
          </cell>
          <cell r="S281">
            <v>0</v>
          </cell>
          <cell r="T281">
            <v>166</v>
          </cell>
          <cell r="U281">
            <v>166</v>
          </cell>
          <cell r="V281">
            <v>176</v>
          </cell>
          <cell r="W281">
            <v>190</v>
          </cell>
          <cell r="X281">
            <v>194</v>
          </cell>
          <cell r="Y281">
            <v>0</v>
          </cell>
          <cell r="Z281">
            <v>166</v>
          </cell>
          <cell r="AA281">
            <v>166</v>
          </cell>
          <cell r="AB281">
            <v>176</v>
          </cell>
          <cell r="AC281">
            <v>190</v>
          </cell>
          <cell r="AD281">
            <v>194</v>
          </cell>
        </row>
        <row r="282">
          <cell r="D282" t="str">
            <v>섬말</v>
          </cell>
          <cell r="E282">
            <v>33410</v>
          </cell>
          <cell r="F282">
            <v>1</v>
          </cell>
          <cell r="H282">
            <v>0.75</v>
          </cell>
          <cell r="I282">
            <v>0.8</v>
          </cell>
          <cell r="J282">
            <v>0.85</v>
          </cell>
          <cell r="K282">
            <v>0.9</v>
          </cell>
          <cell r="L282">
            <v>0.9</v>
          </cell>
          <cell r="M282">
            <v>49</v>
          </cell>
          <cell r="N282">
            <v>50</v>
          </cell>
          <cell r="O282">
            <v>49</v>
          </cell>
          <cell r="P282">
            <v>48</v>
          </cell>
          <cell r="Q282">
            <v>49</v>
          </cell>
          <cell r="R282">
            <v>50</v>
          </cell>
          <cell r="S282">
            <v>0</v>
          </cell>
          <cell r="T282">
            <v>39</v>
          </cell>
          <cell r="U282">
            <v>39</v>
          </cell>
          <cell r="V282">
            <v>41</v>
          </cell>
          <cell r="W282">
            <v>44</v>
          </cell>
          <cell r="X282">
            <v>45</v>
          </cell>
          <cell r="Y282">
            <v>0</v>
          </cell>
          <cell r="Z282">
            <v>39</v>
          </cell>
          <cell r="AA282">
            <v>39</v>
          </cell>
          <cell r="AB282">
            <v>41</v>
          </cell>
          <cell r="AC282">
            <v>44</v>
          </cell>
          <cell r="AD282">
            <v>45</v>
          </cell>
        </row>
        <row r="283">
          <cell r="D283" t="str">
            <v>지울</v>
          </cell>
          <cell r="E283">
            <v>61122</v>
          </cell>
          <cell r="F283">
            <v>1</v>
          </cell>
          <cell r="H283">
            <v>0.75</v>
          </cell>
          <cell r="I283">
            <v>0.8</v>
          </cell>
          <cell r="J283">
            <v>0.85</v>
          </cell>
          <cell r="K283">
            <v>0.9</v>
          </cell>
          <cell r="L283">
            <v>0.9</v>
          </cell>
          <cell r="M283">
            <v>90</v>
          </cell>
          <cell r="N283">
            <v>91</v>
          </cell>
          <cell r="O283">
            <v>89</v>
          </cell>
          <cell r="P283">
            <v>88</v>
          </cell>
          <cell r="Q283">
            <v>90</v>
          </cell>
          <cell r="R283">
            <v>92</v>
          </cell>
          <cell r="S283">
            <v>0</v>
          </cell>
          <cell r="T283">
            <v>71</v>
          </cell>
          <cell r="U283">
            <v>71</v>
          </cell>
          <cell r="V283">
            <v>75</v>
          </cell>
          <cell r="W283">
            <v>81</v>
          </cell>
          <cell r="X283">
            <v>83</v>
          </cell>
          <cell r="Y283">
            <v>0</v>
          </cell>
          <cell r="Z283">
            <v>71</v>
          </cell>
          <cell r="AA283">
            <v>71</v>
          </cell>
          <cell r="AB283">
            <v>75</v>
          </cell>
          <cell r="AC283">
            <v>81</v>
          </cell>
          <cell r="AD283">
            <v>83</v>
          </cell>
        </row>
        <row r="284">
          <cell r="D284" t="str">
            <v>돌패기</v>
          </cell>
          <cell r="E284">
            <v>48392</v>
          </cell>
          <cell r="F284">
            <v>1</v>
          </cell>
          <cell r="H284">
            <v>0.75</v>
          </cell>
          <cell r="I284">
            <v>0.8</v>
          </cell>
          <cell r="J284">
            <v>0.85</v>
          </cell>
          <cell r="K284">
            <v>0.9</v>
          </cell>
          <cell r="L284">
            <v>0.9</v>
          </cell>
          <cell r="M284">
            <v>72</v>
          </cell>
          <cell r="N284">
            <v>71</v>
          </cell>
          <cell r="O284">
            <v>70</v>
          </cell>
          <cell r="P284">
            <v>70</v>
          </cell>
          <cell r="Q284">
            <v>72</v>
          </cell>
          <cell r="R284">
            <v>73</v>
          </cell>
          <cell r="S284">
            <v>0</v>
          </cell>
          <cell r="T284">
            <v>56</v>
          </cell>
          <cell r="U284">
            <v>56</v>
          </cell>
          <cell r="V284">
            <v>60</v>
          </cell>
          <cell r="W284">
            <v>65</v>
          </cell>
          <cell r="X284">
            <v>66</v>
          </cell>
          <cell r="Y284">
            <v>0</v>
          </cell>
          <cell r="Z284">
            <v>56</v>
          </cell>
          <cell r="AA284">
            <v>56</v>
          </cell>
          <cell r="AB284">
            <v>60</v>
          </cell>
          <cell r="AC284">
            <v>65</v>
          </cell>
          <cell r="AD284">
            <v>66</v>
          </cell>
        </row>
        <row r="285">
          <cell r="C285" t="str">
            <v>득윤 3</v>
          </cell>
          <cell r="D285" t="str">
            <v>계</v>
          </cell>
          <cell r="M285">
            <v>183</v>
          </cell>
          <cell r="N285">
            <v>183</v>
          </cell>
          <cell r="O285">
            <v>180</v>
          </cell>
          <cell r="P285">
            <v>179</v>
          </cell>
          <cell r="Q285">
            <v>183</v>
          </cell>
          <cell r="R285">
            <v>187</v>
          </cell>
          <cell r="S285">
            <v>137</v>
          </cell>
          <cell r="T285">
            <v>137</v>
          </cell>
          <cell r="U285">
            <v>144</v>
          </cell>
          <cell r="V285">
            <v>152</v>
          </cell>
          <cell r="W285">
            <v>165</v>
          </cell>
          <cell r="X285">
            <v>168</v>
          </cell>
          <cell r="Y285">
            <v>137</v>
          </cell>
          <cell r="Z285">
            <v>137</v>
          </cell>
          <cell r="AA285">
            <v>144</v>
          </cell>
          <cell r="AB285">
            <v>152</v>
          </cell>
          <cell r="AC285">
            <v>165</v>
          </cell>
          <cell r="AD285">
            <v>168</v>
          </cell>
        </row>
        <row r="286">
          <cell r="D286" t="str">
            <v>방죽안</v>
          </cell>
          <cell r="F286">
            <v>0</v>
          </cell>
          <cell r="H286">
            <v>0.75</v>
          </cell>
          <cell r="I286">
            <v>0.8</v>
          </cell>
          <cell r="J286">
            <v>0.85</v>
          </cell>
          <cell r="K286">
            <v>0.9</v>
          </cell>
          <cell r="L286">
            <v>0.9</v>
          </cell>
          <cell r="M286">
            <v>183</v>
          </cell>
          <cell r="N286">
            <v>183</v>
          </cell>
          <cell r="O286">
            <v>180</v>
          </cell>
          <cell r="P286">
            <v>179</v>
          </cell>
          <cell r="Q286">
            <v>183</v>
          </cell>
          <cell r="R286">
            <v>187</v>
          </cell>
          <cell r="S286">
            <v>137</v>
          </cell>
          <cell r="T286">
            <v>137</v>
          </cell>
          <cell r="U286">
            <v>144</v>
          </cell>
          <cell r="V286">
            <v>152</v>
          </cell>
          <cell r="W286">
            <v>165</v>
          </cell>
          <cell r="X286">
            <v>168</v>
          </cell>
          <cell r="Y286">
            <v>137</v>
          </cell>
          <cell r="Z286">
            <v>137</v>
          </cell>
          <cell r="AA286">
            <v>144</v>
          </cell>
          <cell r="AB286">
            <v>152</v>
          </cell>
          <cell r="AC286">
            <v>165</v>
          </cell>
          <cell r="AD286">
            <v>168</v>
          </cell>
        </row>
        <row r="287">
          <cell r="C287" t="str">
            <v>갈산리</v>
          </cell>
          <cell r="D287" t="str">
            <v>소계</v>
          </cell>
          <cell r="M287">
            <v>381</v>
          </cell>
          <cell r="N287">
            <v>381</v>
          </cell>
          <cell r="O287">
            <v>376</v>
          </cell>
          <cell r="P287">
            <v>372</v>
          </cell>
          <cell r="Q287">
            <v>381</v>
          </cell>
          <cell r="R287">
            <v>388</v>
          </cell>
          <cell r="S287">
            <v>286</v>
          </cell>
          <cell r="T287">
            <v>286</v>
          </cell>
          <cell r="U287">
            <v>301</v>
          </cell>
          <cell r="V287">
            <v>316</v>
          </cell>
          <cell r="W287">
            <v>343</v>
          </cell>
          <cell r="X287">
            <v>349</v>
          </cell>
          <cell r="Y287">
            <v>286</v>
          </cell>
          <cell r="Z287">
            <v>286</v>
          </cell>
          <cell r="AA287">
            <v>301</v>
          </cell>
          <cell r="AB287">
            <v>316</v>
          </cell>
          <cell r="AC287">
            <v>343</v>
          </cell>
          <cell r="AD287">
            <v>349</v>
          </cell>
        </row>
        <row r="288">
          <cell r="C288" t="str">
            <v>갈산 1</v>
          </cell>
          <cell r="D288" t="str">
            <v>계</v>
          </cell>
          <cell r="F288">
            <v>0</v>
          </cell>
          <cell r="H288">
            <v>0.75</v>
          </cell>
          <cell r="I288">
            <v>0.8</v>
          </cell>
          <cell r="J288">
            <v>0.85</v>
          </cell>
          <cell r="K288">
            <v>0.9</v>
          </cell>
          <cell r="L288">
            <v>0.9</v>
          </cell>
          <cell r="M288">
            <v>217</v>
          </cell>
          <cell r="N288">
            <v>217</v>
          </cell>
          <cell r="O288">
            <v>214</v>
          </cell>
          <cell r="P288">
            <v>212</v>
          </cell>
          <cell r="Q288">
            <v>217</v>
          </cell>
          <cell r="R288">
            <v>221</v>
          </cell>
          <cell r="S288">
            <v>163</v>
          </cell>
          <cell r="T288">
            <v>163</v>
          </cell>
          <cell r="U288">
            <v>171</v>
          </cell>
          <cell r="V288">
            <v>180</v>
          </cell>
          <cell r="W288">
            <v>195</v>
          </cell>
          <cell r="X288">
            <v>199</v>
          </cell>
          <cell r="Y288">
            <v>163</v>
          </cell>
          <cell r="Z288">
            <v>163</v>
          </cell>
          <cell r="AA288">
            <v>171</v>
          </cell>
          <cell r="AB288">
            <v>180</v>
          </cell>
          <cell r="AC288">
            <v>195</v>
          </cell>
          <cell r="AD288">
            <v>199</v>
          </cell>
        </row>
        <row r="289">
          <cell r="C289" t="str">
            <v>갈산 2</v>
          </cell>
          <cell r="D289" t="str">
            <v>계</v>
          </cell>
          <cell r="F289">
            <v>0</v>
          </cell>
          <cell r="H289">
            <v>0.75</v>
          </cell>
          <cell r="I289">
            <v>0.8</v>
          </cell>
          <cell r="J289">
            <v>0.85</v>
          </cell>
          <cell r="K289">
            <v>0.9</v>
          </cell>
          <cell r="L289">
            <v>0.9</v>
          </cell>
          <cell r="M289">
            <v>164</v>
          </cell>
          <cell r="N289">
            <v>164</v>
          </cell>
          <cell r="O289">
            <v>162</v>
          </cell>
          <cell r="P289">
            <v>160</v>
          </cell>
          <cell r="Q289">
            <v>164</v>
          </cell>
          <cell r="R289">
            <v>167</v>
          </cell>
          <cell r="S289">
            <v>123</v>
          </cell>
          <cell r="T289">
            <v>123</v>
          </cell>
          <cell r="U289">
            <v>130</v>
          </cell>
          <cell r="V289">
            <v>136</v>
          </cell>
          <cell r="W289">
            <v>148</v>
          </cell>
          <cell r="X289">
            <v>150</v>
          </cell>
          <cell r="Y289">
            <v>123</v>
          </cell>
          <cell r="Z289">
            <v>123</v>
          </cell>
          <cell r="AA289">
            <v>130</v>
          </cell>
          <cell r="AB289">
            <v>136</v>
          </cell>
          <cell r="AC289">
            <v>148</v>
          </cell>
          <cell r="AD289">
            <v>150</v>
          </cell>
        </row>
        <row r="290">
          <cell r="C290" t="str">
            <v>광 리</v>
          </cell>
          <cell r="D290" t="str">
            <v>소계</v>
          </cell>
          <cell r="E290">
            <v>68606</v>
          </cell>
          <cell r="M290">
            <v>156</v>
          </cell>
          <cell r="N290">
            <v>156</v>
          </cell>
          <cell r="O290">
            <v>154</v>
          </cell>
          <cell r="P290">
            <v>152</v>
          </cell>
          <cell r="Q290">
            <v>156</v>
          </cell>
          <cell r="R290">
            <v>159</v>
          </cell>
          <cell r="S290">
            <v>117</v>
          </cell>
          <cell r="T290">
            <v>117</v>
          </cell>
          <cell r="U290">
            <v>124</v>
          </cell>
          <cell r="V290">
            <v>130</v>
          </cell>
          <cell r="W290">
            <v>140</v>
          </cell>
          <cell r="X290">
            <v>143</v>
          </cell>
          <cell r="Y290">
            <v>117</v>
          </cell>
          <cell r="Z290">
            <v>117</v>
          </cell>
          <cell r="AA290">
            <v>124</v>
          </cell>
          <cell r="AB290">
            <v>130</v>
          </cell>
          <cell r="AC290">
            <v>140</v>
          </cell>
          <cell r="AD290">
            <v>143</v>
          </cell>
        </row>
        <row r="291">
          <cell r="D291" t="str">
            <v>안더분들</v>
          </cell>
          <cell r="E291">
            <v>52195</v>
          </cell>
          <cell r="F291">
            <v>0</v>
          </cell>
          <cell r="H291">
            <v>0.75</v>
          </cell>
          <cell r="I291">
            <v>0.8</v>
          </cell>
          <cell r="J291">
            <v>0.85</v>
          </cell>
          <cell r="K291">
            <v>0.9</v>
          </cell>
          <cell r="L291">
            <v>0.9</v>
          </cell>
          <cell r="M291">
            <v>119</v>
          </cell>
          <cell r="N291">
            <v>119</v>
          </cell>
          <cell r="O291">
            <v>117</v>
          </cell>
          <cell r="P291">
            <v>116</v>
          </cell>
          <cell r="Q291">
            <v>119</v>
          </cell>
          <cell r="R291">
            <v>121</v>
          </cell>
          <cell r="S291">
            <v>89</v>
          </cell>
          <cell r="T291">
            <v>89</v>
          </cell>
          <cell r="U291">
            <v>94</v>
          </cell>
          <cell r="V291">
            <v>99</v>
          </cell>
          <cell r="W291">
            <v>107</v>
          </cell>
          <cell r="X291">
            <v>109</v>
          </cell>
          <cell r="Y291">
            <v>89</v>
          </cell>
          <cell r="Z291">
            <v>89</v>
          </cell>
          <cell r="AA291">
            <v>94</v>
          </cell>
          <cell r="AB291">
            <v>99</v>
          </cell>
          <cell r="AC291">
            <v>107</v>
          </cell>
          <cell r="AD291">
            <v>109</v>
          </cell>
        </row>
        <row r="292">
          <cell r="D292" t="str">
            <v>밧더분들</v>
          </cell>
          <cell r="E292">
            <v>16411</v>
          </cell>
          <cell r="F292">
            <v>0</v>
          </cell>
          <cell r="H292">
            <v>0.75</v>
          </cell>
          <cell r="I292">
            <v>0.8</v>
          </cell>
          <cell r="J292">
            <v>0.85</v>
          </cell>
          <cell r="K292">
            <v>0.9</v>
          </cell>
          <cell r="L292">
            <v>0.9</v>
          </cell>
          <cell r="M292">
            <v>37</v>
          </cell>
          <cell r="N292">
            <v>37</v>
          </cell>
          <cell r="O292">
            <v>37</v>
          </cell>
          <cell r="P292">
            <v>36</v>
          </cell>
          <cell r="Q292">
            <v>37</v>
          </cell>
          <cell r="R292">
            <v>38</v>
          </cell>
          <cell r="S292">
            <v>28</v>
          </cell>
          <cell r="T292">
            <v>28</v>
          </cell>
          <cell r="U292">
            <v>30</v>
          </cell>
          <cell r="V292">
            <v>31</v>
          </cell>
          <cell r="W292">
            <v>33</v>
          </cell>
          <cell r="X292">
            <v>34</v>
          </cell>
          <cell r="Y292">
            <v>28</v>
          </cell>
          <cell r="Z292">
            <v>28</v>
          </cell>
          <cell r="AA292">
            <v>30</v>
          </cell>
          <cell r="AB292">
            <v>31</v>
          </cell>
          <cell r="AC292">
            <v>33</v>
          </cell>
          <cell r="AD292">
            <v>34</v>
          </cell>
        </row>
        <row r="293">
          <cell r="C293" t="str">
            <v>이사리</v>
          </cell>
          <cell r="D293" t="str">
            <v>소계</v>
          </cell>
          <cell r="M293">
            <v>355</v>
          </cell>
          <cell r="N293">
            <v>356</v>
          </cell>
          <cell r="O293">
            <v>350</v>
          </cell>
          <cell r="P293">
            <v>347</v>
          </cell>
          <cell r="Q293">
            <v>355</v>
          </cell>
          <cell r="R293">
            <v>361</v>
          </cell>
          <cell r="S293">
            <v>266</v>
          </cell>
          <cell r="T293">
            <v>267</v>
          </cell>
          <cell r="U293">
            <v>280</v>
          </cell>
          <cell r="V293">
            <v>296</v>
          </cell>
          <cell r="W293">
            <v>319</v>
          </cell>
          <cell r="X293">
            <v>325</v>
          </cell>
          <cell r="Y293">
            <v>266</v>
          </cell>
          <cell r="Z293">
            <v>267</v>
          </cell>
          <cell r="AA293">
            <v>280</v>
          </cell>
          <cell r="AB293">
            <v>296</v>
          </cell>
          <cell r="AC293">
            <v>319</v>
          </cell>
          <cell r="AD293">
            <v>325</v>
          </cell>
        </row>
        <row r="294">
          <cell r="C294" t="str">
            <v>이사 1</v>
          </cell>
          <cell r="D294" t="str">
            <v>계</v>
          </cell>
          <cell r="M294">
            <v>248</v>
          </cell>
          <cell r="N294">
            <v>249</v>
          </cell>
          <cell r="O294">
            <v>245</v>
          </cell>
          <cell r="P294">
            <v>242</v>
          </cell>
          <cell r="Q294">
            <v>248</v>
          </cell>
          <cell r="R294">
            <v>252</v>
          </cell>
          <cell r="S294">
            <v>186</v>
          </cell>
          <cell r="T294">
            <v>187</v>
          </cell>
          <cell r="U294">
            <v>196</v>
          </cell>
          <cell r="V294">
            <v>206</v>
          </cell>
          <cell r="W294">
            <v>223</v>
          </cell>
          <cell r="X294">
            <v>227</v>
          </cell>
          <cell r="Y294">
            <v>186</v>
          </cell>
          <cell r="Z294">
            <v>187</v>
          </cell>
          <cell r="AA294">
            <v>196</v>
          </cell>
          <cell r="AB294">
            <v>206</v>
          </cell>
          <cell r="AC294">
            <v>223</v>
          </cell>
          <cell r="AD294">
            <v>227</v>
          </cell>
        </row>
        <row r="295">
          <cell r="D295" t="str">
            <v>회정</v>
          </cell>
          <cell r="F295">
            <v>0</v>
          </cell>
          <cell r="H295">
            <v>0.75</v>
          </cell>
          <cell r="I295">
            <v>0.8</v>
          </cell>
          <cell r="J295">
            <v>0.85</v>
          </cell>
          <cell r="K295">
            <v>0.9</v>
          </cell>
          <cell r="L295">
            <v>0.9</v>
          </cell>
          <cell r="M295">
            <v>248</v>
          </cell>
          <cell r="N295">
            <v>249</v>
          </cell>
          <cell r="O295">
            <v>245</v>
          </cell>
          <cell r="P295">
            <v>242</v>
          </cell>
          <cell r="Q295">
            <v>248</v>
          </cell>
          <cell r="R295">
            <v>252</v>
          </cell>
          <cell r="S295">
            <v>186</v>
          </cell>
          <cell r="T295">
            <v>187</v>
          </cell>
          <cell r="U295">
            <v>196</v>
          </cell>
          <cell r="V295">
            <v>206</v>
          </cell>
          <cell r="W295">
            <v>223</v>
          </cell>
          <cell r="X295">
            <v>227</v>
          </cell>
          <cell r="Y295">
            <v>186</v>
          </cell>
          <cell r="Z295">
            <v>187</v>
          </cell>
          <cell r="AA295">
            <v>196</v>
          </cell>
          <cell r="AB295">
            <v>206</v>
          </cell>
          <cell r="AC295">
            <v>223</v>
          </cell>
          <cell r="AD295">
            <v>227</v>
          </cell>
        </row>
        <row r="296">
          <cell r="C296" t="str">
            <v>이사 2</v>
          </cell>
          <cell r="D296" t="str">
            <v>계</v>
          </cell>
          <cell r="E296">
            <v>124136</v>
          </cell>
          <cell r="M296">
            <v>107</v>
          </cell>
          <cell r="N296">
            <v>107</v>
          </cell>
          <cell r="O296">
            <v>105</v>
          </cell>
          <cell r="P296">
            <v>105</v>
          </cell>
          <cell r="Q296">
            <v>107</v>
          </cell>
          <cell r="R296">
            <v>109</v>
          </cell>
          <cell r="S296">
            <v>80</v>
          </cell>
          <cell r="T296">
            <v>80</v>
          </cell>
          <cell r="U296">
            <v>84</v>
          </cell>
          <cell r="V296">
            <v>90</v>
          </cell>
          <cell r="W296">
            <v>96</v>
          </cell>
          <cell r="X296">
            <v>98</v>
          </cell>
          <cell r="Y296">
            <v>80</v>
          </cell>
          <cell r="Z296">
            <v>80</v>
          </cell>
          <cell r="AA296">
            <v>84</v>
          </cell>
          <cell r="AB296">
            <v>90</v>
          </cell>
          <cell r="AC296">
            <v>96</v>
          </cell>
          <cell r="AD296">
            <v>98</v>
          </cell>
        </row>
        <row r="297">
          <cell r="D297" t="str">
            <v>신촌</v>
          </cell>
          <cell r="E297">
            <v>41263</v>
          </cell>
          <cell r="F297">
            <v>0</v>
          </cell>
          <cell r="H297">
            <v>0.75</v>
          </cell>
          <cell r="I297">
            <v>0.8</v>
          </cell>
          <cell r="J297">
            <v>0.85</v>
          </cell>
          <cell r="K297">
            <v>0.9</v>
          </cell>
          <cell r="L297">
            <v>0.9</v>
          </cell>
          <cell r="M297">
            <v>36</v>
          </cell>
          <cell r="N297">
            <v>36</v>
          </cell>
          <cell r="O297">
            <v>35</v>
          </cell>
          <cell r="P297">
            <v>35</v>
          </cell>
          <cell r="Q297">
            <v>36</v>
          </cell>
          <cell r="R297">
            <v>36</v>
          </cell>
          <cell r="S297">
            <v>27</v>
          </cell>
          <cell r="T297">
            <v>27</v>
          </cell>
          <cell r="U297">
            <v>28</v>
          </cell>
          <cell r="V297">
            <v>30</v>
          </cell>
          <cell r="W297">
            <v>32</v>
          </cell>
          <cell r="X297">
            <v>32</v>
          </cell>
          <cell r="Y297">
            <v>27</v>
          </cell>
          <cell r="Z297">
            <v>27</v>
          </cell>
          <cell r="AA297">
            <v>28</v>
          </cell>
          <cell r="AB297">
            <v>30</v>
          </cell>
          <cell r="AC297">
            <v>32</v>
          </cell>
          <cell r="AD297">
            <v>32</v>
          </cell>
        </row>
        <row r="298">
          <cell r="D298" t="str">
            <v>이사</v>
          </cell>
          <cell r="E298">
            <v>82873</v>
          </cell>
          <cell r="F298">
            <v>0</v>
          </cell>
          <cell r="H298">
            <v>0.75</v>
          </cell>
          <cell r="I298">
            <v>0.8</v>
          </cell>
          <cell r="J298">
            <v>0.85</v>
          </cell>
          <cell r="K298">
            <v>0.9</v>
          </cell>
          <cell r="L298">
            <v>0.9</v>
          </cell>
          <cell r="M298">
            <v>71</v>
          </cell>
          <cell r="N298">
            <v>71</v>
          </cell>
          <cell r="O298">
            <v>70</v>
          </cell>
          <cell r="P298">
            <v>70</v>
          </cell>
          <cell r="Q298">
            <v>71</v>
          </cell>
          <cell r="R298">
            <v>73</v>
          </cell>
          <cell r="S298">
            <v>53</v>
          </cell>
          <cell r="T298">
            <v>53</v>
          </cell>
          <cell r="U298">
            <v>56</v>
          </cell>
          <cell r="V298">
            <v>60</v>
          </cell>
          <cell r="W298">
            <v>64</v>
          </cell>
          <cell r="X298">
            <v>66</v>
          </cell>
          <cell r="Y298">
            <v>53</v>
          </cell>
          <cell r="Z298">
            <v>53</v>
          </cell>
          <cell r="AA298">
            <v>56</v>
          </cell>
          <cell r="AB298">
            <v>60</v>
          </cell>
          <cell r="AC298">
            <v>64</v>
          </cell>
          <cell r="AD298">
            <v>66</v>
          </cell>
        </row>
        <row r="299">
          <cell r="C299" t="str">
            <v>산동리</v>
          </cell>
          <cell r="D299" t="str">
            <v>소계</v>
          </cell>
          <cell r="E299">
            <v>111135</v>
          </cell>
          <cell r="M299">
            <v>187</v>
          </cell>
          <cell r="N299">
            <v>187</v>
          </cell>
          <cell r="O299">
            <v>184</v>
          </cell>
          <cell r="P299">
            <v>182</v>
          </cell>
          <cell r="Q299">
            <v>187</v>
          </cell>
          <cell r="R299">
            <v>190</v>
          </cell>
          <cell r="S299">
            <v>140</v>
          </cell>
          <cell r="T299">
            <v>140</v>
          </cell>
          <cell r="U299">
            <v>147</v>
          </cell>
          <cell r="V299">
            <v>155</v>
          </cell>
          <cell r="W299">
            <v>168</v>
          </cell>
          <cell r="X299">
            <v>171</v>
          </cell>
          <cell r="Y299">
            <v>140</v>
          </cell>
          <cell r="Z299">
            <v>140</v>
          </cell>
          <cell r="AA299">
            <v>147</v>
          </cell>
          <cell r="AB299">
            <v>155</v>
          </cell>
          <cell r="AC299">
            <v>168</v>
          </cell>
          <cell r="AD299">
            <v>171</v>
          </cell>
        </row>
        <row r="300">
          <cell r="D300" t="str">
            <v>대교촌</v>
          </cell>
          <cell r="E300">
            <v>18209</v>
          </cell>
          <cell r="F300">
            <v>0</v>
          </cell>
          <cell r="H300">
            <v>0.75</v>
          </cell>
          <cell r="I300">
            <v>0.8</v>
          </cell>
          <cell r="J300">
            <v>0.85</v>
          </cell>
          <cell r="K300">
            <v>0.9</v>
          </cell>
          <cell r="L300">
            <v>0.9</v>
          </cell>
          <cell r="M300">
            <v>31</v>
          </cell>
          <cell r="N300">
            <v>31</v>
          </cell>
          <cell r="O300">
            <v>30</v>
          </cell>
          <cell r="P300">
            <v>30</v>
          </cell>
          <cell r="Q300">
            <v>31</v>
          </cell>
          <cell r="R300">
            <v>31</v>
          </cell>
          <cell r="S300">
            <v>23</v>
          </cell>
          <cell r="T300">
            <v>23</v>
          </cell>
          <cell r="U300">
            <v>24</v>
          </cell>
          <cell r="V300">
            <v>26</v>
          </cell>
          <cell r="W300">
            <v>28</v>
          </cell>
          <cell r="X300">
            <v>28</v>
          </cell>
          <cell r="Y300">
            <v>23</v>
          </cell>
          <cell r="Z300">
            <v>23</v>
          </cell>
          <cell r="AA300">
            <v>24</v>
          </cell>
          <cell r="AB300">
            <v>26</v>
          </cell>
          <cell r="AC300">
            <v>28</v>
          </cell>
          <cell r="AD300">
            <v>28</v>
          </cell>
        </row>
        <row r="301">
          <cell r="D301" t="str">
            <v>가름네</v>
          </cell>
          <cell r="E301">
            <v>21244</v>
          </cell>
          <cell r="F301">
            <v>0</v>
          </cell>
          <cell r="H301">
            <v>0.75</v>
          </cell>
          <cell r="I301">
            <v>0.8</v>
          </cell>
          <cell r="J301">
            <v>0.85</v>
          </cell>
          <cell r="K301">
            <v>0.9</v>
          </cell>
          <cell r="L301">
            <v>0.9</v>
          </cell>
          <cell r="M301">
            <v>36</v>
          </cell>
          <cell r="N301">
            <v>36</v>
          </cell>
          <cell r="O301">
            <v>35</v>
          </cell>
          <cell r="P301">
            <v>35</v>
          </cell>
          <cell r="Q301">
            <v>36</v>
          </cell>
          <cell r="R301">
            <v>36</v>
          </cell>
          <cell r="S301">
            <v>27</v>
          </cell>
          <cell r="T301">
            <v>27</v>
          </cell>
          <cell r="U301">
            <v>28</v>
          </cell>
          <cell r="V301">
            <v>30</v>
          </cell>
          <cell r="W301">
            <v>32</v>
          </cell>
          <cell r="X301">
            <v>32</v>
          </cell>
          <cell r="Y301">
            <v>27</v>
          </cell>
          <cell r="Z301">
            <v>27</v>
          </cell>
          <cell r="AA301">
            <v>28</v>
          </cell>
          <cell r="AB301">
            <v>30</v>
          </cell>
          <cell r="AC301">
            <v>32</v>
          </cell>
          <cell r="AD301">
            <v>32</v>
          </cell>
        </row>
        <row r="302">
          <cell r="D302" t="str">
            <v>호산</v>
          </cell>
          <cell r="E302">
            <v>71682</v>
          </cell>
          <cell r="F302">
            <v>0</v>
          </cell>
          <cell r="H302">
            <v>0.75</v>
          </cell>
          <cell r="I302">
            <v>0.8</v>
          </cell>
          <cell r="J302">
            <v>0.85</v>
          </cell>
          <cell r="K302">
            <v>0.9</v>
          </cell>
          <cell r="L302">
            <v>0.9</v>
          </cell>
          <cell r="M302">
            <v>120</v>
          </cell>
          <cell r="N302">
            <v>120</v>
          </cell>
          <cell r="O302">
            <v>119</v>
          </cell>
          <cell r="P302">
            <v>117</v>
          </cell>
          <cell r="Q302">
            <v>120</v>
          </cell>
          <cell r="R302">
            <v>123</v>
          </cell>
          <cell r="S302">
            <v>90</v>
          </cell>
          <cell r="T302">
            <v>90</v>
          </cell>
          <cell r="U302">
            <v>95</v>
          </cell>
          <cell r="V302">
            <v>99</v>
          </cell>
          <cell r="W302">
            <v>108</v>
          </cell>
          <cell r="X302">
            <v>111</v>
          </cell>
          <cell r="Y302">
            <v>90</v>
          </cell>
          <cell r="Z302">
            <v>90</v>
          </cell>
          <cell r="AA302">
            <v>95</v>
          </cell>
          <cell r="AB302">
            <v>99</v>
          </cell>
          <cell r="AC302">
            <v>108</v>
          </cell>
          <cell r="AD302">
            <v>111</v>
          </cell>
        </row>
        <row r="303">
          <cell r="C303" t="str">
            <v>천동리</v>
          </cell>
          <cell r="D303" t="str">
            <v>소계</v>
          </cell>
          <cell r="M303">
            <v>732</v>
          </cell>
          <cell r="N303">
            <v>734</v>
          </cell>
          <cell r="O303">
            <v>723</v>
          </cell>
          <cell r="P303">
            <v>714</v>
          </cell>
          <cell r="Q303">
            <v>730</v>
          </cell>
          <cell r="R303">
            <v>745</v>
          </cell>
          <cell r="S303">
            <v>48</v>
          </cell>
          <cell r="T303">
            <v>49</v>
          </cell>
          <cell r="U303">
            <v>578</v>
          </cell>
          <cell r="V303">
            <v>607</v>
          </cell>
          <cell r="W303">
            <v>657</v>
          </cell>
          <cell r="X303">
            <v>670</v>
          </cell>
          <cell r="Y303">
            <v>48</v>
          </cell>
          <cell r="Z303">
            <v>49</v>
          </cell>
          <cell r="AA303">
            <v>578</v>
          </cell>
          <cell r="AB303">
            <v>607</v>
          </cell>
          <cell r="AC303">
            <v>657</v>
          </cell>
          <cell r="AD303">
            <v>670</v>
          </cell>
        </row>
        <row r="304">
          <cell r="C304" t="str">
            <v>천동 1</v>
          </cell>
          <cell r="D304" t="str">
            <v>계</v>
          </cell>
          <cell r="M304">
            <v>239</v>
          </cell>
          <cell r="N304">
            <v>240</v>
          </cell>
          <cell r="O304">
            <v>236</v>
          </cell>
          <cell r="P304">
            <v>233</v>
          </cell>
          <cell r="Q304">
            <v>238</v>
          </cell>
          <cell r="R304">
            <v>243</v>
          </cell>
          <cell r="S304">
            <v>0</v>
          </cell>
          <cell r="T304">
            <v>0</v>
          </cell>
          <cell r="U304">
            <v>189</v>
          </cell>
          <cell r="V304">
            <v>198</v>
          </cell>
          <cell r="W304">
            <v>214</v>
          </cell>
          <cell r="X304">
            <v>219</v>
          </cell>
          <cell r="Y304">
            <v>0</v>
          </cell>
          <cell r="Z304">
            <v>0</v>
          </cell>
          <cell r="AA304">
            <v>189</v>
          </cell>
          <cell r="AB304">
            <v>198</v>
          </cell>
          <cell r="AC304">
            <v>214</v>
          </cell>
          <cell r="AD304">
            <v>219</v>
          </cell>
        </row>
        <row r="305">
          <cell r="D305" t="str">
            <v>소처</v>
          </cell>
          <cell r="F305">
            <v>1</v>
          </cell>
          <cell r="H305">
            <v>0.75</v>
          </cell>
          <cell r="I305">
            <v>0.8</v>
          </cell>
          <cell r="J305">
            <v>0.85</v>
          </cell>
          <cell r="K305">
            <v>0.9</v>
          </cell>
          <cell r="L305">
            <v>0.9</v>
          </cell>
          <cell r="M305">
            <v>239</v>
          </cell>
          <cell r="N305">
            <v>240</v>
          </cell>
          <cell r="O305">
            <v>236</v>
          </cell>
          <cell r="P305">
            <v>233</v>
          </cell>
          <cell r="Q305">
            <v>238</v>
          </cell>
          <cell r="R305">
            <v>243</v>
          </cell>
          <cell r="S305">
            <v>0</v>
          </cell>
          <cell r="T305">
            <v>0</v>
          </cell>
          <cell r="U305">
            <v>189</v>
          </cell>
          <cell r="V305">
            <v>198</v>
          </cell>
          <cell r="W305">
            <v>214</v>
          </cell>
          <cell r="X305">
            <v>219</v>
          </cell>
          <cell r="Y305">
            <v>0</v>
          </cell>
          <cell r="Z305">
            <v>0</v>
          </cell>
          <cell r="AA305">
            <v>189</v>
          </cell>
          <cell r="AB305">
            <v>198</v>
          </cell>
          <cell r="AC305">
            <v>214</v>
          </cell>
          <cell r="AD305">
            <v>219</v>
          </cell>
        </row>
        <row r="306">
          <cell r="C306" t="str">
            <v>천동 2</v>
          </cell>
          <cell r="D306" t="str">
            <v>계</v>
          </cell>
          <cell r="M306">
            <v>237</v>
          </cell>
          <cell r="N306">
            <v>237</v>
          </cell>
          <cell r="O306">
            <v>234</v>
          </cell>
          <cell r="P306">
            <v>231</v>
          </cell>
          <cell r="Q306">
            <v>236</v>
          </cell>
          <cell r="R306">
            <v>241</v>
          </cell>
          <cell r="S306">
            <v>0</v>
          </cell>
          <cell r="T306">
            <v>0</v>
          </cell>
          <cell r="U306">
            <v>187</v>
          </cell>
          <cell r="V306">
            <v>196</v>
          </cell>
          <cell r="W306">
            <v>212</v>
          </cell>
          <cell r="X306">
            <v>217</v>
          </cell>
          <cell r="Y306">
            <v>0</v>
          </cell>
          <cell r="Z306">
            <v>0</v>
          </cell>
          <cell r="AA306">
            <v>187</v>
          </cell>
          <cell r="AB306">
            <v>196</v>
          </cell>
          <cell r="AC306">
            <v>212</v>
          </cell>
          <cell r="AD306">
            <v>217</v>
          </cell>
        </row>
        <row r="307">
          <cell r="D307" t="str">
            <v>대중</v>
          </cell>
          <cell r="F307">
            <v>1</v>
          </cell>
          <cell r="H307">
            <v>0.75</v>
          </cell>
          <cell r="I307">
            <v>0.8</v>
          </cell>
          <cell r="J307">
            <v>0.85</v>
          </cell>
          <cell r="K307">
            <v>0.9</v>
          </cell>
          <cell r="L307">
            <v>0.9</v>
          </cell>
          <cell r="M307">
            <v>237</v>
          </cell>
          <cell r="N307">
            <v>237</v>
          </cell>
          <cell r="O307">
            <v>234</v>
          </cell>
          <cell r="P307">
            <v>231</v>
          </cell>
          <cell r="Q307">
            <v>236</v>
          </cell>
          <cell r="R307">
            <v>241</v>
          </cell>
          <cell r="S307">
            <v>0</v>
          </cell>
          <cell r="T307">
            <v>0</v>
          </cell>
          <cell r="U307">
            <v>187</v>
          </cell>
          <cell r="V307">
            <v>196</v>
          </cell>
          <cell r="W307">
            <v>212</v>
          </cell>
          <cell r="X307">
            <v>217</v>
          </cell>
          <cell r="Y307">
            <v>0</v>
          </cell>
          <cell r="Z307">
            <v>0</v>
          </cell>
          <cell r="AA307">
            <v>187</v>
          </cell>
          <cell r="AB307">
            <v>196</v>
          </cell>
          <cell r="AC307">
            <v>212</v>
          </cell>
          <cell r="AD307">
            <v>217</v>
          </cell>
        </row>
        <row r="308">
          <cell r="C308" t="str">
            <v>천동 3</v>
          </cell>
          <cell r="D308" t="str">
            <v>계</v>
          </cell>
          <cell r="M308">
            <v>163</v>
          </cell>
          <cell r="N308">
            <v>163</v>
          </cell>
          <cell r="O308">
            <v>161</v>
          </cell>
          <cell r="P308">
            <v>159</v>
          </cell>
          <cell r="Q308">
            <v>163</v>
          </cell>
          <cell r="R308">
            <v>166</v>
          </cell>
          <cell r="S308">
            <v>0</v>
          </cell>
          <cell r="T308">
            <v>0</v>
          </cell>
          <cell r="U308">
            <v>129</v>
          </cell>
          <cell r="V308">
            <v>135</v>
          </cell>
          <cell r="W308">
            <v>147</v>
          </cell>
          <cell r="X308">
            <v>149</v>
          </cell>
          <cell r="Y308">
            <v>0</v>
          </cell>
          <cell r="Z308">
            <v>0</v>
          </cell>
          <cell r="AA308">
            <v>129</v>
          </cell>
          <cell r="AB308">
            <v>135</v>
          </cell>
          <cell r="AC308">
            <v>147</v>
          </cell>
          <cell r="AD308">
            <v>149</v>
          </cell>
        </row>
        <row r="309">
          <cell r="D309" t="str">
            <v>소중</v>
          </cell>
          <cell r="F309">
            <v>1</v>
          </cell>
          <cell r="H309">
            <v>0.75</v>
          </cell>
          <cell r="I309">
            <v>0.8</v>
          </cell>
          <cell r="J309">
            <v>0.85</v>
          </cell>
          <cell r="K309">
            <v>0.9</v>
          </cell>
          <cell r="L309">
            <v>0.9</v>
          </cell>
          <cell r="M309">
            <v>163</v>
          </cell>
          <cell r="N309">
            <v>163</v>
          </cell>
          <cell r="O309">
            <v>161</v>
          </cell>
          <cell r="P309">
            <v>159</v>
          </cell>
          <cell r="Q309">
            <v>163</v>
          </cell>
          <cell r="R309">
            <v>166</v>
          </cell>
          <cell r="S309">
            <v>0</v>
          </cell>
          <cell r="T309">
            <v>0</v>
          </cell>
          <cell r="U309">
            <v>129</v>
          </cell>
          <cell r="V309">
            <v>135</v>
          </cell>
          <cell r="W309">
            <v>147</v>
          </cell>
          <cell r="X309">
            <v>149</v>
          </cell>
          <cell r="Y309">
            <v>0</v>
          </cell>
          <cell r="Z309">
            <v>0</v>
          </cell>
          <cell r="AA309">
            <v>129</v>
          </cell>
          <cell r="AB309">
            <v>135</v>
          </cell>
          <cell r="AC309">
            <v>147</v>
          </cell>
          <cell r="AD309">
            <v>149</v>
          </cell>
        </row>
        <row r="310">
          <cell r="C310" t="str">
            <v>천동 4</v>
          </cell>
          <cell r="D310" t="str">
            <v>계</v>
          </cell>
          <cell r="E310">
            <v>23243</v>
          </cell>
          <cell r="M310">
            <v>93</v>
          </cell>
          <cell r="N310">
            <v>94</v>
          </cell>
          <cell r="O310">
            <v>92</v>
          </cell>
          <cell r="P310">
            <v>91</v>
          </cell>
          <cell r="Q310">
            <v>93</v>
          </cell>
          <cell r="R310">
            <v>95</v>
          </cell>
          <cell r="S310">
            <v>48</v>
          </cell>
          <cell r="T310">
            <v>49</v>
          </cell>
          <cell r="U310">
            <v>73</v>
          </cell>
          <cell r="V310">
            <v>78</v>
          </cell>
          <cell r="W310">
            <v>84</v>
          </cell>
          <cell r="X310">
            <v>85</v>
          </cell>
          <cell r="Y310">
            <v>48</v>
          </cell>
          <cell r="Z310">
            <v>49</v>
          </cell>
          <cell r="AA310">
            <v>73</v>
          </cell>
          <cell r="AB310">
            <v>78</v>
          </cell>
          <cell r="AC310">
            <v>84</v>
          </cell>
          <cell r="AD310">
            <v>85</v>
          </cell>
        </row>
        <row r="311">
          <cell r="D311" t="str">
            <v>둥덩골</v>
          </cell>
          <cell r="E311">
            <v>7166</v>
          </cell>
          <cell r="F311">
            <v>1</v>
          </cell>
          <cell r="H311">
            <v>0.75</v>
          </cell>
          <cell r="I311">
            <v>0.8</v>
          </cell>
          <cell r="J311">
            <v>0.85</v>
          </cell>
          <cell r="K311">
            <v>0.9</v>
          </cell>
          <cell r="L311">
            <v>0.9</v>
          </cell>
          <cell r="M311">
            <v>29</v>
          </cell>
          <cell r="N311">
            <v>29</v>
          </cell>
          <cell r="O311">
            <v>28</v>
          </cell>
          <cell r="P311">
            <v>28</v>
          </cell>
          <cell r="Q311">
            <v>29</v>
          </cell>
          <cell r="R311">
            <v>29</v>
          </cell>
          <cell r="S311">
            <v>0</v>
          </cell>
          <cell r="T311">
            <v>0</v>
          </cell>
          <cell r="U311">
            <v>22</v>
          </cell>
          <cell r="V311">
            <v>24</v>
          </cell>
          <cell r="W311">
            <v>26</v>
          </cell>
          <cell r="X311">
            <v>26</v>
          </cell>
          <cell r="Y311">
            <v>0</v>
          </cell>
          <cell r="Z311">
            <v>0</v>
          </cell>
          <cell r="AA311">
            <v>22</v>
          </cell>
          <cell r="AB311">
            <v>24</v>
          </cell>
          <cell r="AC311">
            <v>26</v>
          </cell>
          <cell r="AD311">
            <v>26</v>
          </cell>
        </row>
        <row r="312">
          <cell r="D312" t="str">
            <v>회정</v>
          </cell>
          <cell r="E312">
            <v>16077</v>
          </cell>
          <cell r="F312">
            <v>0</v>
          </cell>
          <cell r="H312">
            <v>0.75</v>
          </cell>
          <cell r="I312">
            <v>0.8</v>
          </cell>
          <cell r="J312">
            <v>0.85</v>
          </cell>
          <cell r="K312">
            <v>0.9</v>
          </cell>
          <cell r="L312">
            <v>0.9</v>
          </cell>
          <cell r="M312">
            <v>64</v>
          </cell>
          <cell r="N312">
            <v>65</v>
          </cell>
          <cell r="O312">
            <v>64</v>
          </cell>
          <cell r="P312">
            <v>63</v>
          </cell>
          <cell r="Q312">
            <v>64</v>
          </cell>
          <cell r="R312">
            <v>66</v>
          </cell>
          <cell r="S312">
            <v>48</v>
          </cell>
          <cell r="T312">
            <v>49</v>
          </cell>
          <cell r="U312">
            <v>51</v>
          </cell>
          <cell r="V312">
            <v>54</v>
          </cell>
          <cell r="W312">
            <v>58</v>
          </cell>
          <cell r="X312">
            <v>59</v>
          </cell>
          <cell r="Y312">
            <v>48</v>
          </cell>
          <cell r="Z312">
            <v>49</v>
          </cell>
          <cell r="AA312">
            <v>51</v>
          </cell>
          <cell r="AB312">
            <v>54</v>
          </cell>
          <cell r="AC312">
            <v>58</v>
          </cell>
          <cell r="AD312">
            <v>59</v>
          </cell>
        </row>
        <row r="313">
          <cell r="C313" t="str">
            <v>왕전리</v>
          </cell>
          <cell r="D313" t="str">
            <v>소계</v>
          </cell>
          <cell r="M313">
            <v>566</v>
          </cell>
          <cell r="N313">
            <v>568</v>
          </cell>
          <cell r="O313">
            <v>559</v>
          </cell>
          <cell r="P313">
            <v>552</v>
          </cell>
          <cell r="Q313">
            <v>566</v>
          </cell>
          <cell r="R313">
            <v>576</v>
          </cell>
          <cell r="S313">
            <v>53</v>
          </cell>
          <cell r="T313">
            <v>53</v>
          </cell>
          <cell r="U313">
            <v>447</v>
          </cell>
          <cell r="V313">
            <v>469</v>
          </cell>
          <cell r="W313">
            <v>510</v>
          </cell>
          <cell r="X313">
            <v>518</v>
          </cell>
          <cell r="Y313">
            <v>53</v>
          </cell>
          <cell r="Z313">
            <v>53</v>
          </cell>
          <cell r="AA313">
            <v>447</v>
          </cell>
          <cell r="AB313">
            <v>469</v>
          </cell>
          <cell r="AC313">
            <v>510</v>
          </cell>
          <cell r="AD313">
            <v>518</v>
          </cell>
        </row>
        <row r="314">
          <cell r="C314" t="str">
            <v>왕전 1</v>
          </cell>
          <cell r="D314" t="str">
            <v>계</v>
          </cell>
          <cell r="M314">
            <v>401</v>
          </cell>
          <cell r="N314">
            <v>402</v>
          </cell>
          <cell r="O314">
            <v>396</v>
          </cell>
          <cell r="P314">
            <v>391</v>
          </cell>
          <cell r="Q314">
            <v>401</v>
          </cell>
          <cell r="R314">
            <v>408</v>
          </cell>
          <cell r="S314">
            <v>0</v>
          </cell>
          <cell r="U314">
            <v>317</v>
          </cell>
          <cell r="V314">
            <v>332</v>
          </cell>
          <cell r="W314">
            <v>361</v>
          </cell>
          <cell r="X314">
            <v>367</v>
          </cell>
          <cell r="Y314">
            <v>0</v>
          </cell>
          <cell r="AA314">
            <v>317</v>
          </cell>
          <cell r="AB314">
            <v>332</v>
          </cell>
          <cell r="AC314">
            <v>361</v>
          </cell>
          <cell r="AD314">
            <v>367</v>
          </cell>
        </row>
        <row r="315">
          <cell r="D315" t="str">
            <v>왕전</v>
          </cell>
          <cell r="F315">
            <v>1</v>
          </cell>
          <cell r="H315">
            <v>0.75</v>
          </cell>
          <cell r="I315">
            <v>0.8</v>
          </cell>
          <cell r="J315">
            <v>0.85</v>
          </cell>
          <cell r="K315">
            <v>0.9</v>
          </cell>
          <cell r="L315">
            <v>0.9</v>
          </cell>
          <cell r="M315">
            <v>401</v>
          </cell>
          <cell r="N315">
            <v>402</v>
          </cell>
          <cell r="O315">
            <v>396</v>
          </cell>
          <cell r="P315">
            <v>391</v>
          </cell>
          <cell r="Q315">
            <v>401</v>
          </cell>
          <cell r="R315">
            <v>408</v>
          </cell>
          <cell r="S315">
            <v>0</v>
          </cell>
          <cell r="T315">
            <v>0</v>
          </cell>
          <cell r="U315">
            <v>317</v>
          </cell>
          <cell r="V315">
            <v>332</v>
          </cell>
          <cell r="W315">
            <v>361</v>
          </cell>
          <cell r="X315">
            <v>367</v>
          </cell>
          <cell r="Y315">
            <v>0</v>
          </cell>
          <cell r="Z315">
            <v>0</v>
          </cell>
          <cell r="AA315">
            <v>317</v>
          </cell>
          <cell r="AB315">
            <v>332</v>
          </cell>
          <cell r="AC315">
            <v>361</v>
          </cell>
          <cell r="AD315">
            <v>367</v>
          </cell>
        </row>
        <row r="316">
          <cell r="C316" t="str">
            <v>왕전 2</v>
          </cell>
          <cell r="D316" t="str">
            <v>계</v>
          </cell>
          <cell r="M316">
            <v>71</v>
          </cell>
          <cell r="N316">
            <v>71</v>
          </cell>
          <cell r="O316">
            <v>70</v>
          </cell>
          <cell r="P316">
            <v>69</v>
          </cell>
          <cell r="Q316">
            <v>71</v>
          </cell>
          <cell r="R316">
            <v>72</v>
          </cell>
          <cell r="S316">
            <v>53</v>
          </cell>
          <cell r="T316">
            <v>53</v>
          </cell>
          <cell r="U316">
            <v>56</v>
          </cell>
          <cell r="V316">
            <v>59</v>
          </cell>
          <cell r="W316">
            <v>64</v>
          </cell>
          <cell r="X316">
            <v>65</v>
          </cell>
          <cell r="Y316">
            <v>53</v>
          </cell>
          <cell r="Z316">
            <v>53</v>
          </cell>
          <cell r="AA316">
            <v>56</v>
          </cell>
          <cell r="AB316">
            <v>59</v>
          </cell>
          <cell r="AC316">
            <v>64</v>
          </cell>
          <cell r="AD316">
            <v>65</v>
          </cell>
        </row>
        <row r="317">
          <cell r="D317" t="str">
            <v>장호</v>
          </cell>
          <cell r="F317">
            <v>0</v>
          </cell>
          <cell r="H317">
            <v>0.75</v>
          </cell>
          <cell r="I317">
            <v>0.8</v>
          </cell>
          <cell r="J317">
            <v>0.85</v>
          </cell>
          <cell r="K317">
            <v>0.9</v>
          </cell>
          <cell r="L317">
            <v>0.9</v>
          </cell>
          <cell r="M317">
            <v>71</v>
          </cell>
          <cell r="N317">
            <v>71</v>
          </cell>
          <cell r="O317">
            <v>70</v>
          </cell>
          <cell r="P317">
            <v>69</v>
          </cell>
          <cell r="Q317">
            <v>71</v>
          </cell>
          <cell r="R317">
            <v>72</v>
          </cell>
          <cell r="S317">
            <v>53</v>
          </cell>
          <cell r="T317">
            <v>53</v>
          </cell>
          <cell r="U317">
            <v>56</v>
          </cell>
          <cell r="V317">
            <v>59</v>
          </cell>
          <cell r="W317">
            <v>64</v>
          </cell>
          <cell r="X317">
            <v>65</v>
          </cell>
          <cell r="Y317">
            <v>53</v>
          </cell>
          <cell r="Z317">
            <v>53</v>
          </cell>
          <cell r="AA317">
            <v>56</v>
          </cell>
          <cell r="AB317">
            <v>59</v>
          </cell>
          <cell r="AC317">
            <v>64</v>
          </cell>
          <cell r="AD317">
            <v>65</v>
          </cell>
        </row>
        <row r="318">
          <cell r="C318" t="str">
            <v>왕전 3</v>
          </cell>
          <cell r="D318" t="str">
            <v>계</v>
          </cell>
          <cell r="M318">
            <v>94</v>
          </cell>
          <cell r="N318">
            <v>95</v>
          </cell>
          <cell r="O318">
            <v>93</v>
          </cell>
          <cell r="P318">
            <v>92</v>
          </cell>
          <cell r="Q318">
            <v>94</v>
          </cell>
          <cell r="R318">
            <v>96</v>
          </cell>
          <cell r="S318">
            <v>0</v>
          </cell>
          <cell r="T318">
            <v>0</v>
          </cell>
          <cell r="U318">
            <v>74</v>
          </cell>
          <cell r="V318">
            <v>78</v>
          </cell>
          <cell r="W318">
            <v>85</v>
          </cell>
          <cell r="X318">
            <v>86</v>
          </cell>
          <cell r="Y318">
            <v>0</v>
          </cell>
          <cell r="Z318">
            <v>0</v>
          </cell>
          <cell r="AA318">
            <v>74</v>
          </cell>
          <cell r="AB318">
            <v>78</v>
          </cell>
          <cell r="AC318">
            <v>85</v>
          </cell>
          <cell r="AD318">
            <v>86</v>
          </cell>
        </row>
        <row r="319">
          <cell r="D319" t="str">
            <v>마두</v>
          </cell>
          <cell r="F319">
            <v>1</v>
          </cell>
          <cell r="H319">
            <v>0.75</v>
          </cell>
          <cell r="I319">
            <v>0.8</v>
          </cell>
          <cell r="J319">
            <v>0.85</v>
          </cell>
          <cell r="K319">
            <v>0.9</v>
          </cell>
          <cell r="L319">
            <v>0.9</v>
          </cell>
          <cell r="M319">
            <v>94</v>
          </cell>
          <cell r="N319">
            <v>95</v>
          </cell>
          <cell r="O319">
            <v>93</v>
          </cell>
          <cell r="P319">
            <v>92</v>
          </cell>
          <cell r="Q319">
            <v>94</v>
          </cell>
          <cell r="R319">
            <v>96</v>
          </cell>
          <cell r="S319">
            <v>0</v>
          </cell>
          <cell r="T319">
            <v>0</v>
          </cell>
          <cell r="U319">
            <v>74</v>
          </cell>
          <cell r="V319">
            <v>78</v>
          </cell>
          <cell r="W319">
            <v>85</v>
          </cell>
          <cell r="X319">
            <v>86</v>
          </cell>
          <cell r="Y319">
            <v>0</v>
          </cell>
          <cell r="Z319">
            <v>0</v>
          </cell>
          <cell r="AA319">
            <v>74</v>
          </cell>
          <cell r="AB319">
            <v>78</v>
          </cell>
          <cell r="AC319">
            <v>85</v>
          </cell>
          <cell r="AD319">
            <v>86</v>
          </cell>
        </row>
        <row r="320">
          <cell r="C320" t="str">
            <v>항월리</v>
          </cell>
          <cell r="D320" t="str">
            <v>소계</v>
          </cell>
          <cell r="M320">
            <v>447</v>
          </cell>
          <cell r="N320">
            <v>447</v>
          </cell>
          <cell r="O320">
            <v>441</v>
          </cell>
          <cell r="P320">
            <v>436</v>
          </cell>
          <cell r="Q320">
            <v>447</v>
          </cell>
          <cell r="R320">
            <v>454</v>
          </cell>
          <cell r="S320">
            <v>0</v>
          </cell>
          <cell r="T320">
            <v>0</v>
          </cell>
          <cell r="U320">
            <v>354</v>
          </cell>
          <cell r="V320">
            <v>372</v>
          </cell>
          <cell r="W320">
            <v>403</v>
          </cell>
          <cell r="X320">
            <v>409</v>
          </cell>
          <cell r="Y320">
            <v>0</v>
          </cell>
          <cell r="Z320">
            <v>0</v>
          </cell>
          <cell r="AA320">
            <v>354</v>
          </cell>
          <cell r="AB320">
            <v>372</v>
          </cell>
          <cell r="AC320">
            <v>403</v>
          </cell>
          <cell r="AD320">
            <v>409</v>
          </cell>
        </row>
        <row r="321">
          <cell r="C321" t="str">
            <v>항월 1</v>
          </cell>
          <cell r="D321" t="str">
            <v>계</v>
          </cell>
          <cell r="M321">
            <v>154</v>
          </cell>
          <cell r="N321">
            <v>154</v>
          </cell>
          <cell r="O321">
            <v>152</v>
          </cell>
          <cell r="P321">
            <v>150</v>
          </cell>
          <cell r="Q321">
            <v>154</v>
          </cell>
          <cell r="R321">
            <v>156</v>
          </cell>
          <cell r="S321">
            <v>0</v>
          </cell>
          <cell r="T321">
            <v>0</v>
          </cell>
          <cell r="U321">
            <v>122</v>
          </cell>
          <cell r="V321">
            <v>128</v>
          </cell>
          <cell r="W321">
            <v>139</v>
          </cell>
          <cell r="X321">
            <v>140</v>
          </cell>
          <cell r="Y321">
            <v>0</v>
          </cell>
          <cell r="Z321">
            <v>0</v>
          </cell>
          <cell r="AA321">
            <v>122</v>
          </cell>
          <cell r="AB321">
            <v>128</v>
          </cell>
          <cell r="AC321">
            <v>139</v>
          </cell>
          <cell r="AD321">
            <v>140</v>
          </cell>
        </row>
        <row r="322">
          <cell r="D322" t="str">
            <v>풋개</v>
          </cell>
          <cell r="F322">
            <v>1</v>
          </cell>
          <cell r="H322">
            <v>0.75</v>
          </cell>
          <cell r="I322">
            <v>0.8</v>
          </cell>
          <cell r="J322">
            <v>0.85</v>
          </cell>
          <cell r="K322">
            <v>0.9</v>
          </cell>
          <cell r="L322">
            <v>0.9</v>
          </cell>
          <cell r="M322">
            <v>154</v>
          </cell>
          <cell r="N322">
            <v>154</v>
          </cell>
          <cell r="O322">
            <v>152</v>
          </cell>
          <cell r="P322">
            <v>150</v>
          </cell>
          <cell r="Q322">
            <v>154</v>
          </cell>
          <cell r="R322">
            <v>156</v>
          </cell>
          <cell r="S322">
            <v>0</v>
          </cell>
          <cell r="T322">
            <v>0</v>
          </cell>
          <cell r="U322">
            <v>122</v>
          </cell>
          <cell r="V322">
            <v>128</v>
          </cell>
          <cell r="W322">
            <v>139</v>
          </cell>
          <cell r="X322">
            <v>140</v>
          </cell>
          <cell r="Y322">
            <v>0</v>
          </cell>
          <cell r="Z322">
            <v>0</v>
          </cell>
          <cell r="AA322">
            <v>122</v>
          </cell>
          <cell r="AB322">
            <v>128</v>
          </cell>
          <cell r="AC322">
            <v>139</v>
          </cell>
          <cell r="AD322">
            <v>140</v>
          </cell>
        </row>
        <row r="323">
          <cell r="C323" t="str">
            <v>항월 2</v>
          </cell>
          <cell r="D323" t="str">
            <v>계</v>
          </cell>
          <cell r="E323">
            <v>53939</v>
          </cell>
          <cell r="M323">
            <v>123</v>
          </cell>
          <cell r="N323">
            <v>123</v>
          </cell>
          <cell r="O323">
            <v>121</v>
          </cell>
          <cell r="P323">
            <v>120</v>
          </cell>
          <cell r="Q323">
            <v>123</v>
          </cell>
          <cell r="R323">
            <v>125</v>
          </cell>
          <cell r="S323">
            <v>0</v>
          </cell>
          <cell r="T323">
            <v>0</v>
          </cell>
          <cell r="U323">
            <v>97</v>
          </cell>
          <cell r="V323">
            <v>103</v>
          </cell>
          <cell r="W323">
            <v>111</v>
          </cell>
          <cell r="X323">
            <v>113</v>
          </cell>
          <cell r="Y323">
            <v>0</v>
          </cell>
          <cell r="Z323">
            <v>0</v>
          </cell>
          <cell r="AA323">
            <v>97</v>
          </cell>
          <cell r="AB323">
            <v>103</v>
          </cell>
          <cell r="AC323">
            <v>111</v>
          </cell>
          <cell r="AD323">
            <v>113</v>
          </cell>
        </row>
        <row r="324">
          <cell r="D324" t="str">
            <v>오류동</v>
          </cell>
          <cell r="E324">
            <v>40335</v>
          </cell>
          <cell r="F324">
            <v>1</v>
          </cell>
          <cell r="H324">
            <v>0.75</v>
          </cell>
          <cell r="I324">
            <v>0.8</v>
          </cell>
          <cell r="J324">
            <v>0.85</v>
          </cell>
          <cell r="K324">
            <v>0.9</v>
          </cell>
          <cell r="L324">
            <v>0.9</v>
          </cell>
          <cell r="M324">
            <v>92</v>
          </cell>
          <cell r="N324">
            <v>92</v>
          </cell>
          <cell r="O324">
            <v>90</v>
          </cell>
          <cell r="P324">
            <v>90</v>
          </cell>
          <cell r="Q324">
            <v>92</v>
          </cell>
          <cell r="R324">
            <v>93</v>
          </cell>
          <cell r="S324">
            <v>0</v>
          </cell>
          <cell r="T324">
            <v>0</v>
          </cell>
          <cell r="U324">
            <v>72</v>
          </cell>
          <cell r="V324">
            <v>77</v>
          </cell>
          <cell r="W324">
            <v>83</v>
          </cell>
          <cell r="X324">
            <v>84</v>
          </cell>
          <cell r="Y324">
            <v>0</v>
          </cell>
          <cell r="Z324">
            <v>0</v>
          </cell>
          <cell r="AA324">
            <v>72</v>
          </cell>
          <cell r="AB324">
            <v>77</v>
          </cell>
          <cell r="AC324">
            <v>83</v>
          </cell>
          <cell r="AD324">
            <v>84</v>
          </cell>
        </row>
        <row r="325">
          <cell r="D325" t="str">
            <v>망정</v>
          </cell>
          <cell r="E325">
            <v>13604</v>
          </cell>
          <cell r="F325">
            <v>1</v>
          </cell>
          <cell r="H325">
            <v>0.75</v>
          </cell>
          <cell r="I325">
            <v>0.8</v>
          </cell>
          <cell r="J325">
            <v>0.85</v>
          </cell>
          <cell r="K325">
            <v>0.9</v>
          </cell>
          <cell r="L325">
            <v>0.9</v>
          </cell>
          <cell r="M325">
            <v>31</v>
          </cell>
          <cell r="N325">
            <v>31</v>
          </cell>
          <cell r="O325">
            <v>31</v>
          </cell>
          <cell r="P325">
            <v>30</v>
          </cell>
          <cell r="Q325">
            <v>31</v>
          </cell>
          <cell r="R325">
            <v>32</v>
          </cell>
          <cell r="S325">
            <v>0</v>
          </cell>
          <cell r="T325">
            <v>0</v>
          </cell>
          <cell r="U325">
            <v>25</v>
          </cell>
          <cell r="V325">
            <v>26</v>
          </cell>
          <cell r="W325">
            <v>28</v>
          </cell>
          <cell r="X325">
            <v>29</v>
          </cell>
          <cell r="Y325">
            <v>0</v>
          </cell>
          <cell r="Z325">
            <v>0</v>
          </cell>
          <cell r="AA325">
            <v>25</v>
          </cell>
          <cell r="AB325">
            <v>26</v>
          </cell>
          <cell r="AC325">
            <v>28</v>
          </cell>
          <cell r="AD325">
            <v>29</v>
          </cell>
        </row>
        <row r="326">
          <cell r="C326" t="str">
            <v>항월 3</v>
          </cell>
          <cell r="D326" t="str">
            <v>계</v>
          </cell>
          <cell r="M326">
            <v>82</v>
          </cell>
          <cell r="N326">
            <v>82</v>
          </cell>
          <cell r="O326">
            <v>81</v>
          </cell>
          <cell r="P326">
            <v>80</v>
          </cell>
          <cell r="Q326">
            <v>82</v>
          </cell>
          <cell r="R326">
            <v>83</v>
          </cell>
          <cell r="S326">
            <v>0</v>
          </cell>
          <cell r="T326">
            <v>0</v>
          </cell>
          <cell r="U326">
            <v>65</v>
          </cell>
          <cell r="V326">
            <v>68</v>
          </cell>
          <cell r="W326">
            <v>74</v>
          </cell>
          <cell r="X326">
            <v>75</v>
          </cell>
          <cell r="Y326">
            <v>0</v>
          </cell>
          <cell r="Z326">
            <v>0</v>
          </cell>
          <cell r="AA326">
            <v>65</v>
          </cell>
          <cell r="AB326">
            <v>68</v>
          </cell>
          <cell r="AC326">
            <v>74</v>
          </cell>
          <cell r="AD326">
            <v>75</v>
          </cell>
        </row>
        <row r="327">
          <cell r="D327" t="str">
            <v>대동</v>
          </cell>
          <cell r="F327">
            <v>1</v>
          </cell>
          <cell r="H327">
            <v>0.75</v>
          </cell>
          <cell r="I327">
            <v>0.8</v>
          </cell>
          <cell r="J327">
            <v>0.85</v>
          </cell>
          <cell r="K327">
            <v>0.9</v>
          </cell>
          <cell r="L327">
            <v>0.9</v>
          </cell>
          <cell r="M327">
            <v>82</v>
          </cell>
          <cell r="N327">
            <v>82</v>
          </cell>
          <cell r="O327">
            <v>81</v>
          </cell>
          <cell r="P327">
            <v>80</v>
          </cell>
          <cell r="Q327">
            <v>82</v>
          </cell>
          <cell r="R327">
            <v>83</v>
          </cell>
          <cell r="S327">
            <v>0</v>
          </cell>
          <cell r="T327">
            <v>0</v>
          </cell>
          <cell r="U327">
            <v>65</v>
          </cell>
          <cell r="V327">
            <v>68</v>
          </cell>
          <cell r="W327">
            <v>74</v>
          </cell>
          <cell r="X327">
            <v>75</v>
          </cell>
          <cell r="Y327">
            <v>0</v>
          </cell>
          <cell r="Z327">
            <v>0</v>
          </cell>
          <cell r="AA327">
            <v>65</v>
          </cell>
          <cell r="AB327">
            <v>68</v>
          </cell>
          <cell r="AC327">
            <v>74</v>
          </cell>
          <cell r="AD327">
            <v>75</v>
          </cell>
        </row>
        <row r="328">
          <cell r="C328" t="str">
            <v>항월 4</v>
          </cell>
          <cell r="D328" t="str">
            <v>계</v>
          </cell>
          <cell r="E328">
            <v>33469</v>
          </cell>
          <cell r="M328">
            <v>88</v>
          </cell>
          <cell r="N328">
            <v>88</v>
          </cell>
          <cell r="O328">
            <v>87</v>
          </cell>
          <cell r="P328">
            <v>86</v>
          </cell>
          <cell r="Q328">
            <v>88</v>
          </cell>
          <cell r="R328">
            <v>90</v>
          </cell>
          <cell r="S328">
            <v>0</v>
          </cell>
          <cell r="T328">
            <v>0</v>
          </cell>
          <cell r="U328">
            <v>70</v>
          </cell>
          <cell r="V328">
            <v>73</v>
          </cell>
          <cell r="W328">
            <v>79</v>
          </cell>
          <cell r="X328">
            <v>81</v>
          </cell>
          <cell r="Y328">
            <v>0</v>
          </cell>
          <cell r="Z328">
            <v>0</v>
          </cell>
          <cell r="AA328">
            <v>70</v>
          </cell>
          <cell r="AB328">
            <v>73</v>
          </cell>
          <cell r="AC328">
            <v>79</v>
          </cell>
          <cell r="AD328">
            <v>81</v>
          </cell>
        </row>
        <row r="329">
          <cell r="D329" t="str">
            <v>시변</v>
          </cell>
          <cell r="E329">
            <v>21384</v>
          </cell>
          <cell r="F329">
            <v>1</v>
          </cell>
          <cell r="H329">
            <v>0.75</v>
          </cell>
          <cell r="I329">
            <v>0.8</v>
          </cell>
          <cell r="J329">
            <v>0.85</v>
          </cell>
          <cell r="K329">
            <v>0.9</v>
          </cell>
          <cell r="L329">
            <v>0.9</v>
          </cell>
          <cell r="M329">
            <v>56</v>
          </cell>
          <cell r="N329">
            <v>56</v>
          </cell>
          <cell r="O329">
            <v>56</v>
          </cell>
          <cell r="P329">
            <v>55</v>
          </cell>
          <cell r="Q329">
            <v>56</v>
          </cell>
          <cell r="R329">
            <v>58</v>
          </cell>
          <cell r="S329">
            <v>0</v>
          </cell>
          <cell r="T329">
            <v>0</v>
          </cell>
          <cell r="U329">
            <v>45</v>
          </cell>
          <cell r="V329">
            <v>47</v>
          </cell>
          <cell r="W329">
            <v>50</v>
          </cell>
          <cell r="X329">
            <v>52</v>
          </cell>
          <cell r="Y329">
            <v>0</v>
          </cell>
          <cell r="Z329">
            <v>0</v>
          </cell>
          <cell r="AA329">
            <v>45</v>
          </cell>
          <cell r="AB329">
            <v>47</v>
          </cell>
          <cell r="AC329">
            <v>50</v>
          </cell>
          <cell r="AD329">
            <v>52</v>
          </cell>
        </row>
        <row r="330">
          <cell r="D330" t="str">
            <v>항월</v>
          </cell>
          <cell r="E330">
            <v>12085</v>
          </cell>
          <cell r="F330">
            <v>1</v>
          </cell>
          <cell r="H330">
            <v>0.75</v>
          </cell>
          <cell r="I330">
            <v>0.8</v>
          </cell>
          <cell r="J330">
            <v>0.85</v>
          </cell>
          <cell r="K330">
            <v>0.9</v>
          </cell>
          <cell r="L330">
            <v>0.9</v>
          </cell>
          <cell r="M330">
            <v>32</v>
          </cell>
          <cell r="N330">
            <v>32</v>
          </cell>
          <cell r="O330">
            <v>31</v>
          </cell>
          <cell r="P330">
            <v>31</v>
          </cell>
          <cell r="Q330">
            <v>32</v>
          </cell>
          <cell r="R330">
            <v>32</v>
          </cell>
          <cell r="S330">
            <v>0</v>
          </cell>
          <cell r="T330">
            <v>0</v>
          </cell>
          <cell r="U330">
            <v>25</v>
          </cell>
          <cell r="V330">
            <v>26</v>
          </cell>
          <cell r="W330">
            <v>29</v>
          </cell>
          <cell r="X330">
            <v>29</v>
          </cell>
          <cell r="Y330">
            <v>0</v>
          </cell>
          <cell r="Z330">
            <v>0</v>
          </cell>
          <cell r="AA330">
            <v>25</v>
          </cell>
          <cell r="AB330">
            <v>26</v>
          </cell>
          <cell r="AC330">
            <v>29</v>
          </cell>
          <cell r="AD330">
            <v>29</v>
          </cell>
        </row>
        <row r="331">
          <cell r="C331" t="str">
            <v>사월리</v>
          </cell>
          <cell r="D331" t="str">
            <v>소계</v>
          </cell>
          <cell r="M331">
            <v>372</v>
          </cell>
          <cell r="N331">
            <v>373</v>
          </cell>
          <cell r="O331">
            <v>367</v>
          </cell>
          <cell r="P331">
            <v>363</v>
          </cell>
          <cell r="Q331">
            <v>371</v>
          </cell>
          <cell r="R331">
            <v>379</v>
          </cell>
          <cell r="S331">
            <v>0</v>
          </cell>
          <cell r="T331">
            <v>0</v>
          </cell>
          <cell r="U331">
            <v>0</v>
          </cell>
          <cell r="V331">
            <v>308</v>
          </cell>
          <cell r="W331">
            <v>334</v>
          </cell>
          <cell r="X331">
            <v>341</v>
          </cell>
          <cell r="Y331">
            <v>0</v>
          </cell>
          <cell r="Z331">
            <v>0</v>
          </cell>
          <cell r="AA331">
            <v>0</v>
          </cell>
          <cell r="AB331">
            <v>308</v>
          </cell>
          <cell r="AC331">
            <v>334</v>
          </cell>
          <cell r="AD331">
            <v>341</v>
          </cell>
        </row>
        <row r="332">
          <cell r="C332" t="str">
            <v>사월 1</v>
          </cell>
          <cell r="D332" t="str">
            <v>계</v>
          </cell>
          <cell r="M332">
            <v>162</v>
          </cell>
          <cell r="N332">
            <v>162</v>
          </cell>
          <cell r="O332">
            <v>160</v>
          </cell>
          <cell r="P332">
            <v>158</v>
          </cell>
          <cell r="Q332">
            <v>162</v>
          </cell>
          <cell r="R332">
            <v>165</v>
          </cell>
          <cell r="S332">
            <v>0</v>
          </cell>
          <cell r="T332">
            <v>0</v>
          </cell>
          <cell r="U332">
            <v>0</v>
          </cell>
          <cell r="V332">
            <v>134</v>
          </cell>
          <cell r="W332">
            <v>146</v>
          </cell>
          <cell r="X332">
            <v>149</v>
          </cell>
          <cell r="Y332">
            <v>0</v>
          </cell>
          <cell r="Z332">
            <v>0</v>
          </cell>
          <cell r="AA332">
            <v>0</v>
          </cell>
          <cell r="AB332">
            <v>134</v>
          </cell>
          <cell r="AC332">
            <v>146</v>
          </cell>
          <cell r="AD332">
            <v>149</v>
          </cell>
        </row>
        <row r="333">
          <cell r="D333" t="str">
            <v>사월</v>
          </cell>
          <cell r="F333">
            <v>2</v>
          </cell>
          <cell r="H333">
            <v>0.75</v>
          </cell>
          <cell r="I333">
            <v>0.8</v>
          </cell>
          <cell r="J333">
            <v>0.85</v>
          </cell>
          <cell r="K333">
            <v>0.9</v>
          </cell>
          <cell r="L333">
            <v>0.9</v>
          </cell>
          <cell r="M333">
            <v>162</v>
          </cell>
          <cell r="N333">
            <v>162</v>
          </cell>
          <cell r="O333">
            <v>160</v>
          </cell>
          <cell r="P333">
            <v>158</v>
          </cell>
          <cell r="Q333">
            <v>162</v>
          </cell>
          <cell r="R333">
            <v>165</v>
          </cell>
          <cell r="S333">
            <v>0</v>
          </cell>
          <cell r="T333">
            <v>0</v>
          </cell>
          <cell r="U333">
            <v>0</v>
          </cell>
          <cell r="V333">
            <v>134</v>
          </cell>
          <cell r="W333">
            <v>146</v>
          </cell>
          <cell r="X333">
            <v>149</v>
          </cell>
          <cell r="Y333">
            <v>0</v>
          </cell>
          <cell r="Z333">
            <v>0</v>
          </cell>
          <cell r="AA333">
            <v>0</v>
          </cell>
          <cell r="AB333">
            <v>134</v>
          </cell>
          <cell r="AC333">
            <v>146</v>
          </cell>
          <cell r="AD333">
            <v>149</v>
          </cell>
        </row>
        <row r="334">
          <cell r="C334" t="str">
            <v>사월 2</v>
          </cell>
          <cell r="D334" t="str">
            <v>계</v>
          </cell>
          <cell r="M334">
            <v>95</v>
          </cell>
          <cell r="N334">
            <v>96</v>
          </cell>
          <cell r="O334">
            <v>94</v>
          </cell>
          <cell r="P334">
            <v>93</v>
          </cell>
          <cell r="Q334">
            <v>95</v>
          </cell>
          <cell r="R334">
            <v>97</v>
          </cell>
          <cell r="S334">
            <v>0</v>
          </cell>
          <cell r="T334">
            <v>0</v>
          </cell>
          <cell r="U334">
            <v>0</v>
          </cell>
          <cell r="V334">
            <v>79</v>
          </cell>
          <cell r="W334">
            <v>86</v>
          </cell>
          <cell r="X334">
            <v>87</v>
          </cell>
          <cell r="Y334">
            <v>0</v>
          </cell>
          <cell r="Z334">
            <v>0</v>
          </cell>
          <cell r="AA334">
            <v>0</v>
          </cell>
          <cell r="AB334">
            <v>79</v>
          </cell>
          <cell r="AC334">
            <v>86</v>
          </cell>
          <cell r="AD334">
            <v>87</v>
          </cell>
        </row>
        <row r="335">
          <cell r="D335" t="str">
            <v>월리</v>
          </cell>
          <cell r="F335">
            <v>2</v>
          </cell>
          <cell r="H335">
            <v>0.75</v>
          </cell>
          <cell r="I335">
            <v>0.8</v>
          </cell>
          <cell r="J335">
            <v>0.85</v>
          </cell>
          <cell r="K335">
            <v>0.9</v>
          </cell>
          <cell r="L335">
            <v>0.9</v>
          </cell>
          <cell r="M335">
            <v>95</v>
          </cell>
          <cell r="N335">
            <v>96</v>
          </cell>
          <cell r="O335">
            <v>94</v>
          </cell>
          <cell r="P335">
            <v>93</v>
          </cell>
          <cell r="Q335">
            <v>95</v>
          </cell>
          <cell r="R335">
            <v>97</v>
          </cell>
          <cell r="S335">
            <v>0</v>
          </cell>
          <cell r="T335">
            <v>0</v>
          </cell>
          <cell r="U335">
            <v>0</v>
          </cell>
          <cell r="V335">
            <v>79</v>
          </cell>
          <cell r="W335">
            <v>86</v>
          </cell>
          <cell r="X335">
            <v>87</v>
          </cell>
          <cell r="Y335">
            <v>0</v>
          </cell>
          <cell r="Z335">
            <v>0</v>
          </cell>
          <cell r="AA335">
            <v>0</v>
          </cell>
          <cell r="AB335">
            <v>79</v>
          </cell>
          <cell r="AC335">
            <v>86</v>
          </cell>
          <cell r="AD335">
            <v>87</v>
          </cell>
        </row>
        <row r="336">
          <cell r="C336" t="str">
            <v>사월 3</v>
          </cell>
          <cell r="D336" t="str">
            <v>계</v>
          </cell>
          <cell r="E336">
            <v>60987</v>
          </cell>
          <cell r="M336">
            <v>115</v>
          </cell>
          <cell r="N336">
            <v>115</v>
          </cell>
          <cell r="O336">
            <v>113</v>
          </cell>
          <cell r="P336">
            <v>112</v>
          </cell>
          <cell r="Q336">
            <v>114</v>
          </cell>
          <cell r="R336">
            <v>117</v>
          </cell>
          <cell r="S336">
            <v>0</v>
          </cell>
          <cell r="T336">
            <v>0</v>
          </cell>
          <cell r="U336">
            <v>0</v>
          </cell>
          <cell r="V336">
            <v>95</v>
          </cell>
          <cell r="W336">
            <v>102</v>
          </cell>
          <cell r="X336">
            <v>105</v>
          </cell>
          <cell r="Y336">
            <v>0</v>
          </cell>
          <cell r="Z336">
            <v>0</v>
          </cell>
          <cell r="AA336">
            <v>0</v>
          </cell>
          <cell r="AB336">
            <v>95</v>
          </cell>
          <cell r="AC336">
            <v>102</v>
          </cell>
          <cell r="AD336">
            <v>105</v>
          </cell>
        </row>
        <row r="337">
          <cell r="D337" t="str">
            <v>안살미</v>
          </cell>
          <cell r="E337">
            <v>51714</v>
          </cell>
          <cell r="F337">
            <v>2</v>
          </cell>
          <cell r="H337">
            <v>0.75</v>
          </cell>
          <cell r="I337">
            <v>0.8</v>
          </cell>
          <cell r="J337">
            <v>0.85</v>
          </cell>
          <cell r="K337">
            <v>0.9</v>
          </cell>
          <cell r="L337">
            <v>0.9</v>
          </cell>
          <cell r="M337">
            <v>98</v>
          </cell>
          <cell r="N337">
            <v>98</v>
          </cell>
          <cell r="O337">
            <v>96</v>
          </cell>
          <cell r="P337">
            <v>95</v>
          </cell>
          <cell r="Q337">
            <v>97</v>
          </cell>
          <cell r="R337">
            <v>99</v>
          </cell>
          <cell r="S337">
            <v>0</v>
          </cell>
          <cell r="T337">
            <v>0</v>
          </cell>
          <cell r="U337">
            <v>0</v>
          </cell>
          <cell r="V337">
            <v>81</v>
          </cell>
          <cell r="W337">
            <v>87</v>
          </cell>
          <cell r="X337">
            <v>89</v>
          </cell>
          <cell r="Y337">
            <v>0</v>
          </cell>
          <cell r="Z337">
            <v>0</v>
          </cell>
          <cell r="AA337">
            <v>0</v>
          </cell>
          <cell r="AB337">
            <v>81</v>
          </cell>
          <cell r="AC337">
            <v>87</v>
          </cell>
          <cell r="AD337">
            <v>89</v>
          </cell>
        </row>
        <row r="338">
          <cell r="D338" t="str">
            <v>헛골</v>
          </cell>
          <cell r="E338">
            <v>9273</v>
          </cell>
          <cell r="F338">
            <v>2</v>
          </cell>
          <cell r="H338">
            <v>0.75</v>
          </cell>
          <cell r="I338">
            <v>0.8</v>
          </cell>
          <cell r="J338">
            <v>0.85</v>
          </cell>
          <cell r="K338">
            <v>0.9</v>
          </cell>
          <cell r="L338">
            <v>0.9</v>
          </cell>
          <cell r="M338">
            <v>17</v>
          </cell>
          <cell r="N338">
            <v>17</v>
          </cell>
          <cell r="O338">
            <v>17</v>
          </cell>
          <cell r="P338">
            <v>17</v>
          </cell>
          <cell r="Q338">
            <v>17</v>
          </cell>
          <cell r="R338">
            <v>18</v>
          </cell>
          <cell r="S338">
            <v>0</v>
          </cell>
          <cell r="T338">
            <v>0</v>
          </cell>
          <cell r="U338">
            <v>0</v>
          </cell>
          <cell r="V338">
            <v>14</v>
          </cell>
          <cell r="W338">
            <v>15</v>
          </cell>
          <cell r="X338">
            <v>16</v>
          </cell>
          <cell r="Y338">
            <v>0</v>
          </cell>
          <cell r="Z338">
            <v>0</v>
          </cell>
          <cell r="AA338">
            <v>0</v>
          </cell>
          <cell r="AB338">
            <v>14</v>
          </cell>
          <cell r="AC338">
            <v>15</v>
          </cell>
          <cell r="AD338">
            <v>16</v>
          </cell>
        </row>
        <row r="339">
          <cell r="C339" t="str">
            <v>율리</v>
          </cell>
          <cell r="D339" t="str">
            <v>소계</v>
          </cell>
          <cell r="M339">
            <v>387</v>
          </cell>
          <cell r="N339">
            <v>387</v>
          </cell>
          <cell r="O339">
            <v>382</v>
          </cell>
          <cell r="P339">
            <v>377</v>
          </cell>
          <cell r="Q339">
            <v>386</v>
          </cell>
          <cell r="R339">
            <v>393</v>
          </cell>
          <cell r="S339">
            <v>0</v>
          </cell>
          <cell r="T339">
            <v>0</v>
          </cell>
          <cell r="U339">
            <v>0</v>
          </cell>
          <cell r="V339">
            <v>321</v>
          </cell>
          <cell r="W339">
            <v>347</v>
          </cell>
          <cell r="X339">
            <v>354</v>
          </cell>
          <cell r="Y339">
            <v>0</v>
          </cell>
          <cell r="Z339">
            <v>0</v>
          </cell>
          <cell r="AA339">
            <v>0</v>
          </cell>
          <cell r="AB339">
            <v>321</v>
          </cell>
          <cell r="AC339">
            <v>347</v>
          </cell>
          <cell r="AD339">
            <v>354</v>
          </cell>
        </row>
        <row r="340">
          <cell r="C340" t="str">
            <v>율리 1</v>
          </cell>
          <cell r="D340" t="str">
            <v>계</v>
          </cell>
          <cell r="M340">
            <v>156</v>
          </cell>
          <cell r="N340">
            <v>156</v>
          </cell>
          <cell r="O340">
            <v>154</v>
          </cell>
          <cell r="P340">
            <v>152</v>
          </cell>
          <cell r="Q340">
            <v>156</v>
          </cell>
          <cell r="R340">
            <v>159</v>
          </cell>
          <cell r="S340">
            <v>0</v>
          </cell>
          <cell r="T340">
            <v>0</v>
          </cell>
          <cell r="U340">
            <v>0</v>
          </cell>
          <cell r="V340">
            <v>129</v>
          </cell>
          <cell r="W340">
            <v>140</v>
          </cell>
          <cell r="X340">
            <v>143</v>
          </cell>
          <cell r="Y340">
            <v>0</v>
          </cell>
          <cell r="Z340">
            <v>0</v>
          </cell>
          <cell r="AA340">
            <v>0</v>
          </cell>
          <cell r="AB340">
            <v>129</v>
          </cell>
          <cell r="AC340">
            <v>140</v>
          </cell>
          <cell r="AD340">
            <v>143</v>
          </cell>
        </row>
        <row r="341">
          <cell r="D341" t="str">
            <v>방아고지</v>
          </cell>
          <cell r="F341">
            <v>2</v>
          </cell>
          <cell r="H341">
            <v>0.75</v>
          </cell>
          <cell r="I341">
            <v>0.8</v>
          </cell>
          <cell r="J341">
            <v>0.85</v>
          </cell>
          <cell r="K341">
            <v>0.9</v>
          </cell>
          <cell r="L341">
            <v>0.9</v>
          </cell>
          <cell r="M341">
            <v>156</v>
          </cell>
          <cell r="N341">
            <v>156</v>
          </cell>
          <cell r="O341">
            <v>154</v>
          </cell>
          <cell r="P341">
            <v>152</v>
          </cell>
          <cell r="Q341">
            <v>156</v>
          </cell>
          <cell r="R341">
            <v>159</v>
          </cell>
          <cell r="S341">
            <v>0</v>
          </cell>
          <cell r="T341">
            <v>0</v>
          </cell>
          <cell r="U341">
            <v>0</v>
          </cell>
          <cell r="V341">
            <v>129</v>
          </cell>
          <cell r="W341">
            <v>140</v>
          </cell>
          <cell r="X341">
            <v>143</v>
          </cell>
          <cell r="Y341">
            <v>0</v>
          </cell>
          <cell r="Z341">
            <v>0</v>
          </cell>
          <cell r="AA341">
            <v>0</v>
          </cell>
          <cell r="AB341">
            <v>129</v>
          </cell>
          <cell r="AC341">
            <v>140</v>
          </cell>
          <cell r="AD341">
            <v>143</v>
          </cell>
        </row>
        <row r="342">
          <cell r="C342" t="str">
            <v>율리 2</v>
          </cell>
          <cell r="D342" t="str">
            <v>계</v>
          </cell>
          <cell r="M342">
            <v>150</v>
          </cell>
          <cell r="N342">
            <v>150</v>
          </cell>
          <cell r="O342">
            <v>148</v>
          </cell>
          <cell r="P342">
            <v>146</v>
          </cell>
          <cell r="Q342">
            <v>149</v>
          </cell>
          <cell r="R342">
            <v>152</v>
          </cell>
          <cell r="S342">
            <v>0</v>
          </cell>
          <cell r="T342">
            <v>0</v>
          </cell>
          <cell r="U342">
            <v>0</v>
          </cell>
          <cell r="V342">
            <v>124</v>
          </cell>
          <cell r="W342">
            <v>134</v>
          </cell>
          <cell r="X342">
            <v>137</v>
          </cell>
          <cell r="Y342">
            <v>0</v>
          </cell>
          <cell r="Z342">
            <v>0</v>
          </cell>
          <cell r="AA342">
            <v>0</v>
          </cell>
          <cell r="AB342">
            <v>124</v>
          </cell>
          <cell r="AC342">
            <v>134</v>
          </cell>
          <cell r="AD342">
            <v>137</v>
          </cell>
        </row>
        <row r="343">
          <cell r="D343" t="str">
            <v>회촌</v>
          </cell>
          <cell r="F343">
            <v>2</v>
          </cell>
          <cell r="H343">
            <v>0.75</v>
          </cell>
          <cell r="I343">
            <v>0.8</v>
          </cell>
          <cell r="J343">
            <v>0.85</v>
          </cell>
          <cell r="K343">
            <v>0.9</v>
          </cell>
          <cell r="L343">
            <v>0.9</v>
          </cell>
          <cell r="M343">
            <v>150</v>
          </cell>
          <cell r="N343">
            <v>150</v>
          </cell>
          <cell r="O343">
            <v>148</v>
          </cell>
          <cell r="P343">
            <v>146</v>
          </cell>
          <cell r="Q343">
            <v>149</v>
          </cell>
          <cell r="R343">
            <v>152</v>
          </cell>
          <cell r="S343">
            <v>0</v>
          </cell>
          <cell r="T343">
            <v>0</v>
          </cell>
          <cell r="U343">
            <v>0</v>
          </cell>
          <cell r="V343">
            <v>124</v>
          </cell>
          <cell r="W343">
            <v>134</v>
          </cell>
          <cell r="X343">
            <v>137</v>
          </cell>
          <cell r="Y343">
            <v>0</v>
          </cell>
          <cell r="Z343">
            <v>0</v>
          </cell>
          <cell r="AA343">
            <v>0</v>
          </cell>
          <cell r="AB343">
            <v>124</v>
          </cell>
          <cell r="AC343">
            <v>134</v>
          </cell>
          <cell r="AD343">
            <v>137</v>
          </cell>
        </row>
        <row r="344">
          <cell r="C344" t="str">
            <v>율리 3</v>
          </cell>
          <cell r="D344" t="str">
            <v>계</v>
          </cell>
          <cell r="E344">
            <v>39222</v>
          </cell>
          <cell r="M344">
            <v>81</v>
          </cell>
          <cell r="N344">
            <v>81</v>
          </cell>
          <cell r="O344">
            <v>80</v>
          </cell>
          <cell r="P344">
            <v>79</v>
          </cell>
          <cell r="Q344">
            <v>81</v>
          </cell>
          <cell r="R344">
            <v>82</v>
          </cell>
          <cell r="S344">
            <v>0</v>
          </cell>
          <cell r="T344">
            <v>0</v>
          </cell>
          <cell r="U344">
            <v>0</v>
          </cell>
          <cell r="V344">
            <v>68</v>
          </cell>
          <cell r="W344">
            <v>73</v>
          </cell>
          <cell r="X344">
            <v>74</v>
          </cell>
          <cell r="Y344">
            <v>0</v>
          </cell>
          <cell r="Z344">
            <v>0</v>
          </cell>
          <cell r="AA344">
            <v>0</v>
          </cell>
          <cell r="AB344">
            <v>68</v>
          </cell>
          <cell r="AC344">
            <v>73</v>
          </cell>
          <cell r="AD344">
            <v>74</v>
          </cell>
        </row>
        <row r="345">
          <cell r="D345" t="str">
            <v>혜방골</v>
          </cell>
          <cell r="E345">
            <v>11283</v>
          </cell>
          <cell r="F345">
            <v>2</v>
          </cell>
          <cell r="H345">
            <v>0.75</v>
          </cell>
          <cell r="I345">
            <v>0.8</v>
          </cell>
          <cell r="J345">
            <v>0.85</v>
          </cell>
          <cell r="K345">
            <v>0.9</v>
          </cell>
          <cell r="L345">
            <v>0.9</v>
          </cell>
          <cell r="M345">
            <v>23</v>
          </cell>
          <cell r="N345">
            <v>23</v>
          </cell>
          <cell r="O345">
            <v>23</v>
          </cell>
          <cell r="P345">
            <v>23</v>
          </cell>
          <cell r="Q345">
            <v>23</v>
          </cell>
          <cell r="R345">
            <v>24</v>
          </cell>
          <cell r="S345">
            <v>0</v>
          </cell>
          <cell r="T345">
            <v>0</v>
          </cell>
          <cell r="U345">
            <v>0</v>
          </cell>
          <cell r="V345">
            <v>20</v>
          </cell>
          <cell r="W345">
            <v>21</v>
          </cell>
          <cell r="X345">
            <v>22</v>
          </cell>
          <cell r="Y345">
            <v>0</v>
          </cell>
          <cell r="Z345">
            <v>0</v>
          </cell>
          <cell r="AA345">
            <v>0</v>
          </cell>
          <cell r="AB345">
            <v>20</v>
          </cell>
          <cell r="AC345">
            <v>21</v>
          </cell>
          <cell r="AD345">
            <v>22</v>
          </cell>
        </row>
        <row r="346">
          <cell r="D346" t="str">
            <v>청근이</v>
          </cell>
          <cell r="E346">
            <v>17212</v>
          </cell>
          <cell r="F346">
            <v>2</v>
          </cell>
          <cell r="H346">
            <v>0.75</v>
          </cell>
          <cell r="I346">
            <v>0.8</v>
          </cell>
          <cell r="J346">
            <v>0.85</v>
          </cell>
          <cell r="K346">
            <v>0.9</v>
          </cell>
          <cell r="L346">
            <v>0.9</v>
          </cell>
          <cell r="M346">
            <v>36</v>
          </cell>
          <cell r="N346">
            <v>36</v>
          </cell>
          <cell r="O346">
            <v>35</v>
          </cell>
          <cell r="P346">
            <v>35</v>
          </cell>
          <cell r="Q346">
            <v>36</v>
          </cell>
          <cell r="R346">
            <v>36</v>
          </cell>
          <cell r="S346">
            <v>0</v>
          </cell>
          <cell r="T346">
            <v>0</v>
          </cell>
          <cell r="U346">
            <v>0</v>
          </cell>
          <cell r="V346">
            <v>30</v>
          </cell>
          <cell r="W346">
            <v>32</v>
          </cell>
          <cell r="X346">
            <v>32</v>
          </cell>
          <cell r="Y346">
            <v>0</v>
          </cell>
          <cell r="Z346">
            <v>0</v>
          </cell>
          <cell r="AA346">
            <v>0</v>
          </cell>
          <cell r="AB346">
            <v>30</v>
          </cell>
          <cell r="AC346">
            <v>32</v>
          </cell>
          <cell r="AD346">
            <v>32</v>
          </cell>
        </row>
        <row r="347">
          <cell r="D347" t="str">
            <v>산직리</v>
          </cell>
          <cell r="E347">
            <v>10727</v>
          </cell>
          <cell r="F347">
            <v>2</v>
          </cell>
          <cell r="H347">
            <v>0.75</v>
          </cell>
          <cell r="I347">
            <v>0.8</v>
          </cell>
          <cell r="J347">
            <v>0.85</v>
          </cell>
          <cell r="K347">
            <v>0.9</v>
          </cell>
          <cell r="L347">
            <v>0.9</v>
          </cell>
          <cell r="M347">
            <v>22</v>
          </cell>
          <cell r="N347">
            <v>22</v>
          </cell>
          <cell r="O347">
            <v>22</v>
          </cell>
          <cell r="P347">
            <v>21</v>
          </cell>
          <cell r="Q347">
            <v>22</v>
          </cell>
          <cell r="R347">
            <v>22</v>
          </cell>
          <cell r="S347">
            <v>0</v>
          </cell>
          <cell r="T347">
            <v>0</v>
          </cell>
          <cell r="U347">
            <v>0</v>
          </cell>
          <cell r="V347">
            <v>18</v>
          </cell>
          <cell r="W347">
            <v>20</v>
          </cell>
          <cell r="X347">
            <v>20</v>
          </cell>
          <cell r="Y347">
            <v>0</v>
          </cell>
          <cell r="Z347">
            <v>0</v>
          </cell>
          <cell r="AA347">
            <v>0</v>
          </cell>
          <cell r="AB347">
            <v>18</v>
          </cell>
          <cell r="AC347">
            <v>20</v>
          </cell>
          <cell r="AD347">
            <v>20</v>
          </cell>
        </row>
        <row r="348">
          <cell r="C348" t="str">
            <v>오강리</v>
          </cell>
          <cell r="D348" t="str">
            <v>소계</v>
          </cell>
          <cell r="M348">
            <v>269</v>
          </cell>
          <cell r="N348">
            <v>269</v>
          </cell>
          <cell r="O348">
            <v>265</v>
          </cell>
          <cell r="P348">
            <v>262</v>
          </cell>
          <cell r="Q348">
            <v>268</v>
          </cell>
          <cell r="R348">
            <v>273</v>
          </cell>
          <cell r="S348">
            <v>0</v>
          </cell>
          <cell r="T348">
            <v>0</v>
          </cell>
          <cell r="U348">
            <v>0</v>
          </cell>
          <cell r="V348">
            <v>222</v>
          </cell>
          <cell r="W348">
            <v>241</v>
          </cell>
          <cell r="X348">
            <v>246</v>
          </cell>
          <cell r="Y348">
            <v>0</v>
          </cell>
          <cell r="Z348">
            <v>0</v>
          </cell>
          <cell r="AA348">
            <v>0</v>
          </cell>
          <cell r="AB348">
            <v>222</v>
          </cell>
          <cell r="AC348">
            <v>241</v>
          </cell>
          <cell r="AD348">
            <v>246</v>
          </cell>
        </row>
        <row r="349">
          <cell r="C349" t="str">
            <v>오강 1</v>
          </cell>
          <cell r="D349" t="str">
            <v>계</v>
          </cell>
          <cell r="F349">
            <v>2</v>
          </cell>
          <cell r="H349">
            <v>0.75</v>
          </cell>
          <cell r="I349">
            <v>0.8</v>
          </cell>
          <cell r="J349">
            <v>0.85</v>
          </cell>
          <cell r="K349">
            <v>0.9</v>
          </cell>
          <cell r="L349">
            <v>0.9</v>
          </cell>
          <cell r="M349">
            <v>120</v>
          </cell>
          <cell r="N349">
            <v>120</v>
          </cell>
          <cell r="O349">
            <v>118</v>
          </cell>
          <cell r="P349">
            <v>117</v>
          </cell>
          <cell r="Q349">
            <v>120</v>
          </cell>
          <cell r="R349">
            <v>122</v>
          </cell>
          <cell r="S349">
            <v>0</v>
          </cell>
          <cell r="T349">
            <v>0</v>
          </cell>
          <cell r="U349">
            <v>0</v>
          </cell>
          <cell r="V349">
            <v>99</v>
          </cell>
          <cell r="W349">
            <v>108</v>
          </cell>
          <cell r="X349">
            <v>110</v>
          </cell>
          <cell r="Y349">
            <v>0</v>
          </cell>
          <cell r="Z349">
            <v>0</v>
          </cell>
          <cell r="AA349">
            <v>0</v>
          </cell>
          <cell r="AB349">
            <v>99</v>
          </cell>
          <cell r="AC349">
            <v>108</v>
          </cell>
          <cell r="AD349">
            <v>110</v>
          </cell>
        </row>
        <row r="350">
          <cell r="C350" t="str">
            <v>오강 2</v>
          </cell>
          <cell r="D350" t="str">
            <v>계</v>
          </cell>
          <cell r="F350">
            <v>2</v>
          </cell>
          <cell r="H350">
            <v>0.75</v>
          </cell>
          <cell r="I350">
            <v>0.8</v>
          </cell>
          <cell r="J350">
            <v>0.85</v>
          </cell>
          <cell r="K350">
            <v>0.9</v>
          </cell>
          <cell r="L350">
            <v>0.9</v>
          </cell>
          <cell r="M350">
            <v>149</v>
          </cell>
          <cell r="N350">
            <v>149</v>
          </cell>
          <cell r="O350">
            <v>147</v>
          </cell>
          <cell r="P350">
            <v>145</v>
          </cell>
          <cell r="Q350">
            <v>148</v>
          </cell>
          <cell r="R350">
            <v>151</v>
          </cell>
          <cell r="S350">
            <v>0</v>
          </cell>
          <cell r="T350">
            <v>0</v>
          </cell>
          <cell r="U350">
            <v>0</v>
          </cell>
          <cell r="V350">
            <v>123</v>
          </cell>
          <cell r="W350">
            <v>133</v>
          </cell>
          <cell r="X350">
            <v>136</v>
          </cell>
          <cell r="Y350">
            <v>0</v>
          </cell>
          <cell r="Z350">
            <v>0</v>
          </cell>
          <cell r="AA350">
            <v>0</v>
          </cell>
          <cell r="AB350">
            <v>123</v>
          </cell>
          <cell r="AC350">
            <v>133</v>
          </cell>
          <cell r="AD350">
            <v>136</v>
          </cell>
        </row>
        <row r="351">
          <cell r="M351">
            <v>3897</v>
          </cell>
          <cell r="N351">
            <v>3902</v>
          </cell>
          <cell r="O351">
            <v>3842</v>
          </cell>
          <cell r="P351">
            <v>3803</v>
          </cell>
          <cell r="Q351">
            <v>3894</v>
          </cell>
          <cell r="R351">
            <v>3965</v>
          </cell>
          <cell r="S351">
            <v>0</v>
          </cell>
          <cell r="T351">
            <v>0</v>
          </cell>
          <cell r="U351">
            <v>1623</v>
          </cell>
          <cell r="V351">
            <v>3235</v>
          </cell>
          <cell r="W351">
            <v>3507</v>
          </cell>
          <cell r="X351">
            <v>3573</v>
          </cell>
          <cell r="Y351">
            <v>0</v>
          </cell>
          <cell r="Z351">
            <v>0</v>
          </cell>
          <cell r="AA351">
            <v>1623</v>
          </cell>
          <cell r="AB351">
            <v>3235</v>
          </cell>
          <cell r="AC351">
            <v>3507</v>
          </cell>
          <cell r="AD351">
            <v>3573</v>
          </cell>
        </row>
        <row r="352">
          <cell r="C352" t="str">
            <v>읍내리</v>
          </cell>
          <cell r="D352" t="str">
            <v>소계</v>
          </cell>
          <cell r="M352">
            <v>620</v>
          </cell>
          <cell r="N352">
            <v>623</v>
          </cell>
          <cell r="O352">
            <v>613</v>
          </cell>
          <cell r="P352">
            <v>605</v>
          </cell>
          <cell r="Q352">
            <v>620</v>
          </cell>
          <cell r="R352">
            <v>631</v>
          </cell>
          <cell r="S352">
            <v>0</v>
          </cell>
          <cell r="T352">
            <v>0</v>
          </cell>
          <cell r="U352">
            <v>490</v>
          </cell>
          <cell r="V352">
            <v>514</v>
          </cell>
          <cell r="W352">
            <v>559</v>
          </cell>
          <cell r="X352">
            <v>569</v>
          </cell>
          <cell r="Y352">
            <v>0</v>
          </cell>
          <cell r="Z352">
            <v>0</v>
          </cell>
          <cell r="AA352">
            <v>490</v>
          </cell>
          <cell r="AB352">
            <v>514</v>
          </cell>
          <cell r="AC352">
            <v>559</v>
          </cell>
          <cell r="AD352">
            <v>569</v>
          </cell>
        </row>
        <row r="353">
          <cell r="C353" t="str">
            <v>읍내 1</v>
          </cell>
          <cell r="D353" t="str">
            <v>계</v>
          </cell>
          <cell r="F353">
            <v>1</v>
          </cell>
          <cell r="H353">
            <v>0.75</v>
          </cell>
          <cell r="I353">
            <v>0.8</v>
          </cell>
          <cell r="J353">
            <v>0.85</v>
          </cell>
          <cell r="K353">
            <v>0.9</v>
          </cell>
          <cell r="L353">
            <v>0.9</v>
          </cell>
          <cell r="M353">
            <v>246</v>
          </cell>
          <cell r="N353">
            <v>247</v>
          </cell>
          <cell r="O353">
            <v>243</v>
          </cell>
          <cell r="P353">
            <v>240</v>
          </cell>
          <cell r="Q353">
            <v>246</v>
          </cell>
          <cell r="R353">
            <v>250</v>
          </cell>
          <cell r="S353">
            <v>0</v>
          </cell>
          <cell r="T353">
            <v>0</v>
          </cell>
          <cell r="U353">
            <v>194</v>
          </cell>
          <cell r="V353">
            <v>204</v>
          </cell>
          <cell r="W353">
            <v>221</v>
          </cell>
          <cell r="X353">
            <v>225</v>
          </cell>
          <cell r="Y353">
            <v>0</v>
          </cell>
          <cell r="Z353">
            <v>0</v>
          </cell>
          <cell r="AA353">
            <v>194</v>
          </cell>
          <cell r="AB353">
            <v>204</v>
          </cell>
          <cell r="AC353">
            <v>221</v>
          </cell>
          <cell r="AD353">
            <v>225</v>
          </cell>
        </row>
        <row r="354">
          <cell r="C354" t="str">
            <v>읍내 2</v>
          </cell>
          <cell r="D354" t="str">
            <v>계</v>
          </cell>
          <cell r="E354">
            <v>71666</v>
          </cell>
          <cell r="M354">
            <v>243</v>
          </cell>
          <cell r="N354">
            <v>244</v>
          </cell>
          <cell r="O354">
            <v>240</v>
          </cell>
          <cell r="P354">
            <v>237</v>
          </cell>
          <cell r="Q354">
            <v>243</v>
          </cell>
          <cell r="R354">
            <v>247</v>
          </cell>
          <cell r="S354">
            <v>0</v>
          </cell>
          <cell r="T354">
            <v>0</v>
          </cell>
          <cell r="U354">
            <v>192</v>
          </cell>
          <cell r="V354">
            <v>201</v>
          </cell>
          <cell r="W354">
            <v>220</v>
          </cell>
          <cell r="X354">
            <v>223</v>
          </cell>
          <cell r="Y354">
            <v>0</v>
          </cell>
          <cell r="Z354">
            <v>0</v>
          </cell>
          <cell r="AA354">
            <v>192</v>
          </cell>
          <cell r="AB354">
            <v>201</v>
          </cell>
          <cell r="AC354">
            <v>220</v>
          </cell>
          <cell r="AD354">
            <v>223</v>
          </cell>
        </row>
        <row r="355">
          <cell r="D355" t="str">
            <v>무정골</v>
          </cell>
          <cell r="E355">
            <v>17874</v>
          </cell>
          <cell r="F355">
            <v>1</v>
          </cell>
          <cell r="H355">
            <v>0.75</v>
          </cell>
          <cell r="I355">
            <v>0.8</v>
          </cell>
          <cell r="J355">
            <v>0.85</v>
          </cell>
          <cell r="K355">
            <v>0.9</v>
          </cell>
          <cell r="L355">
            <v>0.9</v>
          </cell>
          <cell r="M355">
            <v>61</v>
          </cell>
          <cell r="N355">
            <v>61</v>
          </cell>
          <cell r="O355">
            <v>60</v>
          </cell>
          <cell r="P355">
            <v>59</v>
          </cell>
          <cell r="Q355">
            <v>61</v>
          </cell>
          <cell r="R355">
            <v>62</v>
          </cell>
          <cell r="S355">
            <v>0</v>
          </cell>
          <cell r="T355">
            <v>0</v>
          </cell>
          <cell r="U355">
            <v>48</v>
          </cell>
          <cell r="V355">
            <v>50</v>
          </cell>
          <cell r="W355">
            <v>55</v>
          </cell>
          <cell r="X355">
            <v>56</v>
          </cell>
          <cell r="Y355">
            <v>0</v>
          </cell>
          <cell r="Z355">
            <v>0</v>
          </cell>
          <cell r="AA355">
            <v>48</v>
          </cell>
          <cell r="AB355">
            <v>50</v>
          </cell>
          <cell r="AC355">
            <v>55</v>
          </cell>
          <cell r="AD355">
            <v>56</v>
          </cell>
        </row>
        <row r="356">
          <cell r="D356" t="str">
            <v>둥덩골</v>
          </cell>
          <cell r="E356">
            <v>21408</v>
          </cell>
          <cell r="F356">
            <v>1</v>
          </cell>
          <cell r="H356">
            <v>0.75</v>
          </cell>
          <cell r="I356">
            <v>0.8</v>
          </cell>
          <cell r="J356">
            <v>0.85</v>
          </cell>
          <cell r="K356">
            <v>0.9</v>
          </cell>
          <cell r="L356">
            <v>0.9</v>
          </cell>
          <cell r="M356">
            <v>73</v>
          </cell>
          <cell r="N356">
            <v>73</v>
          </cell>
          <cell r="O356">
            <v>72</v>
          </cell>
          <cell r="P356">
            <v>71</v>
          </cell>
          <cell r="Q356">
            <v>73</v>
          </cell>
          <cell r="R356">
            <v>74</v>
          </cell>
          <cell r="S356">
            <v>0</v>
          </cell>
          <cell r="T356">
            <v>0</v>
          </cell>
          <cell r="U356">
            <v>58</v>
          </cell>
          <cell r="V356">
            <v>60</v>
          </cell>
          <cell r="W356">
            <v>66</v>
          </cell>
          <cell r="X356">
            <v>67</v>
          </cell>
          <cell r="Y356">
            <v>0</v>
          </cell>
          <cell r="Z356">
            <v>0</v>
          </cell>
          <cell r="AA356">
            <v>58</v>
          </cell>
          <cell r="AB356">
            <v>60</v>
          </cell>
          <cell r="AC356">
            <v>66</v>
          </cell>
          <cell r="AD356">
            <v>67</v>
          </cell>
        </row>
        <row r="357">
          <cell r="D357" t="str">
            <v>고랑이</v>
          </cell>
          <cell r="E357">
            <v>27840</v>
          </cell>
          <cell r="F357">
            <v>1</v>
          </cell>
          <cell r="H357">
            <v>0.75</v>
          </cell>
          <cell r="I357">
            <v>0.8</v>
          </cell>
          <cell r="J357">
            <v>0.85</v>
          </cell>
          <cell r="K357">
            <v>0.9</v>
          </cell>
          <cell r="L357">
            <v>0.9</v>
          </cell>
          <cell r="M357">
            <v>94</v>
          </cell>
          <cell r="N357">
            <v>95</v>
          </cell>
          <cell r="O357">
            <v>93</v>
          </cell>
          <cell r="P357">
            <v>92</v>
          </cell>
          <cell r="Q357">
            <v>94</v>
          </cell>
          <cell r="R357">
            <v>96</v>
          </cell>
          <cell r="S357">
            <v>0</v>
          </cell>
          <cell r="T357">
            <v>0</v>
          </cell>
          <cell r="U357">
            <v>74</v>
          </cell>
          <cell r="V357">
            <v>78</v>
          </cell>
          <cell r="W357">
            <v>85</v>
          </cell>
          <cell r="X357">
            <v>86</v>
          </cell>
          <cell r="Y357">
            <v>0</v>
          </cell>
          <cell r="Z357">
            <v>0</v>
          </cell>
          <cell r="AA357">
            <v>74</v>
          </cell>
          <cell r="AB357">
            <v>78</v>
          </cell>
          <cell r="AC357">
            <v>85</v>
          </cell>
          <cell r="AD357">
            <v>86</v>
          </cell>
        </row>
        <row r="358">
          <cell r="D358" t="str">
            <v>두고랑이</v>
          </cell>
          <cell r="E358">
            <v>4544</v>
          </cell>
          <cell r="F358">
            <v>1</v>
          </cell>
          <cell r="H358">
            <v>0.75</v>
          </cell>
          <cell r="I358">
            <v>0.8</v>
          </cell>
          <cell r="J358">
            <v>0.85</v>
          </cell>
          <cell r="K358">
            <v>0.9</v>
          </cell>
          <cell r="L358">
            <v>0.9</v>
          </cell>
          <cell r="M358">
            <v>15</v>
          </cell>
          <cell r="N358">
            <v>15</v>
          </cell>
          <cell r="O358">
            <v>15</v>
          </cell>
          <cell r="P358">
            <v>15</v>
          </cell>
          <cell r="Q358">
            <v>15</v>
          </cell>
          <cell r="R358">
            <v>15</v>
          </cell>
          <cell r="S358">
            <v>0</v>
          </cell>
          <cell r="T358">
            <v>0</v>
          </cell>
          <cell r="U358">
            <v>12</v>
          </cell>
          <cell r="V358">
            <v>13</v>
          </cell>
          <cell r="W358">
            <v>14</v>
          </cell>
          <cell r="X358">
            <v>14</v>
          </cell>
          <cell r="Y358">
            <v>0</v>
          </cell>
          <cell r="Z358">
            <v>0</v>
          </cell>
          <cell r="AA358">
            <v>12</v>
          </cell>
          <cell r="AB358">
            <v>13</v>
          </cell>
          <cell r="AC358">
            <v>14</v>
          </cell>
          <cell r="AD358">
            <v>14</v>
          </cell>
        </row>
        <row r="359">
          <cell r="C359" t="str">
            <v>읍내 3</v>
          </cell>
          <cell r="D359" t="str">
            <v>계</v>
          </cell>
          <cell r="F359">
            <v>1</v>
          </cell>
          <cell r="H359">
            <v>0.75</v>
          </cell>
          <cell r="I359">
            <v>0.8</v>
          </cell>
          <cell r="J359">
            <v>0.85</v>
          </cell>
          <cell r="K359">
            <v>0.9</v>
          </cell>
          <cell r="L359">
            <v>0.9</v>
          </cell>
          <cell r="M359">
            <v>131</v>
          </cell>
          <cell r="N359">
            <v>132</v>
          </cell>
          <cell r="O359">
            <v>130</v>
          </cell>
          <cell r="P359">
            <v>128</v>
          </cell>
          <cell r="Q359">
            <v>131</v>
          </cell>
          <cell r="R359">
            <v>134</v>
          </cell>
          <cell r="S359">
            <v>0</v>
          </cell>
          <cell r="T359">
            <v>0</v>
          </cell>
          <cell r="U359">
            <v>104</v>
          </cell>
          <cell r="V359">
            <v>109</v>
          </cell>
          <cell r="W359">
            <v>118</v>
          </cell>
          <cell r="X359">
            <v>121</v>
          </cell>
          <cell r="Y359">
            <v>0</v>
          </cell>
          <cell r="Z359">
            <v>0</v>
          </cell>
          <cell r="AA359">
            <v>104</v>
          </cell>
          <cell r="AB359">
            <v>109</v>
          </cell>
          <cell r="AC359">
            <v>118</v>
          </cell>
          <cell r="AD359">
            <v>121</v>
          </cell>
        </row>
        <row r="360">
          <cell r="C360" t="str">
            <v>두사리</v>
          </cell>
          <cell r="D360" t="str">
            <v>소계</v>
          </cell>
          <cell r="M360">
            <v>218</v>
          </cell>
          <cell r="N360">
            <v>218</v>
          </cell>
          <cell r="O360">
            <v>215</v>
          </cell>
          <cell r="P360">
            <v>213</v>
          </cell>
          <cell r="Q360">
            <v>218</v>
          </cell>
          <cell r="R360">
            <v>222</v>
          </cell>
          <cell r="S360">
            <v>0</v>
          </cell>
          <cell r="T360">
            <v>0</v>
          </cell>
          <cell r="U360">
            <v>172</v>
          </cell>
          <cell r="V360">
            <v>181</v>
          </cell>
          <cell r="W360">
            <v>196</v>
          </cell>
          <cell r="X360">
            <v>200</v>
          </cell>
          <cell r="Y360">
            <v>0</v>
          </cell>
          <cell r="Z360">
            <v>0</v>
          </cell>
          <cell r="AA360">
            <v>172</v>
          </cell>
          <cell r="AB360">
            <v>181</v>
          </cell>
          <cell r="AC360">
            <v>196</v>
          </cell>
          <cell r="AD360">
            <v>200</v>
          </cell>
        </row>
        <row r="361">
          <cell r="C361" t="str">
            <v>두사 1</v>
          </cell>
          <cell r="D361" t="str">
            <v>계</v>
          </cell>
          <cell r="F361">
            <v>1</v>
          </cell>
          <cell r="H361">
            <v>0.75</v>
          </cell>
          <cell r="I361">
            <v>0.8</v>
          </cell>
          <cell r="J361">
            <v>0.85</v>
          </cell>
          <cell r="K361">
            <v>0.9</v>
          </cell>
          <cell r="L361">
            <v>0.9</v>
          </cell>
          <cell r="M361">
            <v>159</v>
          </cell>
          <cell r="N361">
            <v>159</v>
          </cell>
          <cell r="O361">
            <v>157</v>
          </cell>
          <cell r="P361">
            <v>155</v>
          </cell>
          <cell r="Q361">
            <v>159</v>
          </cell>
          <cell r="R361">
            <v>162</v>
          </cell>
          <cell r="S361">
            <v>0</v>
          </cell>
          <cell r="T361">
            <v>0</v>
          </cell>
          <cell r="U361">
            <v>126</v>
          </cell>
          <cell r="V361">
            <v>132</v>
          </cell>
          <cell r="W361">
            <v>143</v>
          </cell>
          <cell r="X361">
            <v>146</v>
          </cell>
          <cell r="Y361">
            <v>0</v>
          </cell>
          <cell r="Z361">
            <v>0</v>
          </cell>
          <cell r="AA361">
            <v>126</v>
          </cell>
          <cell r="AB361">
            <v>132</v>
          </cell>
          <cell r="AC361">
            <v>143</v>
          </cell>
          <cell r="AD361">
            <v>146</v>
          </cell>
        </row>
        <row r="362">
          <cell r="C362" t="str">
            <v>두사 2</v>
          </cell>
          <cell r="D362" t="str">
            <v>계</v>
          </cell>
          <cell r="F362">
            <v>1</v>
          </cell>
          <cell r="H362">
            <v>0.75</v>
          </cell>
          <cell r="I362">
            <v>0.8</v>
          </cell>
          <cell r="J362">
            <v>0.85</v>
          </cell>
          <cell r="K362">
            <v>0.9</v>
          </cell>
          <cell r="L362">
            <v>0.9</v>
          </cell>
          <cell r="M362">
            <v>59</v>
          </cell>
          <cell r="N362">
            <v>59</v>
          </cell>
          <cell r="O362">
            <v>58</v>
          </cell>
          <cell r="P362">
            <v>58</v>
          </cell>
          <cell r="Q362">
            <v>59</v>
          </cell>
          <cell r="R362">
            <v>60</v>
          </cell>
          <cell r="S362">
            <v>0</v>
          </cell>
          <cell r="T362">
            <v>0</v>
          </cell>
          <cell r="U362">
            <v>46</v>
          </cell>
          <cell r="V362">
            <v>49</v>
          </cell>
          <cell r="W362">
            <v>53</v>
          </cell>
          <cell r="X362">
            <v>54</v>
          </cell>
          <cell r="Y362">
            <v>0</v>
          </cell>
          <cell r="Z362">
            <v>0</v>
          </cell>
          <cell r="AA362">
            <v>46</v>
          </cell>
          <cell r="AB362">
            <v>49</v>
          </cell>
          <cell r="AC362">
            <v>53</v>
          </cell>
          <cell r="AD362">
            <v>54</v>
          </cell>
        </row>
        <row r="363">
          <cell r="C363" t="str">
            <v>송당리</v>
          </cell>
          <cell r="D363" t="str">
            <v>소계</v>
          </cell>
          <cell r="E363">
            <v>175664</v>
          </cell>
          <cell r="M363">
            <v>684</v>
          </cell>
          <cell r="N363">
            <v>685</v>
          </cell>
          <cell r="O363">
            <v>674</v>
          </cell>
          <cell r="P363">
            <v>667</v>
          </cell>
          <cell r="Q363">
            <v>683</v>
          </cell>
          <cell r="R363">
            <v>696</v>
          </cell>
          <cell r="S363">
            <v>0</v>
          </cell>
          <cell r="T363">
            <v>0</v>
          </cell>
          <cell r="U363">
            <v>539</v>
          </cell>
          <cell r="V363">
            <v>567</v>
          </cell>
          <cell r="W363">
            <v>615</v>
          </cell>
          <cell r="X363">
            <v>627</v>
          </cell>
          <cell r="Y363">
            <v>0</v>
          </cell>
          <cell r="Z363">
            <v>0</v>
          </cell>
          <cell r="AA363">
            <v>539</v>
          </cell>
          <cell r="AB363">
            <v>567</v>
          </cell>
          <cell r="AC363">
            <v>615</v>
          </cell>
          <cell r="AD363">
            <v>627</v>
          </cell>
        </row>
        <row r="364">
          <cell r="D364" t="str">
            <v>창공마을</v>
          </cell>
          <cell r="E364">
            <v>122815</v>
          </cell>
          <cell r="F364">
            <v>1</v>
          </cell>
          <cell r="H364">
            <v>0.75</v>
          </cell>
          <cell r="I364">
            <v>0.8</v>
          </cell>
          <cell r="J364">
            <v>0.85</v>
          </cell>
          <cell r="K364">
            <v>0.9</v>
          </cell>
          <cell r="L364">
            <v>0.9</v>
          </cell>
          <cell r="M364">
            <v>478</v>
          </cell>
          <cell r="N364">
            <v>479</v>
          </cell>
          <cell r="O364">
            <v>471</v>
          </cell>
          <cell r="P364">
            <v>466</v>
          </cell>
          <cell r="Q364">
            <v>478</v>
          </cell>
          <cell r="R364">
            <v>487</v>
          </cell>
          <cell r="S364">
            <v>0</v>
          </cell>
          <cell r="T364">
            <v>0</v>
          </cell>
          <cell r="U364">
            <v>377</v>
          </cell>
          <cell r="V364">
            <v>396</v>
          </cell>
          <cell r="W364">
            <v>430</v>
          </cell>
          <cell r="X364">
            <v>438</v>
          </cell>
          <cell r="Y364">
            <v>0</v>
          </cell>
          <cell r="Z364">
            <v>0</v>
          </cell>
          <cell r="AA364">
            <v>377</v>
          </cell>
          <cell r="AB364">
            <v>396</v>
          </cell>
          <cell r="AC364">
            <v>430</v>
          </cell>
          <cell r="AD364">
            <v>438</v>
          </cell>
        </row>
        <row r="365">
          <cell r="D365" t="str">
            <v>송당</v>
          </cell>
          <cell r="E365">
            <v>10519</v>
          </cell>
          <cell r="F365">
            <v>1</v>
          </cell>
          <cell r="H365">
            <v>0.75</v>
          </cell>
          <cell r="I365">
            <v>0.8</v>
          </cell>
          <cell r="J365">
            <v>0.85</v>
          </cell>
          <cell r="K365">
            <v>0.9</v>
          </cell>
          <cell r="L365">
            <v>0.9</v>
          </cell>
          <cell r="M365">
            <v>41</v>
          </cell>
          <cell r="N365">
            <v>41</v>
          </cell>
          <cell r="O365">
            <v>40</v>
          </cell>
          <cell r="P365">
            <v>40</v>
          </cell>
          <cell r="Q365">
            <v>41</v>
          </cell>
          <cell r="R365">
            <v>42</v>
          </cell>
          <cell r="S365">
            <v>0</v>
          </cell>
          <cell r="T365">
            <v>0</v>
          </cell>
          <cell r="U365">
            <v>32</v>
          </cell>
          <cell r="V365">
            <v>34</v>
          </cell>
          <cell r="W365">
            <v>37</v>
          </cell>
          <cell r="X365">
            <v>38</v>
          </cell>
          <cell r="Y365">
            <v>0</v>
          </cell>
          <cell r="Z365">
            <v>0</v>
          </cell>
          <cell r="AA365">
            <v>32</v>
          </cell>
          <cell r="AB365">
            <v>34</v>
          </cell>
          <cell r="AC365">
            <v>37</v>
          </cell>
          <cell r="AD365">
            <v>38</v>
          </cell>
        </row>
        <row r="366">
          <cell r="D366" t="str">
            <v>쇠지기</v>
          </cell>
          <cell r="E366">
            <v>13082</v>
          </cell>
          <cell r="F366">
            <v>1</v>
          </cell>
          <cell r="H366">
            <v>0.75</v>
          </cell>
          <cell r="I366">
            <v>0.8</v>
          </cell>
          <cell r="J366">
            <v>0.85</v>
          </cell>
          <cell r="K366">
            <v>0.9</v>
          </cell>
          <cell r="L366">
            <v>0.9</v>
          </cell>
          <cell r="M366">
            <v>51</v>
          </cell>
          <cell r="N366">
            <v>51</v>
          </cell>
          <cell r="O366">
            <v>50</v>
          </cell>
          <cell r="P366">
            <v>50</v>
          </cell>
          <cell r="Q366">
            <v>51</v>
          </cell>
          <cell r="R366">
            <v>52</v>
          </cell>
          <cell r="S366">
            <v>0</v>
          </cell>
          <cell r="T366">
            <v>0</v>
          </cell>
          <cell r="U366">
            <v>40</v>
          </cell>
          <cell r="V366">
            <v>43</v>
          </cell>
          <cell r="W366">
            <v>46</v>
          </cell>
          <cell r="X366">
            <v>47</v>
          </cell>
          <cell r="Y366">
            <v>0</v>
          </cell>
          <cell r="Z366">
            <v>0</v>
          </cell>
          <cell r="AA366">
            <v>40</v>
          </cell>
          <cell r="AB366">
            <v>43</v>
          </cell>
          <cell r="AC366">
            <v>46</v>
          </cell>
          <cell r="AD366">
            <v>47</v>
          </cell>
        </row>
        <row r="367">
          <cell r="D367" t="str">
            <v>소골</v>
          </cell>
          <cell r="E367">
            <v>29248</v>
          </cell>
          <cell r="F367">
            <v>1</v>
          </cell>
          <cell r="H367">
            <v>0.75</v>
          </cell>
          <cell r="I367">
            <v>0.8</v>
          </cell>
          <cell r="J367">
            <v>0.85</v>
          </cell>
          <cell r="K367">
            <v>0.9</v>
          </cell>
          <cell r="L367">
            <v>0.9</v>
          </cell>
          <cell r="M367">
            <v>114</v>
          </cell>
          <cell r="N367">
            <v>114</v>
          </cell>
          <cell r="O367">
            <v>113</v>
          </cell>
          <cell r="P367">
            <v>111</v>
          </cell>
          <cell r="Q367">
            <v>113</v>
          </cell>
          <cell r="R367">
            <v>115</v>
          </cell>
          <cell r="S367">
            <v>0</v>
          </cell>
          <cell r="T367">
            <v>0</v>
          </cell>
          <cell r="U367">
            <v>90</v>
          </cell>
          <cell r="V367">
            <v>94</v>
          </cell>
          <cell r="W367">
            <v>102</v>
          </cell>
          <cell r="X367">
            <v>104</v>
          </cell>
          <cell r="Y367">
            <v>0</v>
          </cell>
          <cell r="Z367">
            <v>0</v>
          </cell>
          <cell r="AA367">
            <v>90</v>
          </cell>
          <cell r="AB367">
            <v>94</v>
          </cell>
          <cell r="AC367">
            <v>102</v>
          </cell>
          <cell r="AD367">
            <v>104</v>
          </cell>
        </row>
        <row r="368">
          <cell r="C368" t="str">
            <v>교촌리</v>
          </cell>
          <cell r="D368" t="str">
            <v>소계</v>
          </cell>
          <cell r="F368">
            <v>1</v>
          </cell>
          <cell r="H368">
            <v>0.75</v>
          </cell>
          <cell r="I368">
            <v>0.8</v>
          </cell>
          <cell r="J368">
            <v>0.85</v>
          </cell>
          <cell r="K368">
            <v>0.9</v>
          </cell>
          <cell r="L368">
            <v>0.9</v>
          </cell>
          <cell r="M368">
            <v>257</v>
          </cell>
          <cell r="N368">
            <v>257</v>
          </cell>
          <cell r="O368">
            <v>253</v>
          </cell>
          <cell r="P368">
            <v>250</v>
          </cell>
          <cell r="Q368">
            <v>256</v>
          </cell>
          <cell r="R368">
            <v>261</v>
          </cell>
          <cell r="S368">
            <v>0</v>
          </cell>
          <cell r="T368">
            <v>0</v>
          </cell>
          <cell r="U368">
            <v>202</v>
          </cell>
          <cell r="V368">
            <v>213</v>
          </cell>
          <cell r="W368">
            <v>230</v>
          </cell>
          <cell r="X368">
            <v>235</v>
          </cell>
          <cell r="Y368">
            <v>0</v>
          </cell>
          <cell r="Z368">
            <v>0</v>
          </cell>
          <cell r="AA368">
            <v>202</v>
          </cell>
          <cell r="AB368">
            <v>213</v>
          </cell>
          <cell r="AC368">
            <v>230</v>
          </cell>
          <cell r="AD368">
            <v>235</v>
          </cell>
        </row>
        <row r="369">
          <cell r="C369" t="str">
            <v>하도리</v>
          </cell>
          <cell r="D369" t="str">
            <v>소계</v>
          </cell>
          <cell r="M369">
            <v>279</v>
          </cell>
          <cell r="N369">
            <v>279</v>
          </cell>
          <cell r="O369">
            <v>275</v>
          </cell>
          <cell r="P369">
            <v>272</v>
          </cell>
          <cell r="Q369">
            <v>279</v>
          </cell>
          <cell r="R369">
            <v>285</v>
          </cell>
          <cell r="S369">
            <v>0</v>
          </cell>
          <cell r="T369">
            <v>0</v>
          </cell>
          <cell r="U369">
            <v>220</v>
          </cell>
          <cell r="V369">
            <v>231</v>
          </cell>
          <cell r="W369">
            <v>251</v>
          </cell>
          <cell r="X369">
            <v>257</v>
          </cell>
          <cell r="Y369">
            <v>0</v>
          </cell>
          <cell r="Z369">
            <v>0</v>
          </cell>
          <cell r="AA369">
            <v>220</v>
          </cell>
          <cell r="AB369">
            <v>231</v>
          </cell>
          <cell r="AC369">
            <v>251</v>
          </cell>
          <cell r="AD369">
            <v>257</v>
          </cell>
        </row>
        <row r="370">
          <cell r="C370" t="str">
            <v>하도 1</v>
          </cell>
          <cell r="D370" t="str">
            <v>계</v>
          </cell>
          <cell r="F370">
            <v>1</v>
          </cell>
          <cell r="H370">
            <v>0.75</v>
          </cell>
          <cell r="I370">
            <v>0.8</v>
          </cell>
          <cell r="J370">
            <v>0.85</v>
          </cell>
          <cell r="K370">
            <v>0.9</v>
          </cell>
          <cell r="L370">
            <v>0.9</v>
          </cell>
          <cell r="M370">
            <v>101</v>
          </cell>
          <cell r="N370">
            <v>101</v>
          </cell>
          <cell r="O370">
            <v>99</v>
          </cell>
          <cell r="P370">
            <v>98</v>
          </cell>
          <cell r="Q370">
            <v>101</v>
          </cell>
          <cell r="R370">
            <v>103</v>
          </cell>
          <cell r="S370">
            <v>0</v>
          </cell>
          <cell r="T370">
            <v>0</v>
          </cell>
          <cell r="U370">
            <v>79</v>
          </cell>
          <cell r="V370">
            <v>83</v>
          </cell>
          <cell r="W370">
            <v>91</v>
          </cell>
          <cell r="X370">
            <v>93</v>
          </cell>
          <cell r="Y370">
            <v>0</v>
          </cell>
          <cell r="Z370">
            <v>0</v>
          </cell>
          <cell r="AA370">
            <v>79</v>
          </cell>
          <cell r="AB370">
            <v>83</v>
          </cell>
          <cell r="AC370">
            <v>91</v>
          </cell>
          <cell r="AD370">
            <v>93</v>
          </cell>
        </row>
        <row r="371">
          <cell r="C371" t="str">
            <v>하도 2</v>
          </cell>
          <cell r="D371" t="str">
            <v>계</v>
          </cell>
          <cell r="F371">
            <v>1</v>
          </cell>
          <cell r="H371">
            <v>0.75</v>
          </cell>
          <cell r="I371">
            <v>0.8</v>
          </cell>
          <cell r="J371">
            <v>0.85</v>
          </cell>
          <cell r="K371">
            <v>0.9</v>
          </cell>
          <cell r="L371">
            <v>0.9</v>
          </cell>
          <cell r="M371">
            <v>88</v>
          </cell>
          <cell r="N371">
            <v>88</v>
          </cell>
          <cell r="O371">
            <v>87</v>
          </cell>
          <cell r="P371">
            <v>86</v>
          </cell>
          <cell r="Q371">
            <v>88</v>
          </cell>
          <cell r="R371">
            <v>90</v>
          </cell>
          <cell r="S371">
            <v>0</v>
          </cell>
          <cell r="T371">
            <v>0</v>
          </cell>
          <cell r="U371">
            <v>70</v>
          </cell>
          <cell r="V371">
            <v>73</v>
          </cell>
          <cell r="W371">
            <v>79</v>
          </cell>
          <cell r="X371">
            <v>81</v>
          </cell>
          <cell r="Y371">
            <v>0</v>
          </cell>
          <cell r="Z371">
            <v>0</v>
          </cell>
          <cell r="AA371">
            <v>70</v>
          </cell>
          <cell r="AB371">
            <v>73</v>
          </cell>
          <cell r="AC371">
            <v>79</v>
          </cell>
          <cell r="AD371">
            <v>81</v>
          </cell>
        </row>
        <row r="372">
          <cell r="C372" t="str">
            <v>하도 3</v>
          </cell>
          <cell r="D372" t="str">
            <v>계</v>
          </cell>
          <cell r="F372">
            <v>1</v>
          </cell>
          <cell r="H372">
            <v>0.75</v>
          </cell>
          <cell r="I372">
            <v>0.8</v>
          </cell>
          <cell r="J372">
            <v>0.85</v>
          </cell>
          <cell r="K372">
            <v>0.9</v>
          </cell>
          <cell r="L372">
            <v>0.9</v>
          </cell>
          <cell r="M372">
            <v>90</v>
          </cell>
          <cell r="N372">
            <v>90</v>
          </cell>
          <cell r="O372">
            <v>89</v>
          </cell>
          <cell r="P372">
            <v>88</v>
          </cell>
          <cell r="Q372">
            <v>90</v>
          </cell>
          <cell r="R372">
            <v>92</v>
          </cell>
          <cell r="S372">
            <v>0</v>
          </cell>
          <cell r="T372">
            <v>0</v>
          </cell>
          <cell r="U372">
            <v>71</v>
          </cell>
          <cell r="V372">
            <v>75</v>
          </cell>
          <cell r="W372">
            <v>81</v>
          </cell>
          <cell r="X372">
            <v>83</v>
          </cell>
          <cell r="Y372">
            <v>0</v>
          </cell>
          <cell r="Z372">
            <v>0</v>
          </cell>
          <cell r="AA372">
            <v>71</v>
          </cell>
          <cell r="AB372">
            <v>75</v>
          </cell>
          <cell r="AC372">
            <v>81</v>
          </cell>
          <cell r="AD372">
            <v>83</v>
          </cell>
        </row>
        <row r="373">
          <cell r="C373" t="str">
            <v>병사리</v>
          </cell>
          <cell r="D373" t="str">
            <v>소계</v>
          </cell>
          <cell r="M373">
            <v>275</v>
          </cell>
          <cell r="N373">
            <v>275</v>
          </cell>
          <cell r="O373">
            <v>271</v>
          </cell>
          <cell r="P373">
            <v>269</v>
          </cell>
          <cell r="Q373">
            <v>275</v>
          </cell>
          <cell r="R373">
            <v>280</v>
          </cell>
          <cell r="S373">
            <v>0</v>
          </cell>
          <cell r="T373">
            <v>0</v>
          </cell>
          <cell r="U373">
            <v>0</v>
          </cell>
          <cell r="V373">
            <v>229</v>
          </cell>
          <cell r="W373">
            <v>248</v>
          </cell>
          <cell r="X373">
            <v>253</v>
          </cell>
          <cell r="Y373">
            <v>0</v>
          </cell>
          <cell r="Z373">
            <v>0</v>
          </cell>
          <cell r="AA373">
            <v>0</v>
          </cell>
          <cell r="AB373">
            <v>229</v>
          </cell>
          <cell r="AC373">
            <v>248</v>
          </cell>
          <cell r="AD373">
            <v>253</v>
          </cell>
        </row>
        <row r="374">
          <cell r="C374" t="str">
            <v>병사 1</v>
          </cell>
          <cell r="D374" t="str">
            <v>계</v>
          </cell>
          <cell r="E374">
            <v>89210</v>
          </cell>
          <cell r="M374">
            <v>112</v>
          </cell>
          <cell r="N374">
            <v>112</v>
          </cell>
          <cell r="O374">
            <v>110</v>
          </cell>
          <cell r="P374">
            <v>110</v>
          </cell>
          <cell r="Q374">
            <v>112</v>
          </cell>
          <cell r="R374">
            <v>114</v>
          </cell>
          <cell r="S374">
            <v>0</v>
          </cell>
          <cell r="T374">
            <v>0</v>
          </cell>
          <cell r="U374">
            <v>0</v>
          </cell>
          <cell r="V374">
            <v>94</v>
          </cell>
          <cell r="W374">
            <v>101</v>
          </cell>
          <cell r="X374">
            <v>103</v>
          </cell>
          <cell r="Y374">
            <v>0</v>
          </cell>
          <cell r="Z374">
            <v>0</v>
          </cell>
          <cell r="AA374">
            <v>0</v>
          </cell>
          <cell r="AB374">
            <v>94</v>
          </cell>
          <cell r="AC374">
            <v>101</v>
          </cell>
          <cell r="AD374">
            <v>103</v>
          </cell>
        </row>
        <row r="375">
          <cell r="D375" t="str">
            <v>대촌</v>
          </cell>
          <cell r="E375">
            <v>15999</v>
          </cell>
          <cell r="F375">
            <v>2</v>
          </cell>
          <cell r="H375">
            <v>0.75</v>
          </cell>
          <cell r="I375">
            <v>0.8</v>
          </cell>
          <cell r="J375">
            <v>0.85</v>
          </cell>
          <cell r="K375">
            <v>0.9</v>
          </cell>
          <cell r="L375">
            <v>0.9</v>
          </cell>
          <cell r="M375">
            <v>20</v>
          </cell>
          <cell r="N375">
            <v>20</v>
          </cell>
          <cell r="O375">
            <v>20</v>
          </cell>
          <cell r="P375">
            <v>20</v>
          </cell>
          <cell r="Q375">
            <v>20</v>
          </cell>
          <cell r="R375">
            <v>20</v>
          </cell>
          <cell r="S375">
            <v>0</v>
          </cell>
          <cell r="T375">
            <v>0</v>
          </cell>
          <cell r="U375">
            <v>0</v>
          </cell>
          <cell r="V375">
            <v>17</v>
          </cell>
          <cell r="W375">
            <v>18</v>
          </cell>
          <cell r="X375">
            <v>18</v>
          </cell>
          <cell r="Y375">
            <v>0</v>
          </cell>
          <cell r="Z375">
            <v>0</v>
          </cell>
          <cell r="AA375">
            <v>0</v>
          </cell>
          <cell r="AB375">
            <v>17</v>
          </cell>
          <cell r="AC375">
            <v>18</v>
          </cell>
          <cell r="AD375">
            <v>18</v>
          </cell>
        </row>
        <row r="376">
          <cell r="D376" t="str">
            <v>병사</v>
          </cell>
          <cell r="E376">
            <v>50842</v>
          </cell>
          <cell r="F376">
            <v>2</v>
          </cell>
          <cell r="H376">
            <v>0.75</v>
          </cell>
          <cell r="I376">
            <v>0.8</v>
          </cell>
          <cell r="J376">
            <v>0.85</v>
          </cell>
          <cell r="K376">
            <v>0.9</v>
          </cell>
          <cell r="L376">
            <v>0.9</v>
          </cell>
          <cell r="M376">
            <v>64</v>
          </cell>
          <cell r="N376">
            <v>64</v>
          </cell>
          <cell r="O376">
            <v>63</v>
          </cell>
          <cell r="P376">
            <v>63</v>
          </cell>
          <cell r="Q376">
            <v>64</v>
          </cell>
          <cell r="R376">
            <v>65</v>
          </cell>
          <cell r="S376">
            <v>0</v>
          </cell>
          <cell r="T376">
            <v>0</v>
          </cell>
          <cell r="U376">
            <v>0</v>
          </cell>
          <cell r="V376">
            <v>54</v>
          </cell>
          <cell r="W376">
            <v>58</v>
          </cell>
          <cell r="X376">
            <v>59</v>
          </cell>
          <cell r="Y376">
            <v>0</v>
          </cell>
          <cell r="Z376">
            <v>0</v>
          </cell>
          <cell r="AA376">
            <v>0</v>
          </cell>
          <cell r="AB376">
            <v>54</v>
          </cell>
          <cell r="AC376">
            <v>58</v>
          </cell>
          <cell r="AD376">
            <v>59</v>
          </cell>
        </row>
        <row r="377">
          <cell r="D377" t="str">
            <v>가시리</v>
          </cell>
          <cell r="E377">
            <v>22369</v>
          </cell>
          <cell r="F377">
            <v>2</v>
          </cell>
          <cell r="H377">
            <v>0.75</v>
          </cell>
          <cell r="I377">
            <v>0.8</v>
          </cell>
          <cell r="J377">
            <v>0.85</v>
          </cell>
          <cell r="K377">
            <v>0.9</v>
          </cell>
          <cell r="L377">
            <v>0.9</v>
          </cell>
          <cell r="M377">
            <v>28</v>
          </cell>
          <cell r="N377">
            <v>28</v>
          </cell>
          <cell r="O377">
            <v>27</v>
          </cell>
          <cell r="P377">
            <v>27</v>
          </cell>
          <cell r="Q377">
            <v>28</v>
          </cell>
          <cell r="R377">
            <v>29</v>
          </cell>
          <cell r="S377">
            <v>0</v>
          </cell>
          <cell r="T377">
            <v>0</v>
          </cell>
          <cell r="U377">
            <v>0</v>
          </cell>
          <cell r="V377">
            <v>23</v>
          </cell>
          <cell r="W377">
            <v>25</v>
          </cell>
          <cell r="X377">
            <v>26</v>
          </cell>
          <cell r="Y377">
            <v>0</v>
          </cell>
          <cell r="Z377">
            <v>0</v>
          </cell>
          <cell r="AA377">
            <v>0</v>
          </cell>
          <cell r="AB377">
            <v>23</v>
          </cell>
          <cell r="AC377">
            <v>25</v>
          </cell>
          <cell r="AD377">
            <v>26</v>
          </cell>
        </row>
        <row r="378">
          <cell r="C378" t="str">
            <v>병사 2</v>
          </cell>
          <cell r="D378" t="str">
            <v>계</v>
          </cell>
          <cell r="E378">
            <v>109691</v>
          </cell>
          <cell r="M378">
            <v>163</v>
          </cell>
          <cell r="N378">
            <v>163</v>
          </cell>
          <cell r="O378">
            <v>161</v>
          </cell>
          <cell r="P378">
            <v>159</v>
          </cell>
          <cell r="Q378">
            <v>163</v>
          </cell>
          <cell r="R378">
            <v>166</v>
          </cell>
          <cell r="S378">
            <v>0</v>
          </cell>
          <cell r="T378">
            <v>0</v>
          </cell>
          <cell r="U378">
            <v>0</v>
          </cell>
          <cell r="V378">
            <v>135</v>
          </cell>
          <cell r="W378">
            <v>147</v>
          </cell>
          <cell r="X378">
            <v>150</v>
          </cell>
          <cell r="Y378">
            <v>0</v>
          </cell>
          <cell r="Z378">
            <v>0</v>
          </cell>
          <cell r="AA378">
            <v>0</v>
          </cell>
          <cell r="AB378">
            <v>135</v>
          </cell>
          <cell r="AC378">
            <v>147</v>
          </cell>
          <cell r="AD378">
            <v>150</v>
          </cell>
        </row>
        <row r="379">
          <cell r="D379" t="str">
            <v>덕지미</v>
          </cell>
          <cell r="E379">
            <v>56085</v>
          </cell>
          <cell r="F379">
            <v>2</v>
          </cell>
          <cell r="H379">
            <v>0.75</v>
          </cell>
          <cell r="I379">
            <v>0.8</v>
          </cell>
          <cell r="J379">
            <v>0.85</v>
          </cell>
          <cell r="K379">
            <v>0.9</v>
          </cell>
          <cell r="L379">
            <v>0.9</v>
          </cell>
          <cell r="M379">
            <v>83</v>
          </cell>
          <cell r="N379">
            <v>83</v>
          </cell>
          <cell r="O379">
            <v>82</v>
          </cell>
          <cell r="P379">
            <v>81</v>
          </cell>
          <cell r="Q379">
            <v>83</v>
          </cell>
          <cell r="R379">
            <v>85</v>
          </cell>
          <cell r="S379">
            <v>0</v>
          </cell>
          <cell r="T379">
            <v>0</v>
          </cell>
          <cell r="U379">
            <v>0</v>
          </cell>
          <cell r="V379">
            <v>69</v>
          </cell>
          <cell r="W379">
            <v>75</v>
          </cell>
          <cell r="X379">
            <v>77</v>
          </cell>
          <cell r="Y379">
            <v>0</v>
          </cell>
          <cell r="Z379">
            <v>0</v>
          </cell>
          <cell r="AA379">
            <v>0</v>
          </cell>
          <cell r="AB379">
            <v>69</v>
          </cell>
          <cell r="AC379">
            <v>75</v>
          </cell>
          <cell r="AD379">
            <v>77</v>
          </cell>
        </row>
        <row r="380">
          <cell r="D380" t="str">
            <v>유봉</v>
          </cell>
          <cell r="E380">
            <v>23136</v>
          </cell>
          <cell r="F380">
            <v>2</v>
          </cell>
          <cell r="H380">
            <v>0.75</v>
          </cell>
          <cell r="I380">
            <v>0.8</v>
          </cell>
          <cell r="J380">
            <v>0.85</v>
          </cell>
          <cell r="K380">
            <v>0.9</v>
          </cell>
          <cell r="L380">
            <v>0.9</v>
          </cell>
          <cell r="M380">
            <v>34</v>
          </cell>
          <cell r="N380">
            <v>34</v>
          </cell>
          <cell r="O380">
            <v>34</v>
          </cell>
          <cell r="P380">
            <v>34</v>
          </cell>
          <cell r="Q380">
            <v>34</v>
          </cell>
          <cell r="R380">
            <v>35</v>
          </cell>
          <cell r="S380">
            <v>0</v>
          </cell>
          <cell r="T380">
            <v>0</v>
          </cell>
          <cell r="U380">
            <v>0</v>
          </cell>
          <cell r="V380">
            <v>29</v>
          </cell>
          <cell r="W380">
            <v>31</v>
          </cell>
          <cell r="X380">
            <v>32</v>
          </cell>
          <cell r="Y380">
            <v>0</v>
          </cell>
          <cell r="Z380">
            <v>0</v>
          </cell>
          <cell r="AA380">
            <v>0</v>
          </cell>
          <cell r="AB380">
            <v>29</v>
          </cell>
          <cell r="AC380">
            <v>31</v>
          </cell>
          <cell r="AD380">
            <v>32</v>
          </cell>
        </row>
        <row r="381">
          <cell r="D381" t="str">
            <v>복아대</v>
          </cell>
          <cell r="E381">
            <v>30470</v>
          </cell>
          <cell r="F381">
            <v>2</v>
          </cell>
          <cell r="H381">
            <v>0.75</v>
          </cell>
          <cell r="I381">
            <v>0.8</v>
          </cell>
          <cell r="J381">
            <v>0.85</v>
          </cell>
          <cell r="K381">
            <v>0.9</v>
          </cell>
          <cell r="L381">
            <v>0.9</v>
          </cell>
          <cell r="M381">
            <v>46</v>
          </cell>
          <cell r="N381">
            <v>46</v>
          </cell>
          <cell r="O381">
            <v>45</v>
          </cell>
          <cell r="P381">
            <v>44</v>
          </cell>
          <cell r="Q381">
            <v>46</v>
          </cell>
          <cell r="R381">
            <v>46</v>
          </cell>
          <cell r="S381">
            <v>0</v>
          </cell>
          <cell r="T381">
            <v>0</v>
          </cell>
          <cell r="U381">
            <v>0</v>
          </cell>
          <cell r="V381">
            <v>37</v>
          </cell>
          <cell r="W381">
            <v>41</v>
          </cell>
          <cell r="X381">
            <v>41</v>
          </cell>
          <cell r="Y381">
            <v>0</v>
          </cell>
          <cell r="Z381">
            <v>0</v>
          </cell>
          <cell r="AA381">
            <v>0</v>
          </cell>
          <cell r="AB381">
            <v>37</v>
          </cell>
          <cell r="AC381">
            <v>41</v>
          </cell>
          <cell r="AD381">
            <v>41</v>
          </cell>
        </row>
        <row r="382">
          <cell r="C382" t="str">
            <v>가곡리</v>
          </cell>
          <cell r="D382" t="str">
            <v>소계</v>
          </cell>
          <cell r="M382">
            <v>154</v>
          </cell>
          <cell r="N382">
            <v>154</v>
          </cell>
          <cell r="O382">
            <v>152</v>
          </cell>
          <cell r="P382">
            <v>150</v>
          </cell>
          <cell r="Q382">
            <v>154</v>
          </cell>
          <cell r="R382">
            <v>157</v>
          </cell>
          <cell r="S382">
            <v>0</v>
          </cell>
          <cell r="T382">
            <v>0</v>
          </cell>
          <cell r="U382">
            <v>0</v>
          </cell>
          <cell r="V382">
            <v>128</v>
          </cell>
          <cell r="W382">
            <v>139</v>
          </cell>
          <cell r="X382">
            <v>141</v>
          </cell>
          <cell r="Y382">
            <v>0</v>
          </cell>
          <cell r="Z382">
            <v>0</v>
          </cell>
          <cell r="AA382">
            <v>0</v>
          </cell>
          <cell r="AB382">
            <v>128</v>
          </cell>
          <cell r="AC382">
            <v>139</v>
          </cell>
          <cell r="AD382">
            <v>141</v>
          </cell>
        </row>
        <row r="383">
          <cell r="C383" t="str">
            <v>가곡 1</v>
          </cell>
          <cell r="D383" t="str">
            <v>계</v>
          </cell>
          <cell r="E383">
            <v>126402</v>
          </cell>
          <cell r="M383">
            <v>63</v>
          </cell>
          <cell r="N383">
            <v>63</v>
          </cell>
          <cell r="O383">
            <v>62</v>
          </cell>
          <cell r="P383">
            <v>61</v>
          </cell>
          <cell r="Q383">
            <v>63</v>
          </cell>
          <cell r="R383">
            <v>64</v>
          </cell>
          <cell r="S383">
            <v>0</v>
          </cell>
          <cell r="T383">
            <v>0</v>
          </cell>
          <cell r="U383">
            <v>0</v>
          </cell>
          <cell r="V383">
            <v>52</v>
          </cell>
          <cell r="W383">
            <v>57</v>
          </cell>
          <cell r="X383">
            <v>57</v>
          </cell>
          <cell r="Y383">
            <v>0</v>
          </cell>
          <cell r="Z383">
            <v>0</v>
          </cell>
          <cell r="AA383">
            <v>0</v>
          </cell>
          <cell r="AB383">
            <v>52</v>
          </cell>
          <cell r="AC383">
            <v>57</v>
          </cell>
          <cell r="AD383">
            <v>57</v>
          </cell>
        </row>
        <row r="384">
          <cell r="D384" t="str">
            <v>가곡</v>
          </cell>
          <cell r="E384">
            <v>90068</v>
          </cell>
          <cell r="F384">
            <v>2</v>
          </cell>
          <cell r="H384">
            <v>0.75</v>
          </cell>
          <cell r="I384">
            <v>0.8</v>
          </cell>
          <cell r="J384">
            <v>0.85</v>
          </cell>
          <cell r="K384">
            <v>0.9</v>
          </cell>
          <cell r="L384">
            <v>0.9</v>
          </cell>
          <cell r="M384">
            <v>45</v>
          </cell>
          <cell r="N384">
            <v>45</v>
          </cell>
          <cell r="O384">
            <v>44</v>
          </cell>
          <cell r="P384">
            <v>43</v>
          </cell>
          <cell r="Q384">
            <v>45</v>
          </cell>
          <cell r="R384">
            <v>46</v>
          </cell>
          <cell r="S384">
            <v>0</v>
          </cell>
          <cell r="T384">
            <v>0</v>
          </cell>
          <cell r="U384">
            <v>0</v>
          </cell>
          <cell r="V384">
            <v>37</v>
          </cell>
          <cell r="W384">
            <v>41</v>
          </cell>
          <cell r="X384">
            <v>41</v>
          </cell>
          <cell r="Y384">
            <v>0</v>
          </cell>
          <cell r="Z384">
            <v>0</v>
          </cell>
          <cell r="AA384">
            <v>0</v>
          </cell>
          <cell r="AB384">
            <v>37</v>
          </cell>
          <cell r="AC384">
            <v>41</v>
          </cell>
          <cell r="AD384">
            <v>41</v>
          </cell>
        </row>
        <row r="385">
          <cell r="D385" t="str">
            <v>지장골</v>
          </cell>
          <cell r="E385">
            <v>36334</v>
          </cell>
          <cell r="F385">
            <v>2</v>
          </cell>
          <cell r="H385">
            <v>0.75</v>
          </cell>
          <cell r="I385">
            <v>0.8</v>
          </cell>
          <cell r="J385">
            <v>0.85</v>
          </cell>
          <cell r="K385">
            <v>0.9</v>
          </cell>
          <cell r="L385">
            <v>0.9</v>
          </cell>
          <cell r="M385">
            <v>18</v>
          </cell>
          <cell r="N385">
            <v>18</v>
          </cell>
          <cell r="O385">
            <v>18</v>
          </cell>
          <cell r="P385">
            <v>18</v>
          </cell>
          <cell r="Q385">
            <v>18</v>
          </cell>
          <cell r="R385">
            <v>18</v>
          </cell>
          <cell r="S385">
            <v>0</v>
          </cell>
          <cell r="T385">
            <v>0</v>
          </cell>
          <cell r="U385">
            <v>0</v>
          </cell>
          <cell r="V385">
            <v>15</v>
          </cell>
          <cell r="W385">
            <v>16</v>
          </cell>
          <cell r="X385">
            <v>16</v>
          </cell>
          <cell r="Y385">
            <v>0</v>
          </cell>
          <cell r="Z385">
            <v>0</v>
          </cell>
          <cell r="AA385">
            <v>0</v>
          </cell>
          <cell r="AB385">
            <v>15</v>
          </cell>
          <cell r="AC385">
            <v>16</v>
          </cell>
          <cell r="AD385">
            <v>16</v>
          </cell>
        </row>
        <row r="386">
          <cell r="C386" t="str">
            <v>가곡 2</v>
          </cell>
          <cell r="D386" t="str">
            <v>계</v>
          </cell>
          <cell r="E386">
            <v>84979</v>
          </cell>
          <cell r="M386">
            <v>91</v>
          </cell>
          <cell r="N386">
            <v>91</v>
          </cell>
          <cell r="O386">
            <v>90</v>
          </cell>
          <cell r="P386">
            <v>89</v>
          </cell>
          <cell r="Q386">
            <v>91</v>
          </cell>
          <cell r="R386">
            <v>93</v>
          </cell>
          <cell r="S386">
            <v>0</v>
          </cell>
          <cell r="T386">
            <v>0</v>
          </cell>
          <cell r="U386">
            <v>0</v>
          </cell>
          <cell r="V386">
            <v>76</v>
          </cell>
          <cell r="W386">
            <v>82</v>
          </cell>
          <cell r="X386">
            <v>84</v>
          </cell>
          <cell r="Y386">
            <v>0</v>
          </cell>
          <cell r="Z386">
            <v>0</v>
          </cell>
          <cell r="AA386">
            <v>0</v>
          </cell>
          <cell r="AB386">
            <v>76</v>
          </cell>
          <cell r="AC386">
            <v>82</v>
          </cell>
          <cell r="AD386">
            <v>84</v>
          </cell>
        </row>
        <row r="387">
          <cell r="D387" t="str">
            <v>구중골</v>
          </cell>
          <cell r="E387">
            <v>46439</v>
          </cell>
          <cell r="F387">
            <v>2</v>
          </cell>
          <cell r="H387">
            <v>0.75</v>
          </cell>
          <cell r="I387">
            <v>0.8</v>
          </cell>
          <cell r="J387">
            <v>0.85</v>
          </cell>
          <cell r="K387">
            <v>0.9</v>
          </cell>
          <cell r="L387">
            <v>0.9</v>
          </cell>
          <cell r="M387">
            <v>50</v>
          </cell>
          <cell r="N387">
            <v>50</v>
          </cell>
          <cell r="O387">
            <v>49</v>
          </cell>
          <cell r="P387">
            <v>49</v>
          </cell>
          <cell r="Q387">
            <v>50</v>
          </cell>
          <cell r="R387">
            <v>51</v>
          </cell>
          <cell r="S387">
            <v>0</v>
          </cell>
          <cell r="T387">
            <v>0</v>
          </cell>
          <cell r="U387">
            <v>0</v>
          </cell>
          <cell r="V387">
            <v>42</v>
          </cell>
          <cell r="W387">
            <v>45</v>
          </cell>
          <cell r="X387">
            <v>46</v>
          </cell>
          <cell r="Y387">
            <v>0</v>
          </cell>
          <cell r="Z387">
            <v>0</v>
          </cell>
          <cell r="AA387">
            <v>0</v>
          </cell>
          <cell r="AB387">
            <v>42</v>
          </cell>
          <cell r="AC387">
            <v>45</v>
          </cell>
          <cell r="AD387">
            <v>46</v>
          </cell>
        </row>
        <row r="388">
          <cell r="D388" t="str">
            <v>증골</v>
          </cell>
          <cell r="E388">
            <v>38540</v>
          </cell>
          <cell r="F388">
            <v>2</v>
          </cell>
          <cell r="H388">
            <v>0.75</v>
          </cell>
          <cell r="I388">
            <v>0.8</v>
          </cell>
          <cell r="J388">
            <v>0.85</v>
          </cell>
          <cell r="K388">
            <v>0.9</v>
          </cell>
          <cell r="L388">
            <v>0.9</v>
          </cell>
          <cell r="M388">
            <v>41</v>
          </cell>
          <cell r="N388">
            <v>41</v>
          </cell>
          <cell r="O388">
            <v>41</v>
          </cell>
          <cell r="P388">
            <v>40</v>
          </cell>
          <cell r="Q388">
            <v>41</v>
          </cell>
          <cell r="R388">
            <v>42</v>
          </cell>
          <cell r="S388">
            <v>0</v>
          </cell>
          <cell r="T388">
            <v>0</v>
          </cell>
          <cell r="U388">
            <v>0</v>
          </cell>
          <cell r="V388">
            <v>34</v>
          </cell>
          <cell r="W388">
            <v>37</v>
          </cell>
          <cell r="X388">
            <v>38</v>
          </cell>
          <cell r="Y388">
            <v>0</v>
          </cell>
          <cell r="Z388">
            <v>0</v>
          </cell>
          <cell r="AA388">
            <v>0</v>
          </cell>
          <cell r="AB388">
            <v>34</v>
          </cell>
          <cell r="AC388">
            <v>37</v>
          </cell>
          <cell r="AD388">
            <v>38</v>
          </cell>
        </row>
        <row r="389">
          <cell r="C389" t="str">
            <v>장구리</v>
          </cell>
          <cell r="D389" t="str">
            <v>소계</v>
          </cell>
          <cell r="M389">
            <v>255</v>
          </cell>
          <cell r="N389">
            <v>255</v>
          </cell>
          <cell r="O389">
            <v>251</v>
          </cell>
          <cell r="P389">
            <v>250</v>
          </cell>
          <cell r="Q389">
            <v>255</v>
          </cell>
          <cell r="R389">
            <v>260</v>
          </cell>
          <cell r="S389">
            <v>0</v>
          </cell>
          <cell r="T389">
            <v>0</v>
          </cell>
          <cell r="U389">
            <v>0</v>
          </cell>
          <cell r="V389">
            <v>213</v>
          </cell>
          <cell r="W389">
            <v>230</v>
          </cell>
          <cell r="X389">
            <v>234</v>
          </cell>
          <cell r="Y389">
            <v>0</v>
          </cell>
          <cell r="Z389">
            <v>0</v>
          </cell>
          <cell r="AA389">
            <v>0</v>
          </cell>
          <cell r="AB389">
            <v>213</v>
          </cell>
          <cell r="AC389">
            <v>230</v>
          </cell>
          <cell r="AD389">
            <v>234</v>
          </cell>
        </row>
        <row r="390">
          <cell r="C390" t="str">
            <v>장구 1</v>
          </cell>
          <cell r="D390" t="str">
            <v>계</v>
          </cell>
          <cell r="M390">
            <v>111</v>
          </cell>
          <cell r="N390">
            <v>111</v>
          </cell>
          <cell r="O390">
            <v>109</v>
          </cell>
          <cell r="P390">
            <v>109</v>
          </cell>
          <cell r="Q390">
            <v>111</v>
          </cell>
          <cell r="R390">
            <v>113</v>
          </cell>
          <cell r="S390">
            <v>0</v>
          </cell>
          <cell r="T390">
            <v>0</v>
          </cell>
          <cell r="U390">
            <v>0</v>
          </cell>
          <cell r="V390">
            <v>93</v>
          </cell>
          <cell r="W390">
            <v>100</v>
          </cell>
          <cell r="X390">
            <v>102</v>
          </cell>
          <cell r="Y390">
            <v>0</v>
          </cell>
          <cell r="Z390">
            <v>0</v>
          </cell>
          <cell r="AA390">
            <v>0</v>
          </cell>
          <cell r="AB390">
            <v>93</v>
          </cell>
          <cell r="AC390">
            <v>100</v>
          </cell>
          <cell r="AD390">
            <v>102</v>
          </cell>
        </row>
        <row r="391">
          <cell r="D391" t="str">
            <v>장구</v>
          </cell>
          <cell r="F391">
            <v>2</v>
          </cell>
          <cell r="H391">
            <v>0.75</v>
          </cell>
          <cell r="I391">
            <v>0.8</v>
          </cell>
          <cell r="J391">
            <v>0.85</v>
          </cell>
          <cell r="K391">
            <v>0.9</v>
          </cell>
          <cell r="L391">
            <v>0.9</v>
          </cell>
          <cell r="M391">
            <v>111</v>
          </cell>
          <cell r="N391">
            <v>111</v>
          </cell>
          <cell r="O391">
            <v>109</v>
          </cell>
          <cell r="P391">
            <v>109</v>
          </cell>
          <cell r="Q391">
            <v>111</v>
          </cell>
          <cell r="R391">
            <v>113</v>
          </cell>
          <cell r="S391">
            <v>0</v>
          </cell>
          <cell r="T391">
            <v>0</v>
          </cell>
          <cell r="U391">
            <v>0</v>
          </cell>
          <cell r="V391">
            <v>93</v>
          </cell>
          <cell r="W391">
            <v>100</v>
          </cell>
          <cell r="X391">
            <v>102</v>
          </cell>
          <cell r="Y391">
            <v>0</v>
          </cell>
          <cell r="Z391">
            <v>0</v>
          </cell>
          <cell r="AA391">
            <v>0</v>
          </cell>
          <cell r="AB391">
            <v>93</v>
          </cell>
          <cell r="AC391">
            <v>100</v>
          </cell>
          <cell r="AD391">
            <v>102</v>
          </cell>
        </row>
        <row r="392">
          <cell r="C392" t="str">
            <v>장구 2</v>
          </cell>
          <cell r="D392" t="str">
            <v>계</v>
          </cell>
          <cell r="M392">
            <v>144</v>
          </cell>
          <cell r="N392">
            <v>144</v>
          </cell>
          <cell r="O392">
            <v>142</v>
          </cell>
          <cell r="P392">
            <v>141</v>
          </cell>
          <cell r="Q392">
            <v>144</v>
          </cell>
          <cell r="R392">
            <v>147</v>
          </cell>
          <cell r="S392">
            <v>0</v>
          </cell>
          <cell r="T392">
            <v>0</v>
          </cell>
          <cell r="U392">
            <v>0</v>
          </cell>
          <cell r="V392">
            <v>120</v>
          </cell>
          <cell r="W392">
            <v>130</v>
          </cell>
          <cell r="X392">
            <v>132</v>
          </cell>
          <cell r="Y392">
            <v>0</v>
          </cell>
          <cell r="Z392">
            <v>0</v>
          </cell>
          <cell r="AA392">
            <v>0</v>
          </cell>
          <cell r="AB392">
            <v>120</v>
          </cell>
          <cell r="AC392">
            <v>130</v>
          </cell>
          <cell r="AD392">
            <v>132</v>
          </cell>
        </row>
        <row r="393">
          <cell r="D393" t="str">
            <v>삽다리</v>
          </cell>
          <cell r="F393">
            <v>2</v>
          </cell>
          <cell r="H393">
            <v>0.75</v>
          </cell>
          <cell r="I393">
            <v>0.8</v>
          </cell>
          <cell r="J393">
            <v>0.85</v>
          </cell>
          <cell r="K393">
            <v>0.9</v>
          </cell>
          <cell r="L393">
            <v>0.9</v>
          </cell>
          <cell r="M393">
            <v>144</v>
          </cell>
          <cell r="N393">
            <v>144</v>
          </cell>
          <cell r="O393">
            <v>142</v>
          </cell>
          <cell r="P393">
            <v>141</v>
          </cell>
          <cell r="Q393">
            <v>144</v>
          </cell>
          <cell r="R393">
            <v>147</v>
          </cell>
          <cell r="S393">
            <v>0</v>
          </cell>
          <cell r="T393">
            <v>0</v>
          </cell>
          <cell r="U393">
            <v>0</v>
          </cell>
          <cell r="V393">
            <v>120</v>
          </cell>
          <cell r="W393">
            <v>130</v>
          </cell>
          <cell r="X393">
            <v>132</v>
          </cell>
          <cell r="Y393">
            <v>0</v>
          </cell>
          <cell r="Z393">
            <v>0</v>
          </cell>
          <cell r="AA393">
            <v>0</v>
          </cell>
          <cell r="AB393">
            <v>120</v>
          </cell>
          <cell r="AC393">
            <v>130</v>
          </cell>
          <cell r="AD393">
            <v>132</v>
          </cell>
        </row>
        <row r="394">
          <cell r="C394" t="str">
            <v>효죽리</v>
          </cell>
          <cell r="D394" t="str">
            <v>소계</v>
          </cell>
          <cell r="F394">
            <v>2</v>
          </cell>
          <cell r="H394">
            <v>0.75</v>
          </cell>
          <cell r="I394">
            <v>0.8</v>
          </cell>
          <cell r="J394">
            <v>0.85</v>
          </cell>
          <cell r="K394">
            <v>0.9</v>
          </cell>
          <cell r="L394">
            <v>0.9</v>
          </cell>
          <cell r="M394">
            <v>126</v>
          </cell>
          <cell r="N394">
            <v>126</v>
          </cell>
          <cell r="O394">
            <v>124</v>
          </cell>
          <cell r="P394">
            <v>123</v>
          </cell>
          <cell r="Q394">
            <v>126</v>
          </cell>
          <cell r="R394">
            <v>128</v>
          </cell>
          <cell r="S394">
            <v>0</v>
          </cell>
          <cell r="T394">
            <v>0</v>
          </cell>
          <cell r="U394">
            <v>0</v>
          </cell>
          <cell r="V394">
            <v>105</v>
          </cell>
          <cell r="W394">
            <v>113</v>
          </cell>
          <cell r="X394">
            <v>115</v>
          </cell>
          <cell r="Y394">
            <v>0</v>
          </cell>
          <cell r="Z394">
            <v>0</v>
          </cell>
          <cell r="AA394">
            <v>0</v>
          </cell>
          <cell r="AB394">
            <v>105</v>
          </cell>
          <cell r="AC394">
            <v>113</v>
          </cell>
          <cell r="AD394">
            <v>115</v>
          </cell>
        </row>
        <row r="395">
          <cell r="C395" t="str">
            <v>죽림리</v>
          </cell>
          <cell r="D395" t="str">
            <v>소계</v>
          </cell>
          <cell r="M395">
            <v>319</v>
          </cell>
          <cell r="N395">
            <v>319</v>
          </cell>
          <cell r="O395">
            <v>314</v>
          </cell>
          <cell r="P395">
            <v>312</v>
          </cell>
          <cell r="Q395">
            <v>319</v>
          </cell>
          <cell r="R395">
            <v>324</v>
          </cell>
          <cell r="S395">
            <v>0</v>
          </cell>
          <cell r="T395">
            <v>0</v>
          </cell>
          <cell r="U395">
            <v>0</v>
          </cell>
          <cell r="V395">
            <v>266</v>
          </cell>
          <cell r="W395">
            <v>287</v>
          </cell>
          <cell r="X395">
            <v>292</v>
          </cell>
          <cell r="Y395">
            <v>0</v>
          </cell>
          <cell r="Z395">
            <v>0</v>
          </cell>
          <cell r="AA395">
            <v>0</v>
          </cell>
          <cell r="AB395">
            <v>266</v>
          </cell>
          <cell r="AC395">
            <v>287</v>
          </cell>
          <cell r="AD395">
            <v>292</v>
          </cell>
        </row>
        <row r="396">
          <cell r="C396" t="str">
            <v>죽림 1</v>
          </cell>
          <cell r="D396" t="str">
            <v>계</v>
          </cell>
          <cell r="M396">
            <v>141</v>
          </cell>
          <cell r="N396">
            <v>141</v>
          </cell>
          <cell r="O396">
            <v>139</v>
          </cell>
          <cell r="P396">
            <v>138</v>
          </cell>
          <cell r="Q396">
            <v>141</v>
          </cell>
          <cell r="R396">
            <v>143</v>
          </cell>
          <cell r="S396">
            <v>0</v>
          </cell>
          <cell r="T396">
            <v>0</v>
          </cell>
          <cell r="U396">
            <v>0</v>
          </cell>
          <cell r="V396">
            <v>117</v>
          </cell>
          <cell r="W396">
            <v>127</v>
          </cell>
          <cell r="X396">
            <v>129</v>
          </cell>
          <cell r="Y396">
            <v>0</v>
          </cell>
          <cell r="Z396">
            <v>0</v>
          </cell>
          <cell r="AA396">
            <v>0</v>
          </cell>
          <cell r="AB396">
            <v>117</v>
          </cell>
          <cell r="AC396">
            <v>127</v>
          </cell>
          <cell r="AD396">
            <v>129</v>
          </cell>
        </row>
        <row r="397">
          <cell r="D397" t="str">
            <v>섬밭달</v>
          </cell>
          <cell r="F397">
            <v>2</v>
          </cell>
          <cell r="H397">
            <v>0.75</v>
          </cell>
          <cell r="I397">
            <v>0.8</v>
          </cell>
          <cell r="J397">
            <v>0.85</v>
          </cell>
          <cell r="K397">
            <v>0.9</v>
          </cell>
          <cell r="L397">
            <v>0.9</v>
          </cell>
          <cell r="M397">
            <v>141</v>
          </cell>
          <cell r="N397">
            <v>141</v>
          </cell>
          <cell r="O397">
            <v>139</v>
          </cell>
          <cell r="P397">
            <v>138</v>
          </cell>
          <cell r="Q397">
            <v>141</v>
          </cell>
          <cell r="R397">
            <v>143</v>
          </cell>
          <cell r="S397">
            <v>0</v>
          </cell>
          <cell r="T397">
            <v>0</v>
          </cell>
          <cell r="U397">
            <v>0</v>
          </cell>
          <cell r="V397">
            <v>117</v>
          </cell>
          <cell r="W397">
            <v>127</v>
          </cell>
          <cell r="X397">
            <v>129</v>
          </cell>
          <cell r="Y397">
            <v>0</v>
          </cell>
          <cell r="Z397">
            <v>0</v>
          </cell>
          <cell r="AA397">
            <v>0</v>
          </cell>
          <cell r="AB397">
            <v>117</v>
          </cell>
          <cell r="AC397">
            <v>127</v>
          </cell>
          <cell r="AD397">
            <v>129</v>
          </cell>
        </row>
        <row r="398">
          <cell r="C398" t="str">
            <v>죽림 2</v>
          </cell>
          <cell r="D398" t="str">
            <v>계</v>
          </cell>
          <cell r="E398">
            <v>78518</v>
          </cell>
          <cell r="M398">
            <v>107</v>
          </cell>
          <cell r="N398">
            <v>107</v>
          </cell>
          <cell r="O398">
            <v>105</v>
          </cell>
          <cell r="P398">
            <v>105</v>
          </cell>
          <cell r="Q398">
            <v>107</v>
          </cell>
          <cell r="R398">
            <v>109</v>
          </cell>
          <cell r="S398">
            <v>0</v>
          </cell>
          <cell r="T398">
            <v>0</v>
          </cell>
          <cell r="U398">
            <v>0</v>
          </cell>
          <cell r="V398">
            <v>90</v>
          </cell>
          <cell r="W398">
            <v>96</v>
          </cell>
          <cell r="X398">
            <v>98</v>
          </cell>
          <cell r="Y398">
            <v>0</v>
          </cell>
          <cell r="Z398">
            <v>0</v>
          </cell>
          <cell r="AA398">
            <v>0</v>
          </cell>
          <cell r="AB398">
            <v>90</v>
          </cell>
          <cell r="AC398">
            <v>96</v>
          </cell>
          <cell r="AD398">
            <v>98</v>
          </cell>
        </row>
        <row r="399">
          <cell r="D399" t="str">
            <v>방축안</v>
          </cell>
          <cell r="E399">
            <v>27131</v>
          </cell>
          <cell r="F399">
            <v>2</v>
          </cell>
          <cell r="H399">
            <v>0.75</v>
          </cell>
          <cell r="I399">
            <v>0.8</v>
          </cell>
          <cell r="J399">
            <v>0.85</v>
          </cell>
          <cell r="K399">
            <v>0.9</v>
          </cell>
          <cell r="L399">
            <v>0.9</v>
          </cell>
          <cell r="M399">
            <v>37</v>
          </cell>
          <cell r="N399">
            <v>37</v>
          </cell>
          <cell r="O399">
            <v>36</v>
          </cell>
          <cell r="P399">
            <v>36</v>
          </cell>
          <cell r="Q399">
            <v>37</v>
          </cell>
          <cell r="R399">
            <v>38</v>
          </cell>
          <cell r="S399">
            <v>0</v>
          </cell>
          <cell r="T399">
            <v>0</v>
          </cell>
          <cell r="U399">
            <v>0</v>
          </cell>
          <cell r="V399">
            <v>31</v>
          </cell>
          <cell r="W399">
            <v>33</v>
          </cell>
          <cell r="X399">
            <v>34</v>
          </cell>
          <cell r="Y399">
            <v>0</v>
          </cell>
          <cell r="Z399">
            <v>0</v>
          </cell>
          <cell r="AA399">
            <v>0</v>
          </cell>
          <cell r="AB399">
            <v>31</v>
          </cell>
          <cell r="AC399">
            <v>33</v>
          </cell>
          <cell r="AD399">
            <v>34</v>
          </cell>
        </row>
        <row r="400">
          <cell r="D400" t="str">
            <v>욕골</v>
          </cell>
          <cell r="E400">
            <v>51387</v>
          </cell>
          <cell r="F400">
            <v>2</v>
          </cell>
          <cell r="H400">
            <v>0.75</v>
          </cell>
          <cell r="I400">
            <v>0.8</v>
          </cell>
          <cell r="J400">
            <v>0.85</v>
          </cell>
          <cell r="K400">
            <v>0.9</v>
          </cell>
          <cell r="L400">
            <v>0.9</v>
          </cell>
          <cell r="M400">
            <v>70</v>
          </cell>
          <cell r="N400">
            <v>70</v>
          </cell>
          <cell r="O400">
            <v>69</v>
          </cell>
          <cell r="P400">
            <v>69</v>
          </cell>
          <cell r="Q400">
            <v>70</v>
          </cell>
          <cell r="R400">
            <v>71</v>
          </cell>
          <cell r="S400">
            <v>0</v>
          </cell>
          <cell r="T400">
            <v>0</v>
          </cell>
          <cell r="U400">
            <v>0</v>
          </cell>
          <cell r="V400">
            <v>59</v>
          </cell>
          <cell r="W400">
            <v>63</v>
          </cell>
          <cell r="X400">
            <v>64</v>
          </cell>
          <cell r="Y400">
            <v>0</v>
          </cell>
          <cell r="Z400">
            <v>0</v>
          </cell>
          <cell r="AA400">
            <v>0</v>
          </cell>
          <cell r="AB400">
            <v>59</v>
          </cell>
          <cell r="AC400">
            <v>63</v>
          </cell>
          <cell r="AD400">
            <v>64</v>
          </cell>
        </row>
        <row r="401">
          <cell r="C401" t="str">
            <v>죽림 3</v>
          </cell>
          <cell r="D401" t="str">
            <v>계</v>
          </cell>
          <cell r="M401">
            <v>71</v>
          </cell>
          <cell r="N401">
            <v>71</v>
          </cell>
          <cell r="O401">
            <v>70</v>
          </cell>
          <cell r="P401">
            <v>69</v>
          </cell>
          <cell r="Q401">
            <v>71</v>
          </cell>
          <cell r="R401">
            <v>72</v>
          </cell>
          <cell r="S401">
            <v>0</v>
          </cell>
          <cell r="T401">
            <v>0</v>
          </cell>
          <cell r="U401">
            <v>0</v>
          </cell>
          <cell r="V401">
            <v>59</v>
          </cell>
          <cell r="W401">
            <v>64</v>
          </cell>
          <cell r="X401">
            <v>65</v>
          </cell>
          <cell r="Y401">
            <v>0</v>
          </cell>
          <cell r="Z401">
            <v>0</v>
          </cell>
          <cell r="AA401">
            <v>0</v>
          </cell>
          <cell r="AB401">
            <v>59</v>
          </cell>
          <cell r="AC401">
            <v>64</v>
          </cell>
          <cell r="AD401">
            <v>65</v>
          </cell>
        </row>
        <row r="402">
          <cell r="D402" t="str">
            <v>장마루</v>
          </cell>
          <cell r="F402">
            <v>2</v>
          </cell>
          <cell r="H402">
            <v>0.75</v>
          </cell>
          <cell r="I402">
            <v>0.8</v>
          </cell>
          <cell r="J402">
            <v>0.85</v>
          </cell>
          <cell r="K402">
            <v>0.9</v>
          </cell>
          <cell r="L402">
            <v>0.9</v>
          </cell>
          <cell r="M402">
            <v>71</v>
          </cell>
          <cell r="N402">
            <v>71</v>
          </cell>
          <cell r="O402">
            <v>70</v>
          </cell>
          <cell r="P402">
            <v>69</v>
          </cell>
          <cell r="Q402">
            <v>71</v>
          </cell>
          <cell r="R402">
            <v>72</v>
          </cell>
          <cell r="S402">
            <v>0</v>
          </cell>
          <cell r="T402">
            <v>0</v>
          </cell>
          <cell r="U402">
            <v>0</v>
          </cell>
          <cell r="V402">
            <v>59</v>
          </cell>
          <cell r="W402">
            <v>64</v>
          </cell>
          <cell r="X402">
            <v>65</v>
          </cell>
          <cell r="Y402">
            <v>0</v>
          </cell>
          <cell r="Z402">
            <v>0</v>
          </cell>
          <cell r="AA402">
            <v>0</v>
          </cell>
          <cell r="AB402">
            <v>59</v>
          </cell>
          <cell r="AC402">
            <v>64</v>
          </cell>
          <cell r="AD402">
            <v>65</v>
          </cell>
        </row>
        <row r="403">
          <cell r="C403" t="str">
            <v>호암리</v>
          </cell>
          <cell r="D403" t="str">
            <v>소계</v>
          </cell>
          <cell r="M403">
            <v>283</v>
          </cell>
          <cell r="N403">
            <v>283</v>
          </cell>
          <cell r="O403">
            <v>279</v>
          </cell>
          <cell r="P403">
            <v>276</v>
          </cell>
          <cell r="Q403">
            <v>283</v>
          </cell>
          <cell r="R403">
            <v>288</v>
          </cell>
          <cell r="S403">
            <v>0</v>
          </cell>
          <cell r="T403">
            <v>0</v>
          </cell>
          <cell r="U403">
            <v>0</v>
          </cell>
          <cell r="V403">
            <v>234</v>
          </cell>
          <cell r="W403">
            <v>255</v>
          </cell>
          <cell r="X403">
            <v>260</v>
          </cell>
          <cell r="Y403">
            <v>0</v>
          </cell>
          <cell r="Z403">
            <v>0</v>
          </cell>
          <cell r="AA403">
            <v>0</v>
          </cell>
          <cell r="AB403">
            <v>234</v>
          </cell>
          <cell r="AC403">
            <v>255</v>
          </cell>
          <cell r="AD403">
            <v>260</v>
          </cell>
        </row>
        <row r="404">
          <cell r="C404" t="str">
            <v>호암 1</v>
          </cell>
          <cell r="D404" t="str">
            <v>계</v>
          </cell>
          <cell r="E404">
            <v>161021</v>
          </cell>
          <cell r="M404">
            <v>161</v>
          </cell>
          <cell r="N404">
            <v>161</v>
          </cell>
          <cell r="O404">
            <v>159</v>
          </cell>
          <cell r="P404">
            <v>157</v>
          </cell>
          <cell r="Q404">
            <v>161</v>
          </cell>
          <cell r="R404">
            <v>164</v>
          </cell>
          <cell r="S404">
            <v>0</v>
          </cell>
          <cell r="T404">
            <v>0</v>
          </cell>
          <cell r="U404">
            <v>0</v>
          </cell>
          <cell r="V404">
            <v>133</v>
          </cell>
          <cell r="W404">
            <v>145</v>
          </cell>
          <cell r="X404">
            <v>148</v>
          </cell>
          <cell r="Y404">
            <v>0</v>
          </cell>
          <cell r="Z404">
            <v>0</v>
          </cell>
          <cell r="AA404">
            <v>0</v>
          </cell>
          <cell r="AB404">
            <v>133</v>
          </cell>
          <cell r="AC404">
            <v>145</v>
          </cell>
          <cell r="AD404">
            <v>148</v>
          </cell>
        </row>
        <row r="405">
          <cell r="D405" t="str">
            <v>중뜸</v>
          </cell>
          <cell r="E405">
            <v>93467</v>
          </cell>
          <cell r="F405">
            <v>2</v>
          </cell>
          <cell r="H405">
            <v>0.75</v>
          </cell>
          <cell r="I405">
            <v>0.8</v>
          </cell>
          <cell r="J405">
            <v>0.85</v>
          </cell>
          <cell r="K405">
            <v>0.9</v>
          </cell>
          <cell r="L405">
            <v>0.9</v>
          </cell>
          <cell r="M405">
            <v>93</v>
          </cell>
          <cell r="N405">
            <v>93</v>
          </cell>
          <cell r="O405">
            <v>92</v>
          </cell>
          <cell r="P405">
            <v>91</v>
          </cell>
          <cell r="Q405">
            <v>93</v>
          </cell>
          <cell r="R405">
            <v>95</v>
          </cell>
          <cell r="S405">
            <v>0</v>
          </cell>
          <cell r="T405">
            <v>0</v>
          </cell>
          <cell r="U405">
            <v>0</v>
          </cell>
          <cell r="V405">
            <v>77</v>
          </cell>
          <cell r="W405">
            <v>84</v>
          </cell>
          <cell r="X405">
            <v>86</v>
          </cell>
          <cell r="Y405">
            <v>0</v>
          </cell>
          <cell r="Z405">
            <v>0</v>
          </cell>
          <cell r="AA405">
            <v>0</v>
          </cell>
          <cell r="AB405">
            <v>77</v>
          </cell>
          <cell r="AC405">
            <v>84</v>
          </cell>
          <cell r="AD405">
            <v>86</v>
          </cell>
        </row>
        <row r="406">
          <cell r="D406" t="str">
            <v>장선</v>
          </cell>
          <cell r="E406">
            <v>67554</v>
          </cell>
          <cell r="F406">
            <v>2</v>
          </cell>
          <cell r="H406">
            <v>0.75</v>
          </cell>
          <cell r="I406">
            <v>0.8</v>
          </cell>
          <cell r="J406">
            <v>0.85</v>
          </cell>
          <cell r="K406">
            <v>0.9</v>
          </cell>
          <cell r="L406">
            <v>0.9</v>
          </cell>
          <cell r="M406">
            <v>68</v>
          </cell>
          <cell r="N406">
            <v>68</v>
          </cell>
          <cell r="O406">
            <v>67</v>
          </cell>
          <cell r="P406">
            <v>66</v>
          </cell>
          <cell r="Q406">
            <v>68</v>
          </cell>
          <cell r="R406">
            <v>69</v>
          </cell>
          <cell r="S406">
            <v>0</v>
          </cell>
          <cell r="T406">
            <v>0</v>
          </cell>
          <cell r="U406">
            <v>0</v>
          </cell>
          <cell r="V406">
            <v>56</v>
          </cell>
          <cell r="W406">
            <v>61</v>
          </cell>
          <cell r="X406">
            <v>62</v>
          </cell>
          <cell r="Y406">
            <v>0</v>
          </cell>
          <cell r="Z406">
            <v>0</v>
          </cell>
          <cell r="AA406">
            <v>0</v>
          </cell>
          <cell r="AB406">
            <v>56</v>
          </cell>
          <cell r="AC406">
            <v>61</v>
          </cell>
          <cell r="AD406">
            <v>62</v>
          </cell>
        </row>
        <row r="407">
          <cell r="C407" t="str">
            <v>호암 2</v>
          </cell>
          <cell r="D407" t="str">
            <v>계</v>
          </cell>
          <cell r="M407">
            <v>122</v>
          </cell>
          <cell r="N407">
            <v>122</v>
          </cell>
          <cell r="O407">
            <v>120</v>
          </cell>
          <cell r="P407">
            <v>119</v>
          </cell>
          <cell r="Q407">
            <v>122</v>
          </cell>
          <cell r="R407">
            <v>124</v>
          </cell>
          <cell r="S407">
            <v>0</v>
          </cell>
          <cell r="T407">
            <v>0</v>
          </cell>
          <cell r="U407">
            <v>0</v>
          </cell>
          <cell r="V407">
            <v>101</v>
          </cell>
          <cell r="W407">
            <v>110</v>
          </cell>
          <cell r="X407">
            <v>112</v>
          </cell>
          <cell r="Y407">
            <v>0</v>
          </cell>
          <cell r="Z407">
            <v>0</v>
          </cell>
          <cell r="AA407">
            <v>0</v>
          </cell>
          <cell r="AB407">
            <v>101</v>
          </cell>
          <cell r="AC407">
            <v>110</v>
          </cell>
          <cell r="AD407">
            <v>112</v>
          </cell>
        </row>
        <row r="408">
          <cell r="D408" t="str">
            <v>송촌</v>
          </cell>
          <cell r="F408">
            <v>2</v>
          </cell>
          <cell r="H408">
            <v>0.75</v>
          </cell>
          <cell r="I408">
            <v>0.8</v>
          </cell>
          <cell r="J408">
            <v>0.85</v>
          </cell>
          <cell r="K408">
            <v>0.9</v>
          </cell>
          <cell r="L408">
            <v>0.9</v>
          </cell>
          <cell r="M408">
            <v>122</v>
          </cell>
          <cell r="N408">
            <v>122</v>
          </cell>
          <cell r="O408">
            <v>120</v>
          </cell>
          <cell r="P408">
            <v>119</v>
          </cell>
          <cell r="Q408">
            <v>122</v>
          </cell>
          <cell r="R408">
            <v>124</v>
          </cell>
          <cell r="S408">
            <v>0</v>
          </cell>
          <cell r="T408">
            <v>0</v>
          </cell>
          <cell r="U408">
            <v>0</v>
          </cell>
          <cell r="V408">
            <v>101</v>
          </cell>
          <cell r="W408">
            <v>110</v>
          </cell>
          <cell r="X408">
            <v>112</v>
          </cell>
          <cell r="Y408">
            <v>0</v>
          </cell>
          <cell r="Z408">
            <v>0</v>
          </cell>
          <cell r="AA408">
            <v>0</v>
          </cell>
          <cell r="AB408">
            <v>101</v>
          </cell>
          <cell r="AC408">
            <v>110</v>
          </cell>
          <cell r="AD408">
            <v>112</v>
          </cell>
        </row>
        <row r="409">
          <cell r="C409" t="str">
            <v>노티리</v>
          </cell>
          <cell r="D409" t="str">
            <v>소계</v>
          </cell>
          <cell r="M409">
            <v>231</v>
          </cell>
          <cell r="N409">
            <v>232</v>
          </cell>
          <cell r="O409">
            <v>228</v>
          </cell>
          <cell r="P409">
            <v>224</v>
          </cell>
          <cell r="Q409">
            <v>230</v>
          </cell>
          <cell r="R409">
            <v>234</v>
          </cell>
          <cell r="S409">
            <v>0</v>
          </cell>
          <cell r="T409">
            <v>0</v>
          </cell>
          <cell r="U409">
            <v>0</v>
          </cell>
          <cell r="V409">
            <v>191</v>
          </cell>
          <cell r="W409">
            <v>208</v>
          </cell>
          <cell r="X409">
            <v>211</v>
          </cell>
          <cell r="Y409">
            <v>0</v>
          </cell>
          <cell r="Z409">
            <v>0</v>
          </cell>
          <cell r="AA409">
            <v>0</v>
          </cell>
          <cell r="AB409">
            <v>191</v>
          </cell>
          <cell r="AC409">
            <v>208</v>
          </cell>
          <cell r="AD409">
            <v>211</v>
          </cell>
        </row>
        <row r="410">
          <cell r="C410" t="str">
            <v>노티 1</v>
          </cell>
          <cell r="D410" t="str">
            <v>계</v>
          </cell>
          <cell r="E410">
            <v>92484</v>
          </cell>
          <cell r="M410">
            <v>99</v>
          </cell>
          <cell r="N410">
            <v>99</v>
          </cell>
          <cell r="O410">
            <v>97</v>
          </cell>
          <cell r="P410">
            <v>96</v>
          </cell>
          <cell r="Q410">
            <v>99</v>
          </cell>
          <cell r="R410">
            <v>100</v>
          </cell>
          <cell r="S410">
            <v>0</v>
          </cell>
          <cell r="T410">
            <v>0</v>
          </cell>
          <cell r="U410">
            <v>0</v>
          </cell>
          <cell r="V410">
            <v>82</v>
          </cell>
          <cell r="W410">
            <v>90</v>
          </cell>
          <cell r="X410">
            <v>90</v>
          </cell>
          <cell r="Y410">
            <v>0</v>
          </cell>
          <cell r="Z410">
            <v>0</v>
          </cell>
          <cell r="AA410">
            <v>0</v>
          </cell>
          <cell r="AB410">
            <v>82</v>
          </cell>
          <cell r="AC410">
            <v>90</v>
          </cell>
          <cell r="AD410">
            <v>90</v>
          </cell>
        </row>
        <row r="411">
          <cell r="D411" t="str">
            <v>가재</v>
          </cell>
          <cell r="E411">
            <v>79715</v>
          </cell>
          <cell r="F411">
            <v>2</v>
          </cell>
          <cell r="H411">
            <v>0.75</v>
          </cell>
          <cell r="I411">
            <v>0.8</v>
          </cell>
          <cell r="J411">
            <v>0.85</v>
          </cell>
          <cell r="K411">
            <v>0.9</v>
          </cell>
          <cell r="L411">
            <v>0.9</v>
          </cell>
          <cell r="M411">
            <v>85</v>
          </cell>
          <cell r="N411">
            <v>85</v>
          </cell>
          <cell r="O411">
            <v>84</v>
          </cell>
          <cell r="P411">
            <v>83</v>
          </cell>
          <cell r="Q411">
            <v>85</v>
          </cell>
          <cell r="R411">
            <v>86</v>
          </cell>
          <cell r="S411">
            <v>0</v>
          </cell>
          <cell r="T411">
            <v>0</v>
          </cell>
          <cell r="U411">
            <v>0</v>
          </cell>
          <cell r="V411">
            <v>71</v>
          </cell>
          <cell r="W411">
            <v>77</v>
          </cell>
          <cell r="X411">
            <v>77</v>
          </cell>
          <cell r="Y411">
            <v>0</v>
          </cell>
          <cell r="Z411">
            <v>0</v>
          </cell>
          <cell r="AA411">
            <v>0</v>
          </cell>
          <cell r="AB411">
            <v>71</v>
          </cell>
          <cell r="AC411">
            <v>77</v>
          </cell>
          <cell r="AD411">
            <v>77</v>
          </cell>
        </row>
        <row r="412">
          <cell r="D412" t="str">
            <v>건너성동</v>
          </cell>
          <cell r="E412">
            <v>12769</v>
          </cell>
          <cell r="F412">
            <v>2</v>
          </cell>
          <cell r="H412">
            <v>0.75</v>
          </cell>
          <cell r="I412">
            <v>0.8</v>
          </cell>
          <cell r="J412">
            <v>0.85</v>
          </cell>
          <cell r="K412">
            <v>0.9</v>
          </cell>
          <cell r="L412">
            <v>0.9</v>
          </cell>
          <cell r="M412">
            <v>14</v>
          </cell>
          <cell r="N412">
            <v>14</v>
          </cell>
          <cell r="O412">
            <v>13</v>
          </cell>
          <cell r="P412">
            <v>13</v>
          </cell>
          <cell r="Q412">
            <v>14</v>
          </cell>
          <cell r="R412">
            <v>14</v>
          </cell>
          <cell r="S412">
            <v>0</v>
          </cell>
          <cell r="T412">
            <v>0</v>
          </cell>
          <cell r="U412">
            <v>0</v>
          </cell>
          <cell r="V412">
            <v>11</v>
          </cell>
          <cell r="W412">
            <v>13</v>
          </cell>
          <cell r="X412">
            <v>13</v>
          </cell>
          <cell r="Y412">
            <v>0</v>
          </cell>
          <cell r="Z412">
            <v>0</v>
          </cell>
          <cell r="AA412">
            <v>0</v>
          </cell>
          <cell r="AB412">
            <v>11</v>
          </cell>
          <cell r="AC412">
            <v>13</v>
          </cell>
          <cell r="AD412">
            <v>13</v>
          </cell>
        </row>
        <row r="413">
          <cell r="C413" t="str">
            <v>노티 2</v>
          </cell>
          <cell r="D413" t="str">
            <v>계</v>
          </cell>
          <cell r="E413">
            <v>90967</v>
          </cell>
          <cell r="M413">
            <v>132</v>
          </cell>
          <cell r="N413">
            <v>133</v>
          </cell>
          <cell r="O413">
            <v>131</v>
          </cell>
          <cell r="P413">
            <v>128</v>
          </cell>
          <cell r="Q413">
            <v>131</v>
          </cell>
          <cell r="R413">
            <v>134</v>
          </cell>
          <cell r="S413">
            <v>0</v>
          </cell>
          <cell r="T413">
            <v>0</v>
          </cell>
          <cell r="U413">
            <v>0</v>
          </cell>
          <cell r="V413">
            <v>109</v>
          </cell>
          <cell r="W413">
            <v>118</v>
          </cell>
          <cell r="X413">
            <v>121</v>
          </cell>
          <cell r="Y413">
            <v>0</v>
          </cell>
          <cell r="Z413">
            <v>0</v>
          </cell>
          <cell r="AA413">
            <v>0</v>
          </cell>
          <cell r="AB413">
            <v>109</v>
          </cell>
          <cell r="AC413">
            <v>118</v>
          </cell>
          <cell r="AD413">
            <v>121</v>
          </cell>
        </row>
        <row r="414">
          <cell r="D414" t="str">
            <v>모가울</v>
          </cell>
          <cell r="E414">
            <v>43935</v>
          </cell>
          <cell r="F414">
            <v>2</v>
          </cell>
          <cell r="H414">
            <v>0.75</v>
          </cell>
          <cell r="I414">
            <v>0.8</v>
          </cell>
          <cell r="J414">
            <v>0.85</v>
          </cell>
          <cell r="K414">
            <v>0.9</v>
          </cell>
          <cell r="L414">
            <v>0.9</v>
          </cell>
          <cell r="M414">
            <v>64</v>
          </cell>
          <cell r="N414">
            <v>64</v>
          </cell>
          <cell r="O414">
            <v>63</v>
          </cell>
          <cell r="P414">
            <v>62</v>
          </cell>
          <cell r="Q414">
            <v>63</v>
          </cell>
          <cell r="R414">
            <v>65</v>
          </cell>
          <cell r="S414">
            <v>0</v>
          </cell>
          <cell r="T414">
            <v>0</v>
          </cell>
          <cell r="U414">
            <v>0</v>
          </cell>
          <cell r="V414">
            <v>53</v>
          </cell>
          <cell r="W414">
            <v>57</v>
          </cell>
          <cell r="X414">
            <v>59</v>
          </cell>
          <cell r="Y414">
            <v>0</v>
          </cell>
          <cell r="Z414">
            <v>0</v>
          </cell>
          <cell r="AA414">
            <v>0</v>
          </cell>
          <cell r="AB414">
            <v>53</v>
          </cell>
          <cell r="AC414">
            <v>57</v>
          </cell>
          <cell r="AD414">
            <v>59</v>
          </cell>
        </row>
        <row r="415">
          <cell r="D415" t="str">
            <v>성동</v>
          </cell>
          <cell r="E415">
            <v>47032</v>
          </cell>
          <cell r="F415">
            <v>2</v>
          </cell>
          <cell r="H415">
            <v>0.75</v>
          </cell>
          <cell r="I415">
            <v>0.8</v>
          </cell>
          <cell r="J415">
            <v>0.85</v>
          </cell>
          <cell r="K415">
            <v>0.9</v>
          </cell>
          <cell r="L415">
            <v>0.9</v>
          </cell>
          <cell r="M415">
            <v>68</v>
          </cell>
          <cell r="N415">
            <v>69</v>
          </cell>
          <cell r="O415">
            <v>68</v>
          </cell>
          <cell r="P415">
            <v>66</v>
          </cell>
          <cell r="Q415">
            <v>68</v>
          </cell>
          <cell r="R415">
            <v>69</v>
          </cell>
          <cell r="S415">
            <v>0</v>
          </cell>
          <cell r="T415">
            <v>0</v>
          </cell>
          <cell r="U415">
            <v>0</v>
          </cell>
          <cell r="V415">
            <v>56</v>
          </cell>
          <cell r="W415">
            <v>61</v>
          </cell>
          <cell r="X415">
            <v>62</v>
          </cell>
          <cell r="Y415">
            <v>0</v>
          </cell>
          <cell r="Z415">
            <v>0</v>
          </cell>
          <cell r="AA415">
            <v>0</v>
          </cell>
          <cell r="AB415">
            <v>56</v>
          </cell>
          <cell r="AC415">
            <v>61</v>
          </cell>
          <cell r="AD415">
            <v>62</v>
          </cell>
        </row>
        <row r="416">
          <cell r="C416" t="str">
            <v>구암리</v>
          </cell>
          <cell r="D416" t="str">
            <v>소계</v>
          </cell>
          <cell r="F416">
            <v>2</v>
          </cell>
          <cell r="H416">
            <v>0.75</v>
          </cell>
          <cell r="I416">
            <v>0.8</v>
          </cell>
          <cell r="J416">
            <v>0.85</v>
          </cell>
          <cell r="K416">
            <v>0.9</v>
          </cell>
          <cell r="L416">
            <v>0.9</v>
          </cell>
          <cell r="M416">
            <v>110</v>
          </cell>
          <cell r="N416">
            <v>110</v>
          </cell>
          <cell r="O416">
            <v>108</v>
          </cell>
          <cell r="P416">
            <v>108</v>
          </cell>
          <cell r="Q416">
            <v>110</v>
          </cell>
          <cell r="R416">
            <v>112</v>
          </cell>
          <cell r="S416">
            <v>0</v>
          </cell>
          <cell r="T416">
            <v>0</v>
          </cell>
          <cell r="U416">
            <v>0</v>
          </cell>
          <cell r="V416">
            <v>92</v>
          </cell>
          <cell r="W416">
            <v>99</v>
          </cell>
          <cell r="X416">
            <v>101</v>
          </cell>
          <cell r="Y416">
            <v>0</v>
          </cell>
          <cell r="Z416">
            <v>0</v>
          </cell>
          <cell r="AA416">
            <v>0</v>
          </cell>
          <cell r="AB416">
            <v>92</v>
          </cell>
          <cell r="AC416">
            <v>99</v>
          </cell>
          <cell r="AD416">
            <v>101</v>
          </cell>
        </row>
        <row r="417">
          <cell r="C417" t="str">
            <v>화곡리</v>
          </cell>
          <cell r="D417" t="str">
            <v>소계</v>
          </cell>
          <cell r="F417">
            <v>2</v>
          </cell>
          <cell r="H417">
            <v>0.75</v>
          </cell>
          <cell r="I417">
            <v>0.8</v>
          </cell>
          <cell r="J417">
            <v>0.85</v>
          </cell>
          <cell r="K417">
            <v>0.9</v>
          </cell>
          <cell r="L417">
            <v>0.9</v>
          </cell>
          <cell r="M417">
            <v>86</v>
          </cell>
          <cell r="N417">
            <v>86</v>
          </cell>
          <cell r="O417">
            <v>85</v>
          </cell>
          <cell r="P417">
            <v>84</v>
          </cell>
          <cell r="Q417">
            <v>86</v>
          </cell>
          <cell r="R417">
            <v>87</v>
          </cell>
          <cell r="S417">
            <v>0</v>
          </cell>
          <cell r="T417">
            <v>0</v>
          </cell>
          <cell r="U417">
            <v>0</v>
          </cell>
          <cell r="V417">
            <v>71</v>
          </cell>
          <cell r="W417">
            <v>77</v>
          </cell>
          <cell r="X417">
            <v>78</v>
          </cell>
          <cell r="Y417">
            <v>0</v>
          </cell>
          <cell r="Z417">
            <v>0</v>
          </cell>
          <cell r="AA417">
            <v>0</v>
          </cell>
          <cell r="AB417">
            <v>71</v>
          </cell>
          <cell r="AC417">
            <v>77</v>
          </cell>
          <cell r="AD417">
            <v>78</v>
          </cell>
        </row>
        <row r="418">
          <cell r="M418">
            <v>4131</v>
          </cell>
          <cell r="N418">
            <v>4136</v>
          </cell>
          <cell r="O418">
            <v>4074</v>
          </cell>
          <cell r="P418">
            <v>4026</v>
          </cell>
          <cell r="Q418">
            <v>4122</v>
          </cell>
          <cell r="R418">
            <v>4199</v>
          </cell>
          <cell r="S418">
            <v>0</v>
          </cell>
          <cell r="T418">
            <v>0</v>
          </cell>
          <cell r="U418">
            <v>1931</v>
          </cell>
          <cell r="V418">
            <v>3424</v>
          </cell>
          <cell r="W418">
            <v>3713</v>
          </cell>
          <cell r="X418">
            <v>3779</v>
          </cell>
          <cell r="Y418">
            <v>0</v>
          </cell>
          <cell r="Z418">
            <v>0</v>
          </cell>
          <cell r="AA418">
            <v>1931</v>
          </cell>
          <cell r="AB418">
            <v>3424</v>
          </cell>
          <cell r="AC418">
            <v>3713</v>
          </cell>
          <cell r="AD418">
            <v>3779</v>
          </cell>
        </row>
        <row r="419">
          <cell r="C419" t="str">
            <v>신충리</v>
          </cell>
          <cell r="D419" t="str">
            <v>소계</v>
          </cell>
          <cell r="M419">
            <v>408</v>
          </cell>
          <cell r="N419">
            <v>408</v>
          </cell>
          <cell r="O419">
            <v>403</v>
          </cell>
          <cell r="P419">
            <v>398</v>
          </cell>
          <cell r="Q419">
            <v>407</v>
          </cell>
          <cell r="R419">
            <v>415</v>
          </cell>
          <cell r="S419">
            <v>0</v>
          </cell>
          <cell r="T419">
            <v>0</v>
          </cell>
          <cell r="U419">
            <v>322</v>
          </cell>
          <cell r="V419">
            <v>338</v>
          </cell>
          <cell r="W419">
            <v>366</v>
          </cell>
          <cell r="X419">
            <v>374</v>
          </cell>
          <cell r="Y419">
            <v>0</v>
          </cell>
          <cell r="Z419">
            <v>0</v>
          </cell>
          <cell r="AA419">
            <v>322</v>
          </cell>
          <cell r="AB419">
            <v>338</v>
          </cell>
          <cell r="AC419">
            <v>366</v>
          </cell>
          <cell r="AD419">
            <v>374</v>
          </cell>
        </row>
        <row r="420">
          <cell r="C420" t="str">
            <v>신충 1</v>
          </cell>
          <cell r="D420" t="str">
            <v>계</v>
          </cell>
          <cell r="F420">
            <v>1</v>
          </cell>
          <cell r="H420">
            <v>0.75</v>
          </cell>
          <cell r="I420">
            <v>0.8</v>
          </cell>
          <cell r="J420">
            <v>0.85</v>
          </cell>
          <cell r="K420">
            <v>0.9</v>
          </cell>
          <cell r="L420">
            <v>0.9</v>
          </cell>
          <cell r="M420">
            <v>237</v>
          </cell>
          <cell r="N420">
            <v>237</v>
          </cell>
          <cell r="O420">
            <v>234</v>
          </cell>
          <cell r="P420">
            <v>231</v>
          </cell>
          <cell r="Q420">
            <v>236</v>
          </cell>
          <cell r="R420">
            <v>241</v>
          </cell>
          <cell r="S420">
            <v>0</v>
          </cell>
          <cell r="T420">
            <v>0</v>
          </cell>
          <cell r="U420">
            <v>187</v>
          </cell>
          <cell r="V420">
            <v>196</v>
          </cell>
          <cell r="W420">
            <v>212</v>
          </cell>
          <cell r="X420">
            <v>217</v>
          </cell>
          <cell r="Y420">
            <v>0</v>
          </cell>
          <cell r="Z420">
            <v>0</v>
          </cell>
          <cell r="AA420">
            <v>187</v>
          </cell>
          <cell r="AB420">
            <v>196</v>
          </cell>
          <cell r="AC420">
            <v>212</v>
          </cell>
          <cell r="AD420">
            <v>217</v>
          </cell>
        </row>
        <row r="421">
          <cell r="C421" t="str">
            <v>신충 2</v>
          </cell>
          <cell r="D421" t="str">
            <v>계</v>
          </cell>
          <cell r="F421">
            <v>1</v>
          </cell>
          <cell r="H421">
            <v>0.75</v>
          </cell>
          <cell r="I421">
            <v>0.8</v>
          </cell>
          <cell r="J421">
            <v>0.85</v>
          </cell>
          <cell r="K421">
            <v>0.9</v>
          </cell>
          <cell r="L421">
            <v>0.9</v>
          </cell>
          <cell r="M421">
            <v>49</v>
          </cell>
          <cell r="N421">
            <v>49</v>
          </cell>
          <cell r="O421">
            <v>49</v>
          </cell>
          <cell r="P421">
            <v>48</v>
          </cell>
          <cell r="Q421">
            <v>49</v>
          </cell>
          <cell r="R421">
            <v>50</v>
          </cell>
          <cell r="S421">
            <v>0</v>
          </cell>
          <cell r="T421">
            <v>0</v>
          </cell>
          <cell r="U421">
            <v>39</v>
          </cell>
          <cell r="V421">
            <v>41</v>
          </cell>
          <cell r="W421">
            <v>44</v>
          </cell>
          <cell r="X421">
            <v>45</v>
          </cell>
          <cell r="Y421">
            <v>0</v>
          </cell>
          <cell r="Z421">
            <v>0</v>
          </cell>
          <cell r="AA421">
            <v>39</v>
          </cell>
          <cell r="AB421">
            <v>41</v>
          </cell>
          <cell r="AC421">
            <v>44</v>
          </cell>
          <cell r="AD421">
            <v>45</v>
          </cell>
        </row>
        <row r="422">
          <cell r="C422" t="str">
            <v>신충 3</v>
          </cell>
          <cell r="D422" t="str">
            <v>계</v>
          </cell>
          <cell r="F422">
            <v>1</v>
          </cell>
          <cell r="H422">
            <v>0.75</v>
          </cell>
          <cell r="I422">
            <v>0.8</v>
          </cell>
          <cell r="J422">
            <v>0.85</v>
          </cell>
          <cell r="K422">
            <v>0.9</v>
          </cell>
          <cell r="L422">
            <v>0.9</v>
          </cell>
          <cell r="M422">
            <v>122</v>
          </cell>
          <cell r="N422">
            <v>122</v>
          </cell>
          <cell r="O422">
            <v>120</v>
          </cell>
          <cell r="P422">
            <v>119</v>
          </cell>
          <cell r="Q422">
            <v>122</v>
          </cell>
          <cell r="R422">
            <v>124</v>
          </cell>
          <cell r="S422">
            <v>0</v>
          </cell>
          <cell r="T422">
            <v>0</v>
          </cell>
          <cell r="U422">
            <v>96</v>
          </cell>
          <cell r="V422">
            <v>101</v>
          </cell>
          <cell r="W422">
            <v>110</v>
          </cell>
          <cell r="X422">
            <v>112</v>
          </cell>
          <cell r="Y422">
            <v>0</v>
          </cell>
          <cell r="Z422">
            <v>0</v>
          </cell>
          <cell r="AA422">
            <v>96</v>
          </cell>
          <cell r="AB422">
            <v>101</v>
          </cell>
          <cell r="AC422">
            <v>110</v>
          </cell>
          <cell r="AD422">
            <v>112</v>
          </cell>
        </row>
        <row r="423">
          <cell r="C423" t="str">
            <v>산성리</v>
          </cell>
          <cell r="D423" t="str">
            <v>소계</v>
          </cell>
          <cell r="E423">
            <v>69358</v>
          </cell>
          <cell r="M423">
            <v>116</v>
          </cell>
          <cell r="N423">
            <v>116</v>
          </cell>
          <cell r="O423">
            <v>114</v>
          </cell>
          <cell r="P423">
            <v>113</v>
          </cell>
          <cell r="Q423">
            <v>116</v>
          </cell>
          <cell r="R423">
            <v>118</v>
          </cell>
          <cell r="S423">
            <v>0</v>
          </cell>
          <cell r="T423">
            <v>0</v>
          </cell>
          <cell r="U423">
            <v>91</v>
          </cell>
          <cell r="V423">
            <v>96</v>
          </cell>
          <cell r="W423">
            <v>104</v>
          </cell>
          <cell r="X423">
            <v>106</v>
          </cell>
          <cell r="Y423">
            <v>0</v>
          </cell>
          <cell r="Z423">
            <v>0</v>
          </cell>
          <cell r="AA423">
            <v>91</v>
          </cell>
          <cell r="AB423">
            <v>96</v>
          </cell>
          <cell r="AC423">
            <v>104</v>
          </cell>
          <cell r="AD423">
            <v>106</v>
          </cell>
        </row>
        <row r="424">
          <cell r="D424" t="str">
            <v>산성골</v>
          </cell>
          <cell r="E424">
            <v>42005</v>
          </cell>
          <cell r="F424">
            <v>1</v>
          </cell>
          <cell r="H424">
            <v>0.75</v>
          </cell>
          <cell r="I424">
            <v>0.8</v>
          </cell>
          <cell r="J424">
            <v>0.85</v>
          </cell>
          <cell r="K424">
            <v>0.9</v>
          </cell>
          <cell r="L424">
            <v>0.9</v>
          </cell>
          <cell r="M424">
            <v>70</v>
          </cell>
          <cell r="N424">
            <v>70</v>
          </cell>
          <cell r="O424">
            <v>69</v>
          </cell>
          <cell r="P424">
            <v>68</v>
          </cell>
          <cell r="Q424">
            <v>70</v>
          </cell>
          <cell r="R424">
            <v>71</v>
          </cell>
          <cell r="S424">
            <v>0</v>
          </cell>
          <cell r="T424">
            <v>0</v>
          </cell>
          <cell r="U424">
            <v>55</v>
          </cell>
          <cell r="V424">
            <v>58</v>
          </cell>
          <cell r="W424">
            <v>63</v>
          </cell>
          <cell r="X424">
            <v>64</v>
          </cell>
          <cell r="Y424">
            <v>0</v>
          </cell>
          <cell r="Z424">
            <v>0</v>
          </cell>
          <cell r="AA424">
            <v>55</v>
          </cell>
          <cell r="AB424">
            <v>58</v>
          </cell>
          <cell r="AC424">
            <v>63</v>
          </cell>
          <cell r="AD424">
            <v>64</v>
          </cell>
        </row>
        <row r="425">
          <cell r="D425" t="str">
            <v>원골</v>
          </cell>
          <cell r="E425">
            <v>27353</v>
          </cell>
          <cell r="F425">
            <v>1</v>
          </cell>
          <cell r="H425">
            <v>0.75</v>
          </cell>
          <cell r="I425">
            <v>0.8</v>
          </cell>
          <cell r="J425">
            <v>0.85</v>
          </cell>
          <cell r="K425">
            <v>0.9</v>
          </cell>
          <cell r="L425">
            <v>0.9</v>
          </cell>
          <cell r="M425">
            <v>46</v>
          </cell>
          <cell r="N425">
            <v>46</v>
          </cell>
          <cell r="O425">
            <v>45</v>
          </cell>
          <cell r="P425">
            <v>45</v>
          </cell>
          <cell r="Q425">
            <v>46</v>
          </cell>
          <cell r="R425">
            <v>47</v>
          </cell>
          <cell r="S425">
            <v>0</v>
          </cell>
          <cell r="T425">
            <v>0</v>
          </cell>
          <cell r="U425">
            <v>36</v>
          </cell>
          <cell r="V425">
            <v>38</v>
          </cell>
          <cell r="W425">
            <v>41</v>
          </cell>
          <cell r="X425">
            <v>42</v>
          </cell>
          <cell r="Y425">
            <v>0</v>
          </cell>
          <cell r="Z425">
            <v>0</v>
          </cell>
          <cell r="AA425">
            <v>36</v>
          </cell>
          <cell r="AB425">
            <v>38</v>
          </cell>
          <cell r="AC425">
            <v>41</v>
          </cell>
          <cell r="AD425">
            <v>42</v>
          </cell>
        </row>
        <row r="426">
          <cell r="C426" t="str">
            <v>월오리</v>
          </cell>
          <cell r="D426" t="str">
            <v>소계</v>
          </cell>
          <cell r="M426">
            <v>437</v>
          </cell>
          <cell r="N426">
            <v>438</v>
          </cell>
          <cell r="O426">
            <v>431</v>
          </cell>
          <cell r="P426">
            <v>427</v>
          </cell>
          <cell r="Q426">
            <v>436</v>
          </cell>
          <cell r="R426">
            <v>444</v>
          </cell>
          <cell r="S426">
            <v>0</v>
          </cell>
          <cell r="T426">
            <v>0</v>
          </cell>
          <cell r="U426">
            <v>345</v>
          </cell>
          <cell r="V426">
            <v>363</v>
          </cell>
          <cell r="W426">
            <v>394</v>
          </cell>
          <cell r="X426">
            <v>401</v>
          </cell>
          <cell r="Y426">
            <v>0</v>
          </cell>
          <cell r="Z426">
            <v>0</v>
          </cell>
          <cell r="AA426">
            <v>345</v>
          </cell>
          <cell r="AB426">
            <v>363</v>
          </cell>
          <cell r="AC426">
            <v>394</v>
          </cell>
          <cell r="AD426">
            <v>401</v>
          </cell>
        </row>
        <row r="427">
          <cell r="C427" t="str">
            <v>월오 1</v>
          </cell>
          <cell r="D427" t="str">
            <v>계</v>
          </cell>
          <cell r="E427">
            <v>97284</v>
          </cell>
          <cell r="M427">
            <v>326</v>
          </cell>
          <cell r="N427">
            <v>327</v>
          </cell>
          <cell r="O427">
            <v>322</v>
          </cell>
          <cell r="P427">
            <v>318</v>
          </cell>
          <cell r="Q427">
            <v>325</v>
          </cell>
          <cell r="R427">
            <v>331</v>
          </cell>
          <cell r="S427">
            <v>0</v>
          </cell>
          <cell r="T427">
            <v>0</v>
          </cell>
          <cell r="U427">
            <v>258</v>
          </cell>
          <cell r="V427">
            <v>271</v>
          </cell>
          <cell r="W427">
            <v>294</v>
          </cell>
          <cell r="X427">
            <v>300</v>
          </cell>
          <cell r="Y427">
            <v>0</v>
          </cell>
          <cell r="Z427">
            <v>0</v>
          </cell>
          <cell r="AA427">
            <v>258</v>
          </cell>
          <cell r="AB427">
            <v>271</v>
          </cell>
          <cell r="AC427">
            <v>294</v>
          </cell>
          <cell r="AD427">
            <v>300</v>
          </cell>
        </row>
        <row r="428">
          <cell r="D428" t="str">
            <v>윗새터</v>
          </cell>
          <cell r="E428">
            <v>21940</v>
          </cell>
          <cell r="F428">
            <v>1</v>
          </cell>
          <cell r="H428">
            <v>0.75</v>
          </cell>
          <cell r="I428">
            <v>0.8</v>
          </cell>
          <cell r="J428">
            <v>0.85</v>
          </cell>
          <cell r="K428">
            <v>0.9</v>
          </cell>
          <cell r="L428">
            <v>0.9</v>
          </cell>
          <cell r="M428">
            <v>74</v>
          </cell>
          <cell r="N428">
            <v>74</v>
          </cell>
          <cell r="O428">
            <v>73</v>
          </cell>
          <cell r="P428">
            <v>72</v>
          </cell>
          <cell r="Q428">
            <v>73</v>
          </cell>
          <cell r="R428">
            <v>75</v>
          </cell>
          <cell r="S428">
            <v>0</v>
          </cell>
          <cell r="T428">
            <v>0</v>
          </cell>
          <cell r="U428">
            <v>58</v>
          </cell>
          <cell r="V428">
            <v>61</v>
          </cell>
          <cell r="W428">
            <v>66</v>
          </cell>
          <cell r="X428">
            <v>68</v>
          </cell>
          <cell r="Y428">
            <v>0</v>
          </cell>
          <cell r="Z428">
            <v>0</v>
          </cell>
          <cell r="AA428">
            <v>58</v>
          </cell>
          <cell r="AB428">
            <v>61</v>
          </cell>
          <cell r="AC428">
            <v>66</v>
          </cell>
          <cell r="AD428">
            <v>68</v>
          </cell>
        </row>
        <row r="429">
          <cell r="D429" t="str">
            <v>안말</v>
          </cell>
          <cell r="E429">
            <v>13151</v>
          </cell>
          <cell r="F429">
            <v>1</v>
          </cell>
          <cell r="H429">
            <v>0.75</v>
          </cell>
          <cell r="I429">
            <v>0.8</v>
          </cell>
          <cell r="J429">
            <v>0.85</v>
          </cell>
          <cell r="K429">
            <v>0.9</v>
          </cell>
          <cell r="L429">
            <v>0.9</v>
          </cell>
          <cell r="M429">
            <v>44</v>
          </cell>
          <cell r="N429">
            <v>44</v>
          </cell>
          <cell r="O429">
            <v>44</v>
          </cell>
          <cell r="P429">
            <v>43</v>
          </cell>
          <cell r="Q429">
            <v>44</v>
          </cell>
          <cell r="R429">
            <v>45</v>
          </cell>
          <cell r="S429">
            <v>0</v>
          </cell>
          <cell r="T429">
            <v>0</v>
          </cell>
          <cell r="U429">
            <v>35</v>
          </cell>
          <cell r="V429">
            <v>37</v>
          </cell>
          <cell r="W429">
            <v>40</v>
          </cell>
          <cell r="X429">
            <v>41</v>
          </cell>
          <cell r="Y429">
            <v>0</v>
          </cell>
          <cell r="Z429">
            <v>0</v>
          </cell>
          <cell r="AA429">
            <v>35</v>
          </cell>
          <cell r="AB429">
            <v>37</v>
          </cell>
          <cell r="AC429">
            <v>40</v>
          </cell>
          <cell r="AD429">
            <v>41</v>
          </cell>
        </row>
        <row r="430">
          <cell r="D430" t="str">
            <v>대사마루</v>
          </cell>
          <cell r="E430">
            <v>18378</v>
          </cell>
          <cell r="F430">
            <v>1</v>
          </cell>
          <cell r="H430">
            <v>0.75</v>
          </cell>
          <cell r="I430">
            <v>0.8</v>
          </cell>
          <cell r="J430">
            <v>0.85</v>
          </cell>
          <cell r="K430">
            <v>0.9</v>
          </cell>
          <cell r="L430">
            <v>0.9</v>
          </cell>
          <cell r="M430">
            <v>62</v>
          </cell>
          <cell r="N430">
            <v>62</v>
          </cell>
          <cell r="O430">
            <v>61</v>
          </cell>
          <cell r="P430">
            <v>60</v>
          </cell>
          <cell r="Q430">
            <v>61</v>
          </cell>
          <cell r="R430">
            <v>63</v>
          </cell>
          <cell r="S430">
            <v>0</v>
          </cell>
          <cell r="T430">
            <v>0</v>
          </cell>
          <cell r="U430">
            <v>49</v>
          </cell>
          <cell r="V430">
            <v>51</v>
          </cell>
          <cell r="W430">
            <v>55</v>
          </cell>
          <cell r="X430">
            <v>57</v>
          </cell>
          <cell r="Y430">
            <v>0</v>
          </cell>
          <cell r="Z430">
            <v>0</v>
          </cell>
          <cell r="AA430">
            <v>49</v>
          </cell>
          <cell r="AB430">
            <v>51</v>
          </cell>
          <cell r="AC430">
            <v>55</v>
          </cell>
          <cell r="AD430">
            <v>57</v>
          </cell>
        </row>
        <row r="431">
          <cell r="D431" t="str">
            <v>서리골</v>
          </cell>
          <cell r="E431">
            <v>30924</v>
          </cell>
          <cell r="F431">
            <v>1</v>
          </cell>
          <cell r="H431">
            <v>0.75</v>
          </cell>
          <cell r="I431">
            <v>0.8</v>
          </cell>
          <cell r="J431">
            <v>0.85</v>
          </cell>
          <cell r="K431">
            <v>0.9</v>
          </cell>
          <cell r="L431">
            <v>0.9</v>
          </cell>
          <cell r="M431">
            <v>104</v>
          </cell>
          <cell r="N431">
            <v>104</v>
          </cell>
          <cell r="O431">
            <v>102</v>
          </cell>
          <cell r="P431">
            <v>101</v>
          </cell>
          <cell r="Q431">
            <v>103</v>
          </cell>
          <cell r="R431">
            <v>105</v>
          </cell>
          <cell r="S431">
            <v>0</v>
          </cell>
          <cell r="T431">
            <v>0</v>
          </cell>
          <cell r="U431">
            <v>82</v>
          </cell>
          <cell r="V431">
            <v>86</v>
          </cell>
          <cell r="W431">
            <v>93</v>
          </cell>
          <cell r="X431">
            <v>95</v>
          </cell>
          <cell r="Y431">
            <v>0</v>
          </cell>
          <cell r="Z431">
            <v>0</v>
          </cell>
          <cell r="AA431">
            <v>82</v>
          </cell>
          <cell r="AB431">
            <v>86</v>
          </cell>
          <cell r="AC431">
            <v>93</v>
          </cell>
          <cell r="AD431">
            <v>95</v>
          </cell>
        </row>
        <row r="432">
          <cell r="D432" t="str">
            <v>산성골</v>
          </cell>
          <cell r="E432">
            <v>12891</v>
          </cell>
          <cell r="F432">
            <v>1</v>
          </cell>
          <cell r="H432">
            <v>0.75</v>
          </cell>
          <cell r="I432">
            <v>0.8</v>
          </cell>
          <cell r="J432">
            <v>0.85</v>
          </cell>
          <cell r="K432">
            <v>0.9</v>
          </cell>
          <cell r="L432">
            <v>0.9</v>
          </cell>
          <cell r="M432">
            <v>42</v>
          </cell>
          <cell r="N432">
            <v>43</v>
          </cell>
          <cell r="O432">
            <v>42</v>
          </cell>
          <cell r="P432">
            <v>42</v>
          </cell>
          <cell r="Q432">
            <v>44</v>
          </cell>
          <cell r="R432">
            <v>43</v>
          </cell>
          <cell r="S432">
            <v>0</v>
          </cell>
          <cell r="T432">
            <v>0</v>
          </cell>
          <cell r="U432">
            <v>34</v>
          </cell>
          <cell r="V432">
            <v>36</v>
          </cell>
          <cell r="W432">
            <v>40</v>
          </cell>
          <cell r="X432">
            <v>39</v>
          </cell>
          <cell r="Y432">
            <v>0</v>
          </cell>
          <cell r="Z432">
            <v>0</v>
          </cell>
          <cell r="AA432">
            <v>34</v>
          </cell>
          <cell r="AB432">
            <v>36</v>
          </cell>
          <cell r="AC432">
            <v>40</v>
          </cell>
          <cell r="AD432">
            <v>39</v>
          </cell>
        </row>
        <row r="433">
          <cell r="C433" t="str">
            <v>월오 2</v>
          </cell>
          <cell r="D433" t="str">
            <v>계</v>
          </cell>
          <cell r="E433">
            <v>37354</v>
          </cell>
          <cell r="M433">
            <v>111</v>
          </cell>
          <cell r="N433">
            <v>111</v>
          </cell>
          <cell r="O433">
            <v>109</v>
          </cell>
          <cell r="P433">
            <v>109</v>
          </cell>
          <cell r="Q433">
            <v>111</v>
          </cell>
          <cell r="R433">
            <v>113</v>
          </cell>
          <cell r="S433">
            <v>0</v>
          </cell>
          <cell r="T433">
            <v>0</v>
          </cell>
          <cell r="U433">
            <v>87</v>
          </cell>
          <cell r="V433">
            <v>92</v>
          </cell>
          <cell r="W433">
            <v>100</v>
          </cell>
          <cell r="X433">
            <v>101</v>
          </cell>
          <cell r="Y433">
            <v>0</v>
          </cell>
          <cell r="Z433">
            <v>0</v>
          </cell>
          <cell r="AA433">
            <v>87</v>
          </cell>
          <cell r="AB433">
            <v>92</v>
          </cell>
          <cell r="AC433">
            <v>100</v>
          </cell>
          <cell r="AD433">
            <v>101</v>
          </cell>
        </row>
        <row r="434">
          <cell r="D434" t="str">
            <v>아랫새터</v>
          </cell>
          <cell r="E434">
            <v>28854</v>
          </cell>
          <cell r="F434">
            <v>1</v>
          </cell>
          <cell r="H434">
            <v>0.75</v>
          </cell>
          <cell r="I434">
            <v>0.8</v>
          </cell>
          <cell r="J434">
            <v>0.85</v>
          </cell>
          <cell r="K434">
            <v>0.9</v>
          </cell>
          <cell r="L434">
            <v>0.9</v>
          </cell>
          <cell r="M434">
            <v>86</v>
          </cell>
          <cell r="N434">
            <v>86</v>
          </cell>
          <cell r="O434">
            <v>84</v>
          </cell>
          <cell r="P434">
            <v>84</v>
          </cell>
          <cell r="Q434">
            <v>86</v>
          </cell>
          <cell r="R434">
            <v>87</v>
          </cell>
          <cell r="S434">
            <v>0</v>
          </cell>
          <cell r="T434">
            <v>0</v>
          </cell>
          <cell r="U434">
            <v>67</v>
          </cell>
          <cell r="V434">
            <v>71</v>
          </cell>
          <cell r="W434">
            <v>77</v>
          </cell>
          <cell r="X434">
            <v>78</v>
          </cell>
          <cell r="Y434">
            <v>0</v>
          </cell>
          <cell r="Z434">
            <v>0</v>
          </cell>
          <cell r="AA434">
            <v>67</v>
          </cell>
          <cell r="AB434">
            <v>71</v>
          </cell>
          <cell r="AC434">
            <v>77</v>
          </cell>
          <cell r="AD434">
            <v>78</v>
          </cell>
        </row>
        <row r="435">
          <cell r="D435" t="str">
            <v>산소</v>
          </cell>
          <cell r="E435">
            <v>8500</v>
          </cell>
          <cell r="F435">
            <v>1</v>
          </cell>
          <cell r="H435">
            <v>0.75</v>
          </cell>
          <cell r="I435">
            <v>0.8</v>
          </cell>
          <cell r="J435">
            <v>0.85</v>
          </cell>
          <cell r="K435">
            <v>0.9</v>
          </cell>
          <cell r="L435">
            <v>0.9</v>
          </cell>
          <cell r="M435">
            <v>25</v>
          </cell>
          <cell r="N435">
            <v>25</v>
          </cell>
          <cell r="O435">
            <v>25</v>
          </cell>
          <cell r="P435">
            <v>25</v>
          </cell>
          <cell r="Q435">
            <v>25</v>
          </cell>
          <cell r="R435">
            <v>26</v>
          </cell>
          <cell r="S435">
            <v>0</v>
          </cell>
          <cell r="T435">
            <v>0</v>
          </cell>
          <cell r="U435">
            <v>20</v>
          </cell>
          <cell r="V435">
            <v>21</v>
          </cell>
          <cell r="W435">
            <v>23</v>
          </cell>
          <cell r="X435">
            <v>23</v>
          </cell>
          <cell r="Y435">
            <v>0</v>
          </cell>
          <cell r="Z435">
            <v>0</v>
          </cell>
          <cell r="AA435">
            <v>20</v>
          </cell>
          <cell r="AB435">
            <v>21</v>
          </cell>
          <cell r="AC435">
            <v>23</v>
          </cell>
          <cell r="AD435">
            <v>23</v>
          </cell>
        </row>
        <row r="436">
          <cell r="C436" t="str">
            <v>지경리</v>
          </cell>
          <cell r="D436" t="str">
            <v>소계</v>
          </cell>
          <cell r="M436">
            <v>260</v>
          </cell>
          <cell r="N436">
            <v>260</v>
          </cell>
          <cell r="O436">
            <v>256</v>
          </cell>
          <cell r="P436">
            <v>253</v>
          </cell>
          <cell r="Q436">
            <v>260</v>
          </cell>
          <cell r="R436">
            <v>264</v>
          </cell>
          <cell r="S436">
            <v>0</v>
          </cell>
          <cell r="T436">
            <v>0</v>
          </cell>
          <cell r="U436">
            <v>205</v>
          </cell>
          <cell r="V436">
            <v>215</v>
          </cell>
          <cell r="W436">
            <v>234</v>
          </cell>
          <cell r="X436">
            <v>238</v>
          </cell>
          <cell r="Y436">
            <v>0</v>
          </cell>
          <cell r="Z436">
            <v>0</v>
          </cell>
          <cell r="AA436">
            <v>205</v>
          </cell>
          <cell r="AB436">
            <v>215</v>
          </cell>
          <cell r="AC436">
            <v>234</v>
          </cell>
          <cell r="AD436">
            <v>238</v>
          </cell>
        </row>
        <row r="437">
          <cell r="C437" t="str">
            <v>지경 1</v>
          </cell>
          <cell r="D437" t="str">
            <v>계</v>
          </cell>
          <cell r="E437">
            <v>118436</v>
          </cell>
          <cell r="M437">
            <v>190</v>
          </cell>
          <cell r="N437">
            <v>190</v>
          </cell>
          <cell r="O437">
            <v>187</v>
          </cell>
          <cell r="P437">
            <v>185</v>
          </cell>
          <cell r="Q437">
            <v>190</v>
          </cell>
          <cell r="R437">
            <v>193</v>
          </cell>
          <cell r="S437">
            <v>0</v>
          </cell>
          <cell r="T437">
            <v>0</v>
          </cell>
          <cell r="U437">
            <v>149</v>
          </cell>
          <cell r="V437">
            <v>157</v>
          </cell>
          <cell r="W437">
            <v>171</v>
          </cell>
          <cell r="X437">
            <v>174</v>
          </cell>
          <cell r="Y437">
            <v>0</v>
          </cell>
          <cell r="Z437">
            <v>0</v>
          </cell>
          <cell r="AA437">
            <v>149</v>
          </cell>
          <cell r="AB437">
            <v>157</v>
          </cell>
          <cell r="AC437">
            <v>171</v>
          </cell>
          <cell r="AD437">
            <v>174</v>
          </cell>
        </row>
        <row r="438">
          <cell r="D438" t="str">
            <v>윗말</v>
          </cell>
          <cell r="E438">
            <v>97421</v>
          </cell>
          <cell r="F438">
            <v>1</v>
          </cell>
          <cell r="H438">
            <v>0.75</v>
          </cell>
          <cell r="I438">
            <v>0.8</v>
          </cell>
          <cell r="J438">
            <v>0.85</v>
          </cell>
          <cell r="K438">
            <v>0.9</v>
          </cell>
          <cell r="L438">
            <v>0.9</v>
          </cell>
          <cell r="M438">
            <v>156</v>
          </cell>
          <cell r="N438">
            <v>156</v>
          </cell>
          <cell r="O438">
            <v>154</v>
          </cell>
          <cell r="P438">
            <v>152</v>
          </cell>
          <cell r="Q438">
            <v>156</v>
          </cell>
          <cell r="R438">
            <v>159</v>
          </cell>
          <cell r="S438">
            <v>0</v>
          </cell>
          <cell r="T438">
            <v>0</v>
          </cell>
          <cell r="U438">
            <v>123</v>
          </cell>
          <cell r="V438">
            <v>129</v>
          </cell>
          <cell r="W438">
            <v>140</v>
          </cell>
          <cell r="X438">
            <v>143</v>
          </cell>
          <cell r="Y438">
            <v>0</v>
          </cell>
          <cell r="Z438">
            <v>0</v>
          </cell>
          <cell r="AA438">
            <v>123</v>
          </cell>
          <cell r="AB438">
            <v>129</v>
          </cell>
          <cell r="AC438">
            <v>140</v>
          </cell>
          <cell r="AD438">
            <v>143</v>
          </cell>
        </row>
        <row r="439">
          <cell r="D439" t="str">
            <v>아랫말</v>
          </cell>
          <cell r="E439">
            <v>21015</v>
          </cell>
          <cell r="F439">
            <v>1</v>
          </cell>
          <cell r="H439">
            <v>0.75</v>
          </cell>
          <cell r="I439">
            <v>0.8</v>
          </cell>
          <cell r="J439">
            <v>0.85</v>
          </cell>
          <cell r="K439">
            <v>0.9</v>
          </cell>
          <cell r="L439">
            <v>0.9</v>
          </cell>
          <cell r="M439">
            <v>34</v>
          </cell>
          <cell r="N439">
            <v>34</v>
          </cell>
          <cell r="O439">
            <v>33</v>
          </cell>
          <cell r="P439">
            <v>33</v>
          </cell>
          <cell r="Q439">
            <v>34</v>
          </cell>
          <cell r="R439">
            <v>34</v>
          </cell>
          <cell r="S439">
            <v>0</v>
          </cell>
          <cell r="T439">
            <v>0</v>
          </cell>
          <cell r="U439">
            <v>26</v>
          </cell>
          <cell r="V439">
            <v>28</v>
          </cell>
          <cell r="W439">
            <v>31</v>
          </cell>
          <cell r="X439">
            <v>31</v>
          </cell>
          <cell r="Y439">
            <v>0</v>
          </cell>
          <cell r="Z439">
            <v>0</v>
          </cell>
          <cell r="AA439">
            <v>26</v>
          </cell>
          <cell r="AB439">
            <v>28</v>
          </cell>
          <cell r="AC439">
            <v>31</v>
          </cell>
          <cell r="AD439">
            <v>31</v>
          </cell>
        </row>
        <row r="440">
          <cell r="C440" t="str">
            <v>지경 2</v>
          </cell>
          <cell r="D440" t="str">
            <v>계</v>
          </cell>
          <cell r="E440">
            <v>51575</v>
          </cell>
          <cell r="M440">
            <v>70</v>
          </cell>
          <cell r="N440">
            <v>70</v>
          </cell>
          <cell r="O440">
            <v>69</v>
          </cell>
          <cell r="P440">
            <v>68</v>
          </cell>
          <cell r="Q440">
            <v>70</v>
          </cell>
          <cell r="R440">
            <v>71</v>
          </cell>
          <cell r="S440">
            <v>0</v>
          </cell>
          <cell r="T440">
            <v>0</v>
          </cell>
          <cell r="U440">
            <v>56</v>
          </cell>
          <cell r="V440">
            <v>58</v>
          </cell>
          <cell r="W440">
            <v>63</v>
          </cell>
          <cell r="X440">
            <v>64</v>
          </cell>
          <cell r="Y440">
            <v>0</v>
          </cell>
          <cell r="Z440">
            <v>0</v>
          </cell>
          <cell r="AA440">
            <v>56</v>
          </cell>
          <cell r="AB440">
            <v>58</v>
          </cell>
          <cell r="AC440">
            <v>63</v>
          </cell>
          <cell r="AD440">
            <v>64</v>
          </cell>
        </row>
        <row r="441">
          <cell r="D441" t="str">
            <v>산정말</v>
          </cell>
          <cell r="E441">
            <v>12054</v>
          </cell>
          <cell r="F441">
            <v>1</v>
          </cell>
          <cell r="H441">
            <v>0.75</v>
          </cell>
          <cell r="I441">
            <v>0.8</v>
          </cell>
          <cell r="J441">
            <v>0.85</v>
          </cell>
          <cell r="K441">
            <v>0.9</v>
          </cell>
          <cell r="L441">
            <v>0.9</v>
          </cell>
          <cell r="M441">
            <v>16</v>
          </cell>
          <cell r="N441">
            <v>16</v>
          </cell>
          <cell r="O441">
            <v>16</v>
          </cell>
          <cell r="P441">
            <v>16</v>
          </cell>
          <cell r="Q441">
            <v>16</v>
          </cell>
          <cell r="R441">
            <v>17</v>
          </cell>
          <cell r="S441">
            <v>0</v>
          </cell>
          <cell r="T441">
            <v>0</v>
          </cell>
          <cell r="U441">
            <v>13</v>
          </cell>
          <cell r="V441">
            <v>14</v>
          </cell>
          <cell r="W441">
            <v>14</v>
          </cell>
          <cell r="X441">
            <v>15</v>
          </cell>
          <cell r="Y441">
            <v>0</v>
          </cell>
          <cell r="Z441">
            <v>0</v>
          </cell>
          <cell r="AA441">
            <v>13</v>
          </cell>
          <cell r="AB441">
            <v>14</v>
          </cell>
          <cell r="AC441">
            <v>14</v>
          </cell>
          <cell r="AD441">
            <v>15</v>
          </cell>
        </row>
        <row r="442">
          <cell r="D442" t="str">
            <v>왕우래</v>
          </cell>
          <cell r="E442">
            <v>24154</v>
          </cell>
          <cell r="F442">
            <v>1</v>
          </cell>
          <cell r="H442">
            <v>0.75</v>
          </cell>
          <cell r="I442">
            <v>0.8</v>
          </cell>
          <cell r="J442">
            <v>0.85</v>
          </cell>
          <cell r="K442">
            <v>0.9</v>
          </cell>
          <cell r="L442">
            <v>0.9</v>
          </cell>
          <cell r="M442">
            <v>33</v>
          </cell>
          <cell r="N442">
            <v>33</v>
          </cell>
          <cell r="O442">
            <v>32</v>
          </cell>
          <cell r="P442">
            <v>32</v>
          </cell>
          <cell r="Q442">
            <v>33</v>
          </cell>
          <cell r="R442">
            <v>33</v>
          </cell>
          <cell r="S442">
            <v>0</v>
          </cell>
          <cell r="T442">
            <v>0</v>
          </cell>
          <cell r="U442">
            <v>26</v>
          </cell>
          <cell r="V442">
            <v>27</v>
          </cell>
          <cell r="W442">
            <v>30</v>
          </cell>
          <cell r="X442">
            <v>30</v>
          </cell>
          <cell r="Y442">
            <v>0</v>
          </cell>
          <cell r="Z442">
            <v>0</v>
          </cell>
          <cell r="AA442">
            <v>26</v>
          </cell>
          <cell r="AB442">
            <v>27</v>
          </cell>
          <cell r="AC442">
            <v>30</v>
          </cell>
          <cell r="AD442">
            <v>30</v>
          </cell>
        </row>
        <row r="443">
          <cell r="D443" t="str">
            <v>주래</v>
          </cell>
          <cell r="E443">
            <v>15367</v>
          </cell>
          <cell r="F443">
            <v>1</v>
          </cell>
          <cell r="H443">
            <v>0.75</v>
          </cell>
          <cell r="I443">
            <v>0.8</v>
          </cell>
          <cell r="J443">
            <v>0.85</v>
          </cell>
          <cell r="K443">
            <v>0.9</v>
          </cell>
          <cell r="L443">
            <v>0.9</v>
          </cell>
          <cell r="M443">
            <v>21</v>
          </cell>
          <cell r="N443">
            <v>21</v>
          </cell>
          <cell r="O443">
            <v>21</v>
          </cell>
          <cell r="P443">
            <v>20</v>
          </cell>
          <cell r="Q443">
            <v>21</v>
          </cell>
          <cell r="R443">
            <v>21</v>
          </cell>
          <cell r="S443">
            <v>0</v>
          </cell>
          <cell r="T443">
            <v>0</v>
          </cell>
          <cell r="U443">
            <v>17</v>
          </cell>
          <cell r="V443">
            <v>17</v>
          </cell>
          <cell r="W443">
            <v>19</v>
          </cell>
          <cell r="X443">
            <v>19</v>
          </cell>
          <cell r="Y443">
            <v>0</v>
          </cell>
          <cell r="Z443">
            <v>0</v>
          </cell>
          <cell r="AA443">
            <v>17</v>
          </cell>
          <cell r="AB443">
            <v>17</v>
          </cell>
          <cell r="AC443">
            <v>19</v>
          </cell>
          <cell r="AD443">
            <v>19</v>
          </cell>
        </row>
        <row r="444">
          <cell r="C444" t="str">
            <v>석종리</v>
          </cell>
          <cell r="D444" t="str">
            <v>소계</v>
          </cell>
          <cell r="M444">
            <v>593</v>
          </cell>
          <cell r="N444">
            <v>594</v>
          </cell>
          <cell r="O444">
            <v>585</v>
          </cell>
          <cell r="P444">
            <v>578</v>
          </cell>
          <cell r="Q444">
            <v>592</v>
          </cell>
          <cell r="R444">
            <v>604</v>
          </cell>
          <cell r="S444">
            <v>0</v>
          </cell>
          <cell r="T444">
            <v>0</v>
          </cell>
          <cell r="U444">
            <v>68</v>
          </cell>
          <cell r="V444">
            <v>491</v>
          </cell>
          <cell r="W444">
            <v>533</v>
          </cell>
          <cell r="X444">
            <v>544</v>
          </cell>
          <cell r="Y444">
            <v>0</v>
          </cell>
          <cell r="Z444">
            <v>0</v>
          </cell>
          <cell r="AA444">
            <v>68</v>
          </cell>
          <cell r="AB444">
            <v>491</v>
          </cell>
          <cell r="AC444">
            <v>533</v>
          </cell>
          <cell r="AD444">
            <v>544</v>
          </cell>
        </row>
        <row r="445">
          <cell r="C445" t="str">
            <v>석종 1</v>
          </cell>
          <cell r="D445" t="str">
            <v>계</v>
          </cell>
          <cell r="M445">
            <v>75</v>
          </cell>
          <cell r="N445">
            <v>75</v>
          </cell>
          <cell r="O445">
            <v>74</v>
          </cell>
          <cell r="P445">
            <v>73</v>
          </cell>
          <cell r="Q445">
            <v>75</v>
          </cell>
          <cell r="R445">
            <v>77</v>
          </cell>
          <cell r="S445">
            <v>0</v>
          </cell>
          <cell r="T445">
            <v>0</v>
          </cell>
          <cell r="U445">
            <v>0</v>
          </cell>
          <cell r="V445">
            <v>62</v>
          </cell>
          <cell r="W445">
            <v>68</v>
          </cell>
          <cell r="X445">
            <v>69</v>
          </cell>
          <cell r="Y445">
            <v>0</v>
          </cell>
          <cell r="Z445">
            <v>0</v>
          </cell>
          <cell r="AA445">
            <v>0</v>
          </cell>
          <cell r="AB445">
            <v>62</v>
          </cell>
          <cell r="AC445">
            <v>68</v>
          </cell>
          <cell r="AD445">
            <v>69</v>
          </cell>
        </row>
        <row r="446">
          <cell r="D446" t="str">
            <v>돌밭</v>
          </cell>
          <cell r="F446">
            <v>2</v>
          </cell>
          <cell r="H446">
            <v>0.75</v>
          </cell>
          <cell r="I446">
            <v>0.8</v>
          </cell>
          <cell r="J446">
            <v>0.85</v>
          </cell>
          <cell r="K446">
            <v>0.9</v>
          </cell>
          <cell r="L446">
            <v>0.9</v>
          </cell>
          <cell r="M446">
            <v>75</v>
          </cell>
          <cell r="N446">
            <v>75</v>
          </cell>
          <cell r="O446">
            <v>74</v>
          </cell>
          <cell r="P446">
            <v>73</v>
          </cell>
          <cell r="Q446">
            <v>75</v>
          </cell>
          <cell r="R446">
            <v>77</v>
          </cell>
          <cell r="S446">
            <v>0</v>
          </cell>
          <cell r="T446">
            <v>0</v>
          </cell>
          <cell r="U446">
            <v>0</v>
          </cell>
          <cell r="V446">
            <v>62</v>
          </cell>
          <cell r="W446">
            <v>68</v>
          </cell>
          <cell r="X446">
            <v>69</v>
          </cell>
          <cell r="Y446">
            <v>0</v>
          </cell>
          <cell r="Z446">
            <v>0</v>
          </cell>
          <cell r="AA446">
            <v>0</v>
          </cell>
          <cell r="AB446">
            <v>62</v>
          </cell>
          <cell r="AC446">
            <v>68</v>
          </cell>
          <cell r="AD446">
            <v>69</v>
          </cell>
        </row>
        <row r="447">
          <cell r="C447" t="str">
            <v>석종 2</v>
          </cell>
          <cell r="D447" t="str">
            <v>계</v>
          </cell>
          <cell r="E447">
            <v>58702</v>
          </cell>
          <cell r="M447">
            <v>361</v>
          </cell>
          <cell r="N447">
            <v>362</v>
          </cell>
          <cell r="O447">
            <v>356</v>
          </cell>
          <cell r="P447">
            <v>352</v>
          </cell>
          <cell r="Q447">
            <v>360</v>
          </cell>
          <cell r="R447">
            <v>367</v>
          </cell>
          <cell r="S447">
            <v>0</v>
          </cell>
          <cell r="T447">
            <v>0</v>
          </cell>
          <cell r="U447">
            <v>0</v>
          </cell>
          <cell r="V447">
            <v>299</v>
          </cell>
          <cell r="W447">
            <v>324</v>
          </cell>
          <cell r="X447">
            <v>331</v>
          </cell>
          <cell r="Y447">
            <v>0</v>
          </cell>
          <cell r="Z447">
            <v>0</v>
          </cell>
          <cell r="AA447">
            <v>0</v>
          </cell>
          <cell r="AB447">
            <v>299</v>
          </cell>
          <cell r="AC447">
            <v>324</v>
          </cell>
          <cell r="AD447">
            <v>331</v>
          </cell>
        </row>
        <row r="448">
          <cell r="D448" t="str">
            <v>돌분이</v>
          </cell>
          <cell r="E448">
            <v>38646</v>
          </cell>
          <cell r="F448">
            <v>2</v>
          </cell>
          <cell r="H448">
            <v>0.75</v>
          </cell>
          <cell r="I448">
            <v>0.8</v>
          </cell>
          <cell r="J448">
            <v>0.85</v>
          </cell>
          <cell r="K448">
            <v>0.9</v>
          </cell>
          <cell r="L448">
            <v>0.9</v>
          </cell>
          <cell r="M448">
            <v>238</v>
          </cell>
          <cell r="N448">
            <v>238</v>
          </cell>
          <cell r="O448">
            <v>234</v>
          </cell>
          <cell r="P448">
            <v>232</v>
          </cell>
          <cell r="Q448">
            <v>237</v>
          </cell>
          <cell r="R448">
            <v>242</v>
          </cell>
          <cell r="S448">
            <v>0</v>
          </cell>
          <cell r="T448">
            <v>0</v>
          </cell>
          <cell r="U448">
            <v>0</v>
          </cell>
          <cell r="V448">
            <v>197</v>
          </cell>
          <cell r="W448">
            <v>213</v>
          </cell>
          <cell r="X448">
            <v>218</v>
          </cell>
          <cell r="Y448">
            <v>0</v>
          </cell>
          <cell r="Z448">
            <v>0</v>
          </cell>
          <cell r="AA448">
            <v>0</v>
          </cell>
          <cell r="AB448">
            <v>197</v>
          </cell>
          <cell r="AC448">
            <v>213</v>
          </cell>
          <cell r="AD448">
            <v>218</v>
          </cell>
        </row>
        <row r="449">
          <cell r="D449" t="str">
            <v>돌마루</v>
          </cell>
          <cell r="E449">
            <v>20056</v>
          </cell>
          <cell r="F449">
            <v>2</v>
          </cell>
          <cell r="H449">
            <v>0.75</v>
          </cell>
          <cell r="I449">
            <v>0.8</v>
          </cell>
          <cell r="J449">
            <v>0.85</v>
          </cell>
          <cell r="K449">
            <v>0.9</v>
          </cell>
          <cell r="L449">
            <v>0.9</v>
          </cell>
          <cell r="M449">
            <v>123</v>
          </cell>
          <cell r="N449">
            <v>124</v>
          </cell>
          <cell r="O449">
            <v>122</v>
          </cell>
          <cell r="P449">
            <v>120</v>
          </cell>
          <cell r="Q449">
            <v>123</v>
          </cell>
          <cell r="R449">
            <v>125</v>
          </cell>
          <cell r="S449">
            <v>0</v>
          </cell>
          <cell r="T449">
            <v>0</v>
          </cell>
          <cell r="U449">
            <v>0</v>
          </cell>
          <cell r="V449">
            <v>102</v>
          </cell>
          <cell r="W449">
            <v>111</v>
          </cell>
          <cell r="X449">
            <v>113</v>
          </cell>
          <cell r="Y449">
            <v>0</v>
          </cell>
          <cell r="Z449">
            <v>0</v>
          </cell>
          <cell r="AA449">
            <v>0</v>
          </cell>
          <cell r="AB449">
            <v>102</v>
          </cell>
          <cell r="AC449">
            <v>111</v>
          </cell>
          <cell r="AD449">
            <v>113</v>
          </cell>
        </row>
        <row r="450">
          <cell r="C450" t="str">
            <v>석종 3</v>
          </cell>
          <cell r="D450" t="str">
            <v>계</v>
          </cell>
          <cell r="E450">
            <v>46261</v>
          </cell>
          <cell r="M450">
            <v>157</v>
          </cell>
          <cell r="N450">
            <v>157</v>
          </cell>
          <cell r="O450">
            <v>155</v>
          </cell>
          <cell r="P450">
            <v>153</v>
          </cell>
          <cell r="Q450">
            <v>157</v>
          </cell>
          <cell r="R450">
            <v>160</v>
          </cell>
          <cell r="S450">
            <v>0</v>
          </cell>
          <cell r="T450">
            <v>0</v>
          </cell>
          <cell r="U450">
            <v>68</v>
          </cell>
          <cell r="V450">
            <v>130</v>
          </cell>
          <cell r="W450">
            <v>141</v>
          </cell>
          <cell r="X450">
            <v>144</v>
          </cell>
          <cell r="Y450">
            <v>0</v>
          </cell>
          <cell r="Z450">
            <v>0</v>
          </cell>
          <cell r="AA450">
            <v>68</v>
          </cell>
          <cell r="AB450">
            <v>130</v>
          </cell>
          <cell r="AC450">
            <v>141</v>
          </cell>
          <cell r="AD450">
            <v>144</v>
          </cell>
        </row>
        <row r="451">
          <cell r="D451" t="str">
            <v>가재울</v>
          </cell>
          <cell r="E451">
            <v>20808</v>
          </cell>
          <cell r="F451">
            <v>2</v>
          </cell>
          <cell r="H451">
            <v>0.75</v>
          </cell>
          <cell r="I451">
            <v>0.8</v>
          </cell>
          <cell r="J451">
            <v>0.85</v>
          </cell>
          <cell r="K451">
            <v>0.9</v>
          </cell>
          <cell r="L451">
            <v>0.9</v>
          </cell>
          <cell r="M451">
            <v>71</v>
          </cell>
          <cell r="N451">
            <v>71</v>
          </cell>
          <cell r="O451">
            <v>70</v>
          </cell>
          <cell r="P451">
            <v>69</v>
          </cell>
          <cell r="Q451">
            <v>71</v>
          </cell>
          <cell r="R451">
            <v>72</v>
          </cell>
          <cell r="S451">
            <v>0</v>
          </cell>
          <cell r="T451">
            <v>0</v>
          </cell>
          <cell r="U451">
            <v>0</v>
          </cell>
          <cell r="V451">
            <v>59</v>
          </cell>
          <cell r="W451">
            <v>64</v>
          </cell>
          <cell r="X451">
            <v>65</v>
          </cell>
          <cell r="Y451">
            <v>0</v>
          </cell>
          <cell r="Z451">
            <v>0</v>
          </cell>
          <cell r="AA451">
            <v>0</v>
          </cell>
          <cell r="AB451">
            <v>59</v>
          </cell>
          <cell r="AC451">
            <v>64</v>
          </cell>
          <cell r="AD451">
            <v>65</v>
          </cell>
        </row>
        <row r="452">
          <cell r="D452" t="str">
            <v>주내</v>
          </cell>
          <cell r="E452">
            <v>25453</v>
          </cell>
          <cell r="F452">
            <v>1</v>
          </cell>
          <cell r="H452">
            <v>0.75</v>
          </cell>
          <cell r="I452">
            <v>0.8</v>
          </cell>
          <cell r="J452">
            <v>0.85</v>
          </cell>
          <cell r="K452">
            <v>0.9</v>
          </cell>
          <cell r="L452">
            <v>0.9</v>
          </cell>
          <cell r="M452">
            <v>86</v>
          </cell>
          <cell r="N452">
            <v>86</v>
          </cell>
          <cell r="O452">
            <v>85</v>
          </cell>
          <cell r="P452">
            <v>84</v>
          </cell>
          <cell r="Q452">
            <v>86</v>
          </cell>
          <cell r="R452">
            <v>88</v>
          </cell>
          <cell r="S452">
            <v>0</v>
          </cell>
          <cell r="T452">
            <v>0</v>
          </cell>
          <cell r="U452">
            <v>68</v>
          </cell>
          <cell r="V452">
            <v>71</v>
          </cell>
          <cell r="W452">
            <v>77</v>
          </cell>
          <cell r="X452">
            <v>79</v>
          </cell>
          <cell r="Y452">
            <v>0</v>
          </cell>
          <cell r="Z452">
            <v>0</v>
          </cell>
          <cell r="AA452">
            <v>68</v>
          </cell>
          <cell r="AB452">
            <v>71</v>
          </cell>
          <cell r="AC452">
            <v>77</v>
          </cell>
          <cell r="AD452">
            <v>79</v>
          </cell>
        </row>
        <row r="453">
          <cell r="C453" t="str">
            <v>상도리</v>
          </cell>
          <cell r="D453" t="str">
            <v>소계</v>
          </cell>
          <cell r="M453">
            <v>474</v>
          </cell>
          <cell r="N453">
            <v>476</v>
          </cell>
          <cell r="O453">
            <v>468</v>
          </cell>
          <cell r="P453">
            <v>461</v>
          </cell>
          <cell r="Q453">
            <v>472</v>
          </cell>
          <cell r="R453">
            <v>481</v>
          </cell>
          <cell r="S453">
            <v>0</v>
          </cell>
          <cell r="T453">
            <v>0</v>
          </cell>
          <cell r="U453">
            <v>0</v>
          </cell>
          <cell r="V453">
            <v>392</v>
          </cell>
          <cell r="W453">
            <v>425</v>
          </cell>
          <cell r="X453">
            <v>433</v>
          </cell>
          <cell r="Y453">
            <v>0</v>
          </cell>
          <cell r="Z453">
            <v>0</v>
          </cell>
          <cell r="AA453">
            <v>0</v>
          </cell>
          <cell r="AB453">
            <v>392</v>
          </cell>
          <cell r="AC453">
            <v>425</v>
          </cell>
          <cell r="AD453">
            <v>433</v>
          </cell>
        </row>
        <row r="454">
          <cell r="C454" t="str">
            <v>상도 1</v>
          </cell>
          <cell r="D454" t="str">
            <v>계</v>
          </cell>
          <cell r="E454">
            <v>86567</v>
          </cell>
          <cell r="M454">
            <v>210</v>
          </cell>
          <cell r="N454">
            <v>211</v>
          </cell>
          <cell r="O454">
            <v>207</v>
          </cell>
          <cell r="P454">
            <v>205</v>
          </cell>
          <cell r="Q454">
            <v>210</v>
          </cell>
          <cell r="R454">
            <v>214</v>
          </cell>
          <cell r="S454">
            <v>0</v>
          </cell>
          <cell r="T454">
            <v>0</v>
          </cell>
          <cell r="U454">
            <v>0</v>
          </cell>
          <cell r="V454">
            <v>174</v>
          </cell>
          <cell r="W454">
            <v>189</v>
          </cell>
          <cell r="X454">
            <v>193</v>
          </cell>
          <cell r="Y454">
            <v>0</v>
          </cell>
          <cell r="Z454">
            <v>0</v>
          </cell>
          <cell r="AA454">
            <v>0</v>
          </cell>
          <cell r="AB454">
            <v>174</v>
          </cell>
          <cell r="AC454">
            <v>189</v>
          </cell>
          <cell r="AD454">
            <v>193</v>
          </cell>
        </row>
        <row r="455">
          <cell r="D455" t="str">
            <v>박살미</v>
          </cell>
          <cell r="E455">
            <v>66112</v>
          </cell>
          <cell r="F455">
            <v>2</v>
          </cell>
          <cell r="H455">
            <v>0.75</v>
          </cell>
          <cell r="I455">
            <v>0.8</v>
          </cell>
          <cell r="J455">
            <v>0.85</v>
          </cell>
          <cell r="K455">
            <v>0.9</v>
          </cell>
          <cell r="L455">
            <v>0.9</v>
          </cell>
          <cell r="M455">
            <v>160</v>
          </cell>
          <cell r="N455">
            <v>161</v>
          </cell>
          <cell r="O455">
            <v>158</v>
          </cell>
          <cell r="P455">
            <v>157</v>
          </cell>
          <cell r="Q455">
            <v>160</v>
          </cell>
          <cell r="R455">
            <v>163</v>
          </cell>
          <cell r="S455">
            <v>0</v>
          </cell>
          <cell r="T455">
            <v>0</v>
          </cell>
          <cell r="U455">
            <v>0</v>
          </cell>
          <cell r="V455">
            <v>133</v>
          </cell>
          <cell r="W455">
            <v>144</v>
          </cell>
          <cell r="X455">
            <v>147</v>
          </cell>
          <cell r="Y455">
            <v>0</v>
          </cell>
          <cell r="Z455">
            <v>0</v>
          </cell>
          <cell r="AA455">
            <v>0</v>
          </cell>
          <cell r="AB455">
            <v>133</v>
          </cell>
          <cell r="AC455">
            <v>144</v>
          </cell>
          <cell r="AD455">
            <v>147</v>
          </cell>
        </row>
        <row r="456">
          <cell r="D456" t="str">
            <v>바리바위</v>
          </cell>
          <cell r="E456">
            <v>20455</v>
          </cell>
          <cell r="F456">
            <v>2</v>
          </cell>
          <cell r="H456">
            <v>0.75</v>
          </cell>
          <cell r="I456">
            <v>0.8</v>
          </cell>
          <cell r="J456">
            <v>0.85</v>
          </cell>
          <cell r="K456">
            <v>0.9</v>
          </cell>
          <cell r="L456">
            <v>0.9</v>
          </cell>
          <cell r="M456">
            <v>50</v>
          </cell>
          <cell r="N456">
            <v>50</v>
          </cell>
          <cell r="O456">
            <v>49</v>
          </cell>
          <cell r="P456">
            <v>48</v>
          </cell>
          <cell r="Q456">
            <v>50</v>
          </cell>
          <cell r="R456">
            <v>51</v>
          </cell>
          <cell r="S456">
            <v>0</v>
          </cell>
          <cell r="T456">
            <v>0</v>
          </cell>
          <cell r="U456">
            <v>0</v>
          </cell>
          <cell r="V456">
            <v>41</v>
          </cell>
          <cell r="W456">
            <v>45</v>
          </cell>
          <cell r="X456">
            <v>46</v>
          </cell>
          <cell r="Y456">
            <v>0</v>
          </cell>
          <cell r="Z456">
            <v>0</v>
          </cell>
          <cell r="AA456">
            <v>0</v>
          </cell>
          <cell r="AB456">
            <v>41</v>
          </cell>
          <cell r="AC456">
            <v>45</v>
          </cell>
          <cell r="AD456">
            <v>46</v>
          </cell>
        </row>
        <row r="457">
          <cell r="C457" t="str">
            <v>상도 2</v>
          </cell>
          <cell r="D457" t="str">
            <v>계</v>
          </cell>
          <cell r="E457">
            <v>92703</v>
          </cell>
          <cell r="M457">
            <v>167</v>
          </cell>
          <cell r="N457">
            <v>168</v>
          </cell>
          <cell r="O457">
            <v>165</v>
          </cell>
          <cell r="P457">
            <v>162</v>
          </cell>
          <cell r="Q457">
            <v>166</v>
          </cell>
          <cell r="R457">
            <v>169</v>
          </cell>
          <cell r="S457">
            <v>0</v>
          </cell>
          <cell r="T457">
            <v>0</v>
          </cell>
          <cell r="U457">
            <v>0</v>
          </cell>
          <cell r="V457">
            <v>138</v>
          </cell>
          <cell r="W457">
            <v>150</v>
          </cell>
          <cell r="X457">
            <v>152</v>
          </cell>
          <cell r="Y457">
            <v>0</v>
          </cell>
          <cell r="Z457">
            <v>0</v>
          </cell>
          <cell r="AA457">
            <v>0</v>
          </cell>
          <cell r="AB457">
            <v>138</v>
          </cell>
          <cell r="AC457">
            <v>150</v>
          </cell>
          <cell r="AD457">
            <v>152</v>
          </cell>
        </row>
        <row r="458">
          <cell r="D458" t="str">
            <v>수정골</v>
          </cell>
          <cell r="E458">
            <v>29499</v>
          </cell>
          <cell r="F458">
            <v>2</v>
          </cell>
          <cell r="H458">
            <v>0.75</v>
          </cell>
          <cell r="I458">
            <v>0.8</v>
          </cell>
          <cell r="J458">
            <v>0.85</v>
          </cell>
          <cell r="K458">
            <v>0.9</v>
          </cell>
          <cell r="L458">
            <v>0.9</v>
          </cell>
          <cell r="M458">
            <v>53</v>
          </cell>
          <cell r="N458">
            <v>53</v>
          </cell>
          <cell r="O458">
            <v>53</v>
          </cell>
          <cell r="P458">
            <v>52</v>
          </cell>
          <cell r="Q458">
            <v>53</v>
          </cell>
          <cell r="R458">
            <v>54</v>
          </cell>
          <cell r="S458">
            <v>0</v>
          </cell>
          <cell r="T458">
            <v>0</v>
          </cell>
          <cell r="U458">
            <v>0</v>
          </cell>
          <cell r="V458">
            <v>44</v>
          </cell>
          <cell r="W458">
            <v>48</v>
          </cell>
          <cell r="X458">
            <v>49</v>
          </cell>
          <cell r="Y458">
            <v>0</v>
          </cell>
          <cell r="Z458">
            <v>0</v>
          </cell>
          <cell r="AA458">
            <v>0</v>
          </cell>
          <cell r="AB458">
            <v>44</v>
          </cell>
          <cell r="AC458">
            <v>48</v>
          </cell>
          <cell r="AD458">
            <v>49</v>
          </cell>
        </row>
        <row r="459">
          <cell r="D459" t="str">
            <v>용동</v>
          </cell>
          <cell r="E459">
            <v>43308</v>
          </cell>
          <cell r="F459">
            <v>2</v>
          </cell>
          <cell r="H459">
            <v>0.75</v>
          </cell>
          <cell r="I459">
            <v>0.8</v>
          </cell>
          <cell r="J459">
            <v>0.85</v>
          </cell>
          <cell r="K459">
            <v>0.9</v>
          </cell>
          <cell r="L459">
            <v>0.9</v>
          </cell>
          <cell r="M459">
            <v>78</v>
          </cell>
          <cell r="N459">
            <v>78</v>
          </cell>
          <cell r="O459">
            <v>77</v>
          </cell>
          <cell r="P459">
            <v>76</v>
          </cell>
          <cell r="Q459">
            <v>78</v>
          </cell>
          <cell r="R459">
            <v>79</v>
          </cell>
          <cell r="S459">
            <v>0</v>
          </cell>
          <cell r="T459">
            <v>0</v>
          </cell>
          <cell r="U459">
            <v>0</v>
          </cell>
          <cell r="V459">
            <v>65</v>
          </cell>
          <cell r="W459">
            <v>70</v>
          </cell>
          <cell r="X459">
            <v>71</v>
          </cell>
          <cell r="Y459">
            <v>0</v>
          </cell>
          <cell r="Z459">
            <v>0</v>
          </cell>
          <cell r="AA459">
            <v>0</v>
          </cell>
          <cell r="AB459">
            <v>65</v>
          </cell>
          <cell r="AC459">
            <v>70</v>
          </cell>
          <cell r="AD459">
            <v>71</v>
          </cell>
        </row>
        <row r="460">
          <cell r="D460" t="str">
            <v>쇠점</v>
          </cell>
          <cell r="E460">
            <v>19896</v>
          </cell>
          <cell r="F460">
            <v>2</v>
          </cell>
          <cell r="H460">
            <v>0.75</v>
          </cell>
          <cell r="I460">
            <v>0.8</v>
          </cell>
          <cell r="J460">
            <v>0.85</v>
          </cell>
          <cell r="K460">
            <v>0.9</v>
          </cell>
          <cell r="L460">
            <v>0.9</v>
          </cell>
          <cell r="M460">
            <v>36</v>
          </cell>
          <cell r="N460">
            <v>37</v>
          </cell>
          <cell r="O460">
            <v>35</v>
          </cell>
          <cell r="P460">
            <v>34</v>
          </cell>
          <cell r="Q460">
            <v>35</v>
          </cell>
          <cell r="R460">
            <v>36</v>
          </cell>
          <cell r="S460">
            <v>0</v>
          </cell>
          <cell r="T460">
            <v>0</v>
          </cell>
          <cell r="U460">
            <v>0</v>
          </cell>
          <cell r="V460">
            <v>29</v>
          </cell>
          <cell r="W460">
            <v>32</v>
          </cell>
          <cell r="X460">
            <v>32</v>
          </cell>
          <cell r="Y460">
            <v>0</v>
          </cell>
          <cell r="Z460">
            <v>0</v>
          </cell>
          <cell r="AA460">
            <v>0</v>
          </cell>
          <cell r="AB460">
            <v>29</v>
          </cell>
          <cell r="AC460">
            <v>32</v>
          </cell>
          <cell r="AD460">
            <v>32</v>
          </cell>
        </row>
        <row r="461">
          <cell r="C461" t="str">
            <v>상도 3</v>
          </cell>
          <cell r="D461" t="str">
            <v>계</v>
          </cell>
          <cell r="M461">
            <v>97</v>
          </cell>
          <cell r="N461">
            <v>97</v>
          </cell>
          <cell r="O461">
            <v>96</v>
          </cell>
          <cell r="P461">
            <v>94</v>
          </cell>
          <cell r="Q461">
            <v>96</v>
          </cell>
          <cell r="R461">
            <v>98</v>
          </cell>
          <cell r="S461">
            <v>0</v>
          </cell>
          <cell r="T461">
            <v>0</v>
          </cell>
          <cell r="U461">
            <v>0</v>
          </cell>
          <cell r="V461">
            <v>80</v>
          </cell>
          <cell r="W461">
            <v>86</v>
          </cell>
          <cell r="X461">
            <v>88</v>
          </cell>
          <cell r="Y461">
            <v>0</v>
          </cell>
          <cell r="Z461">
            <v>0</v>
          </cell>
          <cell r="AA461">
            <v>0</v>
          </cell>
          <cell r="AB461">
            <v>80</v>
          </cell>
          <cell r="AC461">
            <v>86</v>
          </cell>
          <cell r="AD461">
            <v>88</v>
          </cell>
        </row>
        <row r="462">
          <cell r="D462" t="str">
            <v>와동</v>
          </cell>
          <cell r="F462">
            <v>2</v>
          </cell>
          <cell r="H462">
            <v>0.75</v>
          </cell>
          <cell r="I462">
            <v>0.8</v>
          </cell>
          <cell r="J462">
            <v>0.85</v>
          </cell>
          <cell r="K462">
            <v>0.9</v>
          </cell>
          <cell r="L462">
            <v>0.9</v>
          </cell>
          <cell r="M462">
            <v>97</v>
          </cell>
          <cell r="N462">
            <v>97</v>
          </cell>
          <cell r="O462">
            <v>96</v>
          </cell>
          <cell r="P462">
            <v>94</v>
          </cell>
          <cell r="Q462">
            <v>96</v>
          </cell>
          <cell r="R462">
            <v>98</v>
          </cell>
          <cell r="S462">
            <v>0</v>
          </cell>
          <cell r="T462">
            <v>0</v>
          </cell>
          <cell r="U462">
            <v>0</v>
          </cell>
          <cell r="V462">
            <v>80</v>
          </cell>
          <cell r="W462">
            <v>86</v>
          </cell>
          <cell r="X462">
            <v>88</v>
          </cell>
          <cell r="Y462">
            <v>0</v>
          </cell>
          <cell r="Z462">
            <v>0</v>
          </cell>
          <cell r="AA462">
            <v>0</v>
          </cell>
          <cell r="AB462">
            <v>80</v>
          </cell>
          <cell r="AC462">
            <v>86</v>
          </cell>
          <cell r="AD462">
            <v>88</v>
          </cell>
        </row>
        <row r="463">
          <cell r="C463" t="str">
            <v>대명리</v>
          </cell>
          <cell r="D463" t="str">
            <v>소계</v>
          </cell>
          <cell r="M463">
            <v>514</v>
          </cell>
          <cell r="N463">
            <v>515</v>
          </cell>
          <cell r="O463">
            <v>507</v>
          </cell>
          <cell r="P463">
            <v>501</v>
          </cell>
          <cell r="Q463">
            <v>513</v>
          </cell>
          <cell r="R463">
            <v>522</v>
          </cell>
          <cell r="S463">
            <v>0</v>
          </cell>
          <cell r="T463">
            <v>0</v>
          </cell>
          <cell r="U463">
            <v>0</v>
          </cell>
          <cell r="V463">
            <v>426</v>
          </cell>
          <cell r="W463">
            <v>463</v>
          </cell>
          <cell r="X463">
            <v>470</v>
          </cell>
          <cell r="Y463">
            <v>0</v>
          </cell>
          <cell r="Z463">
            <v>0</v>
          </cell>
          <cell r="AA463">
            <v>0</v>
          </cell>
          <cell r="AB463">
            <v>426</v>
          </cell>
          <cell r="AC463">
            <v>463</v>
          </cell>
          <cell r="AD463">
            <v>470</v>
          </cell>
        </row>
        <row r="464">
          <cell r="C464" t="str">
            <v>대명 1</v>
          </cell>
          <cell r="D464" t="str">
            <v>계</v>
          </cell>
          <cell r="E464">
            <v>173318</v>
          </cell>
          <cell r="M464">
            <v>361</v>
          </cell>
          <cell r="N464">
            <v>362</v>
          </cell>
          <cell r="O464">
            <v>356</v>
          </cell>
          <cell r="P464">
            <v>352</v>
          </cell>
          <cell r="Q464">
            <v>360</v>
          </cell>
          <cell r="R464">
            <v>367</v>
          </cell>
          <cell r="S464">
            <v>0</v>
          </cell>
          <cell r="T464">
            <v>0</v>
          </cell>
          <cell r="U464">
            <v>0</v>
          </cell>
          <cell r="V464">
            <v>300</v>
          </cell>
          <cell r="W464">
            <v>325</v>
          </cell>
          <cell r="X464">
            <v>330</v>
          </cell>
          <cell r="Y464">
            <v>0</v>
          </cell>
          <cell r="Z464">
            <v>0</v>
          </cell>
          <cell r="AA464">
            <v>0</v>
          </cell>
          <cell r="AB464">
            <v>300</v>
          </cell>
          <cell r="AC464">
            <v>325</v>
          </cell>
          <cell r="AD464">
            <v>330</v>
          </cell>
        </row>
        <row r="465">
          <cell r="D465" t="str">
            <v>진등</v>
          </cell>
          <cell r="E465">
            <v>26424</v>
          </cell>
          <cell r="F465">
            <v>2</v>
          </cell>
          <cell r="H465">
            <v>0.75</v>
          </cell>
          <cell r="I465">
            <v>0.8</v>
          </cell>
          <cell r="J465">
            <v>0.85</v>
          </cell>
          <cell r="K465">
            <v>0.9</v>
          </cell>
          <cell r="L465">
            <v>0.9</v>
          </cell>
          <cell r="M465">
            <v>55</v>
          </cell>
          <cell r="N465">
            <v>55</v>
          </cell>
          <cell r="O465">
            <v>54</v>
          </cell>
          <cell r="P465">
            <v>54</v>
          </cell>
          <cell r="Q465">
            <v>55</v>
          </cell>
          <cell r="R465">
            <v>56</v>
          </cell>
          <cell r="S465">
            <v>0</v>
          </cell>
          <cell r="T465">
            <v>0</v>
          </cell>
          <cell r="U465">
            <v>0</v>
          </cell>
          <cell r="V465">
            <v>46</v>
          </cell>
          <cell r="W465">
            <v>50</v>
          </cell>
          <cell r="X465">
            <v>50</v>
          </cell>
          <cell r="Y465">
            <v>0</v>
          </cell>
          <cell r="Z465">
            <v>0</v>
          </cell>
          <cell r="AA465">
            <v>0</v>
          </cell>
          <cell r="AB465">
            <v>46</v>
          </cell>
          <cell r="AC465">
            <v>50</v>
          </cell>
          <cell r="AD465">
            <v>50</v>
          </cell>
        </row>
        <row r="466">
          <cell r="D466" t="str">
            <v>대명</v>
          </cell>
          <cell r="E466">
            <v>112082</v>
          </cell>
          <cell r="F466">
            <v>2</v>
          </cell>
          <cell r="H466">
            <v>0.75</v>
          </cell>
          <cell r="I466">
            <v>0.8</v>
          </cell>
          <cell r="J466">
            <v>0.85</v>
          </cell>
          <cell r="K466">
            <v>0.9</v>
          </cell>
          <cell r="L466">
            <v>0.9</v>
          </cell>
          <cell r="M466">
            <v>233</v>
          </cell>
          <cell r="N466">
            <v>234</v>
          </cell>
          <cell r="O466">
            <v>230</v>
          </cell>
          <cell r="P466">
            <v>228</v>
          </cell>
          <cell r="Q466">
            <v>233</v>
          </cell>
          <cell r="R466">
            <v>237</v>
          </cell>
          <cell r="S466">
            <v>0</v>
          </cell>
          <cell r="T466">
            <v>0</v>
          </cell>
          <cell r="U466">
            <v>0</v>
          </cell>
          <cell r="V466">
            <v>194</v>
          </cell>
          <cell r="W466">
            <v>210</v>
          </cell>
          <cell r="X466">
            <v>213</v>
          </cell>
          <cell r="Y466">
            <v>0</v>
          </cell>
          <cell r="Z466">
            <v>0</v>
          </cell>
          <cell r="AA466">
            <v>0</v>
          </cell>
          <cell r="AB466">
            <v>194</v>
          </cell>
          <cell r="AC466">
            <v>210</v>
          </cell>
          <cell r="AD466">
            <v>213</v>
          </cell>
        </row>
        <row r="467">
          <cell r="D467" t="str">
            <v>점말</v>
          </cell>
          <cell r="E467">
            <v>10452</v>
          </cell>
          <cell r="F467">
            <v>2</v>
          </cell>
          <cell r="H467">
            <v>0.75</v>
          </cell>
          <cell r="I467">
            <v>0.8</v>
          </cell>
          <cell r="J467">
            <v>0.85</v>
          </cell>
          <cell r="K467">
            <v>0.9</v>
          </cell>
          <cell r="L467">
            <v>0.9</v>
          </cell>
          <cell r="M467">
            <v>22</v>
          </cell>
          <cell r="N467">
            <v>22</v>
          </cell>
          <cell r="O467">
            <v>21</v>
          </cell>
          <cell r="P467">
            <v>21</v>
          </cell>
          <cell r="Q467">
            <v>22</v>
          </cell>
          <cell r="R467">
            <v>22</v>
          </cell>
          <cell r="S467">
            <v>0</v>
          </cell>
          <cell r="T467">
            <v>0</v>
          </cell>
          <cell r="U467">
            <v>0</v>
          </cell>
          <cell r="V467">
            <v>18</v>
          </cell>
          <cell r="W467">
            <v>20</v>
          </cell>
          <cell r="X467">
            <v>20</v>
          </cell>
          <cell r="Y467">
            <v>0</v>
          </cell>
          <cell r="Z467">
            <v>0</v>
          </cell>
          <cell r="AA467">
            <v>0</v>
          </cell>
          <cell r="AB467">
            <v>18</v>
          </cell>
          <cell r="AC467">
            <v>20</v>
          </cell>
          <cell r="AD467">
            <v>20</v>
          </cell>
        </row>
        <row r="468">
          <cell r="D468" t="str">
            <v>별바위</v>
          </cell>
          <cell r="E468">
            <v>24360</v>
          </cell>
          <cell r="F468">
            <v>2</v>
          </cell>
          <cell r="H468">
            <v>0.75</v>
          </cell>
          <cell r="I468">
            <v>0.8</v>
          </cell>
          <cell r="J468">
            <v>0.85</v>
          </cell>
          <cell r="K468">
            <v>0.9</v>
          </cell>
          <cell r="L468">
            <v>0.9</v>
          </cell>
          <cell r="M468">
            <v>51</v>
          </cell>
          <cell r="N468">
            <v>51</v>
          </cell>
          <cell r="O468">
            <v>51</v>
          </cell>
          <cell r="P468">
            <v>49</v>
          </cell>
          <cell r="Q468">
            <v>50</v>
          </cell>
          <cell r="R468">
            <v>52</v>
          </cell>
          <cell r="S468">
            <v>0</v>
          </cell>
          <cell r="T468">
            <v>0</v>
          </cell>
          <cell r="U468">
            <v>0</v>
          </cell>
          <cell r="V468">
            <v>42</v>
          </cell>
          <cell r="W468">
            <v>45</v>
          </cell>
          <cell r="X468">
            <v>47</v>
          </cell>
          <cell r="Y468">
            <v>0</v>
          </cell>
          <cell r="Z468">
            <v>0</v>
          </cell>
          <cell r="AA468">
            <v>0</v>
          </cell>
          <cell r="AB468">
            <v>42</v>
          </cell>
          <cell r="AC468">
            <v>45</v>
          </cell>
          <cell r="AD468">
            <v>47</v>
          </cell>
        </row>
        <row r="469">
          <cell r="C469" t="str">
            <v>대명 2</v>
          </cell>
          <cell r="D469" t="str">
            <v>계</v>
          </cell>
          <cell r="E469">
            <v>59499</v>
          </cell>
          <cell r="M469">
            <v>153</v>
          </cell>
          <cell r="N469">
            <v>153</v>
          </cell>
          <cell r="O469">
            <v>151</v>
          </cell>
          <cell r="P469">
            <v>149</v>
          </cell>
          <cell r="Q469">
            <v>153</v>
          </cell>
          <cell r="R469">
            <v>155</v>
          </cell>
          <cell r="S469">
            <v>0</v>
          </cell>
          <cell r="T469">
            <v>0</v>
          </cell>
          <cell r="U469">
            <v>0</v>
          </cell>
          <cell r="V469">
            <v>126</v>
          </cell>
          <cell r="W469">
            <v>138</v>
          </cell>
          <cell r="X469">
            <v>140</v>
          </cell>
          <cell r="Y469">
            <v>0</v>
          </cell>
          <cell r="Z469">
            <v>0</v>
          </cell>
          <cell r="AA469">
            <v>0</v>
          </cell>
          <cell r="AB469">
            <v>126</v>
          </cell>
          <cell r="AC469">
            <v>138</v>
          </cell>
          <cell r="AD469">
            <v>140</v>
          </cell>
        </row>
        <row r="470">
          <cell r="D470" t="str">
            <v>후동</v>
          </cell>
          <cell r="E470">
            <v>12728</v>
          </cell>
          <cell r="F470">
            <v>2</v>
          </cell>
          <cell r="H470">
            <v>0.75</v>
          </cell>
          <cell r="I470">
            <v>0.8</v>
          </cell>
          <cell r="J470">
            <v>0.85</v>
          </cell>
          <cell r="K470">
            <v>0.9</v>
          </cell>
          <cell r="L470">
            <v>0.9</v>
          </cell>
          <cell r="M470">
            <v>33</v>
          </cell>
          <cell r="N470">
            <v>33</v>
          </cell>
          <cell r="O470">
            <v>32</v>
          </cell>
          <cell r="P470">
            <v>32</v>
          </cell>
          <cell r="Q470">
            <v>33</v>
          </cell>
          <cell r="R470">
            <v>33</v>
          </cell>
          <cell r="S470">
            <v>0</v>
          </cell>
          <cell r="T470">
            <v>0</v>
          </cell>
          <cell r="U470">
            <v>0</v>
          </cell>
          <cell r="V470">
            <v>27</v>
          </cell>
          <cell r="W470">
            <v>30</v>
          </cell>
          <cell r="X470">
            <v>30</v>
          </cell>
          <cell r="Y470">
            <v>0</v>
          </cell>
          <cell r="Z470">
            <v>0</v>
          </cell>
          <cell r="AA470">
            <v>0</v>
          </cell>
          <cell r="AB470">
            <v>27</v>
          </cell>
          <cell r="AC470">
            <v>30</v>
          </cell>
          <cell r="AD470">
            <v>30</v>
          </cell>
        </row>
        <row r="471">
          <cell r="D471" t="str">
            <v>양지뜸</v>
          </cell>
          <cell r="E471">
            <v>31379</v>
          </cell>
          <cell r="F471">
            <v>2</v>
          </cell>
          <cell r="H471">
            <v>0.75</v>
          </cell>
          <cell r="I471">
            <v>0.8</v>
          </cell>
          <cell r="J471">
            <v>0.85</v>
          </cell>
          <cell r="K471">
            <v>0.9</v>
          </cell>
          <cell r="L471">
            <v>0.9</v>
          </cell>
          <cell r="M471">
            <v>81</v>
          </cell>
          <cell r="N471">
            <v>81</v>
          </cell>
          <cell r="O471">
            <v>80</v>
          </cell>
          <cell r="P471">
            <v>79</v>
          </cell>
          <cell r="Q471">
            <v>81</v>
          </cell>
          <cell r="R471">
            <v>82</v>
          </cell>
          <cell r="S471">
            <v>0</v>
          </cell>
          <cell r="T471">
            <v>0</v>
          </cell>
          <cell r="U471">
            <v>0</v>
          </cell>
          <cell r="V471">
            <v>67</v>
          </cell>
          <cell r="W471">
            <v>73</v>
          </cell>
          <cell r="X471">
            <v>74</v>
          </cell>
          <cell r="Y471">
            <v>0</v>
          </cell>
          <cell r="Z471">
            <v>0</v>
          </cell>
          <cell r="AA471">
            <v>0</v>
          </cell>
          <cell r="AB471">
            <v>67</v>
          </cell>
          <cell r="AC471">
            <v>73</v>
          </cell>
          <cell r="AD471">
            <v>74</v>
          </cell>
        </row>
        <row r="472">
          <cell r="D472" t="str">
            <v>음지뜸</v>
          </cell>
          <cell r="E472">
            <v>15392</v>
          </cell>
          <cell r="F472">
            <v>2</v>
          </cell>
          <cell r="H472">
            <v>0.75</v>
          </cell>
          <cell r="I472">
            <v>0.8</v>
          </cell>
          <cell r="J472">
            <v>0.85</v>
          </cell>
          <cell r="K472">
            <v>0.9</v>
          </cell>
          <cell r="L472">
            <v>0.9</v>
          </cell>
          <cell r="M472">
            <v>39</v>
          </cell>
          <cell r="N472">
            <v>39</v>
          </cell>
          <cell r="O472">
            <v>39</v>
          </cell>
          <cell r="P472">
            <v>38</v>
          </cell>
          <cell r="Q472">
            <v>39</v>
          </cell>
          <cell r="R472">
            <v>40</v>
          </cell>
          <cell r="S472">
            <v>0</v>
          </cell>
          <cell r="T472">
            <v>0</v>
          </cell>
          <cell r="U472">
            <v>0</v>
          </cell>
          <cell r="V472">
            <v>32</v>
          </cell>
          <cell r="W472">
            <v>35</v>
          </cell>
          <cell r="X472">
            <v>36</v>
          </cell>
          <cell r="Y472">
            <v>0</v>
          </cell>
          <cell r="Z472">
            <v>0</v>
          </cell>
          <cell r="AA472">
            <v>0</v>
          </cell>
          <cell r="AB472">
            <v>32</v>
          </cell>
          <cell r="AC472">
            <v>35</v>
          </cell>
          <cell r="AD472">
            <v>36</v>
          </cell>
        </row>
        <row r="473">
          <cell r="C473" t="str">
            <v>대우리</v>
          </cell>
          <cell r="D473" t="str">
            <v>소계</v>
          </cell>
          <cell r="E473">
            <v>49728</v>
          </cell>
          <cell r="M473">
            <v>117</v>
          </cell>
          <cell r="N473">
            <v>117</v>
          </cell>
          <cell r="O473">
            <v>115</v>
          </cell>
          <cell r="P473">
            <v>114</v>
          </cell>
          <cell r="Q473">
            <v>117</v>
          </cell>
          <cell r="R473">
            <v>119</v>
          </cell>
          <cell r="S473">
            <v>0</v>
          </cell>
          <cell r="T473">
            <v>0</v>
          </cell>
          <cell r="U473">
            <v>0</v>
          </cell>
          <cell r="V473">
            <v>97</v>
          </cell>
          <cell r="W473">
            <v>105</v>
          </cell>
          <cell r="X473">
            <v>107</v>
          </cell>
          <cell r="Y473">
            <v>0</v>
          </cell>
          <cell r="Z473">
            <v>0</v>
          </cell>
          <cell r="AA473">
            <v>0</v>
          </cell>
          <cell r="AB473">
            <v>97</v>
          </cell>
          <cell r="AC473">
            <v>105</v>
          </cell>
          <cell r="AD473">
            <v>107</v>
          </cell>
        </row>
        <row r="474">
          <cell r="D474" t="str">
            <v>큰솔</v>
          </cell>
          <cell r="E474">
            <v>11625</v>
          </cell>
          <cell r="F474">
            <v>2</v>
          </cell>
          <cell r="H474">
            <v>0.75</v>
          </cell>
          <cell r="I474">
            <v>0.8</v>
          </cell>
          <cell r="J474">
            <v>0.85</v>
          </cell>
          <cell r="K474">
            <v>0.9</v>
          </cell>
          <cell r="L474">
            <v>0.9</v>
          </cell>
          <cell r="M474">
            <v>27</v>
          </cell>
          <cell r="N474">
            <v>27</v>
          </cell>
          <cell r="O474">
            <v>27</v>
          </cell>
          <cell r="P474">
            <v>27</v>
          </cell>
          <cell r="Q474">
            <v>27</v>
          </cell>
          <cell r="R474">
            <v>28</v>
          </cell>
          <cell r="S474">
            <v>0</v>
          </cell>
          <cell r="T474">
            <v>0</v>
          </cell>
          <cell r="U474">
            <v>0</v>
          </cell>
          <cell r="V474">
            <v>23</v>
          </cell>
          <cell r="W474">
            <v>24</v>
          </cell>
          <cell r="X474">
            <v>25</v>
          </cell>
          <cell r="Y474">
            <v>0</v>
          </cell>
          <cell r="Z474">
            <v>0</v>
          </cell>
          <cell r="AA474">
            <v>0</v>
          </cell>
          <cell r="AB474">
            <v>23</v>
          </cell>
          <cell r="AC474">
            <v>24</v>
          </cell>
          <cell r="AD474">
            <v>25</v>
          </cell>
        </row>
        <row r="475">
          <cell r="D475" t="str">
            <v>작은솔</v>
          </cell>
          <cell r="E475">
            <v>26363</v>
          </cell>
          <cell r="F475">
            <v>2</v>
          </cell>
          <cell r="H475">
            <v>0.75</v>
          </cell>
          <cell r="I475">
            <v>0.8</v>
          </cell>
          <cell r="J475">
            <v>0.85</v>
          </cell>
          <cell r="K475">
            <v>0.9</v>
          </cell>
          <cell r="L475">
            <v>0.9</v>
          </cell>
          <cell r="M475">
            <v>62</v>
          </cell>
          <cell r="N475">
            <v>62</v>
          </cell>
          <cell r="O475">
            <v>61</v>
          </cell>
          <cell r="P475">
            <v>60</v>
          </cell>
          <cell r="Q475">
            <v>62</v>
          </cell>
          <cell r="R475">
            <v>63</v>
          </cell>
          <cell r="S475">
            <v>0</v>
          </cell>
          <cell r="T475">
            <v>0</v>
          </cell>
          <cell r="U475">
            <v>0</v>
          </cell>
          <cell r="V475">
            <v>51</v>
          </cell>
          <cell r="W475">
            <v>56</v>
          </cell>
          <cell r="X475">
            <v>57</v>
          </cell>
          <cell r="Y475">
            <v>0</v>
          </cell>
          <cell r="Z475">
            <v>0</v>
          </cell>
          <cell r="AA475">
            <v>0</v>
          </cell>
          <cell r="AB475">
            <v>51</v>
          </cell>
          <cell r="AC475">
            <v>56</v>
          </cell>
          <cell r="AD475">
            <v>57</v>
          </cell>
        </row>
        <row r="476">
          <cell r="D476" t="str">
            <v>소정</v>
          </cell>
          <cell r="E476">
            <v>4930</v>
          </cell>
          <cell r="F476">
            <v>2</v>
          </cell>
          <cell r="H476">
            <v>0.75</v>
          </cell>
          <cell r="I476">
            <v>0.8</v>
          </cell>
          <cell r="J476">
            <v>0.85</v>
          </cell>
          <cell r="K476">
            <v>0.9</v>
          </cell>
          <cell r="L476">
            <v>0.9</v>
          </cell>
          <cell r="M476">
            <v>12</v>
          </cell>
          <cell r="N476">
            <v>12</v>
          </cell>
          <cell r="O476">
            <v>11</v>
          </cell>
          <cell r="P476">
            <v>11</v>
          </cell>
          <cell r="Q476">
            <v>12</v>
          </cell>
          <cell r="R476">
            <v>12</v>
          </cell>
          <cell r="S476">
            <v>0</v>
          </cell>
          <cell r="T476">
            <v>0</v>
          </cell>
          <cell r="U476">
            <v>0</v>
          </cell>
          <cell r="V476">
            <v>9</v>
          </cell>
          <cell r="W476">
            <v>11</v>
          </cell>
          <cell r="X476">
            <v>11</v>
          </cell>
          <cell r="Y476">
            <v>0</v>
          </cell>
          <cell r="Z476">
            <v>0</v>
          </cell>
          <cell r="AA476">
            <v>0</v>
          </cell>
          <cell r="AB476">
            <v>9</v>
          </cell>
          <cell r="AC476">
            <v>11</v>
          </cell>
          <cell r="AD476">
            <v>11</v>
          </cell>
        </row>
        <row r="477">
          <cell r="D477" t="str">
            <v>모랭이</v>
          </cell>
          <cell r="E477">
            <v>6810</v>
          </cell>
          <cell r="F477">
            <v>2</v>
          </cell>
          <cell r="H477">
            <v>0.75</v>
          </cell>
          <cell r="I477">
            <v>0.8</v>
          </cell>
          <cell r="J477">
            <v>0.85</v>
          </cell>
          <cell r="K477">
            <v>0.9</v>
          </cell>
          <cell r="L477">
            <v>0.9</v>
          </cell>
          <cell r="M477">
            <v>16</v>
          </cell>
          <cell r="N477">
            <v>16</v>
          </cell>
          <cell r="O477">
            <v>16</v>
          </cell>
          <cell r="P477">
            <v>16</v>
          </cell>
          <cell r="Q477">
            <v>16</v>
          </cell>
          <cell r="R477">
            <v>16</v>
          </cell>
          <cell r="S477">
            <v>0</v>
          </cell>
          <cell r="T477">
            <v>0</v>
          </cell>
          <cell r="U477">
            <v>0</v>
          </cell>
          <cell r="V477">
            <v>14</v>
          </cell>
          <cell r="W477">
            <v>14</v>
          </cell>
          <cell r="X477">
            <v>14</v>
          </cell>
          <cell r="Y477">
            <v>0</v>
          </cell>
          <cell r="Z477">
            <v>0</v>
          </cell>
          <cell r="AA477">
            <v>0</v>
          </cell>
          <cell r="AB477">
            <v>14</v>
          </cell>
          <cell r="AC477">
            <v>14</v>
          </cell>
          <cell r="AD477">
            <v>14</v>
          </cell>
        </row>
        <row r="478">
          <cell r="C478" t="str">
            <v>대촌리</v>
          </cell>
          <cell r="D478" t="str">
            <v>소계</v>
          </cell>
          <cell r="M478">
            <v>309</v>
          </cell>
          <cell r="N478">
            <v>309</v>
          </cell>
          <cell r="O478">
            <v>305</v>
          </cell>
          <cell r="P478">
            <v>301</v>
          </cell>
          <cell r="Q478">
            <v>308</v>
          </cell>
          <cell r="R478">
            <v>314</v>
          </cell>
          <cell r="S478">
            <v>0</v>
          </cell>
          <cell r="T478">
            <v>0</v>
          </cell>
          <cell r="U478">
            <v>187</v>
          </cell>
          <cell r="V478">
            <v>257</v>
          </cell>
          <cell r="W478">
            <v>277</v>
          </cell>
          <cell r="X478">
            <v>281</v>
          </cell>
          <cell r="Y478">
            <v>0</v>
          </cell>
          <cell r="Z478">
            <v>0</v>
          </cell>
          <cell r="AA478">
            <v>187</v>
          </cell>
          <cell r="AB478">
            <v>257</v>
          </cell>
          <cell r="AC478">
            <v>277</v>
          </cell>
          <cell r="AD478">
            <v>281</v>
          </cell>
        </row>
        <row r="479">
          <cell r="C479" t="str">
            <v>대촌 1</v>
          </cell>
          <cell r="D479" t="str">
            <v>계</v>
          </cell>
          <cell r="E479">
            <v>66606</v>
          </cell>
          <cell r="M479">
            <v>237</v>
          </cell>
          <cell r="N479">
            <v>237</v>
          </cell>
          <cell r="O479">
            <v>234</v>
          </cell>
          <cell r="P479">
            <v>231</v>
          </cell>
          <cell r="Q479">
            <v>236</v>
          </cell>
          <cell r="R479">
            <v>241</v>
          </cell>
          <cell r="S479">
            <v>0</v>
          </cell>
          <cell r="T479">
            <v>0</v>
          </cell>
          <cell r="U479">
            <v>187</v>
          </cell>
          <cell r="V479">
            <v>197</v>
          </cell>
          <cell r="W479">
            <v>212</v>
          </cell>
          <cell r="X479">
            <v>216</v>
          </cell>
          <cell r="Y479">
            <v>0</v>
          </cell>
          <cell r="Z479">
            <v>0</v>
          </cell>
          <cell r="AA479">
            <v>187</v>
          </cell>
          <cell r="AB479">
            <v>197</v>
          </cell>
          <cell r="AC479">
            <v>212</v>
          </cell>
          <cell r="AD479">
            <v>216</v>
          </cell>
        </row>
        <row r="480">
          <cell r="D480" t="str">
            <v>대촌</v>
          </cell>
          <cell r="E480">
            <v>25351</v>
          </cell>
          <cell r="F480">
            <v>1</v>
          </cell>
          <cell r="H480">
            <v>0.75</v>
          </cell>
          <cell r="I480">
            <v>0.8</v>
          </cell>
          <cell r="J480">
            <v>0.85</v>
          </cell>
          <cell r="K480">
            <v>0.9</v>
          </cell>
          <cell r="L480">
            <v>0.9</v>
          </cell>
          <cell r="M480">
            <v>90</v>
          </cell>
          <cell r="N480">
            <v>90</v>
          </cell>
          <cell r="O480">
            <v>89</v>
          </cell>
          <cell r="P480">
            <v>88</v>
          </cell>
          <cell r="Q480">
            <v>90</v>
          </cell>
          <cell r="R480">
            <v>92</v>
          </cell>
          <cell r="S480">
            <v>0</v>
          </cell>
          <cell r="T480">
            <v>0</v>
          </cell>
          <cell r="U480">
            <v>71</v>
          </cell>
          <cell r="V480">
            <v>75</v>
          </cell>
          <cell r="W480">
            <v>81</v>
          </cell>
          <cell r="X480">
            <v>83</v>
          </cell>
          <cell r="Y480">
            <v>0</v>
          </cell>
          <cell r="Z480">
            <v>0</v>
          </cell>
          <cell r="AA480">
            <v>71</v>
          </cell>
          <cell r="AB480">
            <v>75</v>
          </cell>
          <cell r="AC480">
            <v>81</v>
          </cell>
          <cell r="AD480">
            <v>83</v>
          </cell>
        </row>
        <row r="481">
          <cell r="D481" t="str">
            <v>수정거리</v>
          </cell>
          <cell r="E481">
            <v>15717</v>
          </cell>
          <cell r="F481">
            <v>1</v>
          </cell>
          <cell r="H481">
            <v>0.75</v>
          </cell>
          <cell r="I481">
            <v>0.8</v>
          </cell>
          <cell r="J481">
            <v>0.85</v>
          </cell>
          <cell r="K481">
            <v>0.9</v>
          </cell>
          <cell r="L481">
            <v>0.9</v>
          </cell>
          <cell r="M481">
            <v>56</v>
          </cell>
          <cell r="N481">
            <v>56</v>
          </cell>
          <cell r="O481">
            <v>55</v>
          </cell>
          <cell r="P481">
            <v>55</v>
          </cell>
          <cell r="Q481">
            <v>56</v>
          </cell>
          <cell r="R481">
            <v>57</v>
          </cell>
          <cell r="S481">
            <v>0</v>
          </cell>
          <cell r="T481">
            <v>0</v>
          </cell>
          <cell r="U481">
            <v>44</v>
          </cell>
          <cell r="V481">
            <v>47</v>
          </cell>
          <cell r="W481">
            <v>50</v>
          </cell>
          <cell r="X481">
            <v>51</v>
          </cell>
          <cell r="Y481">
            <v>0</v>
          </cell>
          <cell r="Z481">
            <v>0</v>
          </cell>
          <cell r="AA481">
            <v>44</v>
          </cell>
          <cell r="AB481">
            <v>47</v>
          </cell>
          <cell r="AC481">
            <v>50</v>
          </cell>
          <cell r="AD481">
            <v>51</v>
          </cell>
        </row>
        <row r="482">
          <cell r="D482" t="str">
            <v>궁골</v>
          </cell>
          <cell r="E482">
            <v>20923</v>
          </cell>
          <cell r="F482">
            <v>1</v>
          </cell>
          <cell r="H482">
            <v>0.75</v>
          </cell>
          <cell r="I482">
            <v>0.8</v>
          </cell>
          <cell r="J482">
            <v>0.85</v>
          </cell>
          <cell r="K482">
            <v>0.9</v>
          </cell>
          <cell r="L482">
            <v>0.9</v>
          </cell>
          <cell r="M482">
            <v>74</v>
          </cell>
          <cell r="N482">
            <v>74</v>
          </cell>
          <cell r="O482">
            <v>74</v>
          </cell>
          <cell r="P482">
            <v>73</v>
          </cell>
          <cell r="Q482">
            <v>74</v>
          </cell>
          <cell r="R482">
            <v>76</v>
          </cell>
          <cell r="S482">
            <v>0</v>
          </cell>
          <cell r="T482">
            <v>0</v>
          </cell>
          <cell r="U482">
            <v>59</v>
          </cell>
          <cell r="V482">
            <v>62</v>
          </cell>
          <cell r="W482">
            <v>67</v>
          </cell>
          <cell r="X482">
            <v>68</v>
          </cell>
          <cell r="Y482">
            <v>0</v>
          </cell>
          <cell r="Z482">
            <v>0</v>
          </cell>
          <cell r="AA482">
            <v>59</v>
          </cell>
          <cell r="AB482">
            <v>62</v>
          </cell>
          <cell r="AC482">
            <v>67</v>
          </cell>
          <cell r="AD482">
            <v>68</v>
          </cell>
        </row>
        <row r="483">
          <cell r="D483" t="str">
            <v>달미</v>
          </cell>
          <cell r="E483">
            <v>4615</v>
          </cell>
          <cell r="F483">
            <v>1</v>
          </cell>
          <cell r="H483">
            <v>0.75</v>
          </cell>
          <cell r="I483">
            <v>0.8</v>
          </cell>
          <cell r="J483">
            <v>0.85</v>
          </cell>
          <cell r="K483">
            <v>0.9</v>
          </cell>
          <cell r="L483">
            <v>0.9</v>
          </cell>
          <cell r="M483">
            <v>17</v>
          </cell>
          <cell r="N483">
            <v>17</v>
          </cell>
          <cell r="O483">
            <v>16</v>
          </cell>
          <cell r="P483">
            <v>15</v>
          </cell>
          <cell r="Q483">
            <v>16</v>
          </cell>
          <cell r="R483">
            <v>16</v>
          </cell>
          <cell r="S483">
            <v>0</v>
          </cell>
          <cell r="T483">
            <v>0</v>
          </cell>
          <cell r="U483">
            <v>13</v>
          </cell>
          <cell r="V483">
            <v>13</v>
          </cell>
          <cell r="W483">
            <v>14</v>
          </cell>
          <cell r="X483">
            <v>14</v>
          </cell>
          <cell r="Y483">
            <v>0</v>
          </cell>
          <cell r="Z483">
            <v>0</v>
          </cell>
          <cell r="AA483">
            <v>13</v>
          </cell>
          <cell r="AB483">
            <v>13</v>
          </cell>
          <cell r="AC483">
            <v>14</v>
          </cell>
          <cell r="AD483">
            <v>14</v>
          </cell>
        </row>
        <row r="484">
          <cell r="C484" t="str">
            <v>대촌 2</v>
          </cell>
          <cell r="D484" t="str">
            <v>계</v>
          </cell>
          <cell r="E484">
            <v>35162</v>
          </cell>
          <cell r="M484">
            <v>72</v>
          </cell>
          <cell r="N484">
            <v>72</v>
          </cell>
          <cell r="O484">
            <v>71</v>
          </cell>
          <cell r="P484">
            <v>70</v>
          </cell>
          <cell r="Q484">
            <v>72</v>
          </cell>
          <cell r="R484">
            <v>73</v>
          </cell>
          <cell r="S484">
            <v>0</v>
          </cell>
          <cell r="T484">
            <v>0</v>
          </cell>
          <cell r="U484">
            <v>0</v>
          </cell>
          <cell r="V484">
            <v>60</v>
          </cell>
          <cell r="W484">
            <v>65</v>
          </cell>
          <cell r="X484">
            <v>65</v>
          </cell>
          <cell r="Y484">
            <v>0</v>
          </cell>
          <cell r="Z484">
            <v>0</v>
          </cell>
          <cell r="AA484">
            <v>0</v>
          </cell>
          <cell r="AB484">
            <v>60</v>
          </cell>
          <cell r="AC484">
            <v>65</v>
          </cell>
          <cell r="AD484">
            <v>65</v>
          </cell>
        </row>
        <row r="485">
          <cell r="D485" t="str">
            <v>도장골</v>
          </cell>
          <cell r="E485">
            <v>26838</v>
          </cell>
          <cell r="F485">
            <v>2</v>
          </cell>
          <cell r="H485">
            <v>0.75</v>
          </cell>
          <cell r="I485">
            <v>0.8</v>
          </cell>
          <cell r="J485">
            <v>0.85</v>
          </cell>
          <cell r="K485">
            <v>0.9</v>
          </cell>
          <cell r="L485">
            <v>0.9</v>
          </cell>
          <cell r="M485">
            <v>55</v>
          </cell>
          <cell r="N485">
            <v>55</v>
          </cell>
          <cell r="O485">
            <v>54</v>
          </cell>
          <cell r="P485">
            <v>53</v>
          </cell>
          <cell r="Q485">
            <v>55</v>
          </cell>
          <cell r="R485">
            <v>56</v>
          </cell>
          <cell r="S485">
            <v>0</v>
          </cell>
          <cell r="T485">
            <v>0</v>
          </cell>
          <cell r="U485">
            <v>0</v>
          </cell>
          <cell r="V485">
            <v>45</v>
          </cell>
          <cell r="W485">
            <v>50</v>
          </cell>
          <cell r="X485">
            <v>50</v>
          </cell>
          <cell r="Y485">
            <v>0</v>
          </cell>
          <cell r="Z485">
            <v>0</v>
          </cell>
          <cell r="AA485">
            <v>0</v>
          </cell>
          <cell r="AB485">
            <v>45</v>
          </cell>
          <cell r="AC485">
            <v>50</v>
          </cell>
          <cell r="AD485">
            <v>50</v>
          </cell>
        </row>
        <row r="486">
          <cell r="D486" t="str">
            <v>설물이</v>
          </cell>
          <cell r="E486">
            <v>3762</v>
          </cell>
          <cell r="F486">
            <v>2</v>
          </cell>
          <cell r="H486">
            <v>0.75</v>
          </cell>
          <cell r="I486">
            <v>0.8</v>
          </cell>
          <cell r="J486">
            <v>0.85</v>
          </cell>
          <cell r="K486">
            <v>0.9</v>
          </cell>
          <cell r="L486">
            <v>0.9</v>
          </cell>
          <cell r="M486">
            <v>8</v>
          </cell>
          <cell r="N486">
            <v>8</v>
          </cell>
          <cell r="O486">
            <v>8</v>
          </cell>
          <cell r="P486">
            <v>7</v>
          </cell>
          <cell r="Q486">
            <v>8</v>
          </cell>
          <cell r="R486">
            <v>8</v>
          </cell>
          <cell r="S486">
            <v>0</v>
          </cell>
          <cell r="T486">
            <v>0</v>
          </cell>
          <cell r="U486">
            <v>0</v>
          </cell>
          <cell r="V486">
            <v>6</v>
          </cell>
          <cell r="W486">
            <v>7</v>
          </cell>
          <cell r="X486">
            <v>7</v>
          </cell>
          <cell r="Y486">
            <v>0</v>
          </cell>
          <cell r="Z486">
            <v>0</v>
          </cell>
          <cell r="AA486">
            <v>0</v>
          </cell>
          <cell r="AB486">
            <v>6</v>
          </cell>
          <cell r="AC486">
            <v>7</v>
          </cell>
          <cell r="AD486">
            <v>7</v>
          </cell>
        </row>
        <row r="487">
          <cell r="D487" t="str">
            <v>부른고개</v>
          </cell>
          <cell r="E487">
            <v>4562</v>
          </cell>
          <cell r="F487">
            <v>2</v>
          </cell>
          <cell r="H487">
            <v>0.75</v>
          </cell>
          <cell r="I487">
            <v>0.8</v>
          </cell>
          <cell r="J487">
            <v>0.85</v>
          </cell>
          <cell r="K487">
            <v>0.9</v>
          </cell>
          <cell r="L487">
            <v>0.9</v>
          </cell>
          <cell r="M487">
            <v>9</v>
          </cell>
          <cell r="N487">
            <v>9</v>
          </cell>
          <cell r="O487">
            <v>9</v>
          </cell>
          <cell r="P487">
            <v>10</v>
          </cell>
          <cell r="Q487">
            <v>9</v>
          </cell>
          <cell r="R487">
            <v>9</v>
          </cell>
          <cell r="S487">
            <v>0</v>
          </cell>
          <cell r="T487">
            <v>0</v>
          </cell>
          <cell r="U487">
            <v>0</v>
          </cell>
          <cell r="V487">
            <v>9</v>
          </cell>
          <cell r="W487">
            <v>8</v>
          </cell>
          <cell r="X487">
            <v>8</v>
          </cell>
          <cell r="Y487">
            <v>0</v>
          </cell>
          <cell r="Z487">
            <v>0</v>
          </cell>
          <cell r="AA487">
            <v>0</v>
          </cell>
          <cell r="AB487">
            <v>9</v>
          </cell>
          <cell r="AC487">
            <v>8</v>
          </cell>
          <cell r="AD487">
            <v>8</v>
          </cell>
        </row>
        <row r="488">
          <cell r="C488" t="str">
            <v>학당리</v>
          </cell>
          <cell r="D488" t="str">
            <v>소계</v>
          </cell>
          <cell r="E488">
            <v>84002</v>
          </cell>
          <cell r="M488">
            <v>157</v>
          </cell>
          <cell r="N488">
            <v>157</v>
          </cell>
          <cell r="O488">
            <v>155</v>
          </cell>
          <cell r="P488">
            <v>153</v>
          </cell>
          <cell r="Q488">
            <v>157</v>
          </cell>
          <cell r="R488">
            <v>160</v>
          </cell>
          <cell r="S488">
            <v>0</v>
          </cell>
          <cell r="T488">
            <v>0</v>
          </cell>
          <cell r="U488">
            <v>125</v>
          </cell>
          <cell r="V488">
            <v>131</v>
          </cell>
          <cell r="W488">
            <v>141</v>
          </cell>
          <cell r="X488">
            <v>144</v>
          </cell>
          <cell r="Y488">
            <v>0</v>
          </cell>
          <cell r="Z488">
            <v>0</v>
          </cell>
          <cell r="AA488">
            <v>125</v>
          </cell>
          <cell r="AB488">
            <v>131</v>
          </cell>
          <cell r="AC488">
            <v>141</v>
          </cell>
          <cell r="AD488">
            <v>144</v>
          </cell>
        </row>
        <row r="489">
          <cell r="D489" t="str">
            <v>한말</v>
          </cell>
          <cell r="E489">
            <v>38234</v>
          </cell>
          <cell r="F489">
            <v>1</v>
          </cell>
          <cell r="H489">
            <v>0.75</v>
          </cell>
          <cell r="I489">
            <v>0.8</v>
          </cell>
          <cell r="J489">
            <v>0.85</v>
          </cell>
          <cell r="K489">
            <v>0.9</v>
          </cell>
          <cell r="L489">
            <v>0.9</v>
          </cell>
          <cell r="M489">
            <v>71</v>
          </cell>
          <cell r="N489">
            <v>71</v>
          </cell>
          <cell r="O489">
            <v>71</v>
          </cell>
          <cell r="P489">
            <v>70</v>
          </cell>
          <cell r="Q489">
            <v>71</v>
          </cell>
          <cell r="R489">
            <v>73</v>
          </cell>
          <cell r="S489">
            <v>0</v>
          </cell>
          <cell r="T489">
            <v>0</v>
          </cell>
          <cell r="U489">
            <v>57</v>
          </cell>
          <cell r="V489">
            <v>60</v>
          </cell>
          <cell r="W489">
            <v>64</v>
          </cell>
          <cell r="X489">
            <v>66</v>
          </cell>
          <cell r="Y489">
            <v>0</v>
          </cell>
          <cell r="Z489">
            <v>0</v>
          </cell>
          <cell r="AA489">
            <v>57</v>
          </cell>
          <cell r="AB489">
            <v>60</v>
          </cell>
          <cell r="AC489">
            <v>64</v>
          </cell>
          <cell r="AD489">
            <v>66</v>
          </cell>
        </row>
        <row r="490">
          <cell r="D490" t="str">
            <v>바위내</v>
          </cell>
          <cell r="E490">
            <v>25404</v>
          </cell>
          <cell r="F490">
            <v>1</v>
          </cell>
          <cell r="H490">
            <v>0.75</v>
          </cell>
          <cell r="I490">
            <v>0.8</v>
          </cell>
          <cell r="J490">
            <v>0.85</v>
          </cell>
          <cell r="K490">
            <v>0.9</v>
          </cell>
          <cell r="L490">
            <v>0.9</v>
          </cell>
          <cell r="M490">
            <v>47</v>
          </cell>
          <cell r="N490">
            <v>47</v>
          </cell>
          <cell r="O490">
            <v>47</v>
          </cell>
          <cell r="P490">
            <v>46</v>
          </cell>
          <cell r="Q490">
            <v>47</v>
          </cell>
          <cell r="R490">
            <v>48</v>
          </cell>
          <cell r="S490">
            <v>0</v>
          </cell>
          <cell r="T490">
            <v>0</v>
          </cell>
          <cell r="U490">
            <v>38</v>
          </cell>
          <cell r="V490">
            <v>39</v>
          </cell>
          <cell r="W490">
            <v>42</v>
          </cell>
          <cell r="X490">
            <v>43</v>
          </cell>
          <cell r="Y490">
            <v>0</v>
          </cell>
          <cell r="Z490">
            <v>0</v>
          </cell>
          <cell r="AA490">
            <v>38</v>
          </cell>
          <cell r="AB490">
            <v>39</v>
          </cell>
          <cell r="AC490">
            <v>42</v>
          </cell>
          <cell r="AD490">
            <v>43</v>
          </cell>
        </row>
        <row r="491">
          <cell r="D491" t="str">
            <v>신장골</v>
          </cell>
          <cell r="E491">
            <v>10864</v>
          </cell>
          <cell r="F491">
            <v>1</v>
          </cell>
          <cell r="H491">
            <v>0.75</v>
          </cell>
          <cell r="I491">
            <v>0.8</v>
          </cell>
          <cell r="J491">
            <v>0.85</v>
          </cell>
          <cell r="K491">
            <v>0.9</v>
          </cell>
          <cell r="L491">
            <v>0.9</v>
          </cell>
          <cell r="M491">
            <v>20</v>
          </cell>
          <cell r="N491">
            <v>20</v>
          </cell>
          <cell r="O491">
            <v>20</v>
          </cell>
          <cell r="P491">
            <v>20</v>
          </cell>
          <cell r="Q491">
            <v>20</v>
          </cell>
          <cell r="R491">
            <v>21</v>
          </cell>
          <cell r="S491">
            <v>0</v>
          </cell>
          <cell r="T491">
            <v>0</v>
          </cell>
          <cell r="U491">
            <v>16</v>
          </cell>
          <cell r="V491">
            <v>17</v>
          </cell>
          <cell r="W491">
            <v>18</v>
          </cell>
          <cell r="X491">
            <v>19</v>
          </cell>
          <cell r="Y491">
            <v>0</v>
          </cell>
          <cell r="Z491">
            <v>0</v>
          </cell>
          <cell r="AA491">
            <v>16</v>
          </cell>
          <cell r="AB491">
            <v>17</v>
          </cell>
          <cell r="AC491">
            <v>18</v>
          </cell>
          <cell r="AD491">
            <v>19</v>
          </cell>
        </row>
        <row r="492">
          <cell r="D492" t="str">
            <v>도롱골</v>
          </cell>
          <cell r="E492">
            <v>3700</v>
          </cell>
          <cell r="F492">
            <v>1</v>
          </cell>
          <cell r="H492">
            <v>0.75</v>
          </cell>
          <cell r="I492">
            <v>0.8</v>
          </cell>
          <cell r="J492">
            <v>0.85</v>
          </cell>
          <cell r="K492">
            <v>0.9</v>
          </cell>
          <cell r="L492">
            <v>0.9</v>
          </cell>
          <cell r="M492">
            <v>7</v>
          </cell>
          <cell r="N492">
            <v>7</v>
          </cell>
          <cell r="O492">
            <v>7</v>
          </cell>
          <cell r="P492">
            <v>7</v>
          </cell>
          <cell r="Q492">
            <v>7</v>
          </cell>
          <cell r="R492">
            <v>7</v>
          </cell>
          <cell r="S492">
            <v>0</v>
          </cell>
          <cell r="T492">
            <v>0</v>
          </cell>
          <cell r="U492">
            <v>6</v>
          </cell>
          <cell r="V492">
            <v>6</v>
          </cell>
          <cell r="W492">
            <v>6</v>
          </cell>
          <cell r="X492">
            <v>6</v>
          </cell>
          <cell r="Y492">
            <v>0</v>
          </cell>
          <cell r="Z492">
            <v>0</v>
          </cell>
          <cell r="AA492">
            <v>6</v>
          </cell>
          <cell r="AB492">
            <v>6</v>
          </cell>
          <cell r="AC492">
            <v>6</v>
          </cell>
          <cell r="AD492">
            <v>6</v>
          </cell>
        </row>
        <row r="493">
          <cell r="D493" t="str">
            <v>함적골</v>
          </cell>
          <cell r="E493">
            <v>5800</v>
          </cell>
          <cell r="F493">
            <v>1</v>
          </cell>
          <cell r="H493">
            <v>0.75</v>
          </cell>
          <cell r="I493">
            <v>0.8</v>
          </cell>
          <cell r="J493">
            <v>0.85</v>
          </cell>
          <cell r="K493">
            <v>0.9</v>
          </cell>
          <cell r="L493">
            <v>0.9</v>
          </cell>
          <cell r="M493">
            <v>12</v>
          </cell>
          <cell r="N493">
            <v>12</v>
          </cell>
          <cell r="O493">
            <v>10</v>
          </cell>
          <cell r="P493">
            <v>10</v>
          </cell>
          <cell r="Q493">
            <v>12</v>
          </cell>
          <cell r="R493">
            <v>11</v>
          </cell>
          <cell r="S493">
            <v>0</v>
          </cell>
          <cell r="T493">
            <v>0</v>
          </cell>
          <cell r="U493">
            <v>8</v>
          </cell>
          <cell r="V493">
            <v>9</v>
          </cell>
          <cell r="W493">
            <v>11</v>
          </cell>
          <cell r="X493">
            <v>10</v>
          </cell>
          <cell r="Y493">
            <v>0</v>
          </cell>
          <cell r="Z493">
            <v>0</v>
          </cell>
          <cell r="AA493">
            <v>8</v>
          </cell>
          <cell r="AB493">
            <v>9</v>
          </cell>
          <cell r="AC493">
            <v>11</v>
          </cell>
          <cell r="AD493">
            <v>10</v>
          </cell>
        </row>
        <row r="494">
          <cell r="C494" t="str">
            <v>주곡리</v>
          </cell>
          <cell r="D494" t="str">
            <v>소계</v>
          </cell>
          <cell r="E494">
            <v>95464</v>
          </cell>
          <cell r="M494">
            <v>150</v>
          </cell>
          <cell r="N494">
            <v>150</v>
          </cell>
          <cell r="O494">
            <v>148</v>
          </cell>
          <cell r="P494">
            <v>146</v>
          </cell>
          <cell r="Q494">
            <v>149</v>
          </cell>
          <cell r="R494">
            <v>152</v>
          </cell>
          <cell r="S494">
            <v>0</v>
          </cell>
          <cell r="T494">
            <v>0</v>
          </cell>
          <cell r="U494">
            <v>118</v>
          </cell>
          <cell r="V494">
            <v>124</v>
          </cell>
          <cell r="W494">
            <v>135</v>
          </cell>
          <cell r="X494">
            <v>136</v>
          </cell>
          <cell r="Y494">
            <v>0</v>
          </cell>
          <cell r="Z494">
            <v>0</v>
          </cell>
          <cell r="AA494">
            <v>118</v>
          </cell>
          <cell r="AB494">
            <v>124</v>
          </cell>
          <cell r="AC494">
            <v>135</v>
          </cell>
          <cell r="AD494">
            <v>136</v>
          </cell>
        </row>
        <row r="495">
          <cell r="D495" t="str">
            <v>술골</v>
          </cell>
          <cell r="E495">
            <v>72762</v>
          </cell>
          <cell r="F495">
            <v>1</v>
          </cell>
          <cell r="H495">
            <v>0.75</v>
          </cell>
          <cell r="I495">
            <v>0.8</v>
          </cell>
          <cell r="J495">
            <v>0.85</v>
          </cell>
          <cell r="K495">
            <v>0.9</v>
          </cell>
          <cell r="L495">
            <v>0.9</v>
          </cell>
          <cell r="M495">
            <v>114</v>
          </cell>
          <cell r="N495">
            <v>114</v>
          </cell>
          <cell r="O495">
            <v>113</v>
          </cell>
          <cell r="P495">
            <v>111</v>
          </cell>
          <cell r="Q495">
            <v>114</v>
          </cell>
          <cell r="R495">
            <v>116</v>
          </cell>
          <cell r="S495">
            <v>0</v>
          </cell>
          <cell r="T495">
            <v>0</v>
          </cell>
          <cell r="U495">
            <v>90</v>
          </cell>
          <cell r="V495">
            <v>94</v>
          </cell>
          <cell r="W495">
            <v>103</v>
          </cell>
          <cell r="X495">
            <v>104</v>
          </cell>
          <cell r="Y495">
            <v>0</v>
          </cell>
          <cell r="Z495">
            <v>0</v>
          </cell>
          <cell r="AA495">
            <v>90</v>
          </cell>
          <cell r="AB495">
            <v>94</v>
          </cell>
          <cell r="AC495">
            <v>103</v>
          </cell>
          <cell r="AD495">
            <v>104</v>
          </cell>
        </row>
        <row r="496">
          <cell r="D496" t="str">
            <v>망가리</v>
          </cell>
          <cell r="E496">
            <v>16190</v>
          </cell>
          <cell r="F496">
            <v>1</v>
          </cell>
          <cell r="H496">
            <v>0.75</v>
          </cell>
          <cell r="I496">
            <v>0.8</v>
          </cell>
          <cell r="J496">
            <v>0.85</v>
          </cell>
          <cell r="K496">
            <v>0.9</v>
          </cell>
          <cell r="L496">
            <v>0.9</v>
          </cell>
          <cell r="M496">
            <v>25</v>
          </cell>
          <cell r="N496">
            <v>25</v>
          </cell>
          <cell r="O496">
            <v>25</v>
          </cell>
          <cell r="P496">
            <v>25</v>
          </cell>
          <cell r="Q496">
            <v>25</v>
          </cell>
          <cell r="R496">
            <v>26</v>
          </cell>
          <cell r="S496">
            <v>0</v>
          </cell>
          <cell r="T496">
            <v>0</v>
          </cell>
          <cell r="U496">
            <v>20</v>
          </cell>
          <cell r="V496">
            <v>21</v>
          </cell>
          <cell r="W496">
            <v>23</v>
          </cell>
          <cell r="X496">
            <v>23</v>
          </cell>
          <cell r="Y496">
            <v>0</v>
          </cell>
          <cell r="Z496">
            <v>0</v>
          </cell>
          <cell r="AA496">
            <v>20</v>
          </cell>
          <cell r="AB496">
            <v>21</v>
          </cell>
          <cell r="AC496">
            <v>23</v>
          </cell>
          <cell r="AD496">
            <v>23</v>
          </cell>
        </row>
        <row r="497">
          <cell r="D497" t="str">
            <v>용적골</v>
          </cell>
          <cell r="E497">
            <v>6512</v>
          </cell>
          <cell r="F497">
            <v>1</v>
          </cell>
          <cell r="H497">
            <v>0.75</v>
          </cell>
          <cell r="I497">
            <v>0.8</v>
          </cell>
          <cell r="J497">
            <v>0.85</v>
          </cell>
          <cell r="K497">
            <v>0.9</v>
          </cell>
          <cell r="L497">
            <v>0.9</v>
          </cell>
          <cell r="M497">
            <v>10</v>
          </cell>
          <cell r="N497">
            <v>10</v>
          </cell>
          <cell r="O497">
            <v>10</v>
          </cell>
          <cell r="P497">
            <v>10</v>
          </cell>
          <cell r="Q497">
            <v>10</v>
          </cell>
          <cell r="R497">
            <v>10</v>
          </cell>
          <cell r="S497">
            <v>0</v>
          </cell>
          <cell r="T497">
            <v>0</v>
          </cell>
          <cell r="U497">
            <v>8</v>
          </cell>
          <cell r="V497">
            <v>9</v>
          </cell>
          <cell r="W497">
            <v>9</v>
          </cell>
          <cell r="X497">
            <v>9</v>
          </cell>
          <cell r="Y497">
            <v>0</v>
          </cell>
          <cell r="Z497">
            <v>0</v>
          </cell>
          <cell r="AA497">
            <v>8</v>
          </cell>
          <cell r="AB497">
            <v>9</v>
          </cell>
          <cell r="AC497">
            <v>9</v>
          </cell>
          <cell r="AD497">
            <v>9</v>
          </cell>
        </row>
        <row r="498">
          <cell r="C498" t="str">
            <v>한천리</v>
          </cell>
          <cell r="D498" t="str">
            <v>소계</v>
          </cell>
          <cell r="M498">
            <v>337</v>
          </cell>
          <cell r="N498">
            <v>337</v>
          </cell>
          <cell r="O498">
            <v>332</v>
          </cell>
          <cell r="P498">
            <v>329</v>
          </cell>
          <cell r="Q498">
            <v>336</v>
          </cell>
          <cell r="R498">
            <v>343</v>
          </cell>
          <cell r="S498">
            <v>0</v>
          </cell>
          <cell r="T498">
            <v>0</v>
          </cell>
          <cell r="U498">
            <v>266</v>
          </cell>
          <cell r="V498">
            <v>279</v>
          </cell>
          <cell r="W498">
            <v>302</v>
          </cell>
          <cell r="X498">
            <v>309</v>
          </cell>
          <cell r="Y498">
            <v>0</v>
          </cell>
          <cell r="Z498">
            <v>0</v>
          </cell>
          <cell r="AA498">
            <v>266</v>
          </cell>
          <cell r="AB498">
            <v>279</v>
          </cell>
          <cell r="AC498">
            <v>302</v>
          </cell>
          <cell r="AD498">
            <v>309</v>
          </cell>
        </row>
        <row r="499">
          <cell r="C499" t="str">
            <v>한천 1</v>
          </cell>
          <cell r="D499" t="str">
            <v>계</v>
          </cell>
          <cell r="E499">
            <v>66905</v>
          </cell>
          <cell r="M499">
            <v>179</v>
          </cell>
          <cell r="N499">
            <v>179</v>
          </cell>
          <cell r="O499">
            <v>176</v>
          </cell>
          <cell r="P499">
            <v>175</v>
          </cell>
          <cell r="Q499">
            <v>179</v>
          </cell>
          <cell r="R499">
            <v>182</v>
          </cell>
          <cell r="S499">
            <v>0</v>
          </cell>
          <cell r="T499">
            <v>0</v>
          </cell>
          <cell r="U499">
            <v>141</v>
          </cell>
          <cell r="V499">
            <v>149</v>
          </cell>
          <cell r="W499">
            <v>161</v>
          </cell>
          <cell r="X499">
            <v>164</v>
          </cell>
          <cell r="Y499">
            <v>0</v>
          </cell>
          <cell r="Z499">
            <v>0</v>
          </cell>
          <cell r="AA499">
            <v>141</v>
          </cell>
          <cell r="AB499">
            <v>149</v>
          </cell>
          <cell r="AC499">
            <v>161</v>
          </cell>
          <cell r="AD499">
            <v>164</v>
          </cell>
        </row>
        <row r="500">
          <cell r="D500" t="str">
            <v>한천</v>
          </cell>
          <cell r="E500">
            <v>40037</v>
          </cell>
          <cell r="F500">
            <v>1</v>
          </cell>
          <cell r="H500">
            <v>0.75</v>
          </cell>
          <cell r="I500">
            <v>0.8</v>
          </cell>
          <cell r="J500">
            <v>0.85</v>
          </cell>
          <cell r="K500">
            <v>0.9</v>
          </cell>
          <cell r="L500">
            <v>0.9</v>
          </cell>
          <cell r="M500">
            <v>107</v>
          </cell>
          <cell r="N500">
            <v>107</v>
          </cell>
          <cell r="O500">
            <v>105</v>
          </cell>
          <cell r="P500">
            <v>105</v>
          </cell>
          <cell r="Q500">
            <v>107</v>
          </cell>
          <cell r="R500">
            <v>109</v>
          </cell>
          <cell r="S500">
            <v>0</v>
          </cell>
          <cell r="T500">
            <v>0</v>
          </cell>
          <cell r="U500">
            <v>84</v>
          </cell>
          <cell r="V500">
            <v>89</v>
          </cell>
          <cell r="W500">
            <v>96</v>
          </cell>
          <cell r="X500">
            <v>98</v>
          </cell>
          <cell r="Y500">
            <v>0</v>
          </cell>
          <cell r="Z500">
            <v>0</v>
          </cell>
          <cell r="AA500">
            <v>84</v>
          </cell>
          <cell r="AB500">
            <v>89</v>
          </cell>
          <cell r="AC500">
            <v>96</v>
          </cell>
          <cell r="AD500">
            <v>98</v>
          </cell>
        </row>
        <row r="501">
          <cell r="D501" t="str">
            <v>만성</v>
          </cell>
          <cell r="E501">
            <v>26868</v>
          </cell>
          <cell r="F501">
            <v>1</v>
          </cell>
          <cell r="H501">
            <v>0.75</v>
          </cell>
          <cell r="I501">
            <v>0.8</v>
          </cell>
          <cell r="J501">
            <v>0.85</v>
          </cell>
          <cell r="K501">
            <v>0.9</v>
          </cell>
          <cell r="L501">
            <v>0.9</v>
          </cell>
          <cell r="M501">
            <v>72</v>
          </cell>
          <cell r="N501">
            <v>72</v>
          </cell>
          <cell r="O501">
            <v>71</v>
          </cell>
          <cell r="P501">
            <v>70</v>
          </cell>
          <cell r="Q501">
            <v>72</v>
          </cell>
          <cell r="R501">
            <v>73</v>
          </cell>
          <cell r="S501">
            <v>0</v>
          </cell>
          <cell r="T501">
            <v>0</v>
          </cell>
          <cell r="U501">
            <v>57</v>
          </cell>
          <cell r="V501">
            <v>60</v>
          </cell>
          <cell r="W501">
            <v>65</v>
          </cell>
          <cell r="X501">
            <v>66</v>
          </cell>
          <cell r="Y501">
            <v>0</v>
          </cell>
          <cell r="Z501">
            <v>0</v>
          </cell>
          <cell r="AA501">
            <v>57</v>
          </cell>
          <cell r="AB501">
            <v>60</v>
          </cell>
          <cell r="AC501">
            <v>65</v>
          </cell>
          <cell r="AD501">
            <v>66</v>
          </cell>
        </row>
        <row r="502">
          <cell r="C502" t="str">
            <v>한천 2</v>
          </cell>
          <cell r="D502" t="str">
            <v>계</v>
          </cell>
          <cell r="E502">
            <v>44175</v>
          </cell>
          <cell r="M502">
            <v>97</v>
          </cell>
          <cell r="N502">
            <v>97</v>
          </cell>
          <cell r="O502">
            <v>96</v>
          </cell>
          <cell r="P502">
            <v>94</v>
          </cell>
          <cell r="Q502">
            <v>96</v>
          </cell>
          <cell r="R502">
            <v>98</v>
          </cell>
          <cell r="S502">
            <v>0</v>
          </cell>
          <cell r="T502">
            <v>0</v>
          </cell>
          <cell r="U502">
            <v>77</v>
          </cell>
          <cell r="V502">
            <v>79</v>
          </cell>
          <cell r="W502">
            <v>86</v>
          </cell>
          <cell r="X502">
            <v>88</v>
          </cell>
          <cell r="Y502">
            <v>0</v>
          </cell>
          <cell r="Z502">
            <v>0</v>
          </cell>
          <cell r="AA502">
            <v>77</v>
          </cell>
          <cell r="AB502">
            <v>79</v>
          </cell>
          <cell r="AC502">
            <v>86</v>
          </cell>
          <cell r="AD502">
            <v>88</v>
          </cell>
        </row>
        <row r="503">
          <cell r="D503" t="str">
            <v>안골</v>
          </cell>
          <cell r="E503">
            <v>17688</v>
          </cell>
          <cell r="F503">
            <v>1</v>
          </cell>
          <cell r="H503">
            <v>0.75</v>
          </cell>
          <cell r="I503">
            <v>0.8</v>
          </cell>
          <cell r="J503">
            <v>0.85</v>
          </cell>
          <cell r="K503">
            <v>0.9</v>
          </cell>
          <cell r="L503">
            <v>0.9</v>
          </cell>
          <cell r="M503">
            <v>39</v>
          </cell>
          <cell r="N503">
            <v>39</v>
          </cell>
          <cell r="O503">
            <v>38</v>
          </cell>
          <cell r="P503">
            <v>38</v>
          </cell>
          <cell r="Q503">
            <v>38</v>
          </cell>
          <cell r="R503">
            <v>39</v>
          </cell>
          <cell r="S503">
            <v>0</v>
          </cell>
          <cell r="T503">
            <v>0</v>
          </cell>
          <cell r="U503">
            <v>30</v>
          </cell>
          <cell r="V503">
            <v>32</v>
          </cell>
          <cell r="W503">
            <v>34</v>
          </cell>
          <cell r="X503">
            <v>35</v>
          </cell>
          <cell r="Y503">
            <v>0</v>
          </cell>
          <cell r="Z503">
            <v>0</v>
          </cell>
          <cell r="AA503">
            <v>30</v>
          </cell>
          <cell r="AB503">
            <v>32</v>
          </cell>
          <cell r="AC503">
            <v>34</v>
          </cell>
          <cell r="AD503">
            <v>35</v>
          </cell>
        </row>
        <row r="504">
          <cell r="D504" t="str">
            <v>양산</v>
          </cell>
          <cell r="E504">
            <v>11909</v>
          </cell>
          <cell r="F504">
            <v>1</v>
          </cell>
          <cell r="H504">
            <v>0.75</v>
          </cell>
          <cell r="I504">
            <v>0.8</v>
          </cell>
          <cell r="J504">
            <v>0.85</v>
          </cell>
          <cell r="K504">
            <v>0.9</v>
          </cell>
          <cell r="L504">
            <v>0.9</v>
          </cell>
          <cell r="M504">
            <v>26</v>
          </cell>
          <cell r="N504">
            <v>26</v>
          </cell>
          <cell r="O504">
            <v>26</v>
          </cell>
          <cell r="P504">
            <v>25</v>
          </cell>
          <cell r="Q504">
            <v>26</v>
          </cell>
          <cell r="R504">
            <v>26</v>
          </cell>
          <cell r="S504">
            <v>0</v>
          </cell>
          <cell r="T504">
            <v>0</v>
          </cell>
          <cell r="U504">
            <v>21</v>
          </cell>
          <cell r="V504">
            <v>21</v>
          </cell>
          <cell r="W504">
            <v>23</v>
          </cell>
          <cell r="X504">
            <v>23</v>
          </cell>
          <cell r="Y504">
            <v>0</v>
          </cell>
          <cell r="Z504">
            <v>0</v>
          </cell>
          <cell r="AA504">
            <v>21</v>
          </cell>
          <cell r="AB504">
            <v>21</v>
          </cell>
          <cell r="AC504">
            <v>23</v>
          </cell>
          <cell r="AD504">
            <v>23</v>
          </cell>
        </row>
        <row r="505">
          <cell r="D505" t="str">
            <v>대숲</v>
          </cell>
          <cell r="E505">
            <v>14578</v>
          </cell>
          <cell r="F505">
            <v>1</v>
          </cell>
          <cell r="H505">
            <v>0.75</v>
          </cell>
          <cell r="I505">
            <v>0.8</v>
          </cell>
          <cell r="J505">
            <v>0.85</v>
          </cell>
          <cell r="K505">
            <v>0.9</v>
          </cell>
          <cell r="L505">
            <v>0.9</v>
          </cell>
          <cell r="M505">
            <v>32</v>
          </cell>
          <cell r="N505">
            <v>32</v>
          </cell>
          <cell r="O505">
            <v>32</v>
          </cell>
          <cell r="P505">
            <v>31</v>
          </cell>
          <cell r="Q505">
            <v>32</v>
          </cell>
          <cell r="R505">
            <v>33</v>
          </cell>
          <cell r="S505">
            <v>0</v>
          </cell>
          <cell r="T505">
            <v>0</v>
          </cell>
          <cell r="U505">
            <v>26</v>
          </cell>
          <cell r="V505">
            <v>26</v>
          </cell>
          <cell r="W505">
            <v>29</v>
          </cell>
          <cell r="X505">
            <v>30</v>
          </cell>
          <cell r="Y505">
            <v>0</v>
          </cell>
          <cell r="Z505">
            <v>0</v>
          </cell>
          <cell r="AA505">
            <v>26</v>
          </cell>
          <cell r="AB505">
            <v>26</v>
          </cell>
          <cell r="AC505">
            <v>29</v>
          </cell>
          <cell r="AD505">
            <v>30</v>
          </cell>
        </row>
        <row r="506">
          <cell r="C506" t="str">
            <v>한천 3</v>
          </cell>
          <cell r="D506" t="str">
            <v>계</v>
          </cell>
          <cell r="M506">
            <v>61</v>
          </cell>
          <cell r="N506">
            <v>61</v>
          </cell>
          <cell r="O506">
            <v>60</v>
          </cell>
          <cell r="P506">
            <v>60</v>
          </cell>
          <cell r="Q506">
            <v>61</v>
          </cell>
          <cell r="R506">
            <v>63</v>
          </cell>
          <cell r="S506">
            <v>0</v>
          </cell>
          <cell r="T506">
            <v>0</v>
          </cell>
          <cell r="U506">
            <v>48</v>
          </cell>
          <cell r="V506">
            <v>51</v>
          </cell>
          <cell r="W506">
            <v>55</v>
          </cell>
          <cell r="X506">
            <v>57</v>
          </cell>
          <cell r="Y506">
            <v>0</v>
          </cell>
          <cell r="Z506">
            <v>0</v>
          </cell>
          <cell r="AA506">
            <v>48</v>
          </cell>
          <cell r="AB506">
            <v>51</v>
          </cell>
          <cell r="AC506">
            <v>55</v>
          </cell>
          <cell r="AD506">
            <v>57</v>
          </cell>
        </row>
        <row r="507">
          <cell r="D507" t="str">
            <v>들말</v>
          </cell>
          <cell r="F507">
            <v>1</v>
          </cell>
          <cell r="H507">
            <v>0.75</v>
          </cell>
          <cell r="I507">
            <v>0.8</v>
          </cell>
          <cell r="J507">
            <v>0.85</v>
          </cell>
          <cell r="K507">
            <v>0.9</v>
          </cell>
          <cell r="L507">
            <v>0.9</v>
          </cell>
          <cell r="M507">
            <v>61</v>
          </cell>
          <cell r="N507">
            <v>61</v>
          </cell>
          <cell r="O507">
            <v>60</v>
          </cell>
          <cell r="P507">
            <v>60</v>
          </cell>
          <cell r="Q507">
            <v>61</v>
          </cell>
          <cell r="R507">
            <v>63</v>
          </cell>
          <cell r="S507">
            <v>0</v>
          </cell>
          <cell r="T507">
            <v>0</v>
          </cell>
          <cell r="U507">
            <v>48</v>
          </cell>
          <cell r="V507">
            <v>51</v>
          </cell>
          <cell r="W507">
            <v>55</v>
          </cell>
          <cell r="X507">
            <v>57</v>
          </cell>
          <cell r="Y507">
            <v>0</v>
          </cell>
          <cell r="Z507">
            <v>0</v>
          </cell>
          <cell r="AA507">
            <v>48</v>
          </cell>
          <cell r="AB507">
            <v>51</v>
          </cell>
          <cell r="AC507">
            <v>55</v>
          </cell>
          <cell r="AD507">
            <v>57</v>
          </cell>
        </row>
        <row r="508">
          <cell r="C508" t="str">
            <v>숙진리</v>
          </cell>
          <cell r="D508" t="str">
            <v>소계</v>
          </cell>
          <cell r="M508">
            <v>259</v>
          </cell>
          <cell r="N508">
            <v>259</v>
          </cell>
          <cell r="O508">
            <v>255</v>
          </cell>
          <cell r="P508">
            <v>252</v>
          </cell>
          <cell r="Q508">
            <v>259</v>
          </cell>
          <cell r="R508">
            <v>263</v>
          </cell>
          <cell r="S508">
            <v>0</v>
          </cell>
          <cell r="T508">
            <v>0</v>
          </cell>
          <cell r="U508">
            <v>204</v>
          </cell>
          <cell r="V508">
            <v>215</v>
          </cell>
          <cell r="W508">
            <v>234</v>
          </cell>
          <cell r="X508">
            <v>236</v>
          </cell>
          <cell r="Y508">
            <v>0</v>
          </cell>
          <cell r="Z508">
            <v>0</v>
          </cell>
          <cell r="AA508">
            <v>204</v>
          </cell>
          <cell r="AB508">
            <v>215</v>
          </cell>
          <cell r="AC508">
            <v>234</v>
          </cell>
          <cell r="AD508">
            <v>236</v>
          </cell>
        </row>
        <row r="509">
          <cell r="C509" t="str">
            <v>숙진 1</v>
          </cell>
          <cell r="D509" t="str">
            <v>계</v>
          </cell>
          <cell r="F509">
            <v>1</v>
          </cell>
          <cell r="H509">
            <v>0.75</v>
          </cell>
          <cell r="I509">
            <v>0.8</v>
          </cell>
          <cell r="J509">
            <v>0.85</v>
          </cell>
          <cell r="K509">
            <v>0.9</v>
          </cell>
          <cell r="L509">
            <v>0.9</v>
          </cell>
          <cell r="M509">
            <v>154</v>
          </cell>
          <cell r="N509">
            <v>154</v>
          </cell>
          <cell r="O509">
            <v>152</v>
          </cell>
          <cell r="P509">
            <v>150</v>
          </cell>
          <cell r="Q509">
            <v>154</v>
          </cell>
          <cell r="R509">
            <v>156</v>
          </cell>
          <cell r="S509">
            <v>0</v>
          </cell>
          <cell r="T509">
            <v>0</v>
          </cell>
          <cell r="U509">
            <v>122</v>
          </cell>
          <cell r="V509">
            <v>128</v>
          </cell>
          <cell r="W509">
            <v>139</v>
          </cell>
          <cell r="X509">
            <v>140</v>
          </cell>
          <cell r="Y509">
            <v>0</v>
          </cell>
          <cell r="Z509">
            <v>0</v>
          </cell>
          <cell r="AA509">
            <v>122</v>
          </cell>
          <cell r="AB509">
            <v>128</v>
          </cell>
          <cell r="AC509">
            <v>139</v>
          </cell>
          <cell r="AD509">
            <v>140</v>
          </cell>
        </row>
        <row r="510">
          <cell r="C510" t="str">
            <v>숙진 2</v>
          </cell>
          <cell r="D510" t="str">
            <v>계</v>
          </cell>
          <cell r="F510">
            <v>1</v>
          </cell>
          <cell r="H510">
            <v>0.75</v>
          </cell>
          <cell r="I510">
            <v>0.8</v>
          </cell>
          <cell r="J510">
            <v>0.85</v>
          </cell>
          <cell r="K510">
            <v>0.9</v>
          </cell>
          <cell r="L510">
            <v>0.9</v>
          </cell>
          <cell r="M510">
            <v>105</v>
          </cell>
          <cell r="N510">
            <v>105</v>
          </cell>
          <cell r="O510">
            <v>103</v>
          </cell>
          <cell r="P510">
            <v>102</v>
          </cell>
          <cell r="Q510">
            <v>105</v>
          </cell>
          <cell r="R510">
            <v>107</v>
          </cell>
          <cell r="S510">
            <v>0</v>
          </cell>
          <cell r="T510">
            <v>0</v>
          </cell>
          <cell r="U510">
            <v>82</v>
          </cell>
          <cell r="V510">
            <v>87</v>
          </cell>
          <cell r="W510">
            <v>95</v>
          </cell>
          <cell r="X510">
            <v>96</v>
          </cell>
          <cell r="Y510">
            <v>0</v>
          </cell>
          <cell r="Z510">
            <v>0</v>
          </cell>
          <cell r="AA510">
            <v>82</v>
          </cell>
          <cell r="AB510">
            <v>87</v>
          </cell>
          <cell r="AC510">
            <v>95</v>
          </cell>
          <cell r="AD510">
            <v>96</v>
          </cell>
        </row>
        <row r="511">
          <cell r="M511">
            <v>4307</v>
          </cell>
          <cell r="N511">
            <v>4313</v>
          </cell>
          <cell r="O511">
            <v>4247</v>
          </cell>
          <cell r="P511">
            <v>4209</v>
          </cell>
          <cell r="Q511">
            <v>4306</v>
          </cell>
          <cell r="R511">
            <v>4389</v>
          </cell>
          <cell r="S511">
            <v>2961</v>
          </cell>
          <cell r="T511">
            <v>2965</v>
          </cell>
          <cell r="U511">
            <v>3397</v>
          </cell>
          <cell r="V511">
            <v>3575</v>
          </cell>
          <cell r="W511">
            <v>3877</v>
          </cell>
          <cell r="X511">
            <v>3953</v>
          </cell>
          <cell r="Y511">
            <v>3044</v>
          </cell>
          <cell r="Z511">
            <v>3048</v>
          </cell>
          <cell r="AA511">
            <v>3397</v>
          </cell>
          <cell r="AB511">
            <v>3575</v>
          </cell>
          <cell r="AC511">
            <v>3877</v>
          </cell>
          <cell r="AD511">
            <v>3953</v>
          </cell>
        </row>
        <row r="512">
          <cell r="C512" t="str">
            <v>마구평리</v>
          </cell>
          <cell r="D512" t="str">
            <v>소계</v>
          </cell>
          <cell r="M512">
            <v>794</v>
          </cell>
          <cell r="N512">
            <v>795</v>
          </cell>
          <cell r="O512">
            <v>783</v>
          </cell>
          <cell r="P512">
            <v>774</v>
          </cell>
          <cell r="Q512">
            <v>794</v>
          </cell>
          <cell r="R512">
            <v>810</v>
          </cell>
          <cell r="S512">
            <v>597</v>
          </cell>
          <cell r="T512">
            <v>598</v>
          </cell>
          <cell r="U512">
            <v>626</v>
          </cell>
          <cell r="V512">
            <v>658</v>
          </cell>
          <cell r="W512">
            <v>715</v>
          </cell>
          <cell r="X512">
            <v>729</v>
          </cell>
          <cell r="Y512">
            <v>597</v>
          </cell>
          <cell r="Z512">
            <v>598</v>
          </cell>
          <cell r="AA512">
            <v>626</v>
          </cell>
          <cell r="AB512">
            <v>658</v>
          </cell>
          <cell r="AC512">
            <v>715</v>
          </cell>
          <cell r="AD512">
            <v>729</v>
          </cell>
        </row>
        <row r="513">
          <cell r="C513" t="str">
            <v>마구평 1</v>
          </cell>
          <cell r="D513" t="str">
            <v>계</v>
          </cell>
          <cell r="F513">
            <v>0</v>
          </cell>
          <cell r="H513">
            <v>0.75</v>
          </cell>
          <cell r="I513">
            <v>0.8</v>
          </cell>
          <cell r="J513">
            <v>0.85</v>
          </cell>
          <cell r="K513">
            <v>0.9</v>
          </cell>
          <cell r="L513">
            <v>0.9</v>
          </cell>
          <cell r="M513">
            <v>89</v>
          </cell>
          <cell r="N513">
            <v>89</v>
          </cell>
          <cell r="O513">
            <v>88</v>
          </cell>
          <cell r="P513">
            <v>87</v>
          </cell>
          <cell r="Q513">
            <v>89</v>
          </cell>
          <cell r="R513">
            <v>91</v>
          </cell>
          <cell r="S513">
            <v>67</v>
          </cell>
          <cell r="T513">
            <v>67</v>
          </cell>
          <cell r="U513">
            <v>70</v>
          </cell>
          <cell r="V513">
            <v>74</v>
          </cell>
          <cell r="W513">
            <v>80</v>
          </cell>
          <cell r="X513">
            <v>82</v>
          </cell>
          <cell r="Y513">
            <v>67</v>
          </cell>
          <cell r="Z513">
            <v>67</v>
          </cell>
          <cell r="AA513">
            <v>70</v>
          </cell>
          <cell r="AB513">
            <v>74</v>
          </cell>
          <cell r="AC513">
            <v>80</v>
          </cell>
          <cell r="AD513">
            <v>82</v>
          </cell>
        </row>
        <row r="514">
          <cell r="C514" t="str">
            <v>마구평 2</v>
          </cell>
          <cell r="D514" t="str">
            <v>계</v>
          </cell>
          <cell r="F514">
            <v>0</v>
          </cell>
          <cell r="H514">
            <v>0.75</v>
          </cell>
          <cell r="I514">
            <v>0.8</v>
          </cell>
          <cell r="J514">
            <v>0.85</v>
          </cell>
          <cell r="K514">
            <v>0.9</v>
          </cell>
          <cell r="L514">
            <v>0.9</v>
          </cell>
          <cell r="M514">
            <v>74</v>
          </cell>
          <cell r="N514">
            <v>74</v>
          </cell>
          <cell r="O514">
            <v>73</v>
          </cell>
          <cell r="P514">
            <v>72</v>
          </cell>
          <cell r="Q514">
            <v>74</v>
          </cell>
          <cell r="R514">
            <v>76</v>
          </cell>
          <cell r="S514">
            <v>56</v>
          </cell>
          <cell r="T514">
            <v>56</v>
          </cell>
          <cell r="U514">
            <v>58</v>
          </cell>
          <cell r="V514">
            <v>61</v>
          </cell>
          <cell r="W514">
            <v>67</v>
          </cell>
          <cell r="X514">
            <v>68</v>
          </cell>
          <cell r="Y514">
            <v>56</v>
          </cell>
          <cell r="Z514">
            <v>56</v>
          </cell>
          <cell r="AA514">
            <v>58</v>
          </cell>
          <cell r="AB514">
            <v>61</v>
          </cell>
          <cell r="AC514">
            <v>67</v>
          </cell>
          <cell r="AD514">
            <v>68</v>
          </cell>
        </row>
        <row r="515">
          <cell r="C515" t="str">
            <v>마구평 3</v>
          </cell>
          <cell r="D515" t="str">
            <v>계</v>
          </cell>
          <cell r="F515">
            <v>0</v>
          </cell>
          <cell r="H515">
            <v>0.75</v>
          </cell>
          <cell r="I515">
            <v>0.8</v>
          </cell>
          <cell r="J515">
            <v>0.85</v>
          </cell>
          <cell r="K515">
            <v>0.9</v>
          </cell>
          <cell r="L515">
            <v>0.9</v>
          </cell>
          <cell r="M515">
            <v>441</v>
          </cell>
          <cell r="N515">
            <v>442</v>
          </cell>
          <cell r="O515">
            <v>435</v>
          </cell>
          <cell r="P515">
            <v>430</v>
          </cell>
          <cell r="Q515">
            <v>441</v>
          </cell>
          <cell r="R515">
            <v>449</v>
          </cell>
          <cell r="S515">
            <v>331</v>
          </cell>
          <cell r="T515">
            <v>332</v>
          </cell>
          <cell r="U515">
            <v>348</v>
          </cell>
          <cell r="V515">
            <v>366</v>
          </cell>
          <cell r="W515">
            <v>397</v>
          </cell>
          <cell r="X515">
            <v>404</v>
          </cell>
          <cell r="Y515">
            <v>331</v>
          </cell>
          <cell r="Z515">
            <v>332</v>
          </cell>
          <cell r="AA515">
            <v>348</v>
          </cell>
          <cell r="AB515">
            <v>366</v>
          </cell>
          <cell r="AC515">
            <v>397</v>
          </cell>
          <cell r="AD515">
            <v>404</v>
          </cell>
        </row>
        <row r="516">
          <cell r="C516" t="str">
            <v>마구평 4</v>
          </cell>
          <cell r="D516" t="str">
            <v>계</v>
          </cell>
          <cell r="F516">
            <v>0</v>
          </cell>
          <cell r="H516">
            <v>0.75</v>
          </cell>
          <cell r="I516">
            <v>0.8</v>
          </cell>
          <cell r="J516">
            <v>0.85</v>
          </cell>
          <cell r="K516">
            <v>0.9</v>
          </cell>
          <cell r="L516">
            <v>0.9</v>
          </cell>
          <cell r="M516">
            <v>88</v>
          </cell>
          <cell r="N516">
            <v>88</v>
          </cell>
          <cell r="O516">
            <v>87</v>
          </cell>
          <cell r="P516">
            <v>86</v>
          </cell>
          <cell r="Q516">
            <v>88</v>
          </cell>
          <cell r="R516">
            <v>90</v>
          </cell>
          <cell r="S516">
            <v>66</v>
          </cell>
          <cell r="T516">
            <v>66</v>
          </cell>
          <cell r="U516">
            <v>70</v>
          </cell>
          <cell r="V516">
            <v>73</v>
          </cell>
          <cell r="W516">
            <v>79</v>
          </cell>
          <cell r="X516">
            <v>81</v>
          </cell>
          <cell r="Y516">
            <v>66</v>
          </cell>
          <cell r="Z516">
            <v>66</v>
          </cell>
          <cell r="AA516">
            <v>70</v>
          </cell>
          <cell r="AB516">
            <v>73</v>
          </cell>
          <cell r="AC516">
            <v>79</v>
          </cell>
          <cell r="AD516">
            <v>81</v>
          </cell>
        </row>
        <row r="517">
          <cell r="C517" t="str">
            <v>마구평 5</v>
          </cell>
          <cell r="D517" t="str">
            <v>계</v>
          </cell>
          <cell r="F517">
            <v>0</v>
          </cell>
          <cell r="H517">
            <v>0.75</v>
          </cell>
          <cell r="I517">
            <v>0.8</v>
          </cell>
          <cell r="J517">
            <v>0.85</v>
          </cell>
          <cell r="K517">
            <v>0.9</v>
          </cell>
          <cell r="L517">
            <v>0.9</v>
          </cell>
          <cell r="M517">
            <v>102</v>
          </cell>
          <cell r="N517">
            <v>102</v>
          </cell>
          <cell r="O517">
            <v>100</v>
          </cell>
          <cell r="P517">
            <v>99</v>
          </cell>
          <cell r="Q517">
            <v>102</v>
          </cell>
          <cell r="R517">
            <v>104</v>
          </cell>
          <cell r="S517">
            <v>77</v>
          </cell>
          <cell r="T517">
            <v>77</v>
          </cell>
          <cell r="U517">
            <v>80</v>
          </cell>
          <cell r="V517">
            <v>84</v>
          </cell>
          <cell r="W517">
            <v>92</v>
          </cell>
          <cell r="X517">
            <v>94</v>
          </cell>
          <cell r="Y517">
            <v>77</v>
          </cell>
          <cell r="Z517">
            <v>77</v>
          </cell>
          <cell r="AA517">
            <v>80</v>
          </cell>
          <cell r="AB517">
            <v>84</v>
          </cell>
          <cell r="AC517">
            <v>92</v>
          </cell>
          <cell r="AD517">
            <v>94</v>
          </cell>
        </row>
        <row r="518">
          <cell r="C518" t="str">
            <v>덕평리</v>
          </cell>
          <cell r="D518" t="str">
            <v>소계</v>
          </cell>
          <cell r="M518">
            <v>384</v>
          </cell>
          <cell r="N518">
            <v>385</v>
          </cell>
          <cell r="O518">
            <v>380</v>
          </cell>
          <cell r="P518">
            <v>375</v>
          </cell>
          <cell r="Q518">
            <v>384</v>
          </cell>
          <cell r="R518">
            <v>391</v>
          </cell>
          <cell r="S518">
            <v>289</v>
          </cell>
          <cell r="T518">
            <v>289</v>
          </cell>
          <cell r="U518">
            <v>303</v>
          </cell>
          <cell r="V518">
            <v>319</v>
          </cell>
          <cell r="W518">
            <v>346</v>
          </cell>
          <cell r="X518">
            <v>352</v>
          </cell>
          <cell r="Y518">
            <v>289</v>
          </cell>
          <cell r="Z518">
            <v>289</v>
          </cell>
          <cell r="AA518">
            <v>303</v>
          </cell>
          <cell r="AB518">
            <v>319</v>
          </cell>
          <cell r="AC518">
            <v>346</v>
          </cell>
          <cell r="AD518">
            <v>352</v>
          </cell>
        </row>
        <row r="519">
          <cell r="C519" t="str">
            <v>덕평 1</v>
          </cell>
          <cell r="D519" t="str">
            <v>계</v>
          </cell>
          <cell r="F519">
            <v>0</v>
          </cell>
          <cell r="H519">
            <v>0.75</v>
          </cell>
          <cell r="I519">
            <v>0.8</v>
          </cell>
          <cell r="J519">
            <v>0.85</v>
          </cell>
          <cell r="K519">
            <v>0.9</v>
          </cell>
          <cell r="L519">
            <v>0.9</v>
          </cell>
          <cell r="M519">
            <v>165</v>
          </cell>
          <cell r="N519">
            <v>165</v>
          </cell>
          <cell r="O519">
            <v>163</v>
          </cell>
          <cell r="P519">
            <v>161</v>
          </cell>
          <cell r="Q519">
            <v>165</v>
          </cell>
          <cell r="R519">
            <v>168</v>
          </cell>
          <cell r="S519">
            <v>124</v>
          </cell>
          <cell r="T519">
            <v>124</v>
          </cell>
          <cell r="U519">
            <v>130</v>
          </cell>
          <cell r="V519">
            <v>137</v>
          </cell>
          <cell r="W519">
            <v>149</v>
          </cell>
          <cell r="X519">
            <v>151</v>
          </cell>
          <cell r="Y519">
            <v>124</v>
          </cell>
          <cell r="Z519">
            <v>124</v>
          </cell>
          <cell r="AA519">
            <v>130</v>
          </cell>
          <cell r="AB519">
            <v>137</v>
          </cell>
          <cell r="AC519">
            <v>149</v>
          </cell>
          <cell r="AD519">
            <v>151</v>
          </cell>
        </row>
        <row r="520">
          <cell r="C520" t="str">
            <v>덕평 2</v>
          </cell>
          <cell r="D520" t="str">
            <v>계</v>
          </cell>
          <cell r="F520">
            <v>0</v>
          </cell>
          <cell r="H520">
            <v>0.75</v>
          </cell>
          <cell r="I520">
            <v>0.8</v>
          </cell>
          <cell r="J520">
            <v>0.85</v>
          </cell>
          <cell r="K520">
            <v>0.9</v>
          </cell>
          <cell r="L520">
            <v>0.9</v>
          </cell>
          <cell r="M520">
            <v>170</v>
          </cell>
          <cell r="N520">
            <v>171</v>
          </cell>
          <cell r="O520">
            <v>168</v>
          </cell>
          <cell r="P520">
            <v>166</v>
          </cell>
          <cell r="Q520">
            <v>170</v>
          </cell>
          <cell r="R520">
            <v>173</v>
          </cell>
          <cell r="S520">
            <v>128</v>
          </cell>
          <cell r="T520">
            <v>128</v>
          </cell>
          <cell r="U520">
            <v>134</v>
          </cell>
          <cell r="V520">
            <v>141</v>
          </cell>
          <cell r="W520">
            <v>153</v>
          </cell>
          <cell r="X520">
            <v>156</v>
          </cell>
          <cell r="Y520">
            <v>128</v>
          </cell>
          <cell r="Z520">
            <v>128</v>
          </cell>
          <cell r="AA520">
            <v>134</v>
          </cell>
          <cell r="AB520">
            <v>141</v>
          </cell>
          <cell r="AC520">
            <v>153</v>
          </cell>
          <cell r="AD520">
            <v>156</v>
          </cell>
        </row>
        <row r="521">
          <cell r="C521" t="str">
            <v>덕평 3</v>
          </cell>
          <cell r="D521" t="str">
            <v>계</v>
          </cell>
          <cell r="F521">
            <v>0</v>
          </cell>
          <cell r="H521">
            <v>0.75</v>
          </cell>
          <cell r="I521">
            <v>0.8</v>
          </cell>
          <cell r="J521">
            <v>0.85</v>
          </cell>
          <cell r="K521">
            <v>0.9</v>
          </cell>
          <cell r="L521">
            <v>0.9</v>
          </cell>
          <cell r="M521">
            <v>49</v>
          </cell>
          <cell r="N521">
            <v>49</v>
          </cell>
          <cell r="O521">
            <v>49</v>
          </cell>
          <cell r="P521">
            <v>48</v>
          </cell>
          <cell r="Q521">
            <v>49</v>
          </cell>
          <cell r="R521">
            <v>50</v>
          </cell>
          <cell r="S521">
            <v>37</v>
          </cell>
          <cell r="T521">
            <v>37</v>
          </cell>
          <cell r="U521">
            <v>39</v>
          </cell>
          <cell r="V521">
            <v>41</v>
          </cell>
          <cell r="W521">
            <v>44</v>
          </cell>
          <cell r="X521">
            <v>45</v>
          </cell>
          <cell r="Y521">
            <v>37</v>
          </cell>
          <cell r="Z521">
            <v>37</v>
          </cell>
          <cell r="AA521">
            <v>39</v>
          </cell>
          <cell r="AB521">
            <v>41</v>
          </cell>
          <cell r="AC521">
            <v>44</v>
          </cell>
          <cell r="AD521">
            <v>45</v>
          </cell>
        </row>
        <row r="522">
          <cell r="C522" t="str">
            <v>부황리</v>
          </cell>
          <cell r="D522" t="str">
            <v>소계</v>
          </cell>
          <cell r="M522">
            <v>226</v>
          </cell>
          <cell r="N522">
            <v>226</v>
          </cell>
          <cell r="O522">
            <v>223</v>
          </cell>
          <cell r="P522">
            <v>221</v>
          </cell>
          <cell r="Q522">
            <v>226</v>
          </cell>
          <cell r="R522">
            <v>231</v>
          </cell>
          <cell r="S522">
            <v>170</v>
          </cell>
          <cell r="T522">
            <v>170</v>
          </cell>
          <cell r="U522">
            <v>179</v>
          </cell>
          <cell r="V522">
            <v>187</v>
          </cell>
          <cell r="W522">
            <v>204</v>
          </cell>
          <cell r="X522">
            <v>208</v>
          </cell>
          <cell r="Y522">
            <v>170</v>
          </cell>
          <cell r="Z522">
            <v>170</v>
          </cell>
          <cell r="AA522">
            <v>179</v>
          </cell>
          <cell r="AB522">
            <v>187</v>
          </cell>
          <cell r="AC522">
            <v>204</v>
          </cell>
          <cell r="AD522">
            <v>208</v>
          </cell>
        </row>
        <row r="523">
          <cell r="C523" t="str">
            <v>부황 1</v>
          </cell>
          <cell r="D523" t="str">
            <v>계</v>
          </cell>
          <cell r="F523">
            <v>0</v>
          </cell>
          <cell r="H523">
            <v>0.75</v>
          </cell>
          <cell r="I523">
            <v>0.8</v>
          </cell>
          <cell r="J523">
            <v>0.85</v>
          </cell>
          <cell r="K523">
            <v>0.9</v>
          </cell>
          <cell r="L523">
            <v>0.9</v>
          </cell>
          <cell r="M523">
            <v>78</v>
          </cell>
          <cell r="N523">
            <v>78</v>
          </cell>
          <cell r="O523">
            <v>77</v>
          </cell>
          <cell r="P523">
            <v>77</v>
          </cell>
          <cell r="Q523">
            <v>78</v>
          </cell>
          <cell r="R523">
            <v>80</v>
          </cell>
          <cell r="S523">
            <v>59</v>
          </cell>
          <cell r="T523">
            <v>59</v>
          </cell>
          <cell r="U523">
            <v>62</v>
          </cell>
          <cell r="V523">
            <v>65</v>
          </cell>
          <cell r="W523">
            <v>70</v>
          </cell>
          <cell r="X523">
            <v>72</v>
          </cell>
          <cell r="Y523">
            <v>59</v>
          </cell>
          <cell r="Z523">
            <v>59</v>
          </cell>
          <cell r="AA523">
            <v>62</v>
          </cell>
          <cell r="AB523">
            <v>65</v>
          </cell>
          <cell r="AC523">
            <v>70</v>
          </cell>
          <cell r="AD523">
            <v>72</v>
          </cell>
        </row>
        <row r="524">
          <cell r="C524" t="str">
            <v>부황 2</v>
          </cell>
          <cell r="D524" t="str">
            <v>계</v>
          </cell>
          <cell r="F524">
            <v>0</v>
          </cell>
          <cell r="H524">
            <v>0.75</v>
          </cell>
          <cell r="I524">
            <v>0.8</v>
          </cell>
          <cell r="J524">
            <v>0.85</v>
          </cell>
          <cell r="K524">
            <v>0.9</v>
          </cell>
          <cell r="L524">
            <v>0.9</v>
          </cell>
          <cell r="M524">
            <v>75</v>
          </cell>
          <cell r="N524">
            <v>75</v>
          </cell>
          <cell r="O524">
            <v>74</v>
          </cell>
          <cell r="P524">
            <v>73</v>
          </cell>
          <cell r="Q524">
            <v>75</v>
          </cell>
          <cell r="R524">
            <v>77</v>
          </cell>
          <cell r="S524">
            <v>56</v>
          </cell>
          <cell r="T524">
            <v>56</v>
          </cell>
          <cell r="U524">
            <v>59</v>
          </cell>
          <cell r="V524">
            <v>62</v>
          </cell>
          <cell r="W524">
            <v>68</v>
          </cell>
          <cell r="X524">
            <v>69</v>
          </cell>
          <cell r="Y524">
            <v>56</v>
          </cell>
          <cell r="Z524">
            <v>56</v>
          </cell>
          <cell r="AA524">
            <v>59</v>
          </cell>
          <cell r="AB524">
            <v>62</v>
          </cell>
          <cell r="AC524">
            <v>68</v>
          </cell>
          <cell r="AD524">
            <v>69</v>
          </cell>
        </row>
        <row r="525">
          <cell r="C525" t="str">
            <v>부황 3</v>
          </cell>
          <cell r="D525" t="str">
            <v>계</v>
          </cell>
          <cell r="F525">
            <v>0</v>
          </cell>
          <cell r="H525">
            <v>0.75</v>
          </cell>
          <cell r="I525">
            <v>0.8</v>
          </cell>
          <cell r="J525">
            <v>0.85</v>
          </cell>
          <cell r="K525">
            <v>0.9</v>
          </cell>
          <cell r="L525">
            <v>0.9</v>
          </cell>
          <cell r="M525">
            <v>73</v>
          </cell>
          <cell r="N525">
            <v>73</v>
          </cell>
          <cell r="O525">
            <v>72</v>
          </cell>
          <cell r="P525">
            <v>71</v>
          </cell>
          <cell r="Q525">
            <v>73</v>
          </cell>
          <cell r="R525">
            <v>74</v>
          </cell>
          <cell r="S525">
            <v>55</v>
          </cell>
          <cell r="T525">
            <v>55</v>
          </cell>
          <cell r="U525">
            <v>58</v>
          </cell>
          <cell r="V525">
            <v>60</v>
          </cell>
          <cell r="W525">
            <v>66</v>
          </cell>
          <cell r="X525">
            <v>67</v>
          </cell>
          <cell r="Y525">
            <v>55</v>
          </cell>
          <cell r="Z525">
            <v>55</v>
          </cell>
          <cell r="AA525">
            <v>58</v>
          </cell>
          <cell r="AB525">
            <v>60</v>
          </cell>
          <cell r="AC525">
            <v>66</v>
          </cell>
          <cell r="AD525">
            <v>67</v>
          </cell>
        </row>
        <row r="526">
          <cell r="C526" t="str">
            <v>외성리</v>
          </cell>
          <cell r="D526" t="str">
            <v>소계</v>
          </cell>
          <cell r="M526">
            <v>385</v>
          </cell>
          <cell r="N526">
            <v>385</v>
          </cell>
          <cell r="O526">
            <v>379</v>
          </cell>
          <cell r="P526">
            <v>376</v>
          </cell>
          <cell r="Q526">
            <v>385</v>
          </cell>
          <cell r="R526">
            <v>392</v>
          </cell>
          <cell r="S526">
            <v>280</v>
          </cell>
          <cell r="T526">
            <v>280</v>
          </cell>
          <cell r="U526">
            <v>303</v>
          </cell>
          <cell r="V526">
            <v>319</v>
          </cell>
          <cell r="W526">
            <v>347</v>
          </cell>
          <cell r="X526">
            <v>353</v>
          </cell>
          <cell r="Y526">
            <v>280</v>
          </cell>
          <cell r="Z526">
            <v>280</v>
          </cell>
          <cell r="AA526">
            <v>303</v>
          </cell>
          <cell r="AB526">
            <v>319</v>
          </cell>
          <cell r="AC526">
            <v>347</v>
          </cell>
          <cell r="AD526">
            <v>353</v>
          </cell>
        </row>
        <row r="527">
          <cell r="C527" t="str">
            <v>외성 1</v>
          </cell>
          <cell r="D527" t="str">
            <v>계</v>
          </cell>
          <cell r="M527">
            <v>139</v>
          </cell>
          <cell r="N527">
            <v>139</v>
          </cell>
          <cell r="O527">
            <v>137</v>
          </cell>
          <cell r="P527">
            <v>136</v>
          </cell>
          <cell r="Q527">
            <v>139</v>
          </cell>
          <cell r="R527">
            <v>141</v>
          </cell>
          <cell r="S527">
            <v>104</v>
          </cell>
          <cell r="T527">
            <v>104</v>
          </cell>
          <cell r="U527">
            <v>110</v>
          </cell>
          <cell r="V527">
            <v>116</v>
          </cell>
          <cell r="W527">
            <v>125</v>
          </cell>
          <cell r="X527">
            <v>127</v>
          </cell>
          <cell r="Y527">
            <v>104</v>
          </cell>
          <cell r="Z527">
            <v>104</v>
          </cell>
          <cell r="AA527">
            <v>110</v>
          </cell>
          <cell r="AB527">
            <v>116</v>
          </cell>
          <cell r="AC527">
            <v>125</v>
          </cell>
          <cell r="AD527">
            <v>127</v>
          </cell>
        </row>
        <row r="528">
          <cell r="D528" t="str">
            <v>외성</v>
          </cell>
          <cell r="F528">
            <v>0</v>
          </cell>
          <cell r="H528">
            <v>0.75</v>
          </cell>
          <cell r="I528">
            <v>0.8</v>
          </cell>
          <cell r="J528">
            <v>0.85</v>
          </cell>
          <cell r="K528">
            <v>0.9</v>
          </cell>
          <cell r="L528">
            <v>0.9</v>
          </cell>
          <cell r="M528">
            <v>139</v>
          </cell>
          <cell r="N528">
            <v>139</v>
          </cell>
          <cell r="O528">
            <v>137</v>
          </cell>
          <cell r="P528">
            <v>136</v>
          </cell>
          <cell r="Q528">
            <v>139</v>
          </cell>
          <cell r="R528">
            <v>141</v>
          </cell>
          <cell r="S528">
            <v>104</v>
          </cell>
          <cell r="T528">
            <v>104</v>
          </cell>
          <cell r="U528">
            <v>110</v>
          </cell>
          <cell r="V528">
            <v>116</v>
          </cell>
          <cell r="W528">
            <v>125</v>
          </cell>
          <cell r="X528">
            <v>127</v>
          </cell>
          <cell r="Y528">
            <v>104</v>
          </cell>
          <cell r="Z528">
            <v>104</v>
          </cell>
          <cell r="AA528">
            <v>110</v>
          </cell>
          <cell r="AB528">
            <v>116</v>
          </cell>
          <cell r="AC528">
            <v>125</v>
          </cell>
          <cell r="AD528">
            <v>127</v>
          </cell>
        </row>
        <row r="529">
          <cell r="C529" t="str">
            <v>외성 2</v>
          </cell>
          <cell r="D529" t="str">
            <v>계</v>
          </cell>
          <cell r="E529">
            <v>67851</v>
          </cell>
          <cell r="M529">
            <v>145</v>
          </cell>
          <cell r="N529">
            <v>145</v>
          </cell>
          <cell r="O529">
            <v>143</v>
          </cell>
          <cell r="P529">
            <v>142</v>
          </cell>
          <cell r="Q529">
            <v>145</v>
          </cell>
          <cell r="R529">
            <v>148</v>
          </cell>
          <cell r="S529">
            <v>100</v>
          </cell>
          <cell r="T529">
            <v>100</v>
          </cell>
          <cell r="U529">
            <v>114</v>
          </cell>
          <cell r="V529">
            <v>120</v>
          </cell>
          <cell r="W529">
            <v>131</v>
          </cell>
          <cell r="X529">
            <v>133</v>
          </cell>
          <cell r="Y529">
            <v>100</v>
          </cell>
          <cell r="Z529">
            <v>100</v>
          </cell>
          <cell r="AA529">
            <v>114</v>
          </cell>
          <cell r="AB529">
            <v>120</v>
          </cell>
          <cell r="AC529">
            <v>131</v>
          </cell>
          <cell r="AD529">
            <v>133</v>
          </cell>
        </row>
        <row r="530">
          <cell r="D530" t="str">
            <v>신북동</v>
          </cell>
          <cell r="E530">
            <v>27331</v>
          </cell>
          <cell r="F530">
            <v>0</v>
          </cell>
          <cell r="H530">
            <v>0.75</v>
          </cell>
          <cell r="I530">
            <v>0.8</v>
          </cell>
          <cell r="J530">
            <v>0.85</v>
          </cell>
          <cell r="K530">
            <v>0.9</v>
          </cell>
          <cell r="L530">
            <v>0.9</v>
          </cell>
          <cell r="M530">
            <v>58</v>
          </cell>
          <cell r="N530">
            <v>58</v>
          </cell>
          <cell r="O530">
            <v>58</v>
          </cell>
          <cell r="P530">
            <v>57</v>
          </cell>
          <cell r="Q530">
            <v>58</v>
          </cell>
          <cell r="R530">
            <v>60</v>
          </cell>
          <cell r="S530">
            <v>44</v>
          </cell>
          <cell r="T530">
            <v>44</v>
          </cell>
          <cell r="U530">
            <v>46</v>
          </cell>
          <cell r="V530">
            <v>48</v>
          </cell>
          <cell r="W530">
            <v>52</v>
          </cell>
          <cell r="X530">
            <v>54</v>
          </cell>
          <cell r="Y530">
            <v>44</v>
          </cell>
          <cell r="Z530">
            <v>44</v>
          </cell>
          <cell r="AA530">
            <v>46</v>
          </cell>
          <cell r="AB530">
            <v>48</v>
          </cell>
          <cell r="AC530">
            <v>52</v>
          </cell>
          <cell r="AD530">
            <v>54</v>
          </cell>
        </row>
        <row r="531">
          <cell r="D531" t="str">
            <v>분동</v>
          </cell>
          <cell r="E531">
            <v>5575</v>
          </cell>
          <cell r="F531">
            <v>1</v>
          </cell>
          <cell r="H531">
            <v>0.75</v>
          </cell>
          <cell r="I531">
            <v>0.8</v>
          </cell>
          <cell r="J531">
            <v>0.85</v>
          </cell>
          <cell r="K531">
            <v>0.9</v>
          </cell>
          <cell r="L531">
            <v>0.9</v>
          </cell>
          <cell r="M531">
            <v>12</v>
          </cell>
          <cell r="N531">
            <v>12</v>
          </cell>
          <cell r="O531">
            <v>12</v>
          </cell>
          <cell r="P531">
            <v>12</v>
          </cell>
          <cell r="Q531">
            <v>12</v>
          </cell>
          <cell r="R531">
            <v>12</v>
          </cell>
          <cell r="S531">
            <v>0</v>
          </cell>
          <cell r="T531">
            <v>0</v>
          </cell>
          <cell r="U531">
            <v>10</v>
          </cell>
          <cell r="V531">
            <v>10</v>
          </cell>
          <cell r="W531">
            <v>11</v>
          </cell>
          <cell r="X531">
            <v>11</v>
          </cell>
          <cell r="Y531">
            <v>0</v>
          </cell>
          <cell r="Z531">
            <v>0</v>
          </cell>
          <cell r="AA531">
            <v>10</v>
          </cell>
          <cell r="AB531">
            <v>10</v>
          </cell>
          <cell r="AC531">
            <v>11</v>
          </cell>
          <cell r="AD531">
            <v>11</v>
          </cell>
        </row>
        <row r="532">
          <cell r="D532" t="str">
            <v>장재울</v>
          </cell>
          <cell r="E532">
            <v>34945</v>
          </cell>
          <cell r="F532">
            <v>0</v>
          </cell>
          <cell r="H532">
            <v>0.75</v>
          </cell>
          <cell r="I532">
            <v>0.8</v>
          </cell>
          <cell r="J532">
            <v>0.85</v>
          </cell>
          <cell r="K532">
            <v>0.9</v>
          </cell>
          <cell r="L532">
            <v>0.9</v>
          </cell>
          <cell r="M532">
            <v>75</v>
          </cell>
          <cell r="N532">
            <v>75</v>
          </cell>
          <cell r="O532">
            <v>73</v>
          </cell>
          <cell r="P532">
            <v>73</v>
          </cell>
          <cell r="Q532">
            <v>75</v>
          </cell>
          <cell r="R532">
            <v>76</v>
          </cell>
          <cell r="S532">
            <v>56</v>
          </cell>
          <cell r="T532">
            <v>56</v>
          </cell>
          <cell r="U532">
            <v>58</v>
          </cell>
          <cell r="V532">
            <v>62</v>
          </cell>
          <cell r="W532">
            <v>68</v>
          </cell>
          <cell r="X532">
            <v>68</v>
          </cell>
          <cell r="Y532">
            <v>56</v>
          </cell>
          <cell r="Z532">
            <v>56</v>
          </cell>
          <cell r="AA532">
            <v>58</v>
          </cell>
          <cell r="AB532">
            <v>62</v>
          </cell>
          <cell r="AC532">
            <v>68</v>
          </cell>
          <cell r="AD532">
            <v>68</v>
          </cell>
        </row>
        <row r="533">
          <cell r="C533" t="str">
            <v>외성 3</v>
          </cell>
          <cell r="D533" t="str">
            <v>계</v>
          </cell>
          <cell r="M533">
            <v>101</v>
          </cell>
          <cell r="N533">
            <v>101</v>
          </cell>
          <cell r="O533">
            <v>99</v>
          </cell>
          <cell r="P533">
            <v>98</v>
          </cell>
          <cell r="Q533">
            <v>101</v>
          </cell>
          <cell r="R533">
            <v>103</v>
          </cell>
          <cell r="S533">
            <v>76</v>
          </cell>
          <cell r="T533">
            <v>76</v>
          </cell>
          <cell r="U533">
            <v>79</v>
          </cell>
          <cell r="V533">
            <v>83</v>
          </cell>
          <cell r="W533">
            <v>91</v>
          </cell>
          <cell r="X533">
            <v>93</v>
          </cell>
          <cell r="Y533">
            <v>76</v>
          </cell>
          <cell r="Z533">
            <v>76</v>
          </cell>
          <cell r="AA533">
            <v>79</v>
          </cell>
          <cell r="AB533">
            <v>83</v>
          </cell>
          <cell r="AC533">
            <v>91</v>
          </cell>
          <cell r="AD533">
            <v>93</v>
          </cell>
        </row>
        <row r="534">
          <cell r="D534" t="str">
            <v>삼거리</v>
          </cell>
          <cell r="F534">
            <v>0</v>
          </cell>
          <cell r="H534">
            <v>0.75</v>
          </cell>
          <cell r="I534">
            <v>0.8</v>
          </cell>
          <cell r="J534">
            <v>0.85</v>
          </cell>
          <cell r="K534">
            <v>0.9</v>
          </cell>
          <cell r="L534">
            <v>0.9</v>
          </cell>
          <cell r="M534">
            <v>101</v>
          </cell>
          <cell r="N534">
            <v>101</v>
          </cell>
          <cell r="O534">
            <v>99</v>
          </cell>
          <cell r="P534">
            <v>98</v>
          </cell>
          <cell r="Q534">
            <v>101</v>
          </cell>
          <cell r="R534">
            <v>103</v>
          </cell>
          <cell r="S534">
            <v>76</v>
          </cell>
          <cell r="T534">
            <v>76</v>
          </cell>
          <cell r="U534">
            <v>79</v>
          </cell>
          <cell r="V534">
            <v>83</v>
          </cell>
          <cell r="W534">
            <v>91</v>
          </cell>
          <cell r="X534">
            <v>93</v>
          </cell>
          <cell r="Y534">
            <v>76</v>
          </cell>
          <cell r="Z534">
            <v>76</v>
          </cell>
          <cell r="AA534">
            <v>79</v>
          </cell>
          <cell r="AB534">
            <v>83</v>
          </cell>
          <cell r="AC534">
            <v>91</v>
          </cell>
          <cell r="AD534">
            <v>93</v>
          </cell>
        </row>
        <row r="535">
          <cell r="C535" t="str">
            <v>감곡리</v>
          </cell>
          <cell r="D535" t="str">
            <v>소계</v>
          </cell>
          <cell r="M535">
            <v>273</v>
          </cell>
          <cell r="N535">
            <v>274</v>
          </cell>
          <cell r="O535">
            <v>269</v>
          </cell>
          <cell r="P535">
            <v>267</v>
          </cell>
          <cell r="Q535">
            <v>273</v>
          </cell>
          <cell r="R535">
            <v>278</v>
          </cell>
          <cell r="S535">
            <v>205</v>
          </cell>
          <cell r="T535">
            <v>206</v>
          </cell>
          <cell r="U535">
            <v>216</v>
          </cell>
          <cell r="V535">
            <v>227</v>
          </cell>
          <cell r="W535">
            <v>246</v>
          </cell>
          <cell r="X535">
            <v>251</v>
          </cell>
          <cell r="Y535">
            <v>205</v>
          </cell>
          <cell r="Z535">
            <v>206</v>
          </cell>
          <cell r="AA535">
            <v>216</v>
          </cell>
          <cell r="AB535">
            <v>227</v>
          </cell>
          <cell r="AC535">
            <v>246</v>
          </cell>
          <cell r="AD535">
            <v>251</v>
          </cell>
        </row>
        <row r="536">
          <cell r="C536" t="str">
            <v>감곡 1</v>
          </cell>
          <cell r="D536" t="str">
            <v>계</v>
          </cell>
          <cell r="F536">
            <v>0</v>
          </cell>
          <cell r="H536">
            <v>0.75</v>
          </cell>
          <cell r="I536">
            <v>0.8</v>
          </cell>
          <cell r="J536">
            <v>0.85</v>
          </cell>
          <cell r="K536">
            <v>0.9</v>
          </cell>
          <cell r="L536">
            <v>0.9</v>
          </cell>
          <cell r="M536">
            <v>93</v>
          </cell>
          <cell r="N536">
            <v>94</v>
          </cell>
          <cell r="O536">
            <v>92</v>
          </cell>
          <cell r="P536">
            <v>91</v>
          </cell>
          <cell r="Q536">
            <v>93</v>
          </cell>
          <cell r="R536">
            <v>95</v>
          </cell>
          <cell r="S536">
            <v>70</v>
          </cell>
          <cell r="T536">
            <v>71</v>
          </cell>
          <cell r="U536">
            <v>74</v>
          </cell>
          <cell r="V536">
            <v>77</v>
          </cell>
          <cell r="W536">
            <v>84</v>
          </cell>
          <cell r="X536">
            <v>86</v>
          </cell>
          <cell r="Y536">
            <v>70</v>
          </cell>
          <cell r="Z536">
            <v>71</v>
          </cell>
          <cell r="AA536">
            <v>74</v>
          </cell>
          <cell r="AB536">
            <v>77</v>
          </cell>
          <cell r="AC536">
            <v>84</v>
          </cell>
          <cell r="AD536">
            <v>86</v>
          </cell>
        </row>
        <row r="537">
          <cell r="C537" t="str">
            <v>감곡 2</v>
          </cell>
          <cell r="D537" t="str">
            <v>계</v>
          </cell>
          <cell r="F537">
            <v>0</v>
          </cell>
          <cell r="H537">
            <v>0.75</v>
          </cell>
          <cell r="I537">
            <v>0.8</v>
          </cell>
          <cell r="J537">
            <v>0.85</v>
          </cell>
          <cell r="K537">
            <v>0.9</v>
          </cell>
          <cell r="L537">
            <v>0.9</v>
          </cell>
          <cell r="M537">
            <v>180</v>
          </cell>
          <cell r="N537">
            <v>180</v>
          </cell>
          <cell r="O537">
            <v>177</v>
          </cell>
          <cell r="P537">
            <v>176</v>
          </cell>
          <cell r="Q537">
            <v>180</v>
          </cell>
          <cell r="R537">
            <v>183</v>
          </cell>
          <cell r="S537">
            <v>135</v>
          </cell>
          <cell r="T537">
            <v>135</v>
          </cell>
          <cell r="U537">
            <v>142</v>
          </cell>
          <cell r="V537">
            <v>150</v>
          </cell>
          <cell r="W537">
            <v>162</v>
          </cell>
          <cell r="X537">
            <v>165</v>
          </cell>
          <cell r="Y537">
            <v>135</v>
          </cell>
          <cell r="Z537">
            <v>135</v>
          </cell>
          <cell r="AA537">
            <v>142</v>
          </cell>
          <cell r="AB537">
            <v>150</v>
          </cell>
          <cell r="AC537">
            <v>162</v>
          </cell>
          <cell r="AD537">
            <v>165</v>
          </cell>
        </row>
        <row r="538">
          <cell r="C538" t="str">
            <v>충곡리</v>
          </cell>
          <cell r="D538" t="str">
            <v>소계</v>
          </cell>
          <cell r="M538">
            <v>237</v>
          </cell>
          <cell r="N538">
            <v>238</v>
          </cell>
          <cell r="O538">
            <v>234</v>
          </cell>
          <cell r="P538">
            <v>232</v>
          </cell>
          <cell r="Q538">
            <v>237</v>
          </cell>
          <cell r="R538">
            <v>242</v>
          </cell>
          <cell r="S538">
            <v>178</v>
          </cell>
          <cell r="T538">
            <v>179</v>
          </cell>
          <cell r="U538">
            <v>187</v>
          </cell>
          <cell r="V538">
            <v>198</v>
          </cell>
          <cell r="W538">
            <v>214</v>
          </cell>
          <cell r="X538">
            <v>218</v>
          </cell>
          <cell r="Y538">
            <v>178</v>
          </cell>
          <cell r="Z538">
            <v>179</v>
          </cell>
          <cell r="AA538">
            <v>187</v>
          </cell>
          <cell r="AB538">
            <v>198</v>
          </cell>
          <cell r="AC538">
            <v>214</v>
          </cell>
          <cell r="AD538">
            <v>218</v>
          </cell>
        </row>
        <row r="539">
          <cell r="C539" t="str">
            <v>충곡 1</v>
          </cell>
          <cell r="D539" t="str">
            <v>계</v>
          </cell>
          <cell r="F539">
            <v>0</v>
          </cell>
          <cell r="H539">
            <v>0.75</v>
          </cell>
          <cell r="I539">
            <v>0.8</v>
          </cell>
          <cell r="J539">
            <v>0.85</v>
          </cell>
          <cell r="K539">
            <v>0.9</v>
          </cell>
          <cell r="L539">
            <v>0.9</v>
          </cell>
          <cell r="M539">
            <v>92</v>
          </cell>
          <cell r="N539">
            <v>93</v>
          </cell>
          <cell r="O539">
            <v>91</v>
          </cell>
          <cell r="P539">
            <v>90</v>
          </cell>
          <cell r="Q539">
            <v>92</v>
          </cell>
          <cell r="R539">
            <v>94</v>
          </cell>
          <cell r="S539">
            <v>69</v>
          </cell>
          <cell r="T539">
            <v>70</v>
          </cell>
          <cell r="U539">
            <v>73</v>
          </cell>
          <cell r="V539">
            <v>77</v>
          </cell>
          <cell r="W539">
            <v>83</v>
          </cell>
          <cell r="X539">
            <v>85</v>
          </cell>
          <cell r="Y539">
            <v>69</v>
          </cell>
          <cell r="Z539">
            <v>70</v>
          </cell>
          <cell r="AA539">
            <v>73</v>
          </cell>
          <cell r="AB539">
            <v>77</v>
          </cell>
          <cell r="AC539">
            <v>83</v>
          </cell>
          <cell r="AD539">
            <v>85</v>
          </cell>
        </row>
        <row r="540">
          <cell r="C540" t="str">
            <v>충곡 2</v>
          </cell>
          <cell r="D540" t="str">
            <v>계</v>
          </cell>
          <cell r="F540">
            <v>0</v>
          </cell>
          <cell r="H540">
            <v>0.75</v>
          </cell>
          <cell r="I540">
            <v>0.8</v>
          </cell>
          <cell r="J540">
            <v>0.85</v>
          </cell>
          <cell r="K540">
            <v>0.9</v>
          </cell>
          <cell r="L540">
            <v>0.9</v>
          </cell>
          <cell r="M540">
            <v>145</v>
          </cell>
          <cell r="N540">
            <v>145</v>
          </cell>
          <cell r="O540">
            <v>143</v>
          </cell>
          <cell r="P540">
            <v>142</v>
          </cell>
          <cell r="Q540">
            <v>145</v>
          </cell>
          <cell r="R540">
            <v>148</v>
          </cell>
          <cell r="S540">
            <v>109</v>
          </cell>
          <cell r="T540">
            <v>109</v>
          </cell>
          <cell r="U540">
            <v>114</v>
          </cell>
          <cell r="V540">
            <v>121</v>
          </cell>
          <cell r="W540">
            <v>131</v>
          </cell>
          <cell r="X540">
            <v>133</v>
          </cell>
          <cell r="Y540">
            <v>109</v>
          </cell>
          <cell r="Z540">
            <v>109</v>
          </cell>
          <cell r="AA540">
            <v>114</v>
          </cell>
          <cell r="AB540">
            <v>121</v>
          </cell>
          <cell r="AC540">
            <v>131</v>
          </cell>
          <cell r="AD540">
            <v>133</v>
          </cell>
        </row>
        <row r="541">
          <cell r="C541" t="str">
            <v>신풍리</v>
          </cell>
          <cell r="D541" t="str">
            <v>소계</v>
          </cell>
          <cell r="F541">
            <v>5</v>
          </cell>
          <cell r="H541">
            <v>0.75</v>
          </cell>
          <cell r="I541">
            <v>0.8</v>
          </cell>
          <cell r="J541">
            <v>0.85</v>
          </cell>
          <cell r="K541">
            <v>0.9</v>
          </cell>
          <cell r="L541">
            <v>0.9</v>
          </cell>
          <cell r="M541">
            <v>110</v>
          </cell>
          <cell r="N541">
            <v>110</v>
          </cell>
          <cell r="O541">
            <v>108</v>
          </cell>
          <cell r="P541">
            <v>108</v>
          </cell>
          <cell r="Q541">
            <v>110</v>
          </cell>
          <cell r="R541">
            <v>112</v>
          </cell>
          <cell r="S541">
            <v>0</v>
          </cell>
          <cell r="T541">
            <v>0</v>
          </cell>
          <cell r="U541">
            <v>86</v>
          </cell>
          <cell r="V541">
            <v>92</v>
          </cell>
          <cell r="W541">
            <v>99</v>
          </cell>
          <cell r="X541">
            <v>101</v>
          </cell>
          <cell r="Y541">
            <v>83</v>
          </cell>
          <cell r="Z541">
            <v>83</v>
          </cell>
          <cell r="AA541">
            <v>86</v>
          </cell>
          <cell r="AB541">
            <v>92</v>
          </cell>
          <cell r="AC541">
            <v>99</v>
          </cell>
          <cell r="AD541">
            <v>101</v>
          </cell>
        </row>
        <row r="542">
          <cell r="C542" t="str">
            <v>탑정리</v>
          </cell>
          <cell r="D542" t="str">
            <v>소계</v>
          </cell>
          <cell r="M542">
            <v>262</v>
          </cell>
          <cell r="N542">
            <v>262</v>
          </cell>
          <cell r="O542">
            <v>258</v>
          </cell>
          <cell r="P542">
            <v>257</v>
          </cell>
          <cell r="Q542">
            <v>262</v>
          </cell>
          <cell r="R542">
            <v>268</v>
          </cell>
          <cell r="S542">
            <v>197</v>
          </cell>
          <cell r="T542">
            <v>197</v>
          </cell>
          <cell r="U542">
            <v>207</v>
          </cell>
          <cell r="V542">
            <v>218</v>
          </cell>
          <cell r="W542">
            <v>235</v>
          </cell>
          <cell r="X542">
            <v>241</v>
          </cell>
          <cell r="Y542">
            <v>197</v>
          </cell>
          <cell r="Z542">
            <v>197</v>
          </cell>
          <cell r="AA542">
            <v>207</v>
          </cell>
          <cell r="AB542">
            <v>218</v>
          </cell>
          <cell r="AC542">
            <v>235</v>
          </cell>
          <cell r="AD542">
            <v>241</v>
          </cell>
        </row>
        <row r="543">
          <cell r="C543" t="str">
            <v>탑정 1</v>
          </cell>
          <cell r="D543" t="str">
            <v>계</v>
          </cell>
          <cell r="M543">
            <v>78</v>
          </cell>
          <cell r="N543">
            <v>78</v>
          </cell>
          <cell r="O543">
            <v>77</v>
          </cell>
          <cell r="P543">
            <v>77</v>
          </cell>
          <cell r="Q543">
            <v>78</v>
          </cell>
          <cell r="R543">
            <v>80</v>
          </cell>
          <cell r="S543">
            <v>59</v>
          </cell>
          <cell r="T543">
            <v>59</v>
          </cell>
          <cell r="U543">
            <v>62</v>
          </cell>
          <cell r="V543">
            <v>65</v>
          </cell>
          <cell r="W543">
            <v>70</v>
          </cell>
          <cell r="X543">
            <v>72</v>
          </cell>
          <cell r="Y543">
            <v>59</v>
          </cell>
          <cell r="Z543">
            <v>59</v>
          </cell>
          <cell r="AA543">
            <v>62</v>
          </cell>
          <cell r="AB543">
            <v>65</v>
          </cell>
          <cell r="AC543">
            <v>70</v>
          </cell>
          <cell r="AD543">
            <v>72</v>
          </cell>
        </row>
        <row r="544">
          <cell r="D544" t="str">
            <v>탑정</v>
          </cell>
          <cell r="F544">
            <v>0</v>
          </cell>
          <cell r="H544">
            <v>0.75</v>
          </cell>
          <cell r="I544">
            <v>0.8</v>
          </cell>
          <cell r="J544">
            <v>0.85</v>
          </cell>
          <cell r="K544">
            <v>0.9</v>
          </cell>
          <cell r="L544">
            <v>0.9</v>
          </cell>
          <cell r="M544">
            <v>78</v>
          </cell>
          <cell r="N544">
            <v>78</v>
          </cell>
          <cell r="O544">
            <v>77</v>
          </cell>
          <cell r="P544">
            <v>77</v>
          </cell>
          <cell r="Q544">
            <v>78</v>
          </cell>
          <cell r="R544">
            <v>80</v>
          </cell>
          <cell r="S544">
            <v>59</v>
          </cell>
          <cell r="T544">
            <v>59</v>
          </cell>
          <cell r="U544">
            <v>62</v>
          </cell>
          <cell r="V544">
            <v>65</v>
          </cell>
          <cell r="W544">
            <v>70</v>
          </cell>
          <cell r="X544">
            <v>72</v>
          </cell>
          <cell r="Y544">
            <v>59</v>
          </cell>
          <cell r="Z544">
            <v>59</v>
          </cell>
          <cell r="AA544">
            <v>62</v>
          </cell>
          <cell r="AB544">
            <v>65</v>
          </cell>
          <cell r="AC544">
            <v>70</v>
          </cell>
          <cell r="AD544">
            <v>72</v>
          </cell>
        </row>
        <row r="545">
          <cell r="C545" t="str">
            <v>탑정 2</v>
          </cell>
          <cell r="D545" t="str">
            <v>계</v>
          </cell>
          <cell r="M545">
            <v>108</v>
          </cell>
          <cell r="N545">
            <v>108</v>
          </cell>
          <cell r="O545">
            <v>106</v>
          </cell>
          <cell r="P545">
            <v>106</v>
          </cell>
          <cell r="Q545">
            <v>108</v>
          </cell>
          <cell r="R545">
            <v>110</v>
          </cell>
          <cell r="S545">
            <v>81</v>
          </cell>
          <cell r="T545">
            <v>81</v>
          </cell>
          <cell r="U545">
            <v>85</v>
          </cell>
          <cell r="V545">
            <v>90</v>
          </cell>
          <cell r="W545">
            <v>97</v>
          </cell>
          <cell r="X545">
            <v>99</v>
          </cell>
          <cell r="Y545">
            <v>81</v>
          </cell>
          <cell r="Z545">
            <v>81</v>
          </cell>
          <cell r="AA545">
            <v>85</v>
          </cell>
          <cell r="AB545">
            <v>90</v>
          </cell>
          <cell r="AC545">
            <v>97</v>
          </cell>
          <cell r="AD545">
            <v>99</v>
          </cell>
        </row>
        <row r="546">
          <cell r="D546" t="str">
            <v>새다리</v>
          </cell>
          <cell r="F546">
            <v>0</v>
          </cell>
          <cell r="H546">
            <v>0.75</v>
          </cell>
          <cell r="I546">
            <v>0.8</v>
          </cell>
          <cell r="J546">
            <v>0.85</v>
          </cell>
          <cell r="K546">
            <v>0.9</v>
          </cell>
          <cell r="L546">
            <v>0.9</v>
          </cell>
          <cell r="M546">
            <v>108</v>
          </cell>
          <cell r="N546">
            <v>108</v>
          </cell>
          <cell r="O546">
            <v>106</v>
          </cell>
          <cell r="P546">
            <v>106</v>
          </cell>
          <cell r="Q546">
            <v>108</v>
          </cell>
          <cell r="R546">
            <v>110</v>
          </cell>
          <cell r="S546">
            <v>81</v>
          </cell>
          <cell r="T546">
            <v>81</v>
          </cell>
          <cell r="U546">
            <v>85</v>
          </cell>
          <cell r="V546">
            <v>90</v>
          </cell>
          <cell r="W546">
            <v>97</v>
          </cell>
          <cell r="X546">
            <v>99</v>
          </cell>
          <cell r="Y546">
            <v>81</v>
          </cell>
          <cell r="Z546">
            <v>81</v>
          </cell>
          <cell r="AA546">
            <v>85</v>
          </cell>
          <cell r="AB546">
            <v>90</v>
          </cell>
          <cell r="AC546">
            <v>97</v>
          </cell>
          <cell r="AD546">
            <v>99</v>
          </cell>
        </row>
        <row r="547">
          <cell r="C547" t="str">
            <v>탑정 3</v>
          </cell>
          <cell r="D547" t="str">
            <v>계</v>
          </cell>
          <cell r="M547">
            <v>76</v>
          </cell>
          <cell r="N547">
            <v>76</v>
          </cell>
          <cell r="O547">
            <v>75</v>
          </cell>
          <cell r="P547">
            <v>74</v>
          </cell>
          <cell r="Q547">
            <v>76</v>
          </cell>
          <cell r="R547">
            <v>78</v>
          </cell>
          <cell r="S547">
            <v>57</v>
          </cell>
          <cell r="T547">
            <v>57</v>
          </cell>
          <cell r="U547">
            <v>60</v>
          </cell>
          <cell r="V547">
            <v>63</v>
          </cell>
          <cell r="W547">
            <v>68</v>
          </cell>
          <cell r="X547">
            <v>70</v>
          </cell>
          <cell r="Y547">
            <v>57</v>
          </cell>
          <cell r="Z547">
            <v>57</v>
          </cell>
          <cell r="AA547">
            <v>60</v>
          </cell>
          <cell r="AB547">
            <v>63</v>
          </cell>
          <cell r="AC547">
            <v>68</v>
          </cell>
          <cell r="AD547">
            <v>70</v>
          </cell>
        </row>
        <row r="548">
          <cell r="D548" t="str">
            <v>성안</v>
          </cell>
          <cell r="F548">
            <v>0</v>
          </cell>
          <cell r="H548">
            <v>0.75</v>
          </cell>
          <cell r="I548">
            <v>0.8</v>
          </cell>
          <cell r="J548">
            <v>0.85</v>
          </cell>
          <cell r="K548">
            <v>0.9</v>
          </cell>
          <cell r="L548">
            <v>0.9</v>
          </cell>
          <cell r="M548">
            <v>76</v>
          </cell>
          <cell r="N548">
            <v>76</v>
          </cell>
          <cell r="O548">
            <v>75</v>
          </cell>
          <cell r="P548">
            <v>74</v>
          </cell>
          <cell r="Q548">
            <v>76</v>
          </cell>
          <cell r="R548">
            <v>78</v>
          </cell>
          <cell r="S548">
            <v>57</v>
          </cell>
          <cell r="T548">
            <v>57</v>
          </cell>
          <cell r="U548">
            <v>60</v>
          </cell>
          <cell r="V548">
            <v>63</v>
          </cell>
          <cell r="W548">
            <v>68</v>
          </cell>
          <cell r="X548">
            <v>70</v>
          </cell>
          <cell r="Y548">
            <v>57</v>
          </cell>
          <cell r="Z548">
            <v>57</v>
          </cell>
          <cell r="AA548">
            <v>60</v>
          </cell>
          <cell r="AB548">
            <v>63</v>
          </cell>
          <cell r="AC548">
            <v>68</v>
          </cell>
          <cell r="AD548">
            <v>70</v>
          </cell>
        </row>
        <row r="549">
          <cell r="C549" t="str">
            <v>신교리</v>
          </cell>
          <cell r="D549" t="str">
            <v>소계</v>
          </cell>
          <cell r="M549">
            <v>527</v>
          </cell>
          <cell r="N549">
            <v>528</v>
          </cell>
          <cell r="O549">
            <v>520</v>
          </cell>
          <cell r="P549">
            <v>515</v>
          </cell>
          <cell r="Q549">
            <v>527</v>
          </cell>
          <cell r="R549">
            <v>537</v>
          </cell>
          <cell r="S549">
            <v>396</v>
          </cell>
          <cell r="T549">
            <v>397</v>
          </cell>
          <cell r="U549">
            <v>415</v>
          </cell>
          <cell r="V549">
            <v>437</v>
          </cell>
          <cell r="W549">
            <v>474</v>
          </cell>
          <cell r="X549">
            <v>484</v>
          </cell>
          <cell r="Y549">
            <v>396</v>
          </cell>
          <cell r="Z549">
            <v>397</v>
          </cell>
          <cell r="AA549">
            <v>415</v>
          </cell>
          <cell r="AB549">
            <v>437</v>
          </cell>
          <cell r="AC549">
            <v>474</v>
          </cell>
          <cell r="AD549">
            <v>484</v>
          </cell>
        </row>
        <row r="550">
          <cell r="C550" t="str">
            <v>신교 1</v>
          </cell>
          <cell r="D550" t="str">
            <v>계</v>
          </cell>
          <cell r="M550">
            <v>181</v>
          </cell>
          <cell r="N550">
            <v>181</v>
          </cell>
          <cell r="O550">
            <v>178</v>
          </cell>
          <cell r="P550">
            <v>177</v>
          </cell>
          <cell r="Q550">
            <v>181</v>
          </cell>
          <cell r="R550">
            <v>184</v>
          </cell>
          <cell r="S550">
            <v>136</v>
          </cell>
          <cell r="T550">
            <v>136</v>
          </cell>
          <cell r="U550">
            <v>142</v>
          </cell>
          <cell r="V550">
            <v>150</v>
          </cell>
          <cell r="W550">
            <v>163</v>
          </cell>
          <cell r="X550">
            <v>166</v>
          </cell>
          <cell r="Y550">
            <v>136</v>
          </cell>
          <cell r="Z550">
            <v>136</v>
          </cell>
          <cell r="AA550">
            <v>142</v>
          </cell>
          <cell r="AB550">
            <v>150</v>
          </cell>
          <cell r="AC550">
            <v>163</v>
          </cell>
          <cell r="AD550">
            <v>166</v>
          </cell>
        </row>
        <row r="551">
          <cell r="D551" t="str">
            <v>새뜸</v>
          </cell>
          <cell r="F551">
            <v>0</v>
          </cell>
          <cell r="H551">
            <v>0.75</v>
          </cell>
          <cell r="I551">
            <v>0.8</v>
          </cell>
          <cell r="J551">
            <v>0.85</v>
          </cell>
          <cell r="K551">
            <v>0.9</v>
          </cell>
          <cell r="L551">
            <v>0.9</v>
          </cell>
          <cell r="M551">
            <v>181</v>
          </cell>
          <cell r="N551">
            <v>181</v>
          </cell>
          <cell r="O551">
            <v>178</v>
          </cell>
          <cell r="P551">
            <v>177</v>
          </cell>
          <cell r="Q551">
            <v>181</v>
          </cell>
          <cell r="R551">
            <v>184</v>
          </cell>
          <cell r="S551">
            <v>136</v>
          </cell>
          <cell r="T551">
            <v>136</v>
          </cell>
          <cell r="U551">
            <v>142</v>
          </cell>
          <cell r="V551">
            <v>150</v>
          </cell>
          <cell r="W551">
            <v>163</v>
          </cell>
          <cell r="X551">
            <v>166</v>
          </cell>
          <cell r="Y551">
            <v>136</v>
          </cell>
          <cell r="Z551">
            <v>136</v>
          </cell>
          <cell r="AA551">
            <v>142</v>
          </cell>
          <cell r="AB551">
            <v>150</v>
          </cell>
          <cell r="AC551">
            <v>163</v>
          </cell>
          <cell r="AD551">
            <v>166</v>
          </cell>
        </row>
        <row r="552">
          <cell r="C552" t="str">
            <v>신교 2</v>
          </cell>
          <cell r="D552" t="str">
            <v>계</v>
          </cell>
          <cell r="M552">
            <v>217</v>
          </cell>
          <cell r="N552">
            <v>217</v>
          </cell>
          <cell r="O552">
            <v>214</v>
          </cell>
          <cell r="P552">
            <v>212</v>
          </cell>
          <cell r="Q552">
            <v>217</v>
          </cell>
          <cell r="R552">
            <v>221</v>
          </cell>
          <cell r="S552">
            <v>163</v>
          </cell>
          <cell r="T552">
            <v>163</v>
          </cell>
          <cell r="U552">
            <v>171</v>
          </cell>
          <cell r="V552">
            <v>180</v>
          </cell>
          <cell r="W552">
            <v>195</v>
          </cell>
          <cell r="X552">
            <v>199</v>
          </cell>
          <cell r="Y552">
            <v>163</v>
          </cell>
          <cell r="Z552">
            <v>163</v>
          </cell>
          <cell r="AA552">
            <v>171</v>
          </cell>
          <cell r="AB552">
            <v>180</v>
          </cell>
          <cell r="AC552">
            <v>195</v>
          </cell>
          <cell r="AD552">
            <v>199</v>
          </cell>
        </row>
        <row r="553">
          <cell r="D553" t="str">
            <v>새다리</v>
          </cell>
          <cell r="F553">
            <v>0</v>
          </cell>
          <cell r="H553">
            <v>0.75</v>
          </cell>
          <cell r="I553">
            <v>0.8</v>
          </cell>
          <cell r="J553">
            <v>0.85</v>
          </cell>
          <cell r="K553">
            <v>0.9</v>
          </cell>
          <cell r="L553">
            <v>0.9</v>
          </cell>
          <cell r="M553">
            <v>217</v>
          </cell>
          <cell r="N553">
            <v>217</v>
          </cell>
          <cell r="O553">
            <v>214</v>
          </cell>
          <cell r="P553">
            <v>212</v>
          </cell>
          <cell r="Q553">
            <v>217</v>
          </cell>
          <cell r="R553">
            <v>221</v>
          </cell>
          <cell r="S553">
            <v>163</v>
          </cell>
          <cell r="T553">
            <v>163</v>
          </cell>
          <cell r="U553">
            <v>171</v>
          </cell>
          <cell r="V553">
            <v>180</v>
          </cell>
          <cell r="W553">
            <v>195</v>
          </cell>
          <cell r="X553">
            <v>199</v>
          </cell>
          <cell r="Y553">
            <v>163</v>
          </cell>
          <cell r="Z553">
            <v>163</v>
          </cell>
          <cell r="AA553">
            <v>171</v>
          </cell>
          <cell r="AB553">
            <v>180</v>
          </cell>
          <cell r="AC553">
            <v>195</v>
          </cell>
          <cell r="AD553">
            <v>199</v>
          </cell>
        </row>
        <row r="554">
          <cell r="C554" t="str">
            <v>신교 3</v>
          </cell>
          <cell r="D554" t="str">
            <v>계</v>
          </cell>
          <cell r="M554">
            <v>129</v>
          </cell>
          <cell r="N554">
            <v>130</v>
          </cell>
          <cell r="O554">
            <v>128</v>
          </cell>
          <cell r="P554">
            <v>126</v>
          </cell>
          <cell r="Q554">
            <v>129</v>
          </cell>
          <cell r="R554">
            <v>132</v>
          </cell>
          <cell r="S554">
            <v>97</v>
          </cell>
          <cell r="T554">
            <v>98</v>
          </cell>
          <cell r="U554">
            <v>102</v>
          </cell>
          <cell r="V554">
            <v>107</v>
          </cell>
          <cell r="W554">
            <v>116</v>
          </cell>
          <cell r="X554">
            <v>119</v>
          </cell>
          <cell r="Y554">
            <v>97</v>
          </cell>
          <cell r="Z554">
            <v>98</v>
          </cell>
          <cell r="AA554">
            <v>102</v>
          </cell>
          <cell r="AB554">
            <v>107</v>
          </cell>
          <cell r="AC554">
            <v>116</v>
          </cell>
          <cell r="AD554">
            <v>119</v>
          </cell>
        </row>
        <row r="555">
          <cell r="D555" t="str">
            <v>아개울</v>
          </cell>
          <cell r="F555">
            <v>0</v>
          </cell>
          <cell r="H555">
            <v>0.75</v>
          </cell>
          <cell r="I555">
            <v>0.8</v>
          </cell>
          <cell r="J555">
            <v>0.85</v>
          </cell>
          <cell r="K555">
            <v>0.9</v>
          </cell>
          <cell r="L555">
            <v>0.9</v>
          </cell>
          <cell r="M555">
            <v>129</v>
          </cell>
          <cell r="N555">
            <v>130</v>
          </cell>
          <cell r="O555">
            <v>128</v>
          </cell>
          <cell r="P555">
            <v>126</v>
          </cell>
          <cell r="Q555">
            <v>129</v>
          </cell>
          <cell r="R555">
            <v>132</v>
          </cell>
          <cell r="S555">
            <v>97</v>
          </cell>
          <cell r="T555">
            <v>98</v>
          </cell>
          <cell r="U555">
            <v>102</v>
          </cell>
          <cell r="V555">
            <v>107</v>
          </cell>
          <cell r="W555">
            <v>116</v>
          </cell>
          <cell r="X555">
            <v>119</v>
          </cell>
          <cell r="Y555">
            <v>97</v>
          </cell>
          <cell r="Z555">
            <v>98</v>
          </cell>
          <cell r="AA555">
            <v>102</v>
          </cell>
          <cell r="AB555">
            <v>107</v>
          </cell>
          <cell r="AC555">
            <v>116</v>
          </cell>
          <cell r="AD555">
            <v>119</v>
          </cell>
        </row>
        <row r="556">
          <cell r="C556" t="str">
            <v>반송리</v>
          </cell>
          <cell r="D556" t="str">
            <v>소계</v>
          </cell>
          <cell r="M556">
            <v>505</v>
          </cell>
          <cell r="N556">
            <v>505</v>
          </cell>
          <cell r="O556">
            <v>497</v>
          </cell>
          <cell r="P556">
            <v>493</v>
          </cell>
          <cell r="Q556">
            <v>505</v>
          </cell>
          <cell r="R556">
            <v>513</v>
          </cell>
          <cell r="S556">
            <v>379</v>
          </cell>
          <cell r="T556">
            <v>379</v>
          </cell>
          <cell r="U556">
            <v>398</v>
          </cell>
          <cell r="V556">
            <v>420</v>
          </cell>
          <cell r="W556">
            <v>455</v>
          </cell>
          <cell r="X556">
            <v>462</v>
          </cell>
          <cell r="Y556">
            <v>379</v>
          </cell>
          <cell r="Z556">
            <v>379</v>
          </cell>
          <cell r="AA556">
            <v>398</v>
          </cell>
          <cell r="AB556">
            <v>420</v>
          </cell>
          <cell r="AC556">
            <v>455</v>
          </cell>
          <cell r="AD556">
            <v>462</v>
          </cell>
        </row>
        <row r="557">
          <cell r="C557" t="str">
            <v>반송 1</v>
          </cell>
          <cell r="D557" t="str">
            <v>계</v>
          </cell>
          <cell r="E557">
            <v>48917</v>
          </cell>
          <cell r="M557">
            <v>138</v>
          </cell>
          <cell r="N557">
            <v>138</v>
          </cell>
          <cell r="O557">
            <v>136</v>
          </cell>
          <cell r="P557">
            <v>135</v>
          </cell>
          <cell r="Q557">
            <v>138</v>
          </cell>
          <cell r="R557">
            <v>140</v>
          </cell>
          <cell r="S557">
            <v>104</v>
          </cell>
          <cell r="T557">
            <v>104</v>
          </cell>
          <cell r="U557">
            <v>109</v>
          </cell>
          <cell r="V557">
            <v>115</v>
          </cell>
          <cell r="W557">
            <v>124</v>
          </cell>
          <cell r="X557">
            <v>126</v>
          </cell>
          <cell r="Y557">
            <v>104</v>
          </cell>
          <cell r="Z557">
            <v>104</v>
          </cell>
          <cell r="AA557">
            <v>109</v>
          </cell>
          <cell r="AB557">
            <v>115</v>
          </cell>
          <cell r="AC557">
            <v>124</v>
          </cell>
          <cell r="AD557">
            <v>126</v>
          </cell>
        </row>
        <row r="558">
          <cell r="D558" t="str">
            <v>구성리</v>
          </cell>
          <cell r="E558">
            <v>36168</v>
          </cell>
          <cell r="F558">
            <v>0</v>
          </cell>
          <cell r="H558">
            <v>0.75</v>
          </cell>
          <cell r="I558">
            <v>0.8</v>
          </cell>
          <cell r="J558">
            <v>0.85</v>
          </cell>
          <cell r="K558">
            <v>0.9</v>
          </cell>
          <cell r="L558">
            <v>0.9</v>
          </cell>
          <cell r="M558">
            <v>102</v>
          </cell>
          <cell r="N558">
            <v>102</v>
          </cell>
          <cell r="O558">
            <v>101</v>
          </cell>
          <cell r="P558">
            <v>100</v>
          </cell>
          <cell r="Q558">
            <v>102</v>
          </cell>
          <cell r="R558">
            <v>104</v>
          </cell>
          <cell r="S558">
            <v>77</v>
          </cell>
          <cell r="T558">
            <v>77</v>
          </cell>
          <cell r="U558">
            <v>81</v>
          </cell>
          <cell r="V558">
            <v>85</v>
          </cell>
          <cell r="W558">
            <v>92</v>
          </cell>
          <cell r="X558">
            <v>94</v>
          </cell>
          <cell r="Y558">
            <v>77</v>
          </cell>
          <cell r="Z558">
            <v>77</v>
          </cell>
          <cell r="AA558">
            <v>81</v>
          </cell>
          <cell r="AB558">
            <v>85</v>
          </cell>
          <cell r="AC558">
            <v>92</v>
          </cell>
          <cell r="AD558">
            <v>94</v>
          </cell>
        </row>
        <row r="559">
          <cell r="D559" t="str">
            <v>동신대</v>
          </cell>
          <cell r="E559">
            <v>12749</v>
          </cell>
          <cell r="F559">
            <v>0</v>
          </cell>
          <cell r="H559">
            <v>0.75</v>
          </cell>
          <cell r="I559">
            <v>0.8</v>
          </cell>
          <cell r="J559">
            <v>0.85</v>
          </cell>
          <cell r="K559">
            <v>0.9</v>
          </cell>
          <cell r="L559">
            <v>0.9</v>
          </cell>
          <cell r="M559">
            <v>36</v>
          </cell>
          <cell r="N559">
            <v>36</v>
          </cell>
          <cell r="O559">
            <v>35</v>
          </cell>
          <cell r="P559">
            <v>35</v>
          </cell>
          <cell r="Q559">
            <v>36</v>
          </cell>
          <cell r="R559">
            <v>36</v>
          </cell>
          <cell r="S559">
            <v>27</v>
          </cell>
          <cell r="T559">
            <v>27</v>
          </cell>
          <cell r="U559">
            <v>28</v>
          </cell>
          <cell r="V559">
            <v>30</v>
          </cell>
          <cell r="W559">
            <v>32</v>
          </cell>
          <cell r="X559">
            <v>32</v>
          </cell>
          <cell r="Y559">
            <v>27</v>
          </cell>
          <cell r="Z559">
            <v>27</v>
          </cell>
          <cell r="AA559">
            <v>28</v>
          </cell>
          <cell r="AB559">
            <v>30</v>
          </cell>
          <cell r="AC559">
            <v>32</v>
          </cell>
          <cell r="AD559">
            <v>32</v>
          </cell>
        </row>
        <row r="560">
          <cell r="C560" t="str">
            <v>반송 2</v>
          </cell>
          <cell r="D560" t="str">
            <v>계</v>
          </cell>
          <cell r="E560">
            <v>59582</v>
          </cell>
          <cell r="M560">
            <v>262</v>
          </cell>
          <cell r="N560">
            <v>262</v>
          </cell>
          <cell r="O560">
            <v>258</v>
          </cell>
          <cell r="P560">
            <v>256</v>
          </cell>
          <cell r="Q560">
            <v>262</v>
          </cell>
          <cell r="R560">
            <v>266</v>
          </cell>
          <cell r="S560">
            <v>196</v>
          </cell>
          <cell r="T560">
            <v>196</v>
          </cell>
          <cell r="U560">
            <v>207</v>
          </cell>
          <cell r="V560">
            <v>218</v>
          </cell>
          <cell r="W560">
            <v>236</v>
          </cell>
          <cell r="X560">
            <v>240</v>
          </cell>
          <cell r="Y560">
            <v>196</v>
          </cell>
          <cell r="Z560">
            <v>196</v>
          </cell>
          <cell r="AA560">
            <v>207</v>
          </cell>
          <cell r="AB560">
            <v>218</v>
          </cell>
          <cell r="AC560">
            <v>236</v>
          </cell>
          <cell r="AD560">
            <v>240</v>
          </cell>
        </row>
        <row r="561">
          <cell r="D561" t="str">
            <v>병촌</v>
          </cell>
          <cell r="E561">
            <v>40670</v>
          </cell>
          <cell r="F561">
            <v>0</v>
          </cell>
          <cell r="H561">
            <v>0.75</v>
          </cell>
          <cell r="I561">
            <v>0.8</v>
          </cell>
          <cell r="J561">
            <v>0.85</v>
          </cell>
          <cell r="K561">
            <v>0.9</v>
          </cell>
          <cell r="L561">
            <v>0.9</v>
          </cell>
          <cell r="M561">
            <v>179</v>
          </cell>
          <cell r="N561">
            <v>179</v>
          </cell>
          <cell r="O561">
            <v>176</v>
          </cell>
          <cell r="P561">
            <v>175</v>
          </cell>
          <cell r="Q561">
            <v>179</v>
          </cell>
          <cell r="R561">
            <v>182</v>
          </cell>
          <cell r="S561">
            <v>134</v>
          </cell>
          <cell r="T561">
            <v>134</v>
          </cell>
          <cell r="U561">
            <v>141</v>
          </cell>
          <cell r="V561">
            <v>149</v>
          </cell>
          <cell r="W561">
            <v>161</v>
          </cell>
          <cell r="X561">
            <v>164</v>
          </cell>
          <cell r="Y561">
            <v>134</v>
          </cell>
          <cell r="Z561">
            <v>134</v>
          </cell>
          <cell r="AA561">
            <v>141</v>
          </cell>
          <cell r="AB561">
            <v>149</v>
          </cell>
          <cell r="AC561">
            <v>161</v>
          </cell>
          <cell r="AD561">
            <v>164</v>
          </cell>
        </row>
        <row r="562">
          <cell r="D562" t="str">
            <v>당너머</v>
          </cell>
          <cell r="E562">
            <v>18912</v>
          </cell>
          <cell r="F562">
            <v>0</v>
          </cell>
          <cell r="H562">
            <v>0.75</v>
          </cell>
          <cell r="I562">
            <v>0.8</v>
          </cell>
          <cell r="J562">
            <v>0.85</v>
          </cell>
          <cell r="K562">
            <v>0.9</v>
          </cell>
          <cell r="L562">
            <v>0.9</v>
          </cell>
          <cell r="M562">
            <v>83</v>
          </cell>
          <cell r="N562">
            <v>83</v>
          </cell>
          <cell r="O562">
            <v>82</v>
          </cell>
          <cell r="P562">
            <v>81</v>
          </cell>
          <cell r="Q562">
            <v>83</v>
          </cell>
          <cell r="R562">
            <v>84</v>
          </cell>
          <cell r="S562">
            <v>62</v>
          </cell>
          <cell r="T562">
            <v>62</v>
          </cell>
          <cell r="U562">
            <v>66</v>
          </cell>
          <cell r="V562">
            <v>69</v>
          </cell>
          <cell r="W562">
            <v>75</v>
          </cell>
          <cell r="X562">
            <v>76</v>
          </cell>
          <cell r="Y562">
            <v>62</v>
          </cell>
          <cell r="Z562">
            <v>62</v>
          </cell>
          <cell r="AA562">
            <v>66</v>
          </cell>
          <cell r="AB562">
            <v>69</v>
          </cell>
          <cell r="AC562">
            <v>75</v>
          </cell>
          <cell r="AD562">
            <v>76</v>
          </cell>
        </row>
        <row r="563">
          <cell r="C563" t="str">
            <v>반송 3</v>
          </cell>
          <cell r="D563" t="str">
            <v>계</v>
          </cell>
          <cell r="M563">
            <v>105</v>
          </cell>
          <cell r="N563">
            <v>105</v>
          </cell>
          <cell r="O563">
            <v>103</v>
          </cell>
          <cell r="P563">
            <v>102</v>
          </cell>
          <cell r="Q563">
            <v>105</v>
          </cell>
          <cell r="R563">
            <v>107</v>
          </cell>
          <cell r="S563">
            <v>79</v>
          </cell>
          <cell r="T563">
            <v>79</v>
          </cell>
          <cell r="U563">
            <v>82</v>
          </cell>
          <cell r="V563">
            <v>87</v>
          </cell>
          <cell r="W563">
            <v>95</v>
          </cell>
          <cell r="X563">
            <v>96</v>
          </cell>
          <cell r="Y563">
            <v>79</v>
          </cell>
          <cell r="Z563">
            <v>79</v>
          </cell>
          <cell r="AA563">
            <v>82</v>
          </cell>
          <cell r="AB563">
            <v>87</v>
          </cell>
          <cell r="AC563">
            <v>95</v>
          </cell>
          <cell r="AD563">
            <v>96</v>
          </cell>
        </row>
        <row r="564">
          <cell r="D564" t="str">
            <v>반송골</v>
          </cell>
          <cell r="F564">
            <v>0</v>
          </cell>
          <cell r="H564">
            <v>0.75</v>
          </cell>
          <cell r="I564">
            <v>0.8</v>
          </cell>
          <cell r="J564">
            <v>0.85</v>
          </cell>
          <cell r="K564">
            <v>0.9</v>
          </cell>
          <cell r="L564">
            <v>0.9</v>
          </cell>
          <cell r="M564">
            <v>105</v>
          </cell>
          <cell r="N564">
            <v>105</v>
          </cell>
          <cell r="O564">
            <v>103</v>
          </cell>
          <cell r="P564">
            <v>102</v>
          </cell>
          <cell r="Q564">
            <v>105</v>
          </cell>
          <cell r="R564">
            <v>107</v>
          </cell>
          <cell r="S564">
            <v>79</v>
          </cell>
          <cell r="T564">
            <v>79</v>
          </cell>
          <cell r="U564">
            <v>82</v>
          </cell>
          <cell r="V564">
            <v>87</v>
          </cell>
          <cell r="W564">
            <v>95</v>
          </cell>
          <cell r="X564">
            <v>96</v>
          </cell>
          <cell r="Y564">
            <v>79</v>
          </cell>
          <cell r="Z564">
            <v>79</v>
          </cell>
          <cell r="AA564">
            <v>82</v>
          </cell>
          <cell r="AB564">
            <v>87</v>
          </cell>
          <cell r="AC564">
            <v>95</v>
          </cell>
          <cell r="AD564">
            <v>96</v>
          </cell>
        </row>
        <row r="565">
          <cell r="C565" t="str">
            <v>아호리</v>
          </cell>
          <cell r="D565" t="str">
            <v>소계</v>
          </cell>
          <cell r="M565">
            <v>300</v>
          </cell>
          <cell r="N565">
            <v>300</v>
          </cell>
          <cell r="O565">
            <v>295</v>
          </cell>
          <cell r="P565">
            <v>293</v>
          </cell>
          <cell r="Q565">
            <v>300</v>
          </cell>
          <cell r="R565">
            <v>305</v>
          </cell>
          <cell r="S565">
            <v>226</v>
          </cell>
          <cell r="T565">
            <v>226</v>
          </cell>
          <cell r="U565">
            <v>236</v>
          </cell>
          <cell r="V565">
            <v>248</v>
          </cell>
          <cell r="W565">
            <v>270</v>
          </cell>
          <cell r="X565">
            <v>275</v>
          </cell>
          <cell r="Y565">
            <v>226</v>
          </cell>
          <cell r="Z565">
            <v>226</v>
          </cell>
          <cell r="AA565">
            <v>236</v>
          </cell>
          <cell r="AB565">
            <v>248</v>
          </cell>
          <cell r="AC565">
            <v>270</v>
          </cell>
          <cell r="AD565">
            <v>275</v>
          </cell>
        </row>
        <row r="566">
          <cell r="C566" t="str">
            <v>아호 1</v>
          </cell>
          <cell r="D566" t="str">
            <v>계</v>
          </cell>
          <cell r="M566">
            <v>201</v>
          </cell>
          <cell r="N566">
            <v>201</v>
          </cell>
          <cell r="O566">
            <v>198</v>
          </cell>
          <cell r="P566">
            <v>197</v>
          </cell>
          <cell r="Q566">
            <v>201</v>
          </cell>
          <cell r="R566">
            <v>205</v>
          </cell>
          <cell r="S566">
            <v>151</v>
          </cell>
          <cell r="T566">
            <v>151</v>
          </cell>
          <cell r="U566">
            <v>158</v>
          </cell>
          <cell r="V566">
            <v>167</v>
          </cell>
          <cell r="W566">
            <v>181</v>
          </cell>
          <cell r="X566">
            <v>185</v>
          </cell>
          <cell r="Y566">
            <v>151</v>
          </cell>
          <cell r="Z566">
            <v>151</v>
          </cell>
          <cell r="AA566">
            <v>158</v>
          </cell>
          <cell r="AB566">
            <v>167</v>
          </cell>
          <cell r="AC566">
            <v>181</v>
          </cell>
          <cell r="AD566">
            <v>185</v>
          </cell>
        </row>
        <row r="567">
          <cell r="D567" t="str">
            <v>아호</v>
          </cell>
          <cell r="F567">
            <v>0</v>
          </cell>
          <cell r="H567">
            <v>0.75</v>
          </cell>
          <cell r="I567">
            <v>0.8</v>
          </cell>
          <cell r="J567">
            <v>0.85</v>
          </cell>
          <cell r="K567">
            <v>0.9</v>
          </cell>
          <cell r="L567">
            <v>0.9</v>
          </cell>
          <cell r="M567">
            <v>201</v>
          </cell>
          <cell r="N567">
            <v>201</v>
          </cell>
          <cell r="O567">
            <v>198</v>
          </cell>
          <cell r="P567">
            <v>197</v>
          </cell>
          <cell r="Q567">
            <v>201</v>
          </cell>
          <cell r="R567">
            <v>205</v>
          </cell>
          <cell r="S567">
            <v>151</v>
          </cell>
          <cell r="T567">
            <v>151</v>
          </cell>
          <cell r="U567">
            <v>158</v>
          </cell>
          <cell r="V567">
            <v>167</v>
          </cell>
          <cell r="W567">
            <v>181</v>
          </cell>
          <cell r="X567">
            <v>185</v>
          </cell>
          <cell r="Y567">
            <v>151</v>
          </cell>
          <cell r="Z567">
            <v>151</v>
          </cell>
          <cell r="AA567">
            <v>158</v>
          </cell>
          <cell r="AB567">
            <v>167</v>
          </cell>
          <cell r="AC567">
            <v>181</v>
          </cell>
          <cell r="AD567">
            <v>185</v>
          </cell>
        </row>
        <row r="568">
          <cell r="C568" t="str">
            <v>아호 2</v>
          </cell>
          <cell r="D568" t="str">
            <v>계</v>
          </cell>
          <cell r="E568">
            <v>44700</v>
          </cell>
          <cell r="M568">
            <v>99</v>
          </cell>
          <cell r="N568">
            <v>99</v>
          </cell>
          <cell r="O568">
            <v>97</v>
          </cell>
          <cell r="P568">
            <v>96</v>
          </cell>
          <cell r="Q568">
            <v>99</v>
          </cell>
          <cell r="R568">
            <v>100</v>
          </cell>
          <cell r="S568">
            <v>75</v>
          </cell>
          <cell r="T568">
            <v>75</v>
          </cell>
          <cell r="U568">
            <v>78</v>
          </cell>
          <cell r="V568">
            <v>81</v>
          </cell>
          <cell r="W568">
            <v>89</v>
          </cell>
          <cell r="X568">
            <v>90</v>
          </cell>
          <cell r="Y568">
            <v>75</v>
          </cell>
          <cell r="Z568">
            <v>75</v>
          </cell>
          <cell r="AA568">
            <v>78</v>
          </cell>
          <cell r="AB568">
            <v>81</v>
          </cell>
          <cell r="AC568">
            <v>89</v>
          </cell>
          <cell r="AD568">
            <v>90</v>
          </cell>
        </row>
        <row r="569">
          <cell r="D569" t="str">
            <v>전당리</v>
          </cell>
          <cell r="E569">
            <v>23965</v>
          </cell>
          <cell r="F569">
            <v>0</v>
          </cell>
          <cell r="H569">
            <v>0.75</v>
          </cell>
          <cell r="I569">
            <v>0.8</v>
          </cell>
          <cell r="J569">
            <v>0.85</v>
          </cell>
          <cell r="K569">
            <v>0.9</v>
          </cell>
          <cell r="L569">
            <v>0.9</v>
          </cell>
          <cell r="M569">
            <v>53</v>
          </cell>
          <cell r="N569">
            <v>53</v>
          </cell>
          <cell r="O569">
            <v>52</v>
          </cell>
          <cell r="P569">
            <v>51</v>
          </cell>
          <cell r="Q569">
            <v>53</v>
          </cell>
          <cell r="R569">
            <v>54</v>
          </cell>
          <cell r="S569">
            <v>40</v>
          </cell>
          <cell r="T569">
            <v>40</v>
          </cell>
          <cell r="U569">
            <v>42</v>
          </cell>
          <cell r="V569">
            <v>43</v>
          </cell>
          <cell r="W569">
            <v>48</v>
          </cell>
          <cell r="X569">
            <v>49</v>
          </cell>
          <cell r="Y569">
            <v>40</v>
          </cell>
          <cell r="Z569">
            <v>40</v>
          </cell>
          <cell r="AA569">
            <v>42</v>
          </cell>
          <cell r="AB569">
            <v>43</v>
          </cell>
          <cell r="AC569">
            <v>48</v>
          </cell>
          <cell r="AD569">
            <v>49</v>
          </cell>
        </row>
        <row r="570">
          <cell r="D570" t="str">
            <v>들못</v>
          </cell>
          <cell r="E570">
            <v>20735</v>
          </cell>
          <cell r="F570">
            <v>0</v>
          </cell>
          <cell r="H570">
            <v>0.75</v>
          </cell>
          <cell r="I570">
            <v>0.8</v>
          </cell>
          <cell r="J570">
            <v>0.85</v>
          </cell>
          <cell r="K570">
            <v>0.9</v>
          </cell>
          <cell r="L570">
            <v>0.9</v>
          </cell>
          <cell r="M570">
            <v>46</v>
          </cell>
          <cell r="N570">
            <v>46</v>
          </cell>
          <cell r="O570">
            <v>45</v>
          </cell>
          <cell r="P570">
            <v>45</v>
          </cell>
          <cell r="Q570">
            <v>46</v>
          </cell>
          <cell r="R570">
            <v>46</v>
          </cell>
          <cell r="S570">
            <v>35</v>
          </cell>
          <cell r="T570">
            <v>35</v>
          </cell>
          <cell r="U570">
            <v>36</v>
          </cell>
          <cell r="V570">
            <v>38</v>
          </cell>
          <cell r="W570">
            <v>41</v>
          </cell>
          <cell r="X570">
            <v>41</v>
          </cell>
          <cell r="Y570">
            <v>35</v>
          </cell>
          <cell r="Z570">
            <v>35</v>
          </cell>
          <cell r="AA570">
            <v>36</v>
          </cell>
          <cell r="AB570">
            <v>38</v>
          </cell>
          <cell r="AC570">
            <v>41</v>
          </cell>
          <cell r="AD570">
            <v>41</v>
          </cell>
        </row>
        <row r="571">
          <cell r="C571" t="str">
            <v>부인리</v>
          </cell>
          <cell r="D571" t="str">
            <v>소계</v>
          </cell>
          <cell r="M571">
            <v>304</v>
          </cell>
          <cell r="N571">
            <v>305</v>
          </cell>
          <cell r="O571">
            <v>301</v>
          </cell>
          <cell r="P571">
            <v>298</v>
          </cell>
          <cell r="Q571">
            <v>303</v>
          </cell>
          <cell r="R571">
            <v>310</v>
          </cell>
          <cell r="S571">
            <v>44</v>
          </cell>
          <cell r="T571">
            <v>44</v>
          </cell>
          <cell r="U571">
            <v>241</v>
          </cell>
          <cell r="V571">
            <v>252</v>
          </cell>
          <cell r="W571">
            <v>272</v>
          </cell>
          <cell r="X571">
            <v>279</v>
          </cell>
          <cell r="Y571">
            <v>44</v>
          </cell>
          <cell r="Z571">
            <v>44</v>
          </cell>
          <cell r="AA571">
            <v>241</v>
          </cell>
          <cell r="AB571">
            <v>252</v>
          </cell>
          <cell r="AC571">
            <v>272</v>
          </cell>
          <cell r="AD571">
            <v>279</v>
          </cell>
        </row>
        <row r="572">
          <cell r="C572" t="str">
            <v>부인 1</v>
          </cell>
          <cell r="D572" t="str">
            <v>계</v>
          </cell>
          <cell r="M572">
            <v>58</v>
          </cell>
          <cell r="N572">
            <v>58</v>
          </cell>
          <cell r="O572">
            <v>58</v>
          </cell>
          <cell r="P572">
            <v>57</v>
          </cell>
          <cell r="Q572">
            <v>58</v>
          </cell>
          <cell r="R572">
            <v>59</v>
          </cell>
          <cell r="S572">
            <v>44</v>
          </cell>
          <cell r="T572">
            <v>44</v>
          </cell>
          <cell r="U572">
            <v>46</v>
          </cell>
          <cell r="V572">
            <v>48</v>
          </cell>
          <cell r="W572">
            <v>52</v>
          </cell>
          <cell r="X572">
            <v>53</v>
          </cell>
          <cell r="Y572">
            <v>44</v>
          </cell>
          <cell r="Z572">
            <v>44</v>
          </cell>
          <cell r="AA572">
            <v>46</v>
          </cell>
          <cell r="AB572">
            <v>48</v>
          </cell>
          <cell r="AC572">
            <v>52</v>
          </cell>
          <cell r="AD572">
            <v>53</v>
          </cell>
        </row>
        <row r="573">
          <cell r="D573" t="str">
            <v>틈장</v>
          </cell>
          <cell r="F573">
            <v>0</v>
          </cell>
          <cell r="H573">
            <v>0.75</v>
          </cell>
          <cell r="I573">
            <v>0.8</v>
          </cell>
          <cell r="J573">
            <v>0.85</v>
          </cell>
          <cell r="K573">
            <v>0.9</v>
          </cell>
          <cell r="L573">
            <v>0.9</v>
          </cell>
          <cell r="M573">
            <v>58</v>
          </cell>
          <cell r="N573">
            <v>58</v>
          </cell>
          <cell r="O573">
            <v>58</v>
          </cell>
          <cell r="P573">
            <v>57</v>
          </cell>
          <cell r="Q573">
            <v>58</v>
          </cell>
          <cell r="R573">
            <v>59</v>
          </cell>
          <cell r="S573">
            <v>44</v>
          </cell>
          <cell r="T573">
            <v>44</v>
          </cell>
          <cell r="U573">
            <v>46</v>
          </cell>
          <cell r="V573">
            <v>48</v>
          </cell>
          <cell r="W573">
            <v>52</v>
          </cell>
          <cell r="X573">
            <v>53</v>
          </cell>
          <cell r="Y573">
            <v>44</v>
          </cell>
          <cell r="Z573">
            <v>44</v>
          </cell>
          <cell r="AA573">
            <v>46</v>
          </cell>
          <cell r="AB573">
            <v>48</v>
          </cell>
          <cell r="AC573">
            <v>52</v>
          </cell>
          <cell r="AD573">
            <v>53</v>
          </cell>
        </row>
        <row r="574">
          <cell r="C574" t="str">
            <v>부인 2</v>
          </cell>
          <cell r="D574" t="str">
            <v>계</v>
          </cell>
          <cell r="M574">
            <v>168</v>
          </cell>
          <cell r="N574">
            <v>169</v>
          </cell>
          <cell r="O574">
            <v>166</v>
          </cell>
          <cell r="P574">
            <v>164</v>
          </cell>
          <cell r="Q574">
            <v>167</v>
          </cell>
          <cell r="R574">
            <v>171</v>
          </cell>
          <cell r="S574">
            <v>0</v>
          </cell>
          <cell r="T574">
            <v>0</v>
          </cell>
          <cell r="U574">
            <v>133</v>
          </cell>
          <cell r="V574">
            <v>139</v>
          </cell>
          <cell r="W574">
            <v>150</v>
          </cell>
          <cell r="X574">
            <v>154</v>
          </cell>
          <cell r="Y574">
            <v>0</v>
          </cell>
          <cell r="Z574">
            <v>0</v>
          </cell>
          <cell r="AA574">
            <v>133</v>
          </cell>
          <cell r="AB574">
            <v>139</v>
          </cell>
          <cell r="AC574">
            <v>150</v>
          </cell>
          <cell r="AD574">
            <v>154</v>
          </cell>
        </row>
        <row r="575">
          <cell r="D575" t="str">
            <v>지밭</v>
          </cell>
          <cell r="F575">
            <v>1</v>
          </cell>
          <cell r="H575">
            <v>0.75</v>
          </cell>
          <cell r="I575">
            <v>0.8</v>
          </cell>
          <cell r="J575">
            <v>0.85</v>
          </cell>
          <cell r="K575">
            <v>0.9</v>
          </cell>
          <cell r="L575">
            <v>0.9</v>
          </cell>
          <cell r="M575">
            <v>168</v>
          </cell>
          <cell r="N575">
            <v>169</v>
          </cell>
          <cell r="O575">
            <v>166</v>
          </cell>
          <cell r="P575">
            <v>164</v>
          </cell>
          <cell r="Q575">
            <v>167</v>
          </cell>
          <cell r="R575">
            <v>171</v>
          </cell>
          <cell r="S575">
            <v>0</v>
          </cell>
          <cell r="T575">
            <v>0</v>
          </cell>
          <cell r="U575">
            <v>133</v>
          </cell>
          <cell r="V575">
            <v>139</v>
          </cell>
          <cell r="W575">
            <v>150</v>
          </cell>
          <cell r="X575">
            <v>154</v>
          </cell>
          <cell r="Y575">
            <v>0</v>
          </cell>
          <cell r="Z575">
            <v>0</v>
          </cell>
          <cell r="AA575">
            <v>133</v>
          </cell>
          <cell r="AB575">
            <v>139</v>
          </cell>
          <cell r="AC575">
            <v>150</v>
          </cell>
          <cell r="AD575">
            <v>154</v>
          </cell>
        </row>
        <row r="576">
          <cell r="C576" t="str">
            <v>부인 3</v>
          </cell>
          <cell r="D576" t="str">
            <v>계</v>
          </cell>
          <cell r="M576">
            <v>78</v>
          </cell>
          <cell r="N576">
            <v>78</v>
          </cell>
          <cell r="O576">
            <v>77</v>
          </cell>
          <cell r="P576">
            <v>77</v>
          </cell>
          <cell r="Q576">
            <v>78</v>
          </cell>
          <cell r="R576">
            <v>80</v>
          </cell>
          <cell r="S576">
            <v>0</v>
          </cell>
          <cell r="T576">
            <v>0</v>
          </cell>
          <cell r="U576">
            <v>62</v>
          </cell>
          <cell r="V576">
            <v>65</v>
          </cell>
          <cell r="W576">
            <v>70</v>
          </cell>
          <cell r="X576">
            <v>72</v>
          </cell>
          <cell r="Y576">
            <v>0</v>
          </cell>
          <cell r="Z576">
            <v>0</v>
          </cell>
          <cell r="AA576">
            <v>62</v>
          </cell>
          <cell r="AB576">
            <v>65</v>
          </cell>
          <cell r="AC576">
            <v>70</v>
          </cell>
          <cell r="AD576">
            <v>72</v>
          </cell>
        </row>
        <row r="577">
          <cell r="D577" t="str">
            <v>새터</v>
          </cell>
          <cell r="F577">
            <v>1</v>
          </cell>
          <cell r="H577">
            <v>0.75</v>
          </cell>
          <cell r="I577">
            <v>0.8</v>
          </cell>
          <cell r="J577">
            <v>0.85</v>
          </cell>
          <cell r="K577">
            <v>0.9</v>
          </cell>
          <cell r="L577">
            <v>0.9</v>
          </cell>
          <cell r="M577">
            <v>78</v>
          </cell>
          <cell r="N577">
            <v>78</v>
          </cell>
          <cell r="O577">
            <v>77</v>
          </cell>
          <cell r="P577">
            <v>77</v>
          </cell>
          <cell r="Q577">
            <v>78</v>
          </cell>
          <cell r="R577">
            <v>80</v>
          </cell>
          <cell r="S577">
            <v>0</v>
          </cell>
          <cell r="T577">
            <v>0</v>
          </cell>
          <cell r="U577">
            <v>62</v>
          </cell>
          <cell r="V577">
            <v>65</v>
          </cell>
          <cell r="W577">
            <v>70</v>
          </cell>
          <cell r="X577">
            <v>72</v>
          </cell>
          <cell r="Y577">
            <v>0</v>
          </cell>
          <cell r="Z577">
            <v>0</v>
          </cell>
          <cell r="AA577">
            <v>62</v>
          </cell>
          <cell r="AB577">
            <v>65</v>
          </cell>
          <cell r="AC577">
            <v>70</v>
          </cell>
          <cell r="AD577">
            <v>72</v>
          </cell>
        </row>
        <row r="578">
          <cell r="M578">
            <v>7175</v>
          </cell>
          <cell r="N578">
            <v>7186</v>
          </cell>
          <cell r="O578">
            <v>7075</v>
          </cell>
          <cell r="P578">
            <v>6999</v>
          </cell>
          <cell r="Q578">
            <v>7170</v>
          </cell>
          <cell r="R578">
            <v>7300</v>
          </cell>
          <cell r="S578">
            <v>2237</v>
          </cell>
          <cell r="T578">
            <v>2241</v>
          </cell>
          <cell r="U578">
            <v>3884</v>
          </cell>
          <cell r="V578">
            <v>5938</v>
          </cell>
          <cell r="W578">
            <v>6442</v>
          </cell>
          <cell r="X578">
            <v>6561</v>
          </cell>
          <cell r="Y578">
            <v>2754</v>
          </cell>
          <cell r="Z578">
            <v>2758</v>
          </cell>
          <cell r="AA578">
            <v>3884</v>
          </cell>
          <cell r="AB578">
            <v>5938</v>
          </cell>
          <cell r="AC578">
            <v>6442</v>
          </cell>
          <cell r="AD578">
            <v>6561</v>
          </cell>
        </row>
        <row r="579">
          <cell r="C579" t="str">
            <v>화악리</v>
          </cell>
          <cell r="D579" t="str">
            <v>소계</v>
          </cell>
          <cell r="E579">
            <v>106478</v>
          </cell>
          <cell r="M579">
            <v>285</v>
          </cell>
          <cell r="N579">
            <v>286</v>
          </cell>
          <cell r="O579">
            <v>281</v>
          </cell>
          <cell r="P579">
            <v>278</v>
          </cell>
          <cell r="Q579">
            <v>285</v>
          </cell>
          <cell r="R579">
            <v>290</v>
          </cell>
          <cell r="S579">
            <v>0</v>
          </cell>
          <cell r="T579">
            <v>0</v>
          </cell>
          <cell r="U579">
            <v>0</v>
          </cell>
          <cell r="V579">
            <v>224</v>
          </cell>
          <cell r="W579">
            <v>244</v>
          </cell>
          <cell r="X579">
            <v>246</v>
          </cell>
          <cell r="Y579">
            <v>0</v>
          </cell>
          <cell r="Z579">
            <v>0</v>
          </cell>
          <cell r="AA579">
            <v>0</v>
          </cell>
          <cell r="AB579">
            <v>224</v>
          </cell>
          <cell r="AC579">
            <v>244</v>
          </cell>
          <cell r="AD579">
            <v>246</v>
          </cell>
        </row>
        <row r="580">
          <cell r="D580" t="str">
            <v>봉무정</v>
          </cell>
          <cell r="E580">
            <v>24337</v>
          </cell>
          <cell r="F580">
            <v>2</v>
          </cell>
          <cell r="H580">
            <v>0.75</v>
          </cell>
          <cell r="I580">
            <v>0.8</v>
          </cell>
          <cell r="J580">
            <v>0.85</v>
          </cell>
          <cell r="K580">
            <v>0.9</v>
          </cell>
          <cell r="L580">
            <v>0.9</v>
          </cell>
          <cell r="M580">
            <v>65</v>
          </cell>
          <cell r="N580">
            <v>65</v>
          </cell>
          <cell r="O580">
            <v>64</v>
          </cell>
          <cell r="P580">
            <v>64</v>
          </cell>
          <cell r="Q580">
            <v>65</v>
          </cell>
          <cell r="R580">
            <v>66</v>
          </cell>
          <cell r="S580">
            <v>0</v>
          </cell>
          <cell r="T580">
            <v>0</v>
          </cell>
          <cell r="U580">
            <v>0</v>
          </cell>
          <cell r="V580">
            <v>54</v>
          </cell>
          <cell r="W580">
            <v>59</v>
          </cell>
          <cell r="X580">
            <v>59</v>
          </cell>
          <cell r="Y580">
            <v>0</v>
          </cell>
          <cell r="Z580">
            <v>0</v>
          </cell>
          <cell r="AA580">
            <v>0</v>
          </cell>
          <cell r="AB580">
            <v>54</v>
          </cell>
          <cell r="AC580">
            <v>59</v>
          </cell>
          <cell r="AD580">
            <v>59</v>
          </cell>
        </row>
        <row r="581">
          <cell r="D581" t="str">
            <v>석촌</v>
          </cell>
          <cell r="E581">
            <v>52310</v>
          </cell>
          <cell r="F581">
            <v>2</v>
          </cell>
          <cell r="H581">
            <v>0.75</v>
          </cell>
          <cell r="I581">
            <v>0.8</v>
          </cell>
          <cell r="J581">
            <v>0.85</v>
          </cell>
          <cell r="K581">
            <v>0.9</v>
          </cell>
          <cell r="L581">
            <v>0.9</v>
          </cell>
          <cell r="M581">
            <v>140</v>
          </cell>
          <cell r="N581">
            <v>141</v>
          </cell>
          <cell r="O581">
            <v>138</v>
          </cell>
          <cell r="P581">
            <v>137</v>
          </cell>
          <cell r="Q581">
            <v>140</v>
          </cell>
          <cell r="R581">
            <v>142</v>
          </cell>
          <cell r="S581">
            <v>0</v>
          </cell>
          <cell r="T581">
            <v>0</v>
          </cell>
          <cell r="U581">
            <v>0</v>
          </cell>
          <cell r="V581">
            <v>116</v>
          </cell>
          <cell r="W581">
            <v>126</v>
          </cell>
          <cell r="X581">
            <v>128</v>
          </cell>
          <cell r="Y581">
            <v>0</v>
          </cell>
          <cell r="Z581">
            <v>0</v>
          </cell>
          <cell r="AA581">
            <v>0</v>
          </cell>
          <cell r="AB581">
            <v>116</v>
          </cell>
          <cell r="AC581">
            <v>126</v>
          </cell>
          <cell r="AD581">
            <v>128</v>
          </cell>
        </row>
        <row r="582">
          <cell r="D582" t="str">
            <v>광석</v>
          </cell>
          <cell r="E582">
            <v>24404</v>
          </cell>
          <cell r="F582">
            <v>2</v>
          </cell>
          <cell r="H582">
            <v>0.75</v>
          </cell>
          <cell r="I582">
            <v>0.8</v>
          </cell>
          <cell r="J582">
            <v>0.85</v>
          </cell>
          <cell r="K582">
            <v>0.9</v>
          </cell>
          <cell r="L582">
            <v>0.9</v>
          </cell>
          <cell r="M582">
            <v>65</v>
          </cell>
          <cell r="N582">
            <v>66</v>
          </cell>
          <cell r="O582">
            <v>64</v>
          </cell>
          <cell r="P582">
            <v>64</v>
          </cell>
          <cell r="Q582">
            <v>65</v>
          </cell>
          <cell r="R582">
            <v>66</v>
          </cell>
          <cell r="S582">
            <v>0</v>
          </cell>
          <cell r="T582">
            <v>0</v>
          </cell>
          <cell r="U582">
            <v>0</v>
          </cell>
          <cell r="V582">
            <v>54</v>
          </cell>
          <cell r="W582">
            <v>59</v>
          </cell>
          <cell r="X582">
            <v>59</v>
          </cell>
          <cell r="Y582">
            <v>0</v>
          </cell>
          <cell r="Z582">
            <v>0</v>
          </cell>
          <cell r="AA582">
            <v>0</v>
          </cell>
          <cell r="AB582">
            <v>54</v>
          </cell>
          <cell r="AC582">
            <v>59</v>
          </cell>
          <cell r="AD582">
            <v>59</v>
          </cell>
        </row>
        <row r="583">
          <cell r="D583" t="str">
            <v>셈골</v>
          </cell>
          <cell r="E583">
            <v>5427</v>
          </cell>
          <cell r="F583">
            <v>6</v>
          </cell>
          <cell r="H583">
            <v>0.75</v>
          </cell>
          <cell r="I583">
            <v>0.8</v>
          </cell>
          <cell r="J583">
            <v>0.85</v>
          </cell>
          <cell r="K583">
            <v>0.9</v>
          </cell>
          <cell r="L583">
            <v>0.9</v>
          </cell>
          <cell r="M583">
            <v>15</v>
          </cell>
          <cell r="N583">
            <v>14</v>
          </cell>
          <cell r="O583">
            <v>15</v>
          </cell>
          <cell r="P583">
            <v>13</v>
          </cell>
          <cell r="Q583">
            <v>15</v>
          </cell>
          <cell r="R583">
            <v>16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</row>
        <row r="584">
          <cell r="C584" t="str">
            <v>천호리</v>
          </cell>
          <cell r="D584" t="str">
            <v>소계</v>
          </cell>
          <cell r="E584">
            <v>75755</v>
          </cell>
          <cell r="M584">
            <v>162</v>
          </cell>
          <cell r="N584">
            <v>162</v>
          </cell>
          <cell r="O584">
            <v>160</v>
          </cell>
          <cell r="P584">
            <v>158</v>
          </cell>
          <cell r="Q584">
            <v>162</v>
          </cell>
          <cell r="R584">
            <v>165</v>
          </cell>
          <cell r="S584">
            <v>0</v>
          </cell>
          <cell r="T584">
            <v>0</v>
          </cell>
          <cell r="U584">
            <v>0</v>
          </cell>
          <cell r="V584">
            <v>135</v>
          </cell>
          <cell r="W584">
            <v>146</v>
          </cell>
          <cell r="X584">
            <v>149</v>
          </cell>
          <cell r="Y584">
            <v>0</v>
          </cell>
          <cell r="Z584">
            <v>0</v>
          </cell>
          <cell r="AA584">
            <v>0</v>
          </cell>
          <cell r="AB584">
            <v>135</v>
          </cell>
          <cell r="AC584">
            <v>146</v>
          </cell>
          <cell r="AD584">
            <v>149</v>
          </cell>
        </row>
        <row r="585">
          <cell r="D585" t="str">
            <v>상송</v>
          </cell>
          <cell r="E585">
            <v>38971</v>
          </cell>
          <cell r="F585">
            <v>2</v>
          </cell>
          <cell r="H585">
            <v>0.75</v>
          </cell>
          <cell r="I585">
            <v>0.8</v>
          </cell>
          <cell r="J585">
            <v>0.85</v>
          </cell>
          <cell r="K585">
            <v>0.9</v>
          </cell>
          <cell r="L585">
            <v>0.9</v>
          </cell>
          <cell r="M585">
            <v>83</v>
          </cell>
          <cell r="N585">
            <v>83</v>
          </cell>
          <cell r="O585">
            <v>82</v>
          </cell>
          <cell r="P585">
            <v>81</v>
          </cell>
          <cell r="Q585">
            <v>83</v>
          </cell>
          <cell r="R585">
            <v>85</v>
          </cell>
          <cell r="S585">
            <v>0</v>
          </cell>
          <cell r="T585">
            <v>0</v>
          </cell>
          <cell r="U585">
            <v>0</v>
          </cell>
          <cell r="V585">
            <v>69</v>
          </cell>
          <cell r="W585">
            <v>75</v>
          </cell>
          <cell r="X585">
            <v>77</v>
          </cell>
          <cell r="Y585">
            <v>0</v>
          </cell>
          <cell r="Z585">
            <v>0</v>
          </cell>
          <cell r="AA585">
            <v>0</v>
          </cell>
          <cell r="AB585">
            <v>69</v>
          </cell>
          <cell r="AC585">
            <v>75</v>
          </cell>
          <cell r="AD585">
            <v>77</v>
          </cell>
        </row>
        <row r="586">
          <cell r="D586" t="str">
            <v>개태</v>
          </cell>
          <cell r="E586">
            <v>22819</v>
          </cell>
          <cell r="F586">
            <v>2</v>
          </cell>
          <cell r="H586">
            <v>0.75</v>
          </cell>
          <cell r="I586">
            <v>0.8</v>
          </cell>
          <cell r="J586">
            <v>0.85</v>
          </cell>
          <cell r="K586">
            <v>0.9</v>
          </cell>
          <cell r="L586">
            <v>0.9</v>
          </cell>
          <cell r="M586">
            <v>49</v>
          </cell>
          <cell r="N586">
            <v>49</v>
          </cell>
          <cell r="O586">
            <v>48</v>
          </cell>
          <cell r="P586">
            <v>48</v>
          </cell>
          <cell r="Q586">
            <v>49</v>
          </cell>
          <cell r="R586">
            <v>50</v>
          </cell>
          <cell r="S586">
            <v>0</v>
          </cell>
          <cell r="T586">
            <v>0</v>
          </cell>
          <cell r="U586">
            <v>0</v>
          </cell>
          <cell r="V586">
            <v>41</v>
          </cell>
          <cell r="W586">
            <v>44</v>
          </cell>
          <cell r="X586">
            <v>45</v>
          </cell>
          <cell r="Y586">
            <v>0</v>
          </cell>
          <cell r="Z586">
            <v>0</v>
          </cell>
          <cell r="AA586">
            <v>0</v>
          </cell>
          <cell r="AB586">
            <v>41</v>
          </cell>
          <cell r="AC586">
            <v>44</v>
          </cell>
          <cell r="AD586">
            <v>45</v>
          </cell>
        </row>
        <row r="587">
          <cell r="D587" t="str">
            <v>절터</v>
          </cell>
          <cell r="E587">
            <v>13965</v>
          </cell>
          <cell r="F587">
            <v>2</v>
          </cell>
          <cell r="H587">
            <v>0.75</v>
          </cell>
          <cell r="I587">
            <v>0.8</v>
          </cell>
          <cell r="J587">
            <v>0.85</v>
          </cell>
          <cell r="K587">
            <v>0.9</v>
          </cell>
          <cell r="L587">
            <v>0.9</v>
          </cell>
          <cell r="M587">
            <v>30</v>
          </cell>
          <cell r="N587">
            <v>30</v>
          </cell>
          <cell r="O587">
            <v>30</v>
          </cell>
          <cell r="P587">
            <v>29</v>
          </cell>
          <cell r="Q587">
            <v>30</v>
          </cell>
          <cell r="R587">
            <v>30</v>
          </cell>
          <cell r="S587">
            <v>0</v>
          </cell>
          <cell r="T587">
            <v>0</v>
          </cell>
          <cell r="U587">
            <v>0</v>
          </cell>
          <cell r="V587">
            <v>25</v>
          </cell>
          <cell r="W587">
            <v>27</v>
          </cell>
          <cell r="X587">
            <v>27</v>
          </cell>
          <cell r="Y587">
            <v>0</v>
          </cell>
          <cell r="Z587">
            <v>0</v>
          </cell>
          <cell r="AA587">
            <v>0</v>
          </cell>
          <cell r="AB587">
            <v>25</v>
          </cell>
          <cell r="AC587">
            <v>27</v>
          </cell>
          <cell r="AD587">
            <v>27</v>
          </cell>
        </row>
        <row r="588">
          <cell r="C588" t="str">
            <v>송정리</v>
          </cell>
          <cell r="D588" t="str">
            <v>소계</v>
          </cell>
          <cell r="M588">
            <v>431</v>
          </cell>
          <cell r="N588">
            <v>431</v>
          </cell>
          <cell r="O588">
            <v>425</v>
          </cell>
          <cell r="P588">
            <v>421</v>
          </cell>
          <cell r="Q588">
            <v>431</v>
          </cell>
          <cell r="R588">
            <v>439</v>
          </cell>
          <cell r="S588">
            <v>0</v>
          </cell>
          <cell r="T588">
            <v>0</v>
          </cell>
          <cell r="U588">
            <v>0</v>
          </cell>
          <cell r="V588">
            <v>358</v>
          </cell>
          <cell r="W588">
            <v>387</v>
          </cell>
          <cell r="X588">
            <v>395</v>
          </cell>
          <cell r="Y588">
            <v>0</v>
          </cell>
          <cell r="Z588">
            <v>0</v>
          </cell>
          <cell r="AA588">
            <v>0</v>
          </cell>
          <cell r="AB588">
            <v>358</v>
          </cell>
          <cell r="AC588">
            <v>387</v>
          </cell>
          <cell r="AD588">
            <v>395</v>
          </cell>
        </row>
        <row r="589">
          <cell r="C589" t="str">
            <v>송정 1</v>
          </cell>
          <cell r="D589" t="str">
            <v>계</v>
          </cell>
          <cell r="E589">
            <v>102490</v>
          </cell>
          <cell r="M589">
            <v>214</v>
          </cell>
          <cell r="N589">
            <v>214</v>
          </cell>
          <cell r="O589">
            <v>211</v>
          </cell>
          <cell r="P589">
            <v>209</v>
          </cell>
          <cell r="Q589">
            <v>214</v>
          </cell>
          <cell r="R589">
            <v>218</v>
          </cell>
          <cell r="S589">
            <v>0</v>
          </cell>
          <cell r="T589">
            <v>0</v>
          </cell>
          <cell r="U589">
            <v>0</v>
          </cell>
          <cell r="V589">
            <v>178</v>
          </cell>
          <cell r="W589">
            <v>192</v>
          </cell>
          <cell r="X589">
            <v>196</v>
          </cell>
          <cell r="Y589">
            <v>0</v>
          </cell>
          <cell r="Z589">
            <v>0</v>
          </cell>
          <cell r="AA589">
            <v>0</v>
          </cell>
          <cell r="AB589">
            <v>178</v>
          </cell>
          <cell r="AC589">
            <v>192</v>
          </cell>
          <cell r="AD589">
            <v>196</v>
          </cell>
        </row>
        <row r="590">
          <cell r="D590" t="str">
            <v>하송</v>
          </cell>
          <cell r="E590">
            <v>53005</v>
          </cell>
          <cell r="F590">
            <v>2</v>
          </cell>
          <cell r="H590">
            <v>0.75</v>
          </cell>
          <cell r="I590">
            <v>0.8</v>
          </cell>
          <cell r="J590">
            <v>0.85</v>
          </cell>
          <cell r="K590">
            <v>0.9</v>
          </cell>
          <cell r="L590">
            <v>0.9</v>
          </cell>
          <cell r="M590">
            <v>111</v>
          </cell>
          <cell r="N590">
            <v>111</v>
          </cell>
          <cell r="O590">
            <v>109</v>
          </cell>
          <cell r="P590">
            <v>108</v>
          </cell>
          <cell r="Q590">
            <v>111</v>
          </cell>
          <cell r="R590">
            <v>113</v>
          </cell>
          <cell r="S590">
            <v>0</v>
          </cell>
          <cell r="T590">
            <v>0</v>
          </cell>
          <cell r="U590">
            <v>0</v>
          </cell>
          <cell r="V590">
            <v>92</v>
          </cell>
          <cell r="W590">
            <v>100</v>
          </cell>
          <cell r="X590">
            <v>102</v>
          </cell>
          <cell r="Y590">
            <v>0</v>
          </cell>
          <cell r="Z590">
            <v>0</v>
          </cell>
          <cell r="AA590">
            <v>0</v>
          </cell>
          <cell r="AB590">
            <v>92</v>
          </cell>
          <cell r="AC590">
            <v>100</v>
          </cell>
          <cell r="AD590">
            <v>102</v>
          </cell>
        </row>
        <row r="591">
          <cell r="D591" t="str">
            <v>북계</v>
          </cell>
          <cell r="E591">
            <v>36814</v>
          </cell>
          <cell r="F591">
            <v>2</v>
          </cell>
          <cell r="H591">
            <v>0.75</v>
          </cell>
          <cell r="I591">
            <v>0.8</v>
          </cell>
          <cell r="J591">
            <v>0.85</v>
          </cell>
          <cell r="K591">
            <v>0.9</v>
          </cell>
          <cell r="L591">
            <v>0.9</v>
          </cell>
          <cell r="M591">
            <v>77</v>
          </cell>
          <cell r="N591">
            <v>77</v>
          </cell>
          <cell r="O591">
            <v>76</v>
          </cell>
          <cell r="P591">
            <v>75</v>
          </cell>
          <cell r="Q591">
            <v>77</v>
          </cell>
          <cell r="R591">
            <v>78</v>
          </cell>
          <cell r="S591">
            <v>0</v>
          </cell>
          <cell r="T591">
            <v>0</v>
          </cell>
          <cell r="U591">
            <v>0</v>
          </cell>
          <cell r="V591">
            <v>64</v>
          </cell>
          <cell r="W591">
            <v>69</v>
          </cell>
          <cell r="X591">
            <v>70</v>
          </cell>
          <cell r="Y591">
            <v>0</v>
          </cell>
          <cell r="Z591">
            <v>0</v>
          </cell>
          <cell r="AA591">
            <v>0</v>
          </cell>
          <cell r="AB591">
            <v>64</v>
          </cell>
          <cell r="AC591">
            <v>69</v>
          </cell>
          <cell r="AD591">
            <v>70</v>
          </cell>
        </row>
        <row r="592">
          <cell r="D592" t="str">
            <v>범골</v>
          </cell>
          <cell r="E592">
            <v>12671</v>
          </cell>
          <cell r="F592">
            <v>2</v>
          </cell>
          <cell r="H592">
            <v>0.75</v>
          </cell>
          <cell r="I592">
            <v>0.8</v>
          </cell>
          <cell r="J592">
            <v>0.85</v>
          </cell>
          <cell r="K592">
            <v>0.9</v>
          </cell>
          <cell r="L592">
            <v>0.9</v>
          </cell>
          <cell r="M592">
            <v>26</v>
          </cell>
          <cell r="N592">
            <v>26</v>
          </cell>
          <cell r="O592">
            <v>26</v>
          </cell>
          <cell r="P592">
            <v>26</v>
          </cell>
          <cell r="Q592">
            <v>26</v>
          </cell>
          <cell r="R592">
            <v>27</v>
          </cell>
          <cell r="S592">
            <v>0</v>
          </cell>
          <cell r="T592">
            <v>0</v>
          </cell>
          <cell r="U592">
            <v>0</v>
          </cell>
          <cell r="V592">
            <v>22</v>
          </cell>
          <cell r="W592">
            <v>23</v>
          </cell>
          <cell r="X592">
            <v>24</v>
          </cell>
          <cell r="Y592">
            <v>0</v>
          </cell>
          <cell r="Z592">
            <v>0</v>
          </cell>
          <cell r="AA592">
            <v>0</v>
          </cell>
          <cell r="AB592">
            <v>22</v>
          </cell>
          <cell r="AC592">
            <v>23</v>
          </cell>
          <cell r="AD592">
            <v>24</v>
          </cell>
        </row>
        <row r="593">
          <cell r="C593" t="str">
            <v>송정 2</v>
          </cell>
          <cell r="D593" t="str">
            <v>계</v>
          </cell>
          <cell r="E593">
            <v>101538</v>
          </cell>
          <cell r="M593">
            <v>217</v>
          </cell>
          <cell r="N593">
            <v>217</v>
          </cell>
          <cell r="O593">
            <v>214</v>
          </cell>
          <cell r="P593">
            <v>212</v>
          </cell>
          <cell r="Q593">
            <v>217</v>
          </cell>
          <cell r="R593">
            <v>221</v>
          </cell>
          <cell r="S593">
            <v>0</v>
          </cell>
          <cell r="T593">
            <v>0</v>
          </cell>
          <cell r="U593">
            <v>0</v>
          </cell>
          <cell r="V593">
            <v>180</v>
          </cell>
          <cell r="W593">
            <v>195</v>
          </cell>
          <cell r="X593">
            <v>199</v>
          </cell>
          <cell r="Y593">
            <v>0</v>
          </cell>
          <cell r="Z593">
            <v>0</v>
          </cell>
          <cell r="AA593">
            <v>0</v>
          </cell>
          <cell r="AB593">
            <v>180</v>
          </cell>
          <cell r="AC593">
            <v>195</v>
          </cell>
          <cell r="AD593">
            <v>199</v>
          </cell>
        </row>
        <row r="594">
          <cell r="D594" t="str">
            <v>대만원</v>
          </cell>
          <cell r="E594">
            <v>20252</v>
          </cell>
          <cell r="F594">
            <v>2</v>
          </cell>
          <cell r="H594">
            <v>0.75</v>
          </cell>
          <cell r="I594">
            <v>0.8</v>
          </cell>
          <cell r="J594">
            <v>0.85</v>
          </cell>
          <cell r="K594">
            <v>0.9</v>
          </cell>
          <cell r="L594">
            <v>0.9</v>
          </cell>
          <cell r="M594">
            <v>43</v>
          </cell>
          <cell r="N594">
            <v>43</v>
          </cell>
          <cell r="O594">
            <v>43</v>
          </cell>
          <cell r="P594">
            <v>42</v>
          </cell>
          <cell r="Q594">
            <v>43</v>
          </cell>
          <cell r="R594">
            <v>44</v>
          </cell>
          <cell r="S594">
            <v>0</v>
          </cell>
          <cell r="T594">
            <v>0</v>
          </cell>
          <cell r="U594">
            <v>0</v>
          </cell>
          <cell r="V594">
            <v>36</v>
          </cell>
          <cell r="W594">
            <v>39</v>
          </cell>
          <cell r="X594">
            <v>40</v>
          </cell>
          <cell r="Y594">
            <v>0</v>
          </cell>
          <cell r="Z594">
            <v>0</v>
          </cell>
          <cell r="AA594">
            <v>0</v>
          </cell>
          <cell r="AB594">
            <v>36</v>
          </cell>
          <cell r="AC594">
            <v>39</v>
          </cell>
          <cell r="AD594">
            <v>40</v>
          </cell>
        </row>
        <row r="595">
          <cell r="D595" t="str">
            <v>한림장</v>
          </cell>
          <cell r="E595">
            <v>40823</v>
          </cell>
          <cell r="F595">
            <v>2</v>
          </cell>
          <cell r="H595">
            <v>0.75</v>
          </cell>
          <cell r="I595">
            <v>0.8</v>
          </cell>
          <cell r="J595">
            <v>0.85</v>
          </cell>
          <cell r="K595">
            <v>0.9</v>
          </cell>
          <cell r="L595">
            <v>0.9</v>
          </cell>
          <cell r="M595">
            <v>87</v>
          </cell>
          <cell r="N595">
            <v>87</v>
          </cell>
          <cell r="O595">
            <v>86</v>
          </cell>
          <cell r="P595">
            <v>85</v>
          </cell>
          <cell r="Q595">
            <v>87</v>
          </cell>
          <cell r="R595">
            <v>89</v>
          </cell>
          <cell r="S595">
            <v>0</v>
          </cell>
          <cell r="T595">
            <v>0</v>
          </cell>
          <cell r="U595">
            <v>0</v>
          </cell>
          <cell r="V595">
            <v>72</v>
          </cell>
          <cell r="W595">
            <v>78</v>
          </cell>
          <cell r="X595">
            <v>80</v>
          </cell>
          <cell r="Y595">
            <v>0</v>
          </cell>
          <cell r="Z595">
            <v>0</v>
          </cell>
          <cell r="AA595">
            <v>0</v>
          </cell>
          <cell r="AB595">
            <v>72</v>
          </cell>
          <cell r="AC595">
            <v>78</v>
          </cell>
          <cell r="AD595">
            <v>80</v>
          </cell>
        </row>
        <row r="596">
          <cell r="D596" t="str">
            <v>한학</v>
          </cell>
          <cell r="E596">
            <v>40463</v>
          </cell>
          <cell r="F596">
            <v>2</v>
          </cell>
          <cell r="H596">
            <v>0.75</v>
          </cell>
          <cell r="I596">
            <v>0.8</v>
          </cell>
          <cell r="J596">
            <v>0.85</v>
          </cell>
          <cell r="K596">
            <v>0.9</v>
          </cell>
          <cell r="L596">
            <v>0.9</v>
          </cell>
          <cell r="M596">
            <v>87</v>
          </cell>
          <cell r="N596">
            <v>87</v>
          </cell>
          <cell r="O596">
            <v>85</v>
          </cell>
          <cell r="P596">
            <v>85</v>
          </cell>
          <cell r="Q596">
            <v>87</v>
          </cell>
          <cell r="R596">
            <v>88</v>
          </cell>
          <cell r="S596">
            <v>0</v>
          </cell>
          <cell r="T596">
            <v>0</v>
          </cell>
          <cell r="U596">
            <v>0</v>
          </cell>
          <cell r="V596">
            <v>72</v>
          </cell>
          <cell r="W596">
            <v>78</v>
          </cell>
          <cell r="X596">
            <v>79</v>
          </cell>
          <cell r="Y596">
            <v>0</v>
          </cell>
          <cell r="Z596">
            <v>0</v>
          </cell>
          <cell r="AA596">
            <v>0</v>
          </cell>
          <cell r="AB596">
            <v>72</v>
          </cell>
          <cell r="AC596">
            <v>78</v>
          </cell>
          <cell r="AD596">
            <v>79</v>
          </cell>
        </row>
        <row r="597">
          <cell r="C597" t="str">
            <v>신암리</v>
          </cell>
          <cell r="D597" t="str">
            <v>소계</v>
          </cell>
          <cell r="E597">
            <v>69092</v>
          </cell>
          <cell r="M597">
            <v>292</v>
          </cell>
          <cell r="N597">
            <v>292</v>
          </cell>
          <cell r="O597">
            <v>288</v>
          </cell>
          <cell r="P597">
            <v>285</v>
          </cell>
          <cell r="Q597">
            <v>291</v>
          </cell>
          <cell r="R597">
            <v>297</v>
          </cell>
          <cell r="S597">
            <v>0</v>
          </cell>
          <cell r="T597">
            <v>0</v>
          </cell>
          <cell r="U597">
            <v>231</v>
          </cell>
          <cell r="V597">
            <v>242</v>
          </cell>
          <cell r="W597">
            <v>262</v>
          </cell>
          <cell r="X597">
            <v>268</v>
          </cell>
          <cell r="Y597">
            <v>158</v>
          </cell>
          <cell r="Z597">
            <v>158</v>
          </cell>
          <cell r="AA597">
            <v>231</v>
          </cell>
          <cell r="AB597">
            <v>242</v>
          </cell>
          <cell r="AC597">
            <v>262</v>
          </cell>
          <cell r="AD597">
            <v>268</v>
          </cell>
        </row>
        <row r="598">
          <cell r="D598" t="str">
            <v>신암</v>
          </cell>
          <cell r="E598">
            <v>49625</v>
          </cell>
          <cell r="F598">
            <v>5</v>
          </cell>
          <cell r="H598">
            <v>0.75</v>
          </cell>
          <cell r="I598">
            <v>0.8</v>
          </cell>
          <cell r="J598">
            <v>0.85</v>
          </cell>
          <cell r="K598">
            <v>0.9</v>
          </cell>
          <cell r="L598">
            <v>0.9</v>
          </cell>
          <cell r="M598">
            <v>210</v>
          </cell>
          <cell r="N598">
            <v>210</v>
          </cell>
          <cell r="O598">
            <v>207</v>
          </cell>
          <cell r="P598">
            <v>205</v>
          </cell>
          <cell r="Q598">
            <v>209</v>
          </cell>
          <cell r="R598">
            <v>213</v>
          </cell>
          <cell r="S598">
            <v>0</v>
          </cell>
          <cell r="T598">
            <v>0</v>
          </cell>
          <cell r="U598">
            <v>166</v>
          </cell>
          <cell r="V598">
            <v>174</v>
          </cell>
          <cell r="W598">
            <v>188</v>
          </cell>
          <cell r="X598">
            <v>192</v>
          </cell>
          <cell r="Y598">
            <v>158</v>
          </cell>
          <cell r="Z598">
            <v>158</v>
          </cell>
          <cell r="AA598">
            <v>166</v>
          </cell>
          <cell r="AB598">
            <v>174</v>
          </cell>
          <cell r="AC598">
            <v>188</v>
          </cell>
          <cell r="AD598">
            <v>192</v>
          </cell>
        </row>
        <row r="599">
          <cell r="D599" t="str">
            <v>황령</v>
          </cell>
          <cell r="E599">
            <v>19467</v>
          </cell>
          <cell r="F599">
            <v>1</v>
          </cell>
          <cell r="H599">
            <v>0.75</v>
          </cell>
          <cell r="I599">
            <v>0.8</v>
          </cell>
          <cell r="J599">
            <v>0.85</v>
          </cell>
          <cell r="K599">
            <v>0.9</v>
          </cell>
          <cell r="L599">
            <v>0.9</v>
          </cell>
          <cell r="M599">
            <v>82</v>
          </cell>
          <cell r="N599">
            <v>82</v>
          </cell>
          <cell r="O599">
            <v>81</v>
          </cell>
          <cell r="P599">
            <v>80</v>
          </cell>
          <cell r="Q599">
            <v>82</v>
          </cell>
          <cell r="R599">
            <v>84</v>
          </cell>
          <cell r="S599">
            <v>0</v>
          </cell>
          <cell r="T599">
            <v>0</v>
          </cell>
          <cell r="U599">
            <v>65</v>
          </cell>
          <cell r="V599">
            <v>68</v>
          </cell>
          <cell r="W599">
            <v>74</v>
          </cell>
          <cell r="X599">
            <v>76</v>
          </cell>
          <cell r="Y599">
            <v>0</v>
          </cell>
          <cell r="Z599">
            <v>0</v>
          </cell>
          <cell r="AA599">
            <v>65</v>
          </cell>
          <cell r="AB599">
            <v>68</v>
          </cell>
          <cell r="AC599">
            <v>74</v>
          </cell>
          <cell r="AD599">
            <v>76</v>
          </cell>
        </row>
        <row r="600">
          <cell r="C600" t="str">
            <v>연산리</v>
          </cell>
          <cell r="D600" t="str">
            <v>소계</v>
          </cell>
          <cell r="M600">
            <v>1123</v>
          </cell>
          <cell r="N600">
            <v>1124</v>
          </cell>
          <cell r="O600">
            <v>1107</v>
          </cell>
          <cell r="P600">
            <v>1095</v>
          </cell>
          <cell r="Q600">
            <v>1123</v>
          </cell>
          <cell r="R600">
            <v>1142</v>
          </cell>
          <cell r="S600">
            <v>843</v>
          </cell>
          <cell r="T600">
            <v>844</v>
          </cell>
          <cell r="U600">
            <v>886</v>
          </cell>
          <cell r="V600">
            <v>931</v>
          </cell>
          <cell r="W600">
            <v>1012</v>
          </cell>
          <cell r="X600">
            <v>1028</v>
          </cell>
          <cell r="Y600">
            <v>843</v>
          </cell>
          <cell r="Z600">
            <v>844</v>
          </cell>
          <cell r="AA600">
            <v>886</v>
          </cell>
          <cell r="AB600">
            <v>931</v>
          </cell>
          <cell r="AC600">
            <v>1012</v>
          </cell>
          <cell r="AD600">
            <v>1028</v>
          </cell>
        </row>
        <row r="601">
          <cell r="C601" t="str">
            <v>연산 1</v>
          </cell>
          <cell r="D601" t="str">
            <v>계</v>
          </cell>
          <cell r="F601">
            <v>0</v>
          </cell>
          <cell r="H601">
            <v>0.75</v>
          </cell>
          <cell r="I601">
            <v>0.8</v>
          </cell>
          <cell r="J601">
            <v>0.85</v>
          </cell>
          <cell r="K601">
            <v>0.9</v>
          </cell>
          <cell r="L601">
            <v>0.9</v>
          </cell>
          <cell r="M601">
            <v>152</v>
          </cell>
          <cell r="N601">
            <v>152</v>
          </cell>
          <cell r="O601">
            <v>150</v>
          </cell>
          <cell r="P601">
            <v>148</v>
          </cell>
          <cell r="Q601">
            <v>152</v>
          </cell>
          <cell r="R601">
            <v>154</v>
          </cell>
          <cell r="S601">
            <v>114</v>
          </cell>
          <cell r="T601">
            <v>114</v>
          </cell>
          <cell r="U601">
            <v>120</v>
          </cell>
          <cell r="V601">
            <v>126</v>
          </cell>
          <cell r="W601">
            <v>137</v>
          </cell>
          <cell r="X601">
            <v>139</v>
          </cell>
          <cell r="Y601">
            <v>114</v>
          </cell>
          <cell r="Z601">
            <v>114</v>
          </cell>
          <cell r="AA601">
            <v>120</v>
          </cell>
          <cell r="AB601">
            <v>126</v>
          </cell>
          <cell r="AC601">
            <v>137</v>
          </cell>
          <cell r="AD601">
            <v>139</v>
          </cell>
        </row>
        <row r="602">
          <cell r="C602" t="str">
            <v>연산 2</v>
          </cell>
          <cell r="D602" t="str">
            <v>계</v>
          </cell>
          <cell r="F602">
            <v>0</v>
          </cell>
          <cell r="H602">
            <v>0.75</v>
          </cell>
          <cell r="I602">
            <v>0.8</v>
          </cell>
          <cell r="J602">
            <v>0.85</v>
          </cell>
          <cell r="K602">
            <v>0.9</v>
          </cell>
          <cell r="L602">
            <v>0.9</v>
          </cell>
          <cell r="M602">
            <v>404</v>
          </cell>
          <cell r="N602">
            <v>405</v>
          </cell>
          <cell r="O602">
            <v>399</v>
          </cell>
          <cell r="P602">
            <v>394</v>
          </cell>
          <cell r="Q602">
            <v>404</v>
          </cell>
          <cell r="R602">
            <v>411</v>
          </cell>
          <cell r="S602">
            <v>303</v>
          </cell>
          <cell r="T602">
            <v>304</v>
          </cell>
          <cell r="U602">
            <v>319</v>
          </cell>
          <cell r="V602">
            <v>335</v>
          </cell>
          <cell r="W602">
            <v>364</v>
          </cell>
          <cell r="X602">
            <v>370</v>
          </cell>
          <cell r="Y602">
            <v>303</v>
          </cell>
          <cell r="Z602">
            <v>304</v>
          </cell>
          <cell r="AA602">
            <v>319</v>
          </cell>
          <cell r="AB602">
            <v>335</v>
          </cell>
          <cell r="AC602">
            <v>364</v>
          </cell>
          <cell r="AD602">
            <v>370</v>
          </cell>
        </row>
        <row r="603">
          <cell r="C603" t="str">
            <v>연산 3</v>
          </cell>
          <cell r="D603" t="str">
            <v>계</v>
          </cell>
          <cell r="F603">
            <v>0</v>
          </cell>
          <cell r="H603">
            <v>0.75</v>
          </cell>
          <cell r="I603">
            <v>0.8</v>
          </cell>
          <cell r="J603">
            <v>0.85</v>
          </cell>
          <cell r="K603">
            <v>0.9</v>
          </cell>
          <cell r="L603">
            <v>0.9</v>
          </cell>
          <cell r="M603">
            <v>373</v>
          </cell>
          <cell r="N603">
            <v>373</v>
          </cell>
          <cell r="O603">
            <v>367</v>
          </cell>
          <cell r="P603">
            <v>364</v>
          </cell>
          <cell r="Q603">
            <v>373</v>
          </cell>
          <cell r="R603">
            <v>380</v>
          </cell>
          <cell r="S603">
            <v>280</v>
          </cell>
          <cell r="T603">
            <v>280</v>
          </cell>
          <cell r="U603">
            <v>294</v>
          </cell>
          <cell r="V603">
            <v>309</v>
          </cell>
          <cell r="W603">
            <v>336</v>
          </cell>
          <cell r="X603">
            <v>342</v>
          </cell>
          <cell r="Y603">
            <v>280</v>
          </cell>
          <cell r="Z603">
            <v>280</v>
          </cell>
          <cell r="AA603">
            <v>294</v>
          </cell>
          <cell r="AB603">
            <v>309</v>
          </cell>
          <cell r="AC603">
            <v>336</v>
          </cell>
          <cell r="AD603">
            <v>342</v>
          </cell>
        </row>
        <row r="604">
          <cell r="C604" t="str">
            <v>연산 4</v>
          </cell>
          <cell r="D604" t="str">
            <v>계</v>
          </cell>
          <cell r="F604">
            <v>0</v>
          </cell>
          <cell r="H604">
            <v>0.75</v>
          </cell>
          <cell r="I604">
            <v>0.8</v>
          </cell>
          <cell r="J604">
            <v>0.85</v>
          </cell>
          <cell r="K604">
            <v>0.9</v>
          </cell>
          <cell r="L604">
            <v>0.9</v>
          </cell>
          <cell r="M604">
            <v>194</v>
          </cell>
          <cell r="N604">
            <v>194</v>
          </cell>
          <cell r="O604">
            <v>191</v>
          </cell>
          <cell r="P604">
            <v>189</v>
          </cell>
          <cell r="Q604">
            <v>194</v>
          </cell>
          <cell r="R604">
            <v>197</v>
          </cell>
          <cell r="S604">
            <v>146</v>
          </cell>
          <cell r="T604">
            <v>146</v>
          </cell>
          <cell r="U604">
            <v>153</v>
          </cell>
          <cell r="V604">
            <v>161</v>
          </cell>
          <cell r="W604">
            <v>175</v>
          </cell>
          <cell r="X604">
            <v>177</v>
          </cell>
          <cell r="Y604">
            <v>146</v>
          </cell>
          <cell r="Z604">
            <v>146</v>
          </cell>
          <cell r="AA604">
            <v>153</v>
          </cell>
          <cell r="AB604">
            <v>161</v>
          </cell>
          <cell r="AC604">
            <v>175</v>
          </cell>
          <cell r="AD604">
            <v>177</v>
          </cell>
        </row>
        <row r="605">
          <cell r="C605" t="str">
            <v>청동리</v>
          </cell>
          <cell r="D605" t="str">
            <v>소계</v>
          </cell>
          <cell r="M605">
            <v>786</v>
          </cell>
          <cell r="N605">
            <v>787</v>
          </cell>
          <cell r="O605">
            <v>775</v>
          </cell>
          <cell r="P605">
            <v>767</v>
          </cell>
          <cell r="Q605">
            <v>786</v>
          </cell>
          <cell r="R605">
            <v>801</v>
          </cell>
          <cell r="S605">
            <v>570</v>
          </cell>
          <cell r="T605">
            <v>570</v>
          </cell>
          <cell r="U605">
            <v>620</v>
          </cell>
          <cell r="V605">
            <v>652</v>
          </cell>
          <cell r="W605">
            <v>707</v>
          </cell>
          <cell r="X605">
            <v>722</v>
          </cell>
          <cell r="Y605">
            <v>570</v>
          </cell>
          <cell r="Z605">
            <v>570</v>
          </cell>
          <cell r="AA605">
            <v>620</v>
          </cell>
          <cell r="AB605">
            <v>652</v>
          </cell>
          <cell r="AC605">
            <v>707</v>
          </cell>
          <cell r="AD605">
            <v>722</v>
          </cell>
        </row>
        <row r="606">
          <cell r="C606" t="str">
            <v>청동 1</v>
          </cell>
          <cell r="D606" t="str">
            <v>계</v>
          </cell>
          <cell r="F606">
            <v>0</v>
          </cell>
          <cell r="H606">
            <v>0.75</v>
          </cell>
          <cell r="I606">
            <v>0.8</v>
          </cell>
          <cell r="J606">
            <v>0.85</v>
          </cell>
          <cell r="K606">
            <v>0.9</v>
          </cell>
          <cell r="L606">
            <v>0.9</v>
          </cell>
          <cell r="M606">
            <v>123</v>
          </cell>
          <cell r="N606">
            <v>123</v>
          </cell>
          <cell r="O606">
            <v>121</v>
          </cell>
          <cell r="P606">
            <v>120</v>
          </cell>
          <cell r="Q606">
            <v>123</v>
          </cell>
          <cell r="R606">
            <v>125</v>
          </cell>
          <cell r="S606">
            <v>92</v>
          </cell>
          <cell r="T606">
            <v>92</v>
          </cell>
          <cell r="U606">
            <v>97</v>
          </cell>
          <cell r="V606">
            <v>102</v>
          </cell>
          <cell r="W606">
            <v>111</v>
          </cell>
          <cell r="X606">
            <v>113</v>
          </cell>
          <cell r="Y606">
            <v>92</v>
          </cell>
          <cell r="Z606">
            <v>92</v>
          </cell>
          <cell r="AA606">
            <v>97</v>
          </cell>
          <cell r="AB606">
            <v>102</v>
          </cell>
          <cell r="AC606">
            <v>111</v>
          </cell>
          <cell r="AD606">
            <v>113</v>
          </cell>
        </row>
        <row r="607">
          <cell r="C607" t="str">
            <v>청동 2</v>
          </cell>
          <cell r="D607" t="str">
            <v>계</v>
          </cell>
          <cell r="F607">
            <v>0</v>
          </cell>
          <cell r="H607">
            <v>0.75</v>
          </cell>
          <cell r="I607">
            <v>0.8</v>
          </cell>
          <cell r="J607">
            <v>0.85</v>
          </cell>
          <cell r="K607">
            <v>0.9</v>
          </cell>
          <cell r="L607">
            <v>0.9</v>
          </cell>
          <cell r="M607">
            <v>318</v>
          </cell>
          <cell r="N607">
            <v>319</v>
          </cell>
          <cell r="O607">
            <v>314</v>
          </cell>
          <cell r="P607">
            <v>310</v>
          </cell>
          <cell r="Q607">
            <v>318</v>
          </cell>
          <cell r="R607">
            <v>324</v>
          </cell>
          <cell r="S607">
            <v>239</v>
          </cell>
          <cell r="T607">
            <v>239</v>
          </cell>
          <cell r="U607">
            <v>251</v>
          </cell>
          <cell r="V607">
            <v>264</v>
          </cell>
          <cell r="W607">
            <v>286</v>
          </cell>
          <cell r="X607">
            <v>292</v>
          </cell>
          <cell r="Y607">
            <v>239</v>
          </cell>
          <cell r="Z607">
            <v>239</v>
          </cell>
          <cell r="AA607">
            <v>251</v>
          </cell>
          <cell r="AB607">
            <v>264</v>
          </cell>
          <cell r="AC607">
            <v>286</v>
          </cell>
          <cell r="AD607">
            <v>292</v>
          </cell>
        </row>
        <row r="608">
          <cell r="C608" t="str">
            <v>청동 3</v>
          </cell>
          <cell r="D608" t="str">
            <v>계</v>
          </cell>
          <cell r="E608">
            <v>47509</v>
          </cell>
          <cell r="M608">
            <v>148</v>
          </cell>
          <cell r="N608">
            <v>148</v>
          </cell>
          <cell r="O608">
            <v>146</v>
          </cell>
          <cell r="P608">
            <v>145</v>
          </cell>
          <cell r="Q608">
            <v>148</v>
          </cell>
          <cell r="R608">
            <v>151</v>
          </cell>
          <cell r="S608">
            <v>91</v>
          </cell>
          <cell r="T608">
            <v>91</v>
          </cell>
          <cell r="U608">
            <v>117</v>
          </cell>
          <cell r="V608">
            <v>123</v>
          </cell>
          <cell r="W608">
            <v>133</v>
          </cell>
          <cell r="X608">
            <v>136</v>
          </cell>
          <cell r="Y608">
            <v>91</v>
          </cell>
          <cell r="Z608">
            <v>91</v>
          </cell>
          <cell r="AA608">
            <v>117</v>
          </cell>
          <cell r="AB608">
            <v>123</v>
          </cell>
          <cell r="AC608">
            <v>133</v>
          </cell>
          <cell r="AD608">
            <v>136</v>
          </cell>
        </row>
        <row r="609">
          <cell r="D609" t="str">
            <v>청룡국</v>
          </cell>
          <cell r="E609">
            <v>38861</v>
          </cell>
          <cell r="F609">
            <v>0</v>
          </cell>
          <cell r="H609">
            <v>0.75</v>
          </cell>
          <cell r="I609">
            <v>0.8</v>
          </cell>
          <cell r="J609">
            <v>0.85</v>
          </cell>
          <cell r="K609">
            <v>0.9</v>
          </cell>
          <cell r="L609">
            <v>0.9</v>
          </cell>
          <cell r="M609">
            <v>121</v>
          </cell>
          <cell r="N609">
            <v>121</v>
          </cell>
          <cell r="O609">
            <v>119</v>
          </cell>
          <cell r="P609">
            <v>119</v>
          </cell>
          <cell r="Q609">
            <v>121</v>
          </cell>
          <cell r="R609">
            <v>124</v>
          </cell>
          <cell r="S609">
            <v>91</v>
          </cell>
          <cell r="T609">
            <v>91</v>
          </cell>
          <cell r="U609">
            <v>95</v>
          </cell>
          <cell r="V609">
            <v>101</v>
          </cell>
          <cell r="W609">
            <v>109</v>
          </cell>
          <cell r="X609">
            <v>112</v>
          </cell>
          <cell r="Y609">
            <v>91</v>
          </cell>
          <cell r="Z609">
            <v>91</v>
          </cell>
          <cell r="AA609">
            <v>95</v>
          </cell>
          <cell r="AB609">
            <v>101</v>
          </cell>
          <cell r="AC609">
            <v>109</v>
          </cell>
          <cell r="AD609">
            <v>112</v>
          </cell>
        </row>
        <row r="610">
          <cell r="D610" t="str">
            <v>수정리</v>
          </cell>
          <cell r="E610">
            <v>8648</v>
          </cell>
          <cell r="F610">
            <v>1</v>
          </cell>
          <cell r="H610">
            <v>0.75</v>
          </cell>
          <cell r="I610">
            <v>0.8</v>
          </cell>
          <cell r="J610">
            <v>0.85</v>
          </cell>
          <cell r="K610">
            <v>0.9</v>
          </cell>
          <cell r="L610">
            <v>0.9</v>
          </cell>
          <cell r="M610">
            <v>27</v>
          </cell>
          <cell r="N610">
            <v>27</v>
          </cell>
          <cell r="O610">
            <v>27</v>
          </cell>
          <cell r="P610">
            <v>26</v>
          </cell>
          <cell r="Q610">
            <v>27</v>
          </cell>
          <cell r="R610">
            <v>27</v>
          </cell>
          <cell r="S610">
            <v>0</v>
          </cell>
          <cell r="T610">
            <v>0</v>
          </cell>
          <cell r="U610">
            <v>22</v>
          </cell>
          <cell r="V610">
            <v>22</v>
          </cell>
          <cell r="W610">
            <v>24</v>
          </cell>
          <cell r="X610">
            <v>24</v>
          </cell>
          <cell r="Y610">
            <v>0</v>
          </cell>
          <cell r="Z610">
            <v>0</v>
          </cell>
          <cell r="AA610">
            <v>22</v>
          </cell>
          <cell r="AB610">
            <v>22</v>
          </cell>
          <cell r="AC610">
            <v>24</v>
          </cell>
          <cell r="AD610">
            <v>24</v>
          </cell>
        </row>
        <row r="611">
          <cell r="C611" t="str">
            <v>청동 4</v>
          </cell>
          <cell r="D611" t="str">
            <v>계</v>
          </cell>
          <cell r="F611">
            <v>0</v>
          </cell>
          <cell r="H611">
            <v>0.75</v>
          </cell>
          <cell r="I611">
            <v>0.8</v>
          </cell>
          <cell r="J611">
            <v>0.85</v>
          </cell>
          <cell r="K611">
            <v>0.9</v>
          </cell>
          <cell r="L611">
            <v>0.9</v>
          </cell>
          <cell r="M611">
            <v>197</v>
          </cell>
          <cell r="N611">
            <v>197</v>
          </cell>
          <cell r="O611">
            <v>194</v>
          </cell>
          <cell r="P611">
            <v>192</v>
          </cell>
          <cell r="Q611">
            <v>197</v>
          </cell>
          <cell r="R611">
            <v>201</v>
          </cell>
          <cell r="S611">
            <v>148</v>
          </cell>
          <cell r="T611">
            <v>148</v>
          </cell>
          <cell r="U611">
            <v>155</v>
          </cell>
          <cell r="V611">
            <v>163</v>
          </cell>
          <cell r="W611">
            <v>177</v>
          </cell>
          <cell r="X611">
            <v>181</v>
          </cell>
          <cell r="Y611">
            <v>148</v>
          </cell>
          <cell r="Z611">
            <v>148</v>
          </cell>
          <cell r="AA611">
            <v>155</v>
          </cell>
          <cell r="AB611">
            <v>163</v>
          </cell>
          <cell r="AC611">
            <v>177</v>
          </cell>
          <cell r="AD611">
            <v>181</v>
          </cell>
        </row>
        <row r="612">
          <cell r="C612" t="str">
            <v>고정리</v>
          </cell>
          <cell r="D612" t="str">
            <v>소계</v>
          </cell>
          <cell r="E612">
            <v>86056</v>
          </cell>
          <cell r="M612">
            <v>160</v>
          </cell>
          <cell r="N612">
            <v>160</v>
          </cell>
          <cell r="O612">
            <v>158</v>
          </cell>
          <cell r="P612">
            <v>156</v>
          </cell>
          <cell r="Q612">
            <v>160</v>
          </cell>
          <cell r="R612">
            <v>163</v>
          </cell>
          <cell r="S612">
            <v>0</v>
          </cell>
          <cell r="T612">
            <v>0</v>
          </cell>
          <cell r="U612">
            <v>127</v>
          </cell>
          <cell r="V612">
            <v>133</v>
          </cell>
          <cell r="W612">
            <v>144</v>
          </cell>
          <cell r="X612">
            <v>147</v>
          </cell>
          <cell r="Y612">
            <v>0</v>
          </cell>
          <cell r="Z612">
            <v>0</v>
          </cell>
          <cell r="AA612">
            <v>127</v>
          </cell>
          <cell r="AB612">
            <v>133</v>
          </cell>
          <cell r="AC612">
            <v>144</v>
          </cell>
          <cell r="AD612">
            <v>147</v>
          </cell>
        </row>
        <row r="613">
          <cell r="D613" t="str">
            <v>거령터</v>
          </cell>
          <cell r="E613">
            <v>52389</v>
          </cell>
          <cell r="F613">
            <v>1</v>
          </cell>
          <cell r="H613">
            <v>0.75</v>
          </cell>
          <cell r="I613">
            <v>0.8</v>
          </cell>
          <cell r="J613">
            <v>0.85</v>
          </cell>
          <cell r="K613">
            <v>0.9</v>
          </cell>
          <cell r="L613">
            <v>0.9</v>
          </cell>
          <cell r="M613">
            <v>97</v>
          </cell>
          <cell r="N613">
            <v>97</v>
          </cell>
          <cell r="O613">
            <v>96</v>
          </cell>
          <cell r="P613">
            <v>95</v>
          </cell>
          <cell r="Q613">
            <v>97</v>
          </cell>
          <cell r="R613">
            <v>99</v>
          </cell>
          <cell r="S613">
            <v>0</v>
          </cell>
          <cell r="T613">
            <v>0</v>
          </cell>
          <cell r="U613">
            <v>77</v>
          </cell>
          <cell r="V613">
            <v>81</v>
          </cell>
          <cell r="W613">
            <v>87</v>
          </cell>
          <cell r="X613">
            <v>89</v>
          </cell>
          <cell r="Y613">
            <v>0</v>
          </cell>
          <cell r="Z613">
            <v>0</v>
          </cell>
          <cell r="AA613">
            <v>77</v>
          </cell>
          <cell r="AB613">
            <v>81</v>
          </cell>
          <cell r="AC613">
            <v>87</v>
          </cell>
          <cell r="AD613">
            <v>89</v>
          </cell>
        </row>
        <row r="614">
          <cell r="D614" t="str">
            <v>쇠머리</v>
          </cell>
          <cell r="E614">
            <v>33667</v>
          </cell>
          <cell r="F614">
            <v>1</v>
          </cell>
          <cell r="H614">
            <v>0.75</v>
          </cell>
          <cell r="I614">
            <v>0.8</v>
          </cell>
          <cell r="J614">
            <v>0.85</v>
          </cell>
          <cell r="K614">
            <v>0.9</v>
          </cell>
          <cell r="L614">
            <v>0.9</v>
          </cell>
          <cell r="M614">
            <v>63</v>
          </cell>
          <cell r="N614">
            <v>63</v>
          </cell>
          <cell r="O614">
            <v>62</v>
          </cell>
          <cell r="P614">
            <v>61</v>
          </cell>
          <cell r="Q614">
            <v>63</v>
          </cell>
          <cell r="R614">
            <v>64</v>
          </cell>
          <cell r="S614">
            <v>0</v>
          </cell>
          <cell r="T614">
            <v>0</v>
          </cell>
          <cell r="U614">
            <v>50</v>
          </cell>
          <cell r="V614">
            <v>52</v>
          </cell>
          <cell r="W614">
            <v>57</v>
          </cell>
          <cell r="X614">
            <v>58</v>
          </cell>
          <cell r="Y614">
            <v>0</v>
          </cell>
          <cell r="Z614">
            <v>0</v>
          </cell>
          <cell r="AA614">
            <v>50</v>
          </cell>
          <cell r="AB614">
            <v>52</v>
          </cell>
          <cell r="AC614">
            <v>57</v>
          </cell>
          <cell r="AD614">
            <v>58</v>
          </cell>
        </row>
        <row r="615">
          <cell r="C615" t="str">
            <v>한전리</v>
          </cell>
          <cell r="D615" t="str">
            <v>소계</v>
          </cell>
          <cell r="M615">
            <v>573</v>
          </cell>
          <cell r="N615">
            <v>574</v>
          </cell>
          <cell r="O615">
            <v>565</v>
          </cell>
          <cell r="P615">
            <v>558</v>
          </cell>
          <cell r="Q615">
            <v>572</v>
          </cell>
          <cell r="R615">
            <v>582</v>
          </cell>
          <cell r="S615">
            <v>278</v>
          </cell>
          <cell r="T615">
            <v>279</v>
          </cell>
          <cell r="U615">
            <v>452</v>
          </cell>
          <cell r="V615">
            <v>474</v>
          </cell>
          <cell r="W615">
            <v>514</v>
          </cell>
          <cell r="X615">
            <v>524</v>
          </cell>
          <cell r="Y615">
            <v>278</v>
          </cell>
          <cell r="Z615">
            <v>279</v>
          </cell>
          <cell r="AA615">
            <v>452</v>
          </cell>
          <cell r="AB615">
            <v>474</v>
          </cell>
          <cell r="AC615">
            <v>514</v>
          </cell>
          <cell r="AD615">
            <v>524</v>
          </cell>
        </row>
        <row r="616">
          <cell r="C616" t="str">
            <v>한전 1</v>
          </cell>
          <cell r="D616" t="str">
            <v>계</v>
          </cell>
          <cell r="F616">
            <v>0</v>
          </cell>
          <cell r="H616">
            <v>0.75</v>
          </cell>
          <cell r="I616">
            <v>0.8</v>
          </cell>
          <cell r="J616">
            <v>0.85</v>
          </cell>
          <cell r="K616">
            <v>0.9</v>
          </cell>
          <cell r="L616">
            <v>0.9</v>
          </cell>
          <cell r="M616">
            <v>72</v>
          </cell>
          <cell r="N616">
            <v>72</v>
          </cell>
          <cell r="O616">
            <v>71</v>
          </cell>
          <cell r="P616">
            <v>70</v>
          </cell>
          <cell r="Q616">
            <v>72</v>
          </cell>
          <cell r="R616">
            <v>73</v>
          </cell>
          <cell r="S616">
            <v>54</v>
          </cell>
          <cell r="T616">
            <v>54</v>
          </cell>
          <cell r="U616">
            <v>57</v>
          </cell>
          <cell r="V616">
            <v>60</v>
          </cell>
          <cell r="W616">
            <v>65</v>
          </cell>
          <cell r="X616">
            <v>66</v>
          </cell>
          <cell r="Y616">
            <v>54</v>
          </cell>
          <cell r="Z616">
            <v>54</v>
          </cell>
          <cell r="AA616">
            <v>57</v>
          </cell>
          <cell r="AB616">
            <v>60</v>
          </cell>
          <cell r="AC616">
            <v>65</v>
          </cell>
          <cell r="AD616">
            <v>66</v>
          </cell>
        </row>
        <row r="617">
          <cell r="C617" t="str">
            <v>한전 2</v>
          </cell>
          <cell r="D617" t="str">
            <v>계</v>
          </cell>
          <cell r="E617">
            <v>150837</v>
          </cell>
          <cell r="M617">
            <v>501</v>
          </cell>
          <cell r="N617">
            <v>502</v>
          </cell>
          <cell r="O617">
            <v>494</v>
          </cell>
          <cell r="P617">
            <v>488</v>
          </cell>
          <cell r="Q617">
            <v>500</v>
          </cell>
          <cell r="R617">
            <v>509</v>
          </cell>
          <cell r="S617">
            <v>224</v>
          </cell>
          <cell r="T617">
            <v>225</v>
          </cell>
          <cell r="U617">
            <v>395</v>
          </cell>
          <cell r="V617">
            <v>414</v>
          </cell>
          <cell r="W617">
            <v>449</v>
          </cell>
          <cell r="X617">
            <v>458</v>
          </cell>
          <cell r="Y617">
            <v>224</v>
          </cell>
          <cell r="Z617">
            <v>225</v>
          </cell>
          <cell r="AA617">
            <v>395</v>
          </cell>
          <cell r="AB617">
            <v>414</v>
          </cell>
          <cell r="AC617">
            <v>449</v>
          </cell>
          <cell r="AD617">
            <v>458</v>
          </cell>
        </row>
        <row r="618">
          <cell r="D618" t="str">
            <v>신개다리</v>
          </cell>
          <cell r="E618">
            <v>90024</v>
          </cell>
          <cell r="F618">
            <v>0</v>
          </cell>
          <cell r="H618">
            <v>0.75</v>
          </cell>
          <cell r="I618">
            <v>0.8</v>
          </cell>
          <cell r="J618">
            <v>0.85</v>
          </cell>
          <cell r="K618">
            <v>0.9</v>
          </cell>
          <cell r="L618">
            <v>0.9</v>
          </cell>
          <cell r="M618">
            <v>299</v>
          </cell>
          <cell r="N618">
            <v>300</v>
          </cell>
          <cell r="O618">
            <v>295</v>
          </cell>
          <cell r="P618">
            <v>291</v>
          </cell>
          <cell r="Q618">
            <v>298</v>
          </cell>
          <cell r="R618">
            <v>304</v>
          </cell>
          <cell r="S618">
            <v>224</v>
          </cell>
          <cell r="T618">
            <v>225</v>
          </cell>
          <cell r="U618">
            <v>236</v>
          </cell>
          <cell r="V618">
            <v>247</v>
          </cell>
          <cell r="W618">
            <v>268</v>
          </cell>
          <cell r="X618">
            <v>274</v>
          </cell>
          <cell r="Y618">
            <v>224</v>
          </cell>
          <cell r="Z618">
            <v>225</v>
          </cell>
          <cell r="AA618">
            <v>236</v>
          </cell>
          <cell r="AB618">
            <v>247</v>
          </cell>
          <cell r="AC618">
            <v>268</v>
          </cell>
          <cell r="AD618">
            <v>274</v>
          </cell>
        </row>
        <row r="619">
          <cell r="D619" t="str">
            <v>범남</v>
          </cell>
          <cell r="E619">
            <v>35023</v>
          </cell>
          <cell r="F619">
            <v>1</v>
          </cell>
          <cell r="H619">
            <v>0.75</v>
          </cell>
          <cell r="I619">
            <v>0.8</v>
          </cell>
          <cell r="J619">
            <v>0.85</v>
          </cell>
          <cell r="K619">
            <v>0.9</v>
          </cell>
          <cell r="L619">
            <v>0.9</v>
          </cell>
          <cell r="M619">
            <v>116</v>
          </cell>
          <cell r="N619">
            <v>117</v>
          </cell>
          <cell r="O619">
            <v>115</v>
          </cell>
          <cell r="P619">
            <v>113</v>
          </cell>
          <cell r="Q619">
            <v>116</v>
          </cell>
          <cell r="R619">
            <v>118</v>
          </cell>
          <cell r="S619">
            <v>0</v>
          </cell>
          <cell r="T619">
            <v>0</v>
          </cell>
          <cell r="U619">
            <v>92</v>
          </cell>
          <cell r="V619">
            <v>96</v>
          </cell>
          <cell r="W619">
            <v>104</v>
          </cell>
          <cell r="X619">
            <v>106</v>
          </cell>
          <cell r="Y619">
            <v>0</v>
          </cell>
          <cell r="Z619">
            <v>0</v>
          </cell>
          <cell r="AA619">
            <v>92</v>
          </cell>
          <cell r="AB619">
            <v>96</v>
          </cell>
          <cell r="AC619">
            <v>104</v>
          </cell>
          <cell r="AD619">
            <v>106</v>
          </cell>
        </row>
        <row r="620">
          <cell r="D620" t="str">
            <v>샛뜸</v>
          </cell>
          <cell r="E620">
            <v>11737</v>
          </cell>
          <cell r="F620">
            <v>1</v>
          </cell>
          <cell r="H620">
            <v>0.75</v>
          </cell>
          <cell r="I620">
            <v>0.8</v>
          </cell>
          <cell r="J620">
            <v>0.85</v>
          </cell>
          <cell r="K620">
            <v>0.9</v>
          </cell>
          <cell r="L620">
            <v>0.9</v>
          </cell>
          <cell r="M620">
            <v>39</v>
          </cell>
          <cell r="N620">
            <v>39</v>
          </cell>
          <cell r="O620">
            <v>38</v>
          </cell>
          <cell r="P620">
            <v>38</v>
          </cell>
          <cell r="Q620">
            <v>39</v>
          </cell>
          <cell r="R620">
            <v>40</v>
          </cell>
          <cell r="S620">
            <v>0</v>
          </cell>
          <cell r="T620">
            <v>0</v>
          </cell>
          <cell r="U620">
            <v>30</v>
          </cell>
          <cell r="V620">
            <v>32</v>
          </cell>
          <cell r="W620">
            <v>35</v>
          </cell>
          <cell r="X620">
            <v>36</v>
          </cell>
          <cell r="Y620">
            <v>0</v>
          </cell>
          <cell r="Z620">
            <v>0</v>
          </cell>
          <cell r="AA620">
            <v>30</v>
          </cell>
          <cell r="AB620">
            <v>32</v>
          </cell>
          <cell r="AC620">
            <v>35</v>
          </cell>
          <cell r="AD620">
            <v>36</v>
          </cell>
        </row>
        <row r="621">
          <cell r="D621" t="str">
            <v>흔왕</v>
          </cell>
          <cell r="E621">
            <v>14053</v>
          </cell>
          <cell r="F621">
            <v>1</v>
          </cell>
          <cell r="H621">
            <v>0.75</v>
          </cell>
          <cell r="I621">
            <v>0.8</v>
          </cell>
          <cell r="J621">
            <v>0.85</v>
          </cell>
          <cell r="K621">
            <v>0.9</v>
          </cell>
          <cell r="L621">
            <v>0.9</v>
          </cell>
          <cell r="M621">
            <v>47</v>
          </cell>
          <cell r="N621">
            <v>46</v>
          </cell>
          <cell r="O621">
            <v>46</v>
          </cell>
          <cell r="P621">
            <v>46</v>
          </cell>
          <cell r="Q621">
            <v>47</v>
          </cell>
          <cell r="R621">
            <v>47</v>
          </cell>
          <cell r="S621">
            <v>0</v>
          </cell>
          <cell r="T621">
            <v>0</v>
          </cell>
          <cell r="U621">
            <v>37</v>
          </cell>
          <cell r="V621">
            <v>39</v>
          </cell>
          <cell r="W621">
            <v>42</v>
          </cell>
          <cell r="X621">
            <v>42</v>
          </cell>
          <cell r="Y621">
            <v>0</v>
          </cell>
          <cell r="Z621">
            <v>0</v>
          </cell>
          <cell r="AA621">
            <v>37</v>
          </cell>
          <cell r="AB621">
            <v>39</v>
          </cell>
          <cell r="AC621">
            <v>42</v>
          </cell>
          <cell r="AD621">
            <v>42</v>
          </cell>
        </row>
        <row r="622">
          <cell r="C622" t="str">
            <v>임리</v>
          </cell>
          <cell r="D622" t="str">
            <v>소계</v>
          </cell>
          <cell r="M622">
            <v>217</v>
          </cell>
          <cell r="N622">
            <v>217</v>
          </cell>
          <cell r="O622">
            <v>213</v>
          </cell>
          <cell r="P622">
            <v>211</v>
          </cell>
          <cell r="Q622">
            <v>217</v>
          </cell>
          <cell r="R622">
            <v>220</v>
          </cell>
          <cell r="S622">
            <v>0</v>
          </cell>
          <cell r="T622">
            <v>0</v>
          </cell>
          <cell r="U622">
            <v>170</v>
          </cell>
          <cell r="V622">
            <v>179</v>
          </cell>
          <cell r="W622">
            <v>195</v>
          </cell>
          <cell r="X622">
            <v>198</v>
          </cell>
          <cell r="Y622">
            <v>31</v>
          </cell>
          <cell r="Z622">
            <v>31</v>
          </cell>
          <cell r="AA622">
            <v>170</v>
          </cell>
          <cell r="AB622">
            <v>179</v>
          </cell>
          <cell r="AC622">
            <v>195</v>
          </cell>
          <cell r="AD622">
            <v>198</v>
          </cell>
        </row>
        <row r="623">
          <cell r="C623" t="str">
            <v>임리 1</v>
          </cell>
          <cell r="D623" t="str">
            <v>계</v>
          </cell>
          <cell r="E623">
            <v>48682</v>
          </cell>
          <cell r="M623">
            <v>100</v>
          </cell>
          <cell r="N623">
            <v>100</v>
          </cell>
          <cell r="O623">
            <v>98</v>
          </cell>
          <cell r="P623">
            <v>97</v>
          </cell>
          <cell r="Q623">
            <v>100</v>
          </cell>
          <cell r="R623">
            <v>101</v>
          </cell>
          <cell r="S623">
            <v>0</v>
          </cell>
          <cell r="T623">
            <v>0</v>
          </cell>
          <cell r="U623">
            <v>78</v>
          </cell>
          <cell r="V623">
            <v>82</v>
          </cell>
          <cell r="W623">
            <v>90</v>
          </cell>
          <cell r="X623">
            <v>91</v>
          </cell>
          <cell r="Y623">
            <v>31</v>
          </cell>
          <cell r="Z623">
            <v>31</v>
          </cell>
          <cell r="AA623">
            <v>78</v>
          </cell>
          <cell r="AB623">
            <v>82</v>
          </cell>
          <cell r="AC623">
            <v>90</v>
          </cell>
          <cell r="AD623">
            <v>91</v>
          </cell>
        </row>
        <row r="624">
          <cell r="D624" t="str">
            <v>궝말</v>
          </cell>
          <cell r="E624">
            <v>28789</v>
          </cell>
          <cell r="F624">
            <v>1</v>
          </cell>
          <cell r="H624">
            <v>0.75</v>
          </cell>
          <cell r="I624">
            <v>0.8</v>
          </cell>
          <cell r="J624">
            <v>0.85</v>
          </cell>
          <cell r="K624">
            <v>0.9</v>
          </cell>
          <cell r="L624">
            <v>0.9</v>
          </cell>
          <cell r="M624">
            <v>59</v>
          </cell>
          <cell r="N624">
            <v>59</v>
          </cell>
          <cell r="O624">
            <v>58</v>
          </cell>
          <cell r="P624">
            <v>57</v>
          </cell>
          <cell r="Q624">
            <v>59</v>
          </cell>
          <cell r="R624">
            <v>60</v>
          </cell>
          <cell r="S624">
            <v>0</v>
          </cell>
          <cell r="T624">
            <v>0</v>
          </cell>
          <cell r="U624">
            <v>46</v>
          </cell>
          <cell r="V624">
            <v>48</v>
          </cell>
          <cell r="W624">
            <v>53</v>
          </cell>
          <cell r="X624">
            <v>54</v>
          </cell>
          <cell r="Y624">
            <v>0</v>
          </cell>
          <cell r="Z624">
            <v>0</v>
          </cell>
          <cell r="AA624">
            <v>46</v>
          </cell>
          <cell r="AB624">
            <v>48</v>
          </cell>
          <cell r="AC624">
            <v>53</v>
          </cell>
          <cell r="AD624">
            <v>54</v>
          </cell>
        </row>
        <row r="625">
          <cell r="D625" t="str">
            <v>옹기점</v>
          </cell>
          <cell r="E625">
            <v>19893</v>
          </cell>
          <cell r="F625">
            <v>5</v>
          </cell>
          <cell r="H625">
            <v>0.75</v>
          </cell>
          <cell r="I625">
            <v>0.8</v>
          </cell>
          <cell r="J625">
            <v>0.85</v>
          </cell>
          <cell r="K625">
            <v>0.9</v>
          </cell>
          <cell r="L625">
            <v>0.9</v>
          </cell>
          <cell r="M625">
            <v>41</v>
          </cell>
          <cell r="N625">
            <v>41</v>
          </cell>
          <cell r="O625">
            <v>40</v>
          </cell>
          <cell r="P625">
            <v>40</v>
          </cell>
          <cell r="Q625">
            <v>41</v>
          </cell>
          <cell r="R625">
            <v>41</v>
          </cell>
          <cell r="S625">
            <v>0</v>
          </cell>
          <cell r="T625">
            <v>0</v>
          </cell>
          <cell r="U625">
            <v>32</v>
          </cell>
          <cell r="V625">
            <v>34</v>
          </cell>
          <cell r="W625">
            <v>37</v>
          </cell>
          <cell r="X625">
            <v>37</v>
          </cell>
          <cell r="Y625">
            <v>31</v>
          </cell>
          <cell r="Z625">
            <v>31</v>
          </cell>
          <cell r="AA625">
            <v>32</v>
          </cell>
          <cell r="AB625">
            <v>34</v>
          </cell>
          <cell r="AC625">
            <v>37</v>
          </cell>
          <cell r="AD625">
            <v>37</v>
          </cell>
        </row>
        <row r="626">
          <cell r="C626" t="str">
            <v>임리 2</v>
          </cell>
          <cell r="D626" t="str">
            <v>계</v>
          </cell>
          <cell r="F626">
            <v>1</v>
          </cell>
          <cell r="H626">
            <v>0.75</v>
          </cell>
          <cell r="I626">
            <v>0.8</v>
          </cell>
          <cell r="J626">
            <v>0.85</v>
          </cell>
          <cell r="K626">
            <v>0.9</v>
          </cell>
          <cell r="L626">
            <v>0.9</v>
          </cell>
          <cell r="M626">
            <v>117</v>
          </cell>
          <cell r="N626">
            <v>117</v>
          </cell>
          <cell r="O626">
            <v>115</v>
          </cell>
          <cell r="P626">
            <v>114</v>
          </cell>
          <cell r="Q626">
            <v>117</v>
          </cell>
          <cell r="R626">
            <v>119</v>
          </cell>
          <cell r="S626">
            <v>0</v>
          </cell>
          <cell r="T626">
            <v>0</v>
          </cell>
          <cell r="U626">
            <v>92</v>
          </cell>
          <cell r="V626">
            <v>97</v>
          </cell>
          <cell r="W626">
            <v>105</v>
          </cell>
          <cell r="X626">
            <v>107</v>
          </cell>
          <cell r="Y626">
            <v>0</v>
          </cell>
          <cell r="Z626">
            <v>0</v>
          </cell>
          <cell r="AA626">
            <v>92</v>
          </cell>
          <cell r="AB626">
            <v>97</v>
          </cell>
          <cell r="AC626">
            <v>105</v>
          </cell>
          <cell r="AD626">
            <v>107</v>
          </cell>
        </row>
        <row r="627">
          <cell r="C627" t="str">
            <v>관동리</v>
          </cell>
          <cell r="D627" t="str">
            <v>소계</v>
          </cell>
          <cell r="M627">
            <v>264</v>
          </cell>
          <cell r="N627">
            <v>266</v>
          </cell>
          <cell r="O627">
            <v>261</v>
          </cell>
          <cell r="P627">
            <v>258</v>
          </cell>
          <cell r="Q627">
            <v>264</v>
          </cell>
          <cell r="R627">
            <v>269</v>
          </cell>
          <cell r="S627">
            <v>0</v>
          </cell>
          <cell r="T627">
            <v>0</v>
          </cell>
          <cell r="U627">
            <v>0</v>
          </cell>
          <cell r="V627">
            <v>220</v>
          </cell>
          <cell r="W627">
            <v>238</v>
          </cell>
          <cell r="X627">
            <v>243</v>
          </cell>
          <cell r="Y627">
            <v>0</v>
          </cell>
          <cell r="Z627">
            <v>0</v>
          </cell>
          <cell r="AA627">
            <v>0</v>
          </cell>
          <cell r="AB627">
            <v>220</v>
          </cell>
          <cell r="AC627">
            <v>238</v>
          </cell>
          <cell r="AD627">
            <v>243</v>
          </cell>
        </row>
        <row r="628">
          <cell r="C628" t="str">
            <v>관동 1</v>
          </cell>
          <cell r="D628" t="str">
            <v>계</v>
          </cell>
          <cell r="F628">
            <v>2</v>
          </cell>
          <cell r="H628">
            <v>0.75</v>
          </cell>
          <cell r="I628">
            <v>0.8</v>
          </cell>
          <cell r="J628">
            <v>0.85</v>
          </cell>
          <cell r="K628">
            <v>0.9</v>
          </cell>
          <cell r="L628">
            <v>0.9</v>
          </cell>
          <cell r="M628">
            <v>172</v>
          </cell>
          <cell r="N628">
            <v>173</v>
          </cell>
          <cell r="O628">
            <v>170</v>
          </cell>
          <cell r="P628">
            <v>168</v>
          </cell>
          <cell r="Q628">
            <v>172</v>
          </cell>
          <cell r="R628">
            <v>175</v>
          </cell>
          <cell r="S628">
            <v>0</v>
          </cell>
          <cell r="T628">
            <v>0</v>
          </cell>
          <cell r="U628">
            <v>0</v>
          </cell>
          <cell r="V628">
            <v>143</v>
          </cell>
          <cell r="W628">
            <v>155</v>
          </cell>
          <cell r="X628">
            <v>158</v>
          </cell>
          <cell r="Y628">
            <v>0</v>
          </cell>
          <cell r="Z628">
            <v>0</v>
          </cell>
          <cell r="AA628">
            <v>0</v>
          </cell>
          <cell r="AB628">
            <v>143</v>
          </cell>
          <cell r="AC628">
            <v>155</v>
          </cell>
          <cell r="AD628">
            <v>158</v>
          </cell>
        </row>
        <row r="629">
          <cell r="C629" t="str">
            <v>관동 2</v>
          </cell>
          <cell r="D629" t="str">
            <v>계</v>
          </cell>
          <cell r="F629">
            <v>2</v>
          </cell>
          <cell r="H629">
            <v>0.75</v>
          </cell>
          <cell r="I629">
            <v>0.8</v>
          </cell>
          <cell r="J629">
            <v>0.85</v>
          </cell>
          <cell r="K629">
            <v>0.9</v>
          </cell>
          <cell r="L629">
            <v>0.9</v>
          </cell>
          <cell r="M629">
            <v>92</v>
          </cell>
          <cell r="N629">
            <v>93</v>
          </cell>
          <cell r="O629">
            <v>91</v>
          </cell>
          <cell r="P629">
            <v>90</v>
          </cell>
          <cell r="Q629">
            <v>92</v>
          </cell>
          <cell r="R629">
            <v>94</v>
          </cell>
          <cell r="S629">
            <v>0</v>
          </cell>
          <cell r="T629">
            <v>0</v>
          </cell>
          <cell r="U629">
            <v>0</v>
          </cell>
          <cell r="V629">
            <v>77</v>
          </cell>
          <cell r="W629">
            <v>83</v>
          </cell>
          <cell r="X629">
            <v>85</v>
          </cell>
          <cell r="Y629">
            <v>0</v>
          </cell>
          <cell r="Z629">
            <v>0</v>
          </cell>
          <cell r="AA629">
            <v>0</v>
          </cell>
          <cell r="AB629">
            <v>77</v>
          </cell>
          <cell r="AC629">
            <v>83</v>
          </cell>
          <cell r="AD629">
            <v>85</v>
          </cell>
        </row>
        <row r="630">
          <cell r="C630" t="str">
            <v>고양리</v>
          </cell>
          <cell r="D630" t="str">
            <v>소계</v>
          </cell>
          <cell r="F630">
            <v>0</v>
          </cell>
          <cell r="H630">
            <v>0.75</v>
          </cell>
          <cell r="I630">
            <v>0.8</v>
          </cell>
          <cell r="J630">
            <v>0.85</v>
          </cell>
          <cell r="K630">
            <v>0.9</v>
          </cell>
          <cell r="L630">
            <v>0.9</v>
          </cell>
          <cell r="M630">
            <v>176</v>
          </cell>
          <cell r="N630">
            <v>176</v>
          </cell>
          <cell r="O630">
            <v>173</v>
          </cell>
          <cell r="P630">
            <v>172</v>
          </cell>
          <cell r="Q630">
            <v>176</v>
          </cell>
          <cell r="R630">
            <v>179</v>
          </cell>
          <cell r="S630">
            <v>132</v>
          </cell>
          <cell r="T630">
            <v>132</v>
          </cell>
          <cell r="U630">
            <v>138</v>
          </cell>
          <cell r="V630">
            <v>146</v>
          </cell>
          <cell r="W630">
            <v>158</v>
          </cell>
          <cell r="X630">
            <v>161</v>
          </cell>
          <cell r="Y630">
            <v>132</v>
          </cell>
          <cell r="Z630">
            <v>132</v>
          </cell>
          <cell r="AA630">
            <v>138</v>
          </cell>
          <cell r="AB630">
            <v>146</v>
          </cell>
          <cell r="AC630">
            <v>158</v>
          </cell>
          <cell r="AD630">
            <v>161</v>
          </cell>
        </row>
        <row r="631">
          <cell r="C631" t="str">
            <v>표정리</v>
          </cell>
          <cell r="D631" t="str">
            <v>소계</v>
          </cell>
          <cell r="M631">
            <v>436</v>
          </cell>
          <cell r="N631">
            <v>437</v>
          </cell>
          <cell r="O631">
            <v>430</v>
          </cell>
          <cell r="P631">
            <v>425</v>
          </cell>
          <cell r="Q631">
            <v>436</v>
          </cell>
          <cell r="R631">
            <v>444</v>
          </cell>
          <cell r="S631">
            <v>0</v>
          </cell>
          <cell r="T631">
            <v>0</v>
          </cell>
          <cell r="U631">
            <v>344</v>
          </cell>
          <cell r="V631">
            <v>361</v>
          </cell>
          <cell r="W631">
            <v>392</v>
          </cell>
          <cell r="X631">
            <v>400</v>
          </cell>
          <cell r="Y631">
            <v>328</v>
          </cell>
          <cell r="Z631">
            <v>328</v>
          </cell>
          <cell r="AA631">
            <v>344</v>
          </cell>
          <cell r="AB631">
            <v>361</v>
          </cell>
          <cell r="AC631">
            <v>392</v>
          </cell>
          <cell r="AD631">
            <v>400</v>
          </cell>
        </row>
        <row r="632">
          <cell r="C632" t="str">
            <v>표정 1</v>
          </cell>
          <cell r="D632" t="str">
            <v>계</v>
          </cell>
          <cell r="F632">
            <v>5</v>
          </cell>
          <cell r="H632">
            <v>0.75</v>
          </cell>
          <cell r="I632">
            <v>0.8</v>
          </cell>
          <cell r="J632">
            <v>0.85</v>
          </cell>
          <cell r="K632">
            <v>0.9</v>
          </cell>
          <cell r="L632">
            <v>0.9</v>
          </cell>
          <cell r="M632">
            <v>226</v>
          </cell>
          <cell r="N632">
            <v>226</v>
          </cell>
          <cell r="O632">
            <v>223</v>
          </cell>
          <cell r="P632">
            <v>220</v>
          </cell>
          <cell r="Q632">
            <v>226</v>
          </cell>
          <cell r="R632">
            <v>230</v>
          </cell>
          <cell r="S632">
            <v>0</v>
          </cell>
          <cell r="T632">
            <v>0</v>
          </cell>
          <cell r="U632">
            <v>178</v>
          </cell>
          <cell r="V632">
            <v>187</v>
          </cell>
          <cell r="W632">
            <v>203</v>
          </cell>
          <cell r="X632">
            <v>207</v>
          </cell>
          <cell r="Y632">
            <v>170</v>
          </cell>
          <cell r="Z632">
            <v>170</v>
          </cell>
          <cell r="AA632">
            <v>178</v>
          </cell>
          <cell r="AB632">
            <v>187</v>
          </cell>
          <cell r="AC632">
            <v>203</v>
          </cell>
          <cell r="AD632">
            <v>207</v>
          </cell>
        </row>
        <row r="633">
          <cell r="C633" t="str">
            <v>표정 2</v>
          </cell>
          <cell r="D633" t="str">
            <v>계</v>
          </cell>
          <cell r="F633">
            <v>5</v>
          </cell>
          <cell r="H633">
            <v>0.75</v>
          </cell>
          <cell r="I633">
            <v>0.8</v>
          </cell>
          <cell r="J633">
            <v>0.85</v>
          </cell>
          <cell r="K633">
            <v>0.9</v>
          </cell>
          <cell r="L633">
            <v>0.9</v>
          </cell>
          <cell r="M633">
            <v>210</v>
          </cell>
          <cell r="N633">
            <v>211</v>
          </cell>
          <cell r="O633">
            <v>207</v>
          </cell>
          <cell r="P633">
            <v>205</v>
          </cell>
          <cell r="Q633">
            <v>210</v>
          </cell>
          <cell r="R633">
            <v>214</v>
          </cell>
          <cell r="S633">
            <v>0</v>
          </cell>
          <cell r="T633">
            <v>0</v>
          </cell>
          <cell r="U633">
            <v>166</v>
          </cell>
          <cell r="V633">
            <v>174</v>
          </cell>
          <cell r="W633">
            <v>189</v>
          </cell>
          <cell r="X633">
            <v>193</v>
          </cell>
          <cell r="Y633">
            <v>158</v>
          </cell>
          <cell r="Z633">
            <v>158</v>
          </cell>
          <cell r="AA633">
            <v>166</v>
          </cell>
          <cell r="AB633">
            <v>174</v>
          </cell>
          <cell r="AC633">
            <v>189</v>
          </cell>
          <cell r="AD633">
            <v>193</v>
          </cell>
        </row>
        <row r="634">
          <cell r="C634" t="str">
            <v>덕암리</v>
          </cell>
          <cell r="D634" t="str">
            <v>소계</v>
          </cell>
          <cell r="M634">
            <v>255</v>
          </cell>
          <cell r="N634">
            <v>255</v>
          </cell>
          <cell r="O634">
            <v>252</v>
          </cell>
          <cell r="P634">
            <v>249</v>
          </cell>
          <cell r="Q634">
            <v>255</v>
          </cell>
          <cell r="R634">
            <v>260</v>
          </cell>
          <cell r="S634">
            <v>0</v>
          </cell>
          <cell r="T634">
            <v>0</v>
          </cell>
          <cell r="U634">
            <v>0</v>
          </cell>
          <cell r="V634">
            <v>212</v>
          </cell>
          <cell r="W634">
            <v>230</v>
          </cell>
          <cell r="X634">
            <v>234</v>
          </cell>
          <cell r="Y634">
            <v>0</v>
          </cell>
          <cell r="Z634">
            <v>0</v>
          </cell>
          <cell r="AA634">
            <v>0</v>
          </cell>
          <cell r="AB634">
            <v>212</v>
          </cell>
          <cell r="AC634">
            <v>230</v>
          </cell>
          <cell r="AD634">
            <v>234</v>
          </cell>
        </row>
        <row r="635">
          <cell r="C635" t="str">
            <v>덕암 1</v>
          </cell>
          <cell r="D635" t="str">
            <v>계</v>
          </cell>
          <cell r="F635">
            <v>2</v>
          </cell>
          <cell r="H635">
            <v>0.75</v>
          </cell>
          <cell r="I635">
            <v>0.8</v>
          </cell>
          <cell r="J635">
            <v>0.85</v>
          </cell>
          <cell r="K635">
            <v>0.9</v>
          </cell>
          <cell r="L635">
            <v>0.9</v>
          </cell>
          <cell r="M635">
            <v>164</v>
          </cell>
          <cell r="N635">
            <v>164</v>
          </cell>
          <cell r="O635">
            <v>162</v>
          </cell>
          <cell r="P635">
            <v>160</v>
          </cell>
          <cell r="Q635">
            <v>164</v>
          </cell>
          <cell r="R635">
            <v>167</v>
          </cell>
          <cell r="S635">
            <v>0</v>
          </cell>
          <cell r="T635">
            <v>0</v>
          </cell>
          <cell r="U635">
            <v>0</v>
          </cell>
          <cell r="V635">
            <v>136</v>
          </cell>
          <cell r="W635">
            <v>148</v>
          </cell>
          <cell r="X635">
            <v>150</v>
          </cell>
          <cell r="Y635">
            <v>0</v>
          </cell>
          <cell r="Z635">
            <v>0</v>
          </cell>
          <cell r="AA635">
            <v>0</v>
          </cell>
          <cell r="AB635">
            <v>136</v>
          </cell>
          <cell r="AC635">
            <v>148</v>
          </cell>
          <cell r="AD635">
            <v>150</v>
          </cell>
        </row>
        <row r="636">
          <cell r="C636" t="str">
            <v>덕암 2</v>
          </cell>
          <cell r="D636" t="str">
            <v>계</v>
          </cell>
          <cell r="F636">
            <v>2</v>
          </cell>
          <cell r="H636">
            <v>0.75</v>
          </cell>
          <cell r="I636">
            <v>0.8</v>
          </cell>
          <cell r="J636">
            <v>0.85</v>
          </cell>
          <cell r="K636">
            <v>0.9</v>
          </cell>
          <cell r="L636">
            <v>0.9</v>
          </cell>
          <cell r="M636">
            <v>91</v>
          </cell>
          <cell r="N636">
            <v>91</v>
          </cell>
          <cell r="O636">
            <v>90</v>
          </cell>
          <cell r="P636">
            <v>89</v>
          </cell>
          <cell r="Q636">
            <v>91</v>
          </cell>
          <cell r="R636">
            <v>93</v>
          </cell>
          <cell r="S636">
            <v>0</v>
          </cell>
          <cell r="T636">
            <v>0</v>
          </cell>
          <cell r="U636">
            <v>0</v>
          </cell>
          <cell r="V636">
            <v>76</v>
          </cell>
          <cell r="W636">
            <v>82</v>
          </cell>
          <cell r="X636">
            <v>84</v>
          </cell>
          <cell r="Y636">
            <v>0</v>
          </cell>
          <cell r="Z636">
            <v>0</v>
          </cell>
          <cell r="AA636">
            <v>0</v>
          </cell>
          <cell r="AB636">
            <v>76</v>
          </cell>
          <cell r="AC636">
            <v>82</v>
          </cell>
          <cell r="AD636">
            <v>84</v>
          </cell>
        </row>
        <row r="637">
          <cell r="C637" t="str">
            <v>장전리</v>
          </cell>
          <cell r="D637" t="str">
            <v>소계</v>
          </cell>
          <cell r="M637">
            <v>453</v>
          </cell>
          <cell r="N637">
            <v>454</v>
          </cell>
          <cell r="O637">
            <v>446</v>
          </cell>
          <cell r="P637">
            <v>442</v>
          </cell>
          <cell r="Q637">
            <v>452</v>
          </cell>
          <cell r="R637">
            <v>461</v>
          </cell>
          <cell r="S637">
            <v>153</v>
          </cell>
          <cell r="T637">
            <v>154</v>
          </cell>
          <cell r="U637">
            <v>357</v>
          </cell>
          <cell r="V637">
            <v>376</v>
          </cell>
          <cell r="W637">
            <v>407</v>
          </cell>
          <cell r="X637">
            <v>415</v>
          </cell>
          <cell r="Y637">
            <v>153</v>
          </cell>
          <cell r="Z637">
            <v>154</v>
          </cell>
          <cell r="AA637">
            <v>357</v>
          </cell>
          <cell r="AB637">
            <v>376</v>
          </cell>
          <cell r="AC637">
            <v>407</v>
          </cell>
          <cell r="AD637">
            <v>415</v>
          </cell>
        </row>
        <row r="638">
          <cell r="C638" t="str">
            <v>장전 1</v>
          </cell>
          <cell r="D638" t="str">
            <v>계</v>
          </cell>
          <cell r="F638">
            <v>0</v>
          </cell>
          <cell r="H638">
            <v>0.75</v>
          </cell>
          <cell r="I638">
            <v>0.8</v>
          </cell>
          <cell r="J638">
            <v>0.85</v>
          </cell>
          <cell r="K638">
            <v>0.9</v>
          </cell>
          <cell r="L638">
            <v>0.9</v>
          </cell>
          <cell r="M638">
            <v>204</v>
          </cell>
          <cell r="N638">
            <v>205</v>
          </cell>
          <cell r="O638">
            <v>201</v>
          </cell>
          <cell r="P638">
            <v>199</v>
          </cell>
          <cell r="Q638">
            <v>203</v>
          </cell>
          <cell r="R638">
            <v>207</v>
          </cell>
          <cell r="S638">
            <v>153</v>
          </cell>
          <cell r="T638">
            <v>154</v>
          </cell>
          <cell r="U638">
            <v>161</v>
          </cell>
          <cell r="V638">
            <v>169</v>
          </cell>
          <cell r="W638">
            <v>183</v>
          </cell>
          <cell r="X638">
            <v>186</v>
          </cell>
          <cell r="Y638">
            <v>153</v>
          </cell>
          <cell r="Z638">
            <v>154</v>
          </cell>
          <cell r="AA638">
            <v>161</v>
          </cell>
          <cell r="AB638">
            <v>169</v>
          </cell>
          <cell r="AC638">
            <v>183</v>
          </cell>
          <cell r="AD638">
            <v>186</v>
          </cell>
        </row>
        <row r="639">
          <cell r="C639" t="str">
            <v>장전 2</v>
          </cell>
          <cell r="D639" t="str">
            <v>계</v>
          </cell>
          <cell r="F639">
            <v>1</v>
          </cell>
          <cell r="H639">
            <v>0.75</v>
          </cell>
          <cell r="I639">
            <v>0.8</v>
          </cell>
          <cell r="J639">
            <v>0.85</v>
          </cell>
          <cell r="K639">
            <v>0.9</v>
          </cell>
          <cell r="L639">
            <v>0.9</v>
          </cell>
          <cell r="M639">
            <v>103</v>
          </cell>
          <cell r="N639">
            <v>103</v>
          </cell>
          <cell r="O639">
            <v>101</v>
          </cell>
          <cell r="P639">
            <v>100</v>
          </cell>
          <cell r="Q639">
            <v>103</v>
          </cell>
          <cell r="R639">
            <v>105</v>
          </cell>
          <cell r="S639">
            <v>0</v>
          </cell>
          <cell r="T639">
            <v>0</v>
          </cell>
          <cell r="U639">
            <v>81</v>
          </cell>
          <cell r="V639">
            <v>85</v>
          </cell>
          <cell r="W639">
            <v>93</v>
          </cell>
          <cell r="X639">
            <v>95</v>
          </cell>
          <cell r="Y639">
            <v>0</v>
          </cell>
          <cell r="Z639">
            <v>0</v>
          </cell>
          <cell r="AA639">
            <v>81</v>
          </cell>
          <cell r="AB639">
            <v>85</v>
          </cell>
          <cell r="AC639">
            <v>93</v>
          </cell>
          <cell r="AD639">
            <v>95</v>
          </cell>
        </row>
        <row r="640">
          <cell r="C640" t="str">
            <v>장전 3</v>
          </cell>
          <cell r="D640" t="str">
            <v>계</v>
          </cell>
          <cell r="F640">
            <v>1</v>
          </cell>
          <cell r="H640">
            <v>0.75</v>
          </cell>
          <cell r="I640">
            <v>0.8</v>
          </cell>
          <cell r="J640">
            <v>0.85</v>
          </cell>
          <cell r="K640">
            <v>0.9</v>
          </cell>
          <cell r="L640">
            <v>0.9</v>
          </cell>
          <cell r="M640">
            <v>146</v>
          </cell>
          <cell r="N640">
            <v>146</v>
          </cell>
          <cell r="O640">
            <v>144</v>
          </cell>
          <cell r="P640">
            <v>143</v>
          </cell>
          <cell r="Q640">
            <v>146</v>
          </cell>
          <cell r="R640">
            <v>149</v>
          </cell>
          <cell r="S640">
            <v>0</v>
          </cell>
          <cell r="T640">
            <v>0</v>
          </cell>
          <cell r="U640">
            <v>115</v>
          </cell>
          <cell r="V640">
            <v>122</v>
          </cell>
          <cell r="W640">
            <v>131</v>
          </cell>
          <cell r="X640">
            <v>134</v>
          </cell>
          <cell r="Y640">
            <v>0</v>
          </cell>
          <cell r="Z640">
            <v>0</v>
          </cell>
          <cell r="AA640">
            <v>115</v>
          </cell>
          <cell r="AB640">
            <v>122</v>
          </cell>
          <cell r="AC640">
            <v>131</v>
          </cell>
          <cell r="AD640">
            <v>134</v>
          </cell>
        </row>
        <row r="641">
          <cell r="C641" t="str">
            <v>백석리</v>
          </cell>
          <cell r="D641" t="str">
            <v>소계</v>
          </cell>
          <cell r="M641">
            <v>495</v>
          </cell>
          <cell r="N641">
            <v>495</v>
          </cell>
          <cell r="O641">
            <v>488</v>
          </cell>
          <cell r="P641">
            <v>483</v>
          </cell>
          <cell r="Q641">
            <v>495</v>
          </cell>
          <cell r="R641">
            <v>503</v>
          </cell>
          <cell r="S641">
            <v>0</v>
          </cell>
          <cell r="T641">
            <v>0</v>
          </cell>
          <cell r="U641">
            <v>0</v>
          </cell>
          <cell r="V641">
            <v>411</v>
          </cell>
          <cell r="W641">
            <v>446</v>
          </cell>
          <cell r="X641">
            <v>453</v>
          </cell>
          <cell r="Y641">
            <v>0</v>
          </cell>
          <cell r="Z641">
            <v>0</v>
          </cell>
          <cell r="AA641">
            <v>0</v>
          </cell>
          <cell r="AB641">
            <v>411</v>
          </cell>
          <cell r="AC641">
            <v>446</v>
          </cell>
          <cell r="AD641">
            <v>453</v>
          </cell>
        </row>
        <row r="642">
          <cell r="C642" t="str">
            <v>백석 1</v>
          </cell>
          <cell r="D642" t="str">
            <v>계</v>
          </cell>
          <cell r="F642">
            <v>2</v>
          </cell>
          <cell r="H642">
            <v>0.75</v>
          </cell>
          <cell r="I642">
            <v>0.8</v>
          </cell>
          <cell r="J642">
            <v>0.85</v>
          </cell>
          <cell r="K642">
            <v>0.9</v>
          </cell>
          <cell r="L642">
            <v>0.9</v>
          </cell>
          <cell r="M642">
            <v>59</v>
          </cell>
          <cell r="N642">
            <v>59</v>
          </cell>
          <cell r="O642">
            <v>58</v>
          </cell>
          <cell r="P642">
            <v>58</v>
          </cell>
          <cell r="Q642">
            <v>59</v>
          </cell>
          <cell r="R642">
            <v>60</v>
          </cell>
          <cell r="S642">
            <v>0</v>
          </cell>
          <cell r="T642">
            <v>0</v>
          </cell>
          <cell r="U642">
            <v>0</v>
          </cell>
          <cell r="V642">
            <v>49</v>
          </cell>
          <cell r="W642">
            <v>53</v>
          </cell>
          <cell r="X642">
            <v>54</v>
          </cell>
          <cell r="Y642">
            <v>0</v>
          </cell>
          <cell r="Z642">
            <v>0</v>
          </cell>
          <cell r="AA642">
            <v>0</v>
          </cell>
          <cell r="AB642">
            <v>49</v>
          </cell>
          <cell r="AC642">
            <v>53</v>
          </cell>
          <cell r="AD642">
            <v>54</v>
          </cell>
        </row>
        <row r="643">
          <cell r="C643" t="str">
            <v>백석 2</v>
          </cell>
          <cell r="D643" t="str">
            <v>계</v>
          </cell>
          <cell r="F643">
            <v>2</v>
          </cell>
          <cell r="H643">
            <v>0.75</v>
          </cell>
          <cell r="I643">
            <v>0.8</v>
          </cell>
          <cell r="J643">
            <v>0.85</v>
          </cell>
          <cell r="K643">
            <v>0.9</v>
          </cell>
          <cell r="L643">
            <v>0.9</v>
          </cell>
          <cell r="M643">
            <v>83</v>
          </cell>
          <cell r="N643">
            <v>83</v>
          </cell>
          <cell r="O643">
            <v>82</v>
          </cell>
          <cell r="P643">
            <v>81</v>
          </cell>
          <cell r="Q643">
            <v>83</v>
          </cell>
          <cell r="R643">
            <v>84</v>
          </cell>
          <cell r="S643">
            <v>0</v>
          </cell>
          <cell r="T643">
            <v>0</v>
          </cell>
          <cell r="U643">
            <v>0</v>
          </cell>
          <cell r="V643">
            <v>69</v>
          </cell>
          <cell r="W643">
            <v>75</v>
          </cell>
          <cell r="X643">
            <v>76</v>
          </cell>
          <cell r="Y643">
            <v>0</v>
          </cell>
          <cell r="Z643">
            <v>0</v>
          </cell>
          <cell r="AA643">
            <v>0</v>
          </cell>
          <cell r="AB643">
            <v>69</v>
          </cell>
          <cell r="AC643">
            <v>75</v>
          </cell>
          <cell r="AD643">
            <v>76</v>
          </cell>
        </row>
        <row r="644">
          <cell r="C644" t="str">
            <v>백석 3</v>
          </cell>
          <cell r="D644" t="str">
            <v>계</v>
          </cell>
          <cell r="F644">
            <v>2</v>
          </cell>
          <cell r="H644">
            <v>0.75</v>
          </cell>
          <cell r="I644">
            <v>0.8</v>
          </cell>
          <cell r="J644">
            <v>0.85</v>
          </cell>
          <cell r="K644">
            <v>0.9</v>
          </cell>
          <cell r="L644">
            <v>0.9</v>
          </cell>
          <cell r="M644">
            <v>194</v>
          </cell>
          <cell r="N644">
            <v>194</v>
          </cell>
          <cell r="O644">
            <v>191</v>
          </cell>
          <cell r="P644">
            <v>189</v>
          </cell>
          <cell r="Q644">
            <v>194</v>
          </cell>
          <cell r="R644">
            <v>197</v>
          </cell>
          <cell r="S644">
            <v>0</v>
          </cell>
          <cell r="T644">
            <v>0</v>
          </cell>
          <cell r="U644">
            <v>0</v>
          </cell>
          <cell r="V644">
            <v>161</v>
          </cell>
          <cell r="W644">
            <v>175</v>
          </cell>
          <cell r="X644">
            <v>177</v>
          </cell>
          <cell r="Y644">
            <v>0</v>
          </cell>
          <cell r="Z644">
            <v>0</v>
          </cell>
          <cell r="AA644">
            <v>0</v>
          </cell>
          <cell r="AB644">
            <v>161</v>
          </cell>
          <cell r="AC644">
            <v>175</v>
          </cell>
          <cell r="AD644">
            <v>177</v>
          </cell>
        </row>
        <row r="645">
          <cell r="C645" t="str">
            <v>백석 4</v>
          </cell>
          <cell r="D645" t="str">
            <v>계</v>
          </cell>
          <cell r="F645">
            <v>2</v>
          </cell>
          <cell r="H645">
            <v>0.75</v>
          </cell>
          <cell r="I645">
            <v>0.8</v>
          </cell>
          <cell r="J645">
            <v>0.85</v>
          </cell>
          <cell r="K645">
            <v>0.9</v>
          </cell>
          <cell r="L645">
            <v>0.9</v>
          </cell>
          <cell r="M645">
            <v>159</v>
          </cell>
          <cell r="N645">
            <v>159</v>
          </cell>
          <cell r="O645">
            <v>157</v>
          </cell>
          <cell r="P645">
            <v>155</v>
          </cell>
          <cell r="Q645">
            <v>159</v>
          </cell>
          <cell r="R645">
            <v>162</v>
          </cell>
          <cell r="S645">
            <v>0</v>
          </cell>
          <cell r="T645">
            <v>0</v>
          </cell>
          <cell r="U645">
            <v>0</v>
          </cell>
          <cell r="V645">
            <v>132</v>
          </cell>
          <cell r="W645">
            <v>143</v>
          </cell>
          <cell r="X645">
            <v>146</v>
          </cell>
          <cell r="Y645">
            <v>0</v>
          </cell>
          <cell r="Z645">
            <v>0</v>
          </cell>
          <cell r="AA645">
            <v>0</v>
          </cell>
          <cell r="AB645">
            <v>132</v>
          </cell>
          <cell r="AC645">
            <v>143</v>
          </cell>
          <cell r="AD645">
            <v>146</v>
          </cell>
        </row>
        <row r="646">
          <cell r="C646" t="str">
            <v>어은리</v>
          </cell>
          <cell r="D646" t="str">
            <v>소계</v>
          </cell>
          <cell r="M646">
            <v>204</v>
          </cell>
          <cell r="N646">
            <v>205</v>
          </cell>
          <cell r="O646">
            <v>201</v>
          </cell>
          <cell r="P646">
            <v>200</v>
          </cell>
          <cell r="Q646">
            <v>204</v>
          </cell>
          <cell r="R646">
            <v>208</v>
          </cell>
          <cell r="S646">
            <v>0</v>
          </cell>
          <cell r="T646">
            <v>0</v>
          </cell>
          <cell r="U646">
            <v>0</v>
          </cell>
          <cell r="V646">
            <v>170</v>
          </cell>
          <cell r="W646">
            <v>184</v>
          </cell>
          <cell r="X646">
            <v>187</v>
          </cell>
          <cell r="Y646">
            <v>0</v>
          </cell>
          <cell r="Z646">
            <v>0</v>
          </cell>
          <cell r="AA646">
            <v>0</v>
          </cell>
          <cell r="AB646">
            <v>170</v>
          </cell>
          <cell r="AC646">
            <v>184</v>
          </cell>
          <cell r="AD646">
            <v>187</v>
          </cell>
        </row>
        <row r="647">
          <cell r="C647" t="str">
            <v>어은 1</v>
          </cell>
          <cell r="D647" t="str">
            <v>계</v>
          </cell>
          <cell r="F647">
            <v>2</v>
          </cell>
          <cell r="H647">
            <v>0.75</v>
          </cell>
          <cell r="I647">
            <v>0.8</v>
          </cell>
          <cell r="J647">
            <v>0.85</v>
          </cell>
          <cell r="K647">
            <v>0.9</v>
          </cell>
          <cell r="L647">
            <v>0.9</v>
          </cell>
          <cell r="M647">
            <v>109</v>
          </cell>
          <cell r="N647">
            <v>109</v>
          </cell>
          <cell r="O647">
            <v>107</v>
          </cell>
          <cell r="P647">
            <v>107</v>
          </cell>
          <cell r="Q647">
            <v>109</v>
          </cell>
          <cell r="R647">
            <v>111</v>
          </cell>
          <cell r="S647">
            <v>0</v>
          </cell>
          <cell r="T647">
            <v>0</v>
          </cell>
          <cell r="U647">
            <v>0</v>
          </cell>
          <cell r="V647">
            <v>91</v>
          </cell>
          <cell r="W647">
            <v>98</v>
          </cell>
          <cell r="X647">
            <v>100</v>
          </cell>
          <cell r="Y647">
            <v>0</v>
          </cell>
          <cell r="Z647">
            <v>0</v>
          </cell>
          <cell r="AA647">
            <v>0</v>
          </cell>
          <cell r="AB647">
            <v>91</v>
          </cell>
          <cell r="AC647">
            <v>98</v>
          </cell>
          <cell r="AD647">
            <v>100</v>
          </cell>
        </row>
        <row r="648">
          <cell r="C648" t="str">
            <v>어은 2</v>
          </cell>
          <cell r="D648" t="str">
            <v>계</v>
          </cell>
          <cell r="F648">
            <v>2</v>
          </cell>
          <cell r="H648">
            <v>0.75</v>
          </cell>
          <cell r="I648">
            <v>0.8</v>
          </cell>
          <cell r="J648">
            <v>0.85</v>
          </cell>
          <cell r="K648">
            <v>0.9</v>
          </cell>
          <cell r="L648">
            <v>0.9</v>
          </cell>
          <cell r="M648">
            <v>95</v>
          </cell>
          <cell r="N648">
            <v>96</v>
          </cell>
          <cell r="O648">
            <v>94</v>
          </cell>
          <cell r="P648">
            <v>93</v>
          </cell>
          <cell r="Q648">
            <v>95</v>
          </cell>
          <cell r="R648">
            <v>97</v>
          </cell>
          <cell r="S648">
            <v>0</v>
          </cell>
          <cell r="T648">
            <v>0</v>
          </cell>
          <cell r="U648">
            <v>0</v>
          </cell>
          <cell r="V648">
            <v>79</v>
          </cell>
          <cell r="W648">
            <v>86</v>
          </cell>
          <cell r="X648">
            <v>87</v>
          </cell>
          <cell r="Y648">
            <v>0</v>
          </cell>
          <cell r="Z648">
            <v>0</v>
          </cell>
          <cell r="AA648">
            <v>0</v>
          </cell>
          <cell r="AB648">
            <v>79</v>
          </cell>
          <cell r="AC648">
            <v>86</v>
          </cell>
          <cell r="AD648">
            <v>87</v>
          </cell>
        </row>
        <row r="649">
          <cell r="C649" t="str">
            <v>사포리</v>
          </cell>
          <cell r="D649" t="str">
            <v>소계</v>
          </cell>
          <cell r="E649">
            <v>67167</v>
          </cell>
          <cell r="M649">
            <v>156</v>
          </cell>
          <cell r="N649">
            <v>156</v>
          </cell>
          <cell r="O649">
            <v>154</v>
          </cell>
          <cell r="P649">
            <v>152</v>
          </cell>
          <cell r="Q649">
            <v>156</v>
          </cell>
          <cell r="R649">
            <v>159</v>
          </cell>
          <cell r="S649">
            <v>0</v>
          </cell>
          <cell r="T649">
            <v>0</v>
          </cell>
          <cell r="U649">
            <v>0</v>
          </cell>
          <cell r="V649">
            <v>129</v>
          </cell>
          <cell r="W649">
            <v>142</v>
          </cell>
          <cell r="X649">
            <v>144</v>
          </cell>
          <cell r="Y649">
            <v>0</v>
          </cell>
          <cell r="Z649">
            <v>0</v>
          </cell>
          <cell r="AA649">
            <v>0</v>
          </cell>
          <cell r="AB649">
            <v>129</v>
          </cell>
          <cell r="AC649">
            <v>142</v>
          </cell>
          <cell r="AD649">
            <v>144</v>
          </cell>
        </row>
        <row r="650">
          <cell r="D650" t="str">
            <v>중뜸</v>
          </cell>
          <cell r="E650">
            <v>10499</v>
          </cell>
          <cell r="F650">
            <v>2</v>
          </cell>
          <cell r="H650">
            <v>0.75</v>
          </cell>
          <cell r="I650">
            <v>0.8</v>
          </cell>
          <cell r="J650">
            <v>0.85</v>
          </cell>
          <cell r="K650">
            <v>0.9</v>
          </cell>
          <cell r="L650">
            <v>0.9</v>
          </cell>
          <cell r="M650">
            <v>24</v>
          </cell>
          <cell r="N650">
            <v>24</v>
          </cell>
          <cell r="O650">
            <v>24</v>
          </cell>
          <cell r="P650">
            <v>24</v>
          </cell>
          <cell r="Q650">
            <v>24</v>
          </cell>
          <cell r="R650">
            <v>25</v>
          </cell>
          <cell r="S650">
            <v>0</v>
          </cell>
          <cell r="T650">
            <v>0</v>
          </cell>
          <cell r="U650">
            <v>0</v>
          </cell>
          <cell r="V650">
            <v>20</v>
          </cell>
          <cell r="W650">
            <v>22</v>
          </cell>
          <cell r="X650">
            <v>23</v>
          </cell>
          <cell r="Y650">
            <v>0</v>
          </cell>
          <cell r="Z650">
            <v>0</v>
          </cell>
          <cell r="AA650">
            <v>0</v>
          </cell>
          <cell r="AB650">
            <v>20</v>
          </cell>
          <cell r="AC650">
            <v>22</v>
          </cell>
          <cell r="AD650">
            <v>23</v>
          </cell>
        </row>
        <row r="651">
          <cell r="D651" t="str">
            <v>작수내</v>
          </cell>
          <cell r="E651">
            <v>5409</v>
          </cell>
          <cell r="F651">
            <v>2</v>
          </cell>
          <cell r="H651">
            <v>0.75</v>
          </cell>
          <cell r="I651">
            <v>0.8</v>
          </cell>
          <cell r="J651">
            <v>0.85</v>
          </cell>
          <cell r="K651">
            <v>0.9</v>
          </cell>
          <cell r="L651">
            <v>0.9</v>
          </cell>
          <cell r="M651">
            <v>13</v>
          </cell>
          <cell r="N651">
            <v>13</v>
          </cell>
          <cell r="O651">
            <v>12</v>
          </cell>
          <cell r="P651">
            <v>12</v>
          </cell>
          <cell r="Q651">
            <v>13</v>
          </cell>
          <cell r="R651">
            <v>13</v>
          </cell>
          <cell r="S651">
            <v>0</v>
          </cell>
          <cell r="T651">
            <v>0</v>
          </cell>
          <cell r="U651">
            <v>0</v>
          </cell>
          <cell r="V651">
            <v>10</v>
          </cell>
          <cell r="W651">
            <v>12</v>
          </cell>
          <cell r="X651">
            <v>12</v>
          </cell>
          <cell r="Y651">
            <v>0</v>
          </cell>
          <cell r="Z651">
            <v>0</v>
          </cell>
          <cell r="AA651">
            <v>0</v>
          </cell>
          <cell r="AB651">
            <v>10</v>
          </cell>
          <cell r="AC651">
            <v>12</v>
          </cell>
          <cell r="AD651">
            <v>12</v>
          </cell>
        </row>
        <row r="652">
          <cell r="D652" t="str">
            <v>망골</v>
          </cell>
          <cell r="E652">
            <v>27697</v>
          </cell>
          <cell r="F652">
            <v>2</v>
          </cell>
          <cell r="H652">
            <v>0.75</v>
          </cell>
          <cell r="I652">
            <v>0.8</v>
          </cell>
          <cell r="J652">
            <v>0.85</v>
          </cell>
          <cell r="K652">
            <v>0.9</v>
          </cell>
          <cell r="L652">
            <v>0.9</v>
          </cell>
          <cell r="M652">
            <v>64</v>
          </cell>
          <cell r="N652">
            <v>64</v>
          </cell>
          <cell r="O652">
            <v>64</v>
          </cell>
          <cell r="P652">
            <v>63</v>
          </cell>
          <cell r="Q652">
            <v>64</v>
          </cell>
          <cell r="R652">
            <v>66</v>
          </cell>
          <cell r="S652">
            <v>0</v>
          </cell>
          <cell r="T652">
            <v>0</v>
          </cell>
          <cell r="U652">
            <v>0</v>
          </cell>
          <cell r="V652">
            <v>54</v>
          </cell>
          <cell r="W652">
            <v>58</v>
          </cell>
          <cell r="X652">
            <v>59</v>
          </cell>
          <cell r="Y652">
            <v>0</v>
          </cell>
          <cell r="Z652">
            <v>0</v>
          </cell>
          <cell r="AA652">
            <v>0</v>
          </cell>
          <cell r="AB652">
            <v>54</v>
          </cell>
          <cell r="AC652">
            <v>58</v>
          </cell>
          <cell r="AD652">
            <v>59</v>
          </cell>
        </row>
        <row r="653">
          <cell r="D653" t="str">
            <v>살포재골</v>
          </cell>
          <cell r="E653">
            <v>23562</v>
          </cell>
          <cell r="F653">
            <v>2</v>
          </cell>
          <cell r="H653">
            <v>0.75</v>
          </cell>
          <cell r="I653">
            <v>0.8</v>
          </cell>
          <cell r="J653">
            <v>0.85</v>
          </cell>
          <cell r="K653">
            <v>0.9</v>
          </cell>
          <cell r="L653">
            <v>0.9</v>
          </cell>
          <cell r="M653">
            <v>55</v>
          </cell>
          <cell r="N653">
            <v>55</v>
          </cell>
          <cell r="O653">
            <v>54</v>
          </cell>
          <cell r="P653">
            <v>53</v>
          </cell>
          <cell r="Q653">
            <v>55</v>
          </cell>
          <cell r="R653">
            <v>55</v>
          </cell>
          <cell r="S653">
            <v>0</v>
          </cell>
          <cell r="T653">
            <v>0</v>
          </cell>
          <cell r="U653">
            <v>0</v>
          </cell>
          <cell r="V653">
            <v>45</v>
          </cell>
          <cell r="W653">
            <v>50</v>
          </cell>
          <cell r="X653">
            <v>50</v>
          </cell>
          <cell r="Y653">
            <v>0</v>
          </cell>
          <cell r="Z653">
            <v>0</v>
          </cell>
          <cell r="AA653">
            <v>0</v>
          </cell>
          <cell r="AB653">
            <v>45</v>
          </cell>
          <cell r="AC653">
            <v>50</v>
          </cell>
          <cell r="AD653">
            <v>50</v>
          </cell>
        </row>
        <row r="654">
          <cell r="C654" t="str">
            <v>송산리</v>
          </cell>
          <cell r="D654" t="str">
            <v>소계</v>
          </cell>
          <cell r="M654">
            <v>200</v>
          </cell>
          <cell r="N654">
            <v>201</v>
          </cell>
          <cell r="O654">
            <v>198</v>
          </cell>
          <cell r="P654">
            <v>194</v>
          </cell>
          <cell r="Q654">
            <v>199</v>
          </cell>
          <cell r="R654">
            <v>203</v>
          </cell>
          <cell r="S654">
            <v>150</v>
          </cell>
          <cell r="T654">
            <v>151</v>
          </cell>
          <cell r="U654">
            <v>159</v>
          </cell>
          <cell r="V654">
            <v>165</v>
          </cell>
          <cell r="W654">
            <v>179</v>
          </cell>
          <cell r="X654">
            <v>183</v>
          </cell>
          <cell r="Y654">
            <v>150</v>
          </cell>
          <cell r="Z654">
            <v>151</v>
          </cell>
          <cell r="AA654">
            <v>159</v>
          </cell>
          <cell r="AB654">
            <v>165</v>
          </cell>
          <cell r="AC654">
            <v>179</v>
          </cell>
          <cell r="AD654">
            <v>183</v>
          </cell>
        </row>
        <row r="655">
          <cell r="C655" t="str">
            <v>송산 1</v>
          </cell>
          <cell r="D655" t="str">
            <v>계</v>
          </cell>
          <cell r="F655">
            <v>0</v>
          </cell>
          <cell r="H655">
            <v>0.75</v>
          </cell>
          <cell r="I655">
            <v>0.8</v>
          </cell>
          <cell r="J655">
            <v>0.85</v>
          </cell>
          <cell r="K655">
            <v>0.9</v>
          </cell>
          <cell r="L655">
            <v>0.9</v>
          </cell>
          <cell r="M655">
            <v>132</v>
          </cell>
          <cell r="N655">
            <v>133</v>
          </cell>
          <cell r="O655">
            <v>131</v>
          </cell>
          <cell r="P655">
            <v>128</v>
          </cell>
          <cell r="Q655">
            <v>131</v>
          </cell>
          <cell r="R655">
            <v>134</v>
          </cell>
          <cell r="S655">
            <v>99</v>
          </cell>
          <cell r="T655">
            <v>100</v>
          </cell>
          <cell r="U655">
            <v>105</v>
          </cell>
          <cell r="V655">
            <v>109</v>
          </cell>
          <cell r="W655">
            <v>118</v>
          </cell>
          <cell r="X655">
            <v>121</v>
          </cell>
          <cell r="Y655">
            <v>99</v>
          </cell>
          <cell r="Z655">
            <v>100</v>
          </cell>
          <cell r="AA655">
            <v>105</v>
          </cell>
          <cell r="AB655">
            <v>109</v>
          </cell>
          <cell r="AC655">
            <v>118</v>
          </cell>
          <cell r="AD655">
            <v>121</v>
          </cell>
        </row>
        <row r="656">
          <cell r="C656" t="str">
            <v>송산 2</v>
          </cell>
          <cell r="D656" t="str">
            <v>계</v>
          </cell>
          <cell r="F656">
            <v>0</v>
          </cell>
          <cell r="H656">
            <v>0.75</v>
          </cell>
          <cell r="I656">
            <v>0.8</v>
          </cell>
          <cell r="J656">
            <v>0.85</v>
          </cell>
          <cell r="K656">
            <v>0.9</v>
          </cell>
          <cell r="L656">
            <v>0.9</v>
          </cell>
          <cell r="M656">
            <v>68</v>
          </cell>
          <cell r="N656">
            <v>68</v>
          </cell>
          <cell r="O656">
            <v>67</v>
          </cell>
          <cell r="P656">
            <v>66</v>
          </cell>
          <cell r="Q656">
            <v>68</v>
          </cell>
          <cell r="R656">
            <v>69</v>
          </cell>
          <cell r="S656">
            <v>51</v>
          </cell>
          <cell r="T656">
            <v>51</v>
          </cell>
          <cell r="U656">
            <v>54</v>
          </cell>
          <cell r="V656">
            <v>56</v>
          </cell>
          <cell r="W656">
            <v>61</v>
          </cell>
          <cell r="X656">
            <v>62</v>
          </cell>
          <cell r="Y656">
            <v>51</v>
          </cell>
          <cell r="Z656">
            <v>51</v>
          </cell>
          <cell r="AA656">
            <v>54</v>
          </cell>
          <cell r="AB656">
            <v>56</v>
          </cell>
          <cell r="AC656">
            <v>61</v>
          </cell>
          <cell r="AD656">
            <v>62</v>
          </cell>
        </row>
        <row r="657">
          <cell r="C657" t="str">
            <v>오산리</v>
          </cell>
          <cell r="D657" t="str">
            <v>소계</v>
          </cell>
          <cell r="F657">
            <v>0</v>
          </cell>
          <cell r="H657">
            <v>0.75</v>
          </cell>
          <cell r="I657">
            <v>0.8</v>
          </cell>
          <cell r="J657">
            <v>0.85</v>
          </cell>
          <cell r="K657">
            <v>0.9</v>
          </cell>
          <cell r="L657">
            <v>0.9</v>
          </cell>
          <cell r="M657">
            <v>148</v>
          </cell>
          <cell r="N657">
            <v>148</v>
          </cell>
          <cell r="O657">
            <v>146</v>
          </cell>
          <cell r="P657">
            <v>145</v>
          </cell>
          <cell r="Q657">
            <v>148</v>
          </cell>
          <cell r="R657">
            <v>151</v>
          </cell>
          <cell r="S657">
            <v>111</v>
          </cell>
          <cell r="T657">
            <v>111</v>
          </cell>
          <cell r="U657">
            <v>117</v>
          </cell>
          <cell r="V657">
            <v>123</v>
          </cell>
          <cell r="W657">
            <v>133</v>
          </cell>
          <cell r="X657">
            <v>136</v>
          </cell>
          <cell r="Y657">
            <v>111</v>
          </cell>
          <cell r="Z657">
            <v>111</v>
          </cell>
          <cell r="AA657">
            <v>117</v>
          </cell>
          <cell r="AB657">
            <v>123</v>
          </cell>
          <cell r="AC657">
            <v>133</v>
          </cell>
          <cell r="AD657">
            <v>136</v>
          </cell>
        </row>
        <row r="658">
          <cell r="C658" t="str">
            <v>신양리</v>
          </cell>
          <cell r="D658" t="str">
            <v>소계</v>
          </cell>
          <cell r="M658">
            <v>359</v>
          </cell>
          <cell r="N658">
            <v>360</v>
          </cell>
          <cell r="O658">
            <v>354</v>
          </cell>
          <cell r="P658">
            <v>350</v>
          </cell>
          <cell r="Q658">
            <v>358</v>
          </cell>
          <cell r="R658">
            <v>364</v>
          </cell>
          <cell r="S658">
            <v>0</v>
          </cell>
          <cell r="T658">
            <v>0</v>
          </cell>
          <cell r="U658">
            <v>283</v>
          </cell>
          <cell r="V658">
            <v>297</v>
          </cell>
          <cell r="W658">
            <v>322</v>
          </cell>
          <cell r="X658">
            <v>328</v>
          </cell>
          <cell r="Y658">
            <v>0</v>
          </cell>
          <cell r="Z658">
            <v>0</v>
          </cell>
          <cell r="AA658">
            <v>283</v>
          </cell>
          <cell r="AB658">
            <v>297</v>
          </cell>
          <cell r="AC658">
            <v>322</v>
          </cell>
          <cell r="AD658">
            <v>328</v>
          </cell>
        </row>
        <row r="659">
          <cell r="C659" t="str">
            <v>신양 1</v>
          </cell>
          <cell r="D659" t="str">
            <v>계</v>
          </cell>
          <cell r="E659">
            <v>44602</v>
          </cell>
          <cell r="M659">
            <v>151</v>
          </cell>
          <cell r="N659">
            <v>151</v>
          </cell>
          <cell r="O659">
            <v>149</v>
          </cell>
          <cell r="P659">
            <v>147</v>
          </cell>
          <cell r="Q659">
            <v>150</v>
          </cell>
          <cell r="R659">
            <v>153</v>
          </cell>
          <cell r="S659">
            <v>0</v>
          </cell>
          <cell r="T659">
            <v>0</v>
          </cell>
          <cell r="U659">
            <v>119</v>
          </cell>
          <cell r="V659">
            <v>125</v>
          </cell>
          <cell r="W659">
            <v>135</v>
          </cell>
          <cell r="X659">
            <v>138</v>
          </cell>
          <cell r="Y659">
            <v>0</v>
          </cell>
          <cell r="Z659">
            <v>0</v>
          </cell>
          <cell r="AA659">
            <v>119</v>
          </cell>
          <cell r="AB659">
            <v>125</v>
          </cell>
          <cell r="AC659">
            <v>135</v>
          </cell>
          <cell r="AD659">
            <v>138</v>
          </cell>
        </row>
        <row r="660">
          <cell r="D660" t="str">
            <v>사청펄</v>
          </cell>
          <cell r="E660">
            <v>21778</v>
          </cell>
          <cell r="F660">
            <v>1</v>
          </cell>
          <cell r="H660">
            <v>0.75</v>
          </cell>
          <cell r="I660">
            <v>0.8</v>
          </cell>
          <cell r="J660">
            <v>0.85</v>
          </cell>
          <cell r="K660">
            <v>0.9</v>
          </cell>
          <cell r="L660">
            <v>0.9</v>
          </cell>
          <cell r="M660">
            <v>74</v>
          </cell>
          <cell r="N660">
            <v>74</v>
          </cell>
          <cell r="O660">
            <v>73</v>
          </cell>
          <cell r="P660">
            <v>72</v>
          </cell>
          <cell r="Q660">
            <v>73</v>
          </cell>
          <cell r="R660">
            <v>75</v>
          </cell>
          <cell r="S660">
            <v>0</v>
          </cell>
          <cell r="T660">
            <v>0</v>
          </cell>
          <cell r="U660">
            <v>58</v>
          </cell>
          <cell r="V660">
            <v>61</v>
          </cell>
          <cell r="W660">
            <v>66</v>
          </cell>
          <cell r="X660">
            <v>68</v>
          </cell>
          <cell r="Y660">
            <v>0</v>
          </cell>
          <cell r="Z660">
            <v>0</v>
          </cell>
          <cell r="AA660">
            <v>58</v>
          </cell>
          <cell r="AB660">
            <v>61</v>
          </cell>
          <cell r="AC660">
            <v>66</v>
          </cell>
          <cell r="AD660">
            <v>68</v>
          </cell>
        </row>
        <row r="661">
          <cell r="D661" t="str">
            <v>신앙뜸</v>
          </cell>
          <cell r="E661">
            <v>7953</v>
          </cell>
          <cell r="F661">
            <v>1</v>
          </cell>
          <cell r="H661">
            <v>0.75</v>
          </cell>
          <cell r="I661">
            <v>0.8</v>
          </cell>
          <cell r="J661">
            <v>0.85</v>
          </cell>
          <cell r="K661">
            <v>0.9</v>
          </cell>
          <cell r="L661">
            <v>0.9</v>
          </cell>
          <cell r="M661">
            <v>27</v>
          </cell>
          <cell r="N661">
            <v>27</v>
          </cell>
          <cell r="O661">
            <v>27</v>
          </cell>
          <cell r="P661">
            <v>26</v>
          </cell>
          <cell r="Q661">
            <v>27</v>
          </cell>
          <cell r="R661">
            <v>27</v>
          </cell>
          <cell r="S661">
            <v>0</v>
          </cell>
          <cell r="T661">
            <v>0</v>
          </cell>
          <cell r="U661">
            <v>22</v>
          </cell>
          <cell r="V661">
            <v>22</v>
          </cell>
          <cell r="W661">
            <v>24</v>
          </cell>
          <cell r="X661">
            <v>24</v>
          </cell>
          <cell r="Y661">
            <v>0</v>
          </cell>
          <cell r="Z661">
            <v>0</v>
          </cell>
          <cell r="AA661">
            <v>22</v>
          </cell>
          <cell r="AB661">
            <v>22</v>
          </cell>
          <cell r="AC661">
            <v>24</v>
          </cell>
          <cell r="AD661">
            <v>24</v>
          </cell>
        </row>
        <row r="662">
          <cell r="D662" t="str">
            <v>황산리</v>
          </cell>
          <cell r="E662">
            <v>14871</v>
          </cell>
          <cell r="F662">
            <v>1</v>
          </cell>
          <cell r="H662">
            <v>0.75</v>
          </cell>
          <cell r="I662">
            <v>0.8</v>
          </cell>
          <cell r="J662">
            <v>0.85</v>
          </cell>
          <cell r="K662">
            <v>0.9</v>
          </cell>
          <cell r="L662">
            <v>0.9</v>
          </cell>
          <cell r="M662">
            <v>50</v>
          </cell>
          <cell r="N662">
            <v>50</v>
          </cell>
          <cell r="O662">
            <v>49</v>
          </cell>
          <cell r="P662">
            <v>49</v>
          </cell>
          <cell r="Q662">
            <v>50</v>
          </cell>
          <cell r="R662">
            <v>51</v>
          </cell>
          <cell r="S662">
            <v>0</v>
          </cell>
          <cell r="T662">
            <v>0</v>
          </cell>
          <cell r="U662">
            <v>39</v>
          </cell>
          <cell r="V662">
            <v>42</v>
          </cell>
          <cell r="W662">
            <v>45</v>
          </cell>
          <cell r="X662">
            <v>46</v>
          </cell>
          <cell r="Y662">
            <v>0</v>
          </cell>
          <cell r="Z662">
            <v>0</v>
          </cell>
          <cell r="AA662">
            <v>39</v>
          </cell>
          <cell r="AB662">
            <v>42</v>
          </cell>
          <cell r="AC662">
            <v>45</v>
          </cell>
          <cell r="AD662">
            <v>46</v>
          </cell>
        </row>
        <row r="663">
          <cell r="C663" t="str">
            <v>신양 2</v>
          </cell>
          <cell r="D663" t="str">
            <v>계</v>
          </cell>
          <cell r="E663">
            <v>37856</v>
          </cell>
          <cell r="M663">
            <v>208</v>
          </cell>
          <cell r="N663">
            <v>209</v>
          </cell>
          <cell r="O663">
            <v>205</v>
          </cell>
          <cell r="P663">
            <v>203</v>
          </cell>
          <cell r="Q663">
            <v>208</v>
          </cell>
          <cell r="R663">
            <v>211</v>
          </cell>
          <cell r="S663">
            <v>0</v>
          </cell>
          <cell r="T663">
            <v>0</v>
          </cell>
          <cell r="U663">
            <v>164</v>
          </cell>
          <cell r="V663">
            <v>172</v>
          </cell>
          <cell r="W663">
            <v>187</v>
          </cell>
          <cell r="X663">
            <v>190</v>
          </cell>
          <cell r="Y663">
            <v>0</v>
          </cell>
          <cell r="Z663">
            <v>0</v>
          </cell>
          <cell r="AA663">
            <v>164</v>
          </cell>
          <cell r="AB663">
            <v>172</v>
          </cell>
          <cell r="AC663">
            <v>187</v>
          </cell>
          <cell r="AD663">
            <v>190</v>
          </cell>
        </row>
        <row r="664">
          <cell r="D664" t="str">
            <v>양동</v>
          </cell>
          <cell r="E664">
            <v>21743</v>
          </cell>
          <cell r="F664">
            <v>1</v>
          </cell>
          <cell r="H664">
            <v>0.75</v>
          </cell>
          <cell r="I664">
            <v>0.8</v>
          </cell>
          <cell r="J664">
            <v>0.85</v>
          </cell>
          <cell r="K664">
            <v>0.9</v>
          </cell>
          <cell r="L664">
            <v>0.9</v>
          </cell>
          <cell r="M664">
            <v>119</v>
          </cell>
          <cell r="N664">
            <v>120</v>
          </cell>
          <cell r="O664">
            <v>118</v>
          </cell>
          <cell r="P664">
            <v>117</v>
          </cell>
          <cell r="Q664">
            <v>119</v>
          </cell>
          <cell r="R664">
            <v>121</v>
          </cell>
          <cell r="S664">
            <v>0</v>
          </cell>
          <cell r="T664">
            <v>0</v>
          </cell>
          <cell r="U664">
            <v>94</v>
          </cell>
          <cell r="V664">
            <v>99</v>
          </cell>
          <cell r="W664">
            <v>107</v>
          </cell>
          <cell r="X664">
            <v>109</v>
          </cell>
          <cell r="Y664">
            <v>0</v>
          </cell>
          <cell r="Z664">
            <v>0</v>
          </cell>
          <cell r="AA664">
            <v>94</v>
          </cell>
          <cell r="AB664">
            <v>99</v>
          </cell>
          <cell r="AC664">
            <v>107</v>
          </cell>
          <cell r="AD664">
            <v>109</v>
          </cell>
        </row>
        <row r="665">
          <cell r="D665" t="str">
            <v>감나무골</v>
          </cell>
          <cell r="E665">
            <v>16113</v>
          </cell>
          <cell r="F665">
            <v>1</v>
          </cell>
          <cell r="H665">
            <v>0.75</v>
          </cell>
          <cell r="I665">
            <v>0.8</v>
          </cell>
          <cell r="J665">
            <v>0.85</v>
          </cell>
          <cell r="K665">
            <v>0.9</v>
          </cell>
          <cell r="L665">
            <v>0.9</v>
          </cell>
          <cell r="M665">
            <v>89</v>
          </cell>
          <cell r="N665">
            <v>89</v>
          </cell>
          <cell r="O665">
            <v>87</v>
          </cell>
          <cell r="P665">
            <v>86</v>
          </cell>
          <cell r="Q665">
            <v>89</v>
          </cell>
          <cell r="R665">
            <v>90</v>
          </cell>
          <cell r="S665">
            <v>0</v>
          </cell>
          <cell r="T665">
            <v>0</v>
          </cell>
          <cell r="U665">
            <v>70</v>
          </cell>
          <cell r="V665">
            <v>73</v>
          </cell>
          <cell r="W665">
            <v>80</v>
          </cell>
          <cell r="X665">
            <v>81</v>
          </cell>
          <cell r="Y665">
            <v>0</v>
          </cell>
          <cell r="Z665">
            <v>0</v>
          </cell>
          <cell r="AA665">
            <v>70</v>
          </cell>
          <cell r="AB665">
            <v>73</v>
          </cell>
          <cell r="AC665">
            <v>80</v>
          </cell>
          <cell r="AD665">
            <v>81</v>
          </cell>
        </row>
        <row r="666">
          <cell r="M666">
            <v>2871</v>
          </cell>
          <cell r="N666">
            <v>2877</v>
          </cell>
          <cell r="O666">
            <v>2833</v>
          </cell>
          <cell r="P666">
            <v>2800</v>
          </cell>
          <cell r="Q666">
            <v>2866</v>
          </cell>
          <cell r="R666">
            <v>2920</v>
          </cell>
          <cell r="S666">
            <v>0</v>
          </cell>
          <cell r="T666">
            <v>0</v>
          </cell>
          <cell r="U666">
            <v>0</v>
          </cell>
          <cell r="V666">
            <v>2241</v>
          </cell>
          <cell r="W666">
            <v>2292</v>
          </cell>
          <cell r="X666">
            <v>2336</v>
          </cell>
          <cell r="Y666">
            <v>0</v>
          </cell>
          <cell r="Z666">
            <v>0</v>
          </cell>
          <cell r="AA666">
            <v>0</v>
          </cell>
          <cell r="AB666">
            <v>2241</v>
          </cell>
          <cell r="AC666">
            <v>2292</v>
          </cell>
          <cell r="AD666">
            <v>2336</v>
          </cell>
        </row>
        <row r="667">
          <cell r="C667" t="str">
            <v>한삼천리</v>
          </cell>
          <cell r="D667" t="str">
            <v>소계</v>
          </cell>
          <cell r="M667">
            <v>418</v>
          </cell>
          <cell r="N667">
            <v>418</v>
          </cell>
          <cell r="O667">
            <v>412</v>
          </cell>
          <cell r="P667">
            <v>408</v>
          </cell>
          <cell r="Q667">
            <v>417</v>
          </cell>
          <cell r="R667">
            <v>425</v>
          </cell>
          <cell r="S667">
            <v>0</v>
          </cell>
          <cell r="T667">
            <v>0</v>
          </cell>
          <cell r="U667">
            <v>0</v>
          </cell>
          <cell r="V667">
            <v>327</v>
          </cell>
          <cell r="W667">
            <v>334</v>
          </cell>
          <cell r="X667">
            <v>341</v>
          </cell>
          <cell r="Y667">
            <v>0</v>
          </cell>
          <cell r="Z667">
            <v>0</v>
          </cell>
          <cell r="AA667">
            <v>0</v>
          </cell>
          <cell r="AB667">
            <v>327</v>
          </cell>
          <cell r="AC667">
            <v>334</v>
          </cell>
          <cell r="AD667">
            <v>341</v>
          </cell>
        </row>
        <row r="668">
          <cell r="C668" t="str">
            <v>한삼천 1</v>
          </cell>
          <cell r="D668" t="str">
            <v>계</v>
          </cell>
          <cell r="F668">
            <v>2</v>
          </cell>
          <cell r="H668">
            <v>0.7</v>
          </cell>
          <cell r="I668">
            <v>0.75</v>
          </cell>
          <cell r="J668">
            <v>0.8</v>
          </cell>
          <cell r="K668">
            <v>0.8</v>
          </cell>
          <cell r="L668">
            <v>0.8</v>
          </cell>
          <cell r="M668">
            <v>238</v>
          </cell>
          <cell r="N668">
            <v>238</v>
          </cell>
          <cell r="O668">
            <v>235</v>
          </cell>
          <cell r="P668">
            <v>232</v>
          </cell>
          <cell r="Q668">
            <v>237</v>
          </cell>
          <cell r="R668">
            <v>242</v>
          </cell>
          <cell r="S668">
            <v>0</v>
          </cell>
          <cell r="T668">
            <v>0</v>
          </cell>
          <cell r="U668">
            <v>0</v>
          </cell>
          <cell r="V668">
            <v>186</v>
          </cell>
          <cell r="W668">
            <v>190</v>
          </cell>
          <cell r="X668">
            <v>194</v>
          </cell>
          <cell r="Y668">
            <v>0</v>
          </cell>
          <cell r="Z668">
            <v>0</v>
          </cell>
          <cell r="AA668">
            <v>0</v>
          </cell>
          <cell r="AB668">
            <v>186</v>
          </cell>
          <cell r="AC668">
            <v>190</v>
          </cell>
          <cell r="AD668">
            <v>194</v>
          </cell>
        </row>
        <row r="669">
          <cell r="C669" t="str">
            <v>한삼천 2</v>
          </cell>
          <cell r="D669" t="str">
            <v>계</v>
          </cell>
          <cell r="F669">
            <v>2</v>
          </cell>
          <cell r="H669">
            <v>0.7</v>
          </cell>
          <cell r="I669">
            <v>0.75</v>
          </cell>
          <cell r="J669">
            <v>0.8</v>
          </cell>
          <cell r="K669">
            <v>0.8</v>
          </cell>
          <cell r="L669">
            <v>0.8</v>
          </cell>
          <cell r="M669">
            <v>60</v>
          </cell>
          <cell r="N669">
            <v>60</v>
          </cell>
          <cell r="O669">
            <v>59</v>
          </cell>
          <cell r="P669">
            <v>59</v>
          </cell>
          <cell r="Q669">
            <v>60</v>
          </cell>
          <cell r="R669">
            <v>61</v>
          </cell>
          <cell r="S669">
            <v>0</v>
          </cell>
          <cell r="T669">
            <v>0</v>
          </cell>
          <cell r="U669">
            <v>0</v>
          </cell>
          <cell r="V669">
            <v>47</v>
          </cell>
          <cell r="W669">
            <v>48</v>
          </cell>
          <cell r="X669">
            <v>49</v>
          </cell>
          <cell r="Y669">
            <v>0</v>
          </cell>
          <cell r="Z669">
            <v>0</v>
          </cell>
          <cell r="AA669">
            <v>0</v>
          </cell>
          <cell r="AB669">
            <v>47</v>
          </cell>
          <cell r="AC669">
            <v>48</v>
          </cell>
          <cell r="AD669">
            <v>49</v>
          </cell>
        </row>
        <row r="670">
          <cell r="C670" t="str">
            <v>한삼천 3</v>
          </cell>
          <cell r="D670" t="str">
            <v>계</v>
          </cell>
          <cell r="F670">
            <v>2</v>
          </cell>
          <cell r="H670">
            <v>0.7</v>
          </cell>
          <cell r="I670">
            <v>0.75</v>
          </cell>
          <cell r="J670">
            <v>0.8</v>
          </cell>
          <cell r="K670">
            <v>0.8</v>
          </cell>
          <cell r="L670">
            <v>0.8</v>
          </cell>
          <cell r="M670">
            <v>120</v>
          </cell>
          <cell r="N670">
            <v>120</v>
          </cell>
          <cell r="O670">
            <v>118</v>
          </cell>
          <cell r="P670">
            <v>117</v>
          </cell>
          <cell r="Q670">
            <v>120</v>
          </cell>
          <cell r="R670">
            <v>122</v>
          </cell>
          <cell r="S670">
            <v>0</v>
          </cell>
          <cell r="T670">
            <v>0</v>
          </cell>
          <cell r="U670">
            <v>0</v>
          </cell>
          <cell r="V670">
            <v>94</v>
          </cell>
          <cell r="W670">
            <v>96</v>
          </cell>
          <cell r="X670">
            <v>98</v>
          </cell>
          <cell r="Y670">
            <v>0</v>
          </cell>
          <cell r="Z670">
            <v>0</v>
          </cell>
          <cell r="AA670">
            <v>0</v>
          </cell>
          <cell r="AB670">
            <v>94</v>
          </cell>
          <cell r="AC670">
            <v>96</v>
          </cell>
          <cell r="AD670">
            <v>98</v>
          </cell>
        </row>
        <row r="671">
          <cell r="C671" t="str">
            <v>덕목리</v>
          </cell>
          <cell r="D671" t="str">
            <v>소계</v>
          </cell>
          <cell r="F671">
            <v>2</v>
          </cell>
          <cell r="H671">
            <v>0.7</v>
          </cell>
          <cell r="I671">
            <v>0.75</v>
          </cell>
          <cell r="J671">
            <v>0.8</v>
          </cell>
          <cell r="K671">
            <v>0.8</v>
          </cell>
          <cell r="L671">
            <v>0.8</v>
          </cell>
          <cell r="M671">
            <v>97</v>
          </cell>
          <cell r="N671">
            <v>97</v>
          </cell>
          <cell r="O671">
            <v>96</v>
          </cell>
          <cell r="P671">
            <v>94</v>
          </cell>
          <cell r="Q671">
            <v>96</v>
          </cell>
          <cell r="R671">
            <v>98</v>
          </cell>
          <cell r="S671">
            <v>0</v>
          </cell>
          <cell r="T671">
            <v>0</v>
          </cell>
          <cell r="U671">
            <v>0</v>
          </cell>
          <cell r="V671">
            <v>75</v>
          </cell>
          <cell r="W671">
            <v>77</v>
          </cell>
          <cell r="X671">
            <v>78</v>
          </cell>
          <cell r="Y671">
            <v>0</v>
          </cell>
          <cell r="Z671">
            <v>0</v>
          </cell>
          <cell r="AA671">
            <v>0</v>
          </cell>
          <cell r="AB671">
            <v>75</v>
          </cell>
          <cell r="AC671">
            <v>77</v>
          </cell>
          <cell r="AD671">
            <v>78</v>
          </cell>
        </row>
        <row r="672">
          <cell r="C672" t="str">
            <v>사정리</v>
          </cell>
          <cell r="D672" t="str">
            <v>소계</v>
          </cell>
          <cell r="M672">
            <v>135</v>
          </cell>
          <cell r="N672">
            <v>135</v>
          </cell>
          <cell r="O672">
            <v>133</v>
          </cell>
          <cell r="P672">
            <v>132</v>
          </cell>
          <cell r="Q672">
            <v>135</v>
          </cell>
          <cell r="R672">
            <v>139</v>
          </cell>
          <cell r="S672">
            <v>0</v>
          </cell>
          <cell r="T672">
            <v>0</v>
          </cell>
          <cell r="U672">
            <v>0</v>
          </cell>
          <cell r="V672">
            <v>106</v>
          </cell>
          <cell r="W672">
            <v>108</v>
          </cell>
          <cell r="X672">
            <v>111</v>
          </cell>
          <cell r="Y672">
            <v>0</v>
          </cell>
          <cell r="Z672">
            <v>0</v>
          </cell>
          <cell r="AA672">
            <v>0</v>
          </cell>
          <cell r="AB672">
            <v>106</v>
          </cell>
          <cell r="AC672">
            <v>108</v>
          </cell>
          <cell r="AD672">
            <v>111</v>
          </cell>
        </row>
        <row r="673">
          <cell r="C673" t="str">
            <v>사정 1</v>
          </cell>
          <cell r="D673" t="str">
            <v>계</v>
          </cell>
          <cell r="F673">
            <v>2</v>
          </cell>
          <cell r="H673">
            <v>0.7</v>
          </cell>
          <cell r="I673">
            <v>0.75</v>
          </cell>
          <cell r="J673">
            <v>0.8</v>
          </cell>
          <cell r="K673">
            <v>0.8</v>
          </cell>
          <cell r="L673">
            <v>0.8</v>
          </cell>
          <cell r="M673">
            <v>74</v>
          </cell>
          <cell r="N673">
            <v>74</v>
          </cell>
          <cell r="O673">
            <v>73</v>
          </cell>
          <cell r="P673">
            <v>72</v>
          </cell>
          <cell r="Q673">
            <v>74</v>
          </cell>
          <cell r="R673">
            <v>76</v>
          </cell>
          <cell r="S673">
            <v>0</v>
          </cell>
          <cell r="T673">
            <v>0</v>
          </cell>
          <cell r="U673">
            <v>0</v>
          </cell>
          <cell r="V673">
            <v>58</v>
          </cell>
          <cell r="W673">
            <v>59</v>
          </cell>
          <cell r="X673">
            <v>61</v>
          </cell>
          <cell r="Y673">
            <v>0</v>
          </cell>
          <cell r="Z673">
            <v>0</v>
          </cell>
          <cell r="AA673">
            <v>0</v>
          </cell>
          <cell r="AB673">
            <v>58</v>
          </cell>
          <cell r="AC673">
            <v>59</v>
          </cell>
          <cell r="AD673">
            <v>61</v>
          </cell>
        </row>
        <row r="674">
          <cell r="C674" t="str">
            <v>사정 2</v>
          </cell>
          <cell r="D674" t="str">
            <v>계</v>
          </cell>
          <cell r="F674">
            <v>2</v>
          </cell>
          <cell r="H674">
            <v>0.7</v>
          </cell>
          <cell r="I674">
            <v>0.75</v>
          </cell>
          <cell r="J674">
            <v>0.8</v>
          </cell>
          <cell r="K674">
            <v>0.8</v>
          </cell>
          <cell r="L674">
            <v>0.8</v>
          </cell>
          <cell r="M674">
            <v>61</v>
          </cell>
          <cell r="N674">
            <v>61</v>
          </cell>
          <cell r="O674">
            <v>60</v>
          </cell>
          <cell r="P674">
            <v>60</v>
          </cell>
          <cell r="Q674">
            <v>61</v>
          </cell>
          <cell r="R674">
            <v>63</v>
          </cell>
          <cell r="S674">
            <v>0</v>
          </cell>
          <cell r="T674">
            <v>0</v>
          </cell>
          <cell r="U674">
            <v>0</v>
          </cell>
          <cell r="V674">
            <v>48</v>
          </cell>
          <cell r="W674">
            <v>49</v>
          </cell>
          <cell r="X674">
            <v>50</v>
          </cell>
          <cell r="Y674">
            <v>0</v>
          </cell>
          <cell r="Z674">
            <v>0</v>
          </cell>
          <cell r="AA674">
            <v>0</v>
          </cell>
          <cell r="AB674">
            <v>48</v>
          </cell>
          <cell r="AC674">
            <v>49</v>
          </cell>
          <cell r="AD674">
            <v>50</v>
          </cell>
        </row>
        <row r="675">
          <cell r="C675" t="str">
            <v>대덕리</v>
          </cell>
          <cell r="D675" t="str">
            <v>소계</v>
          </cell>
          <cell r="F675">
            <v>2</v>
          </cell>
          <cell r="H675">
            <v>0.7</v>
          </cell>
          <cell r="I675">
            <v>0.75</v>
          </cell>
          <cell r="J675">
            <v>0.8</v>
          </cell>
          <cell r="K675">
            <v>0.8</v>
          </cell>
          <cell r="L675">
            <v>0.8</v>
          </cell>
          <cell r="M675">
            <v>268</v>
          </cell>
          <cell r="N675">
            <v>268</v>
          </cell>
          <cell r="O675">
            <v>264</v>
          </cell>
          <cell r="P675">
            <v>262</v>
          </cell>
          <cell r="Q675">
            <v>268</v>
          </cell>
          <cell r="R675">
            <v>273</v>
          </cell>
          <cell r="S675">
            <v>0</v>
          </cell>
          <cell r="T675">
            <v>0</v>
          </cell>
          <cell r="U675">
            <v>0</v>
          </cell>
          <cell r="V675">
            <v>210</v>
          </cell>
          <cell r="W675">
            <v>214</v>
          </cell>
          <cell r="X675">
            <v>218</v>
          </cell>
          <cell r="Y675">
            <v>0</v>
          </cell>
          <cell r="Z675">
            <v>0</v>
          </cell>
          <cell r="AA675">
            <v>0</v>
          </cell>
          <cell r="AB675">
            <v>210</v>
          </cell>
          <cell r="AC675">
            <v>214</v>
          </cell>
          <cell r="AD675">
            <v>218</v>
          </cell>
        </row>
        <row r="676">
          <cell r="C676" t="str">
            <v>검천리</v>
          </cell>
          <cell r="D676" t="str">
            <v>소계</v>
          </cell>
          <cell r="F676">
            <v>2</v>
          </cell>
          <cell r="H676">
            <v>0.7</v>
          </cell>
          <cell r="I676">
            <v>0.75</v>
          </cell>
          <cell r="J676">
            <v>0.8</v>
          </cell>
          <cell r="K676">
            <v>0.8</v>
          </cell>
          <cell r="L676">
            <v>0.8</v>
          </cell>
          <cell r="M676">
            <v>113</v>
          </cell>
          <cell r="N676">
            <v>113</v>
          </cell>
          <cell r="O676">
            <v>111</v>
          </cell>
          <cell r="P676">
            <v>111</v>
          </cell>
          <cell r="Q676">
            <v>113</v>
          </cell>
          <cell r="R676">
            <v>115</v>
          </cell>
          <cell r="S676">
            <v>0</v>
          </cell>
          <cell r="T676">
            <v>0</v>
          </cell>
          <cell r="U676">
            <v>0</v>
          </cell>
          <cell r="V676">
            <v>89</v>
          </cell>
          <cell r="W676">
            <v>90</v>
          </cell>
          <cell r="X676">
            <v>92</v>
          </cell>
          <cell r="Y676">
            <v>0</v>
          </cell>
          <cell r="Z676">
            <v>0</v>
          </cell>
          <cell r="AA676">
            <v>0</v>
          </cell>
          <cell r="AB676">
            <v>89</v>
          </cell>
          <cell r="AC676">
            <v>90</v>
          </cell>
          <cell r="AD676">
            <v>92</v>
          </cell>
        </row>
        <row r="677">
          <cell r="C677" t="str">
            <v>덕곡리</v>
          </cell>
          <cell r="D677" t="str">
            <v>소계</v>
          </cell>
          <cell r="F677">
            <v>2</v>
          </cell>
          <cell r="H677">
            <v>0.7</v>
          </cell>
          <cell r="I677">
            <v>0.75</v>
          </cell>
          <cell r="J677">
            <v>0.8</v>
          </cell>
          <cell r="K677">
            <v>0.8</v>
          </cell>
          <cell r="L677">
            <v>0.8</v>
          </cell>
          <cell r="M677">
            <v>203</v>
          </cell>
          <cell r="N677">
            <v>204</v>
          </cell>
          <cell r="O677">
            <v>200</v>
          </cell>
          <cell r="P677">
            <v>198</v>
          </cell>
          <cell r="Q677">
            <v>202</v>
          </cell>
          <cell r="R677">
            <v>206</v>
          </cell>
          <cell r="S677">
            <v>0</v>
          </cell>
          <cell r="T677">
            <v>0</v>
          </cell>
          <cell r="U677">
            <v>0</v>
          </cell>
          <cell r="V677">
            <v>158</v>
          </cell>
          <cell r="W677">
            <v>162</v>
          </cell>
          <cell r="X677">
            <v>165</v>
          </cell>
          <cell r="Y677">
            <v>0</v>
          </cell>
          <cell r="Z677">
            <v>0</v>
          </cell>
          <cell r="AA677">
            <v>0</v>
          </cell>
          <cell r="AB677">
            <v>158</v>
          </cell>
          <cell r="AC677">
            <v>162</v>
          </cell>
          <cell r="AD677">
            <v>165</v>
          </cell>
        </row>
        <row r="678">
          <cell r="C678" t="str">
            <v>수락리</v>
          </cell>
          <cell r="D678" t="str">
            <v>소계</v>
          </cell>
          <cell r="M678">
            <v>195</v>
          </cell>
          <cell r="N678">
            <v>196</v>
          </cell>
          <cell r="O678">
            <v>193</v>
          </cell>
          <cell r="P678">
            <v>190</v>
          </cell>
          <cell r="Q678">
            <v>195</v>
          </cell>
          <cell r="R678">
            <v>199</v>
          </cell>
          <cell r="S678">
            <v>0</v>
          </cell>
          <cell r="T678">
            <v>0</v>
          </cell>
          <cell r="U678">
            <v>0</v>
          </cell>
          <cell r="V678">
            <v>152</v>
          </cell>
          <cell r="W678">
            <v>156</v>
          </cell>
          <cell r="X678">
            <v>159</v>
          </cell>
          <cell r="Y678">
            <v>0</v>
          </cell>
          <cell r="Z678">
            <v>0</v>
          </cell>
          <cell r="AA678">
            <v>0</v>
          </cell>
          <cell r="AB678">
            <v>152</v>
          </cell>
          <cell r="AC678">
            <v>156</v>
          </cell>
          <cell r="AD678">
            <v>159</v>
          </cell>
        </row>
        <row r="679">
          <cell r="C679" t="str">
            <v>수락 1</v>
          </cell>
          <cell r="D679" t="str">
            <v>계</v>
          </cell>
          <cell r="F679">
            <v>2</v>
          </cell>
          <cell r="H679">
            <v>0.7</v>
          </cell>
          <cell r="I679">
            <v>0.75</v>
          </cell>
          <cell r="J679">
            <v>0.8</v>
          </cell>
          <cell r="K679">
            <v>0.8</v>
          </cell>
          <cell r="L679">
            <v>0.8</v>
          </cell>
          <cell r="M679">
            <v>131</v>
          </cell>
          <cell r="N679">
            <v>132</v>
          </cell>
          <cell r="O679">
            <v>130</v>
          </cell>
          <cell r="P679">
            <v>128</v>
          </cell>
          <cell r="Q679">
            <v>131</v>
          </cell>
          <cell r="R679">
            <v>134</v>
          </cell>
          <cell r="S679">
            <v>0</v>
          </cell>
          <cell r="T679">
            <v>0</v>
          </cell>
          <cell r="U679">
            <v>0</v>
          </cell>
          <cell r="V679">
            <v>102</v>
          </cell>
          <cell r="W679">
            <v>105</v>
          </cell>
          <cell r="X679">
            <v>107</v>
          </cell>
          <cell r="Y679">
            <v>0</v>
          </cell>
          <cell r="Z679">
            <v>0</v>
          </cell>
          <cell r="AA679">
            <v>0</v>
          </cell>
          <cell r="AB679">
            <v>102</v>
          </cell>
          <cell r="AC679">
            <v>105</v>
          </cell>
          <cell r="AD679">
            <v>107</v>
          </cell>
        </row>
        <row r="680">
          <cell r="C680" t="str">
            <v>수락 2</v>
          </cell>
          <cell r="D680" t="str">
            <v>계</v>
          </cell>
          <cell r="F680">
            <v>2</v>
          </cell>
          <cell r="H680">
            <v>0.7</v>
          </cell>
          <cell r="I680">
            <v>0.75</v>
          </cell>
          <cell r="J680">
            <v>0.8</v>
          </cell>
          <cell r="K680">
            <v>0.8</v>
          </cell>
          <cell r="L680">
            <v>0.8</v>
          </cell>
          <cell r="M680">
            <v>64</v>
          </cell>
          <cell r="N680">
            <v>64</v>
          </cell>
          <cell r="O680">
            <v>63</v>
          </cell>
          <cell r="P680">
            <v>62</v>
          </cell>
          <cell r="Q680">
            <v>64</v>
          </cell>
          <cell r="R680">
            <v>65</v>
          </cell>
          <cell r="S680">
            <v>0</v>
          </cell>
          <cell r="T680">
            <v>0</v>
          </cell>
          <cell r="U680">
            <v>0</v>
          </cell>
          <cell r="V680">
            <v>50</v>
          </cell>
          <cell r="W680">
            <v>51</v>
          </cell>
          <cell r="X680">
            <v>52</v>
          </cell>
          <cell r="Y680">
            <v>0</v>
          </cell>
          <cell r="Z680">
            <v>0</v>
          </cell>
          <cell r="AA680">
            <v>0</v>
          </cell>
          <cell r="AB680">
            <v>50</v>
          </cell>
          <cell r="AC680">
            <v>51</v>
          </cell>
          <cell r="AD680">
            <v>52</v>
          </cell>
        </row>
        <row r="681">
          <cell r="C681" t="str">
            <v>도산리</v>
          </cell>
          <cell r="D681" t="str">
            <v>소계</v>
          </cell>
          <cell r="M681">
            <v>303</v>
          </cell>
          <cell r="N681">
            <v>303</v>
          </cell>
          <cell r="O681">
            <v>298</v>
          </cell>
          <cell r="P681">
            <v>296</v>
          </cell>
          <cell r="Q681">
            <v>303</v>
          </cell>
          <cell r="R681">
            <v>308</v>
          </cell>
          <cell r="S681">
            <v>0</v>
          </cell>
          <cell r="T681">
            <v>0</v>
          </cell>
          <cell r="U681">
            <v>0</v>
          </cell>
          <cell r="V681">
            <v>237</v>
          </cell>
          <cell r="W681">
            <v>242</v>
          </cell>
          <cell r="X681">
            <v>246</v>
          </cell>
          <cell r="Y681">
            <v>0</v>
          </cell>
          <cell r="Z681">
            <v>0</v>
          </cell>
          <cell r="AA681">
            <v>0</v>
          </cell>
          <cell r="AB681">
            <v>237</v>
          </cell>
          <cell r="AC681">
            <v>242</v>
          </cell>
          <cell r="AD681">
            <v>246</v>
          </cell>
        </row>
        <row r="682">
          <cell r="C682" t="str">
            <v>도산 1</v>
          </cell>
          <cell r="D682" t="str">
            <v>계</v>
          </cell>
          <cell r="F682">
            <v>2</v>
          </cell>
          <cell r="H682">
            <v>0.7</v>
          </cell>
          <cell r="I682">
            <v>0.75</v>
          </cell>
          <cell r="J682">
            <v>0.8</v>
          </cell>
          <cell r="K682">
            <v>0.8</v>
          </cell>
          <cell r="L682">
            <v>0.8</v>
          </cell>
          <cell r="M682">
            <v>180</v>
          </cell>
          <cell r="N682">
            <v>180</v>
          </cell>
          <cell r="O682">
            <v>177</v>
          </cell>
          <cell r="P682">
            <v>176</v>
          </cell>
          <cell r="Q682">
            <v>180</v>
          </cell>
          <cell r="R682">
            <v>183</v>
          </cell>
          <cell r="S682">
            <v>0</v>
          </cell>
          <cell r="T682">
            <v>0</v>
          </cell>
          <cell r="U682">
            <v>0</v>
          </cell>
          <cell r="V682">
            <v>141</v>
          </cell>
          <cell r="W682">
            <v>144</v>
          </cell>
          <cell r="X682">
            <v>146</v>
          </cell>
          <cell r="Y682">
            <v>0</v>
          </cell>
          <cell r="Z682">
            <v>0</v>
          </cell>
          <cell r="AA682">
            <v>0</v>
          </cell>
          <cell r="AB682">
            <v>141</v>
          </cell>
          <cell r="AC682">
            <v>144</v>
          </cell>
          <cell r="AD682">
            <v>146</v>
          </cell>
        </row>
        <row r="683">
          <cell r="C683" t="str">
            <v>도산 2</v>
          </cell>
          <cell r="D683" t="str">
            <v>계</v>
          </cell>
          <cell r="F683">
            <v>2</v>
          </cell>
          <cell r="H683">
            <v>0.7</v>
          </cell>
          <cell r="I683">
            <v>0.75</v>
          </cell>
          <cell r="J683">
            <v>0.8</v>
          </cell>
          <cell r="K683">
            <v>0.8</v>
          </cell>
          <cell r="L683">
            <v>0.8</v>
          </cell>
          <cell r="M683">
            <v>123</v>
          </cell>
          <cell r="N683">
            <v>123</v>
          </cell>
          <cell r="O683">
            <v>121</v>
          </cell>
          <cell r="P683">
            <v>120</v>
          </cell>
          <cell r="Q683">
            <v>123</v>
          </cell>
          <cell r="R683">
            <v>125</v>
          </cell>
          <cell r="S683">
            <v>0</v>
          </cell>
          <cell r="T683">
            <v>0</v>
          </cell>
          <cell r="U683">
            <v>0</v>
          </cell>
          <cell r="V683">
            <v>96</v>
          </cell>
          <cell r="W683">
            <v>98</v>
          </cell>
          <cell r="X683">
            <v>100</v>
          </cell>
          <cell r="Y683">
            <v>0</v>
          </cell>
          <cell r="Z683">
            <v>0</v>
          </cell>
          <cell r="AA683">
            <v>0</v>
          </cell>
          <cell r="AB683">
            <v>96</v>
          </cell>
          <cell r="AC683">
            <v>98</v>
          </cell>
          <cell r="AD683">
            <v>100</v>
          </cell>
        </row>
        <row r="684">
          <cell r="C684" t="str">
            <v>만목리</v>
          </cell>
          <cell r="D684" t="str">
            <v>소계</v>
          </cell>
          <cell r="F684">
            <v>2</v>
          </cell>
          <cell r="H684">
            <v>0.7</v>
          </cell>
          <cell r="I684">
            <v>0.75</v>
          </cell>
          <cell r="J684">
            <v>0.8</v>
          </cell>
          <cell r="K684">
            <v>0.8</v>
          </cell>
          <cell r="L684">
            <v>0.8</v>
          </cell>
          <cell r="M684">
            <v>154</v>
          </cell>
          <cell r="N684">
            <v>154</v>
          </cell>
          <cell r="O684">
            <v>152</v>
          </cell>
          <cell r="P684">
            <v>150</v>
          </cell>
          <cell r="Q684">
            <v>154</v>
          </cell>
          <cell r="R684">
            <v>156</v>
          </cell>
          <cell r="S684">
            <v>0</v>
          </cell>
          <cell r="T684">
            <v>0</v>
          </cell>
          <cell r="U684">
            <v>0</v>
          </cell>
          <cell r="V684">
            <v>120</v>
          </cell>
          <cell r="W684">
            <v>123</v>
          </cell>
          <cell r="X684">
            <v>125</v>
          </cell>
          <cell r="Y684">
            <v>0</v>
          </cell>
          <cell r="Z684">
            <v>0</v>
          </cell>
          <cell r="AA684">
            <v>0</v>
          </cell>
          <cell r="AB684">
            <v>120</v>
          </cell>
          <cell r="AC684">
            <v>123</v>
          </cell>
          <cell r="AD684">
            <v>125</v>
          </cell>
        </row>
        <row r="685">
          <cell r="C685" t="str">
            <v>어곡리</v>
          </cell>
          <cell r="D685" t="str">
            <v>소계</v>
          </cell>
          <cell r="F685">
            <v>2</v>
          </cell>
          <cell r="H685">
            <v>0.7</v>
          </cell>
          <cell r="I685">
            <v>0.75</v>
          </cell>
          <cell r="J685">
            <v>0.8</v>
          </cell>
          <cell r="K685">
            <v>0.8</v>
          </cell>
          <cell r="L685">
            <v>0.8</v>
          </cell>
          <cell r="M685">
            <v>154</v>
          </cell>
          <cell r="N685">
            <v>154</v>
          </cell>
          <cell r="O685">
            <v>152</v>
          </cell>
          <cell r="P685">
            <v>150</v>
          </cell>
          <cell r="Q685">
            <v>154</v>
          </cell>
          <cell r="R685">
            <v>156</v>
          </cell>
          <cell r="S685">
            <v>0</v>
          </cell>
          <cell r="T685">
            <v>0</v>
          </cell>
          <cell r="U685">
            <v>0</v>
          </cell>
          <cell r="V685">
            <v>120</v>
          </cell>
          <cell r="W685">
            <v>123</v>
          </cell>
          <cell r="X685">
            <v>125</v>
          </cell>
          <cell r="Y685">
            <v>0</v>
          </cell>
          <cell r="Z685">
            <v>0</v>
          </cell>
          <cell r="AA685">
            <v>0</v>
          </cell>
          <cell r="AB685">
            <v>120</v>
          </cell>
          <cell r="AC685">
            <v>123</v>
          </cell>
          <cell r="AD685">
            <v>125</v>
          </cell>
        </row>
        <row r="686">
          <cell r="C686" t="str">
            <v>조동리</v>
          </cell>
          <cell r="D686" t="str">
            <v>소계</v>
          </cell>
          <cell r="M686">
            <v>200</v>
          </cell>
          <cell r="N686">
            <v>201</v>
          </cell>
          <cell r="O686">
            <v>198</v>
          </cell>
          <cell r="P686">
            <v>195</v>
          </cell>
          <cell r="Q686">
            <v>200</v>
          </cell>
          <cell r="R686">
            <v>204</v>
          </cell>
          <cell r="S686">
            <v>0</v>
          </cell>
          <cell r="T686">
            <v>0</v>
          </cell>
          <cell r="U686">
            <v>0</v>
          </cell>
          <cell r="V686">
            <v>156</v>
          </cell>
          <cell r="W686">
            <v>160</v>
          </cell>
          <cell r="X686">
            <v>163</v>
          </cell>
          <cell r="Y686">
            <v>0</v>
          </cell>
          <cell r="Z686">
            <v>0</v>
          </cell>
          <cell r="AA686">
            <v>0</v>
          </cell>
          <cell r="AB686">
            <v>156</v>
          </cell>
          <cell r="AC686">
            <v>160</v>
          </cell>
          <cell r="AD686">
            <v>163</v>
          </cell>
        </row>
        <row r="687">
          <cell r="C687" t="str">
            <v>조동 1</v>
          </cell>
          <cell r="D687" t="str">
            <v>계</v>
          </cell>
          <cell r="F687">
            <v>2</v>
          </cell>
          <cell r="H687">
            <v>0.7</v>
          </cell>
          <cell r="I687">
            <v>0.75</v>
          </cell>
          <cell r="J687">
            <v>0.8</v>
          </cell>
          <cell r="K687">
            <v>0.8</v>
          </cell>
          <cell r="L687">
            <v>0.8</v>
          </cell>
          <cell r="M687">
            <v>130</v>
          </cell>
          <cell r="N687">
            <v>131</v>
          </cell>
          <cell r="O687">
            <v>129</v>
          </cell>
          <cell r="P687">
            <v>127</v>
          </cell>
          <cell r="Q687">
            <v>130</v>
          </cell>
          <cell r="R687">
            <v>133</v>
          </cell>
          <cell r="S687">
            <v>0</v>
          </cell>
          <cell r="T687">
            <v>0</v>
          </cell>
          <cell r="U687">
            <v>0</v>
          </cell>
          <cell r="V687">
            <v>102</v>
          </cell>
          <cell r="W687">
            <v>104</v>
          </cell>
          <cell r="X687">
            <v>106</v>
          </cell>
          <cell r="Y687">
            <v>0</v>
          </cell>
          <cell r="Z687">
            <v>0</v>
          </cell>
          <cell r="AA687">
            <v>0</v>
          </cell>
          <cell r="AB687">
            <v>102</v>
          </cell>
          <cell r="AC687">
            <v>104</v>
          </cell>
          <cell r="AD687">
            <v>106</v>
          </cell>
        </row>
        <row r="688">
          <cell r="C688" t="str">
            <v>조동 2</v>
          </cell>
          <cell r="D688" t="str">
            <v>계</v>
          </cell>
          <cell r="F688">
            <v>2</v>
          </cell>
          <cell r="H688">
            <v>0.7</v>
          </cell>
          <cell r="I688">
            <v>0.75</v>
          </cell>
          <cell r="J688">
            <v>0.8</v>
          </cell>
          <cell r="K688">
            <v>0.8</v>
          </cell>
          <cell r="L688">
            <v>0.8</v>
          </cell>
          <cell r="M688">
            <v>70</v>
          </cell>
          <cell r="N688">
            <v>70</v>
          </cell>
          <cell r="O688">
            <v>69</v>
          </cell>
          <cell r="P688">
            <v>68</v>
          </cell>
          <cell r="Q688">
            <v>70</v>
          </cell>
          <cell r="R688">
            <v>71</v>
          </cell>
          <cell r="S688">
            <v>0</v>
          </cell>
          <cell r="T688">
            <v>0</v>
          </cell>
          <cell r="U688">
            <v>0</v>
          </cell>
          <cell r="V688">
            <v>54</v>
          </cell>
          <cell r="W688">
            <v>56</v>
          </cell>
          <cell r="X688">
            <v>57</v>
          </cell>
          <cell r="Y688">
            <v>0</v>
          </cell>
          <cell r="Z688">
            <v>0</v>
          </cell>
          <cell r="AA688">
            <v>0</v>
          </cell>
          <cell r="AB688">
            <v>54</v>
          </cell>
          <cell r="AC688">
            <v>56</v>
          </cell>
          <cell r="AD688">
            <v>57</v>
          </cell>
        </row>
        <row r="689">
          <cell r="C689" t="str">
            <v>조령리</v>
          </cell>
          <cell r="D689" t="str">
            <v>소계</v>
          </cell>
          <cell r="F689">
            <v>2</v>
          </cell>
          <cell r="H689">
            <v>0.7</v>
          </cell>
          <cell r="I689">
            <v>0.75</v>
          </cell>
          <cell r="J689">
            <v>0.8</v>
          </cell>
          <cell r="K689">
            <v>0.8</v>
          </cell>
          <cell r="L689">
            <v>0.8</v>
          </cell>
          <cell r="M689">
            <v>134</v>
          </cell>
          <cell r="N689">
            <v>135</v>
          </cell>
          <cell r="O689">
            <v>133</v>
          </cell>
          <cell r="P689">
            <v>130</v>
          </cell>
          <cell r="Q689">
            <v>134</v>
          </cell>
          <cell r="R689">
            <v>136</v>
          </cell>
          <cell r="S689">
            <v>0</v>
          </cell>
          <cell r="T689">
            <v>0</v>
          </cell>
          <cell r="U689">
            <v>0</v>
          </cell>
          <cell r="V689">
            <v>104</v>
          </cell>
          <cell r="W689">
            <v>107</v>
          </cell>
          <cell r="X689">
            <v>109</v>
          </cell>
          <cell r="Y689">
            <v>0</v>
          </cell>
          <cell r="Z689">
            <v>0</v>
          </cell>
          <cell r="AA689">
            <v>0</v>
          </cell>
          <cell r="AB689">
            <v>104</v>
          </cell>
          <cell r="AC689">
            <v>107</v>
          </cell>
          <cell r="AD689">
            <v>109</v>
          </cell>
        </row>
        <row r="690">
          <cell r="C690" t="str">
            <v>신양리-</v>
          </cell>
          <cell r="D690" t="str">
            <v>소계</v>
          </cell>
          <cell r="M690">
            <v>276</v>
          </cell>
          <cell r="N690">
            <v>277</v>
          </cell>
          <cell r="O690">
            <v>272</v>
          </cell>
          <cell r="P690">
            <v>269</v>
          </cell>
          <cell r="Q690">
            <v>275</v>
          </cell>
          <cell r="R690">
            <v>280</v>
          </cell>
          <cell r="S690">
            <v>0</v>
          </cell>
          <cell r="T690">
            <v>0</v>
          </cell>
          <cell r="U690">
            <v>0</v>
          </cell>
          <cell r="V690">
            <v>215</v>
          </cell>
          <cell r="W690">
            <v>220</v>
          </cell>
          <cell r="X690">
            <v>224</v>
          </cell>
          <cell r="Y690">
            <v>0</v>
          </cell>
          <cell r="Z690">
            <v>0</v>
          </cell>
          <cell r="AA690">
            <v>0</v>
          </cell>
          <cell r="AB690">
            <v>215</v>
          </cell>
          <cell r="AC690">
            <v>220</v>
          </cell>
          <cell r="AD690">
            <v>224</v>
          </cell>
        </row>
        <row r="691">
          <cell r="C691" t="str">
            <v>신양- 1</v>
          </cell>
          <cell r="D691" t="str">
            <v>계</v>
          </cell>
          <cell r="F691">
            <v>2</v>
          </cell>
          <cell r="H691">
            <v>0.7</v>
          </cell>
          <cell r="I691">
            <v>0.75</v>
          </cell>
          <cell r="J691">
            <v>0.8</v>
          </cell>
          <cell r="K691">
            <v>0.8</v>
          </cell>
          <cell r="L691">
            <v>0.8</v>
          </cell>
          <cell r="M691">
            <v>56</v>
          </cell>
          <cell r="N691">
            <v>57</v>
          </cell>
          <cell r="O691">
            <v>56</v>
          </cell>
          <cell r="P691">
            <v>55</v>
          </cell>
          <cell r="Q691">
            <v>56</v>
          </cell>
          <cell r="R691">
            <v>57</v>
          </cell>
          <cell r="S691">
            <v>0</v>
          </cell>
          <cell r="T691">
            <v>0</v>
          </cell>
          <cell r="U691">
            <v>0</v>
          </cell>
          <cell r="V691">
            <v>44</v>
          </cell>
          <cell r="W691">
            <v>45</v>
          </cell>
          <cell r="X691">
            <v>46</v>
          </cell>
          <cell r="Y691">
            <v>0</v>
          </cell>
          <cell r="Z691">
            <v>0</v>
          </cell>
          <cell r="AA691">
            <v>0</v>
          </cell>
          <cell r="AB691">
            <v>44</v>
          </cell>
          <cell r="AC691">
            <v>45</v>
          </cell>
          <cell r="AD691">
            <v>46</v>
          </cell>
        </row>
        <row r="692">
          <cell r="C692" t="str">
            <v>신양- 2</v>
          </cell>
          <cell r="D692" t="str">
            <v>계</v>
          </cell>
          <cell r="F692">
            <v>2</v>
          </cell>
          <cell r="H692">
            <v>0.7</v>
          </cell>
          <cell r="I692">
            <v>0.75</v>
          </cell>
          <cell r="J692">
            <v>0.8</v>
          </cell>
          <cell r="K692">
            <v>0.8</v>
          </cell>
          <cell r="L692">
            <v>0.8</v>
          </cell>
          <cell r="M692">
            <v>106</v>
          </cell>
          <cell r="N692">
            <v>106</v>
          </cell>
          <cell r="O692">
            <v>104</v>
          </cell>
          <cell r="P692">
            <v>103</v>
          </cell>
          <cell r="Q692">
            <v>106</v>
          </cell>
          <cell r="R692">
            <v>108</v>
          </cell>
          <cell r="S692">
            <v>0</v>
          </cell>
          <cell r="T692">
            <v>0</v>
          </cell>
          <cell r="U692">
            <v>0</v>
          </cell>
          <cell r="V692">
            <v>82</v>
          </cell>
          <cell r="W692">
            <v>85</v>
          </cell>
          <cell r="X692">
            <v>86</v>
          </cell>
          <cell r="Y692">
            <v>0</v>
          </cell>
          <cell r="Z692">
            <v>0</v>
          </cell>
          <cell r="AA692">
            <v>0</v>
          </cell>
          <cell r="AB692">
            <v>82</v>
          </cell>
          <cell r="AC692">
            <v>85</v>
          </cell>
          <cell r="AD692">
            <v>86</v>
          </cell>
        </row>
        <row r="693">
          <cell r="C693" t="str">
            <v>신양- 3</v>
          </cell>
          <cell r="D693" t="str">
            <v>계</v>
          </cell>
          <cell r="F693">
            <v>2</v>
          </cell>
          <cell r="H693">
            <v>0.7</v>
          </cell>
          <cell r="I693">
            <v>0.75</v>
          </cell>
          <cell r="J693">
            <v>0.8</v>
          </cell>
          <cell r="K693">
            <v>0.8</v>
          </cell>
          <cell r="L693">
            <v>0.8</v>
          </cell>
          <cell r="M693">
            <v>114</v>
          </cell>
          <cell r="N693">
            <v>114</v>
          </cell>
          <cell r="O693">
            <v>112</v>
          </cell>
          <cell r="P693">
            <v>111</v>
          </cell>
          <cell r="Q693">
            <v>113</v>
          </cell>
          <cell r="R693">
            <v>115</v>
          </cell>
          <cell r="S693">
            <v>0</v>
          </cell>
          <cell r="T693">
            <v>0</v>
          </cell>
          <cell r="U693">
            <v>0</v>
          </cell>
          <cell r="V693">
            <v>89</v>
          </cell>
          <cell r="W693">
            <v>90</v>
          </cell>
          <cell r="X693">
            <v>92</v>
          </cell>
          <cell r="Y693">
            <v>0</v>
          </cell>
          <cell r="Z693">
            <v>0</v>
          </cell>
          <cell r="AA693">
            <v>0</v>
          </cell>
          <cell r="AB693">
            <v>89</v>
          </cell>
          <cell r="AC693">
            <v>90</v>
          </cell>
          <cell r="AD693">
            <v>92</v>
          </cell>
        </row>
        <row r="694">
          <cell r="C694" t="str">
            <v>양산리</v>
          </cell>
          <cell r="D694" t="str">
            <v>소계</v>
          </cell>
          <cell r="M694">
            <v>221</v>
          </cell>
          <cell r="N694">
            <v>222</v>
          </cell>
          <cell r="O694">
            <v>219</v>
          </cell>
          <cell r="P694">
            <v>215</v>
          </cell>
          <cell r="Q694">
            <v>220</v>
          </cell>
          <cell r="R694">
            <v>225</v>
          </cell>
          <cell r="S694">
            <v>0</v>
          </cell>
          <cell r="T694">
            <v>0</v>
          </cell>
          <cell r="U694">
            <v>0</v>
          </cell>
          <cell r="V694">
            <v>172</v>
          </cell>
          <cell r="W694">
            <v>176</v>
          </cell>
          <cell r="X694">
            <v>180</v>
          </cell>
          <cell r="Y694">
            <v>0</v>
          </cell>
          <cell r="Z694">
            <v>0</v>
          </cell>
          <cell r="AA694">
            <v>0</v>
          </cell>
          <cell r="AB694">
            <v>172</v>
          </cell>
          <cell r="AC694">
            <v>176</v>
          </cell>
          <cell r="AD694">
            <v>180</v>
          </cell>
        </row>
        <row r="695">
          <cell r="C695" t="str">
            <v>양산 1</v>
          </cell>
          <cell r="D695" t="str">
            <v>계</v>
          </cell>
          <cell r="F695">
            <v>2</v>
          </cell>
          <cell r="H695">
            <v>0.7</v>
          </cell>
          <cell r="I695">
            <v>0.75</v>
          </cell>
          <cell r="J695">
            <v>0.8</v>
          </cell>
          <cell r="K695">
            <v>0.8</v>
          </cell>
          <cell r="L695">
            <v>0.8</v>
          </cell>
          <cell r="M695">
            <v>88</v>
          </cell>
          <cell r="N695">
            <v>88</v>
          </cell>
          <cell r="O695">
            <v>87</v>
          </cell>
          <cell r="P695">
            <v>86</v>
          </cell>
          <cell r="Q695">
            <v>88</v>
          </cell>
          <cell r="R695">
            <v>90</v>
          </cell>
          <cell r="S695">
            <v>0</v>
          </cell>
          <cell r="T695">
            <v>0</v>
          </cell>
          <cell r="U695">
            <v>0</v>
          </cell>
          <cell r="V695">
            <v>69</v>
          </cell>
          <cell r="W695">
            <v>70</v>
          </cell>
          <cell r="X695">
            <v>72</v>
          </cell>
          <cell r="Y695">
            <v>0</v>
          </cell>
          <cell r="Z695">
            <v>0</v>
          </cell>
          <cell r="AA695">
            <v>0</v>
          </cell>
          <cell r="AB695">
            <v>69</v>
          </cell>
          <cell r="AC695">
            <v>70</v>
          </cell>
          <cell r="AD695">
            <v>72</v>
          </cell>
        </row>
        <row r="696">
          <cell r="C696" t="str">
            <v>양산 2</v>
          </cell>
          <cell r="D696" t="str">
            <v>계</v>
          </cell>
          <cell r="F696">
            <v>2</v>
          </cell>
          <cell r="H696">
            <v>0.7</v>
          </cell>
          <cell r="I696">
            <v>0.75</v>
          </cell>
          <cell r="J696">
            <v>0.8</v>
          </cell>
          <cell r="K696">
            <v>0.8</v>
          </cell>
          <cell r="L696">
            <v>0.8</v>
          </cell>
          <cell r="M696">
            <v>133</v>
          </cell>
          <cell r="N696">
            <v>134</v>
          </cell>
          <cell r="O696">
            <v>132</v>
          </cell>
          <cell r="P696">
            <v>129</v>
          </cell>
          <cell r="Q696">
            <v>132</v>
          </cell>
          <cell r="R696">
            <v>135</v>
          </cell>
          <cell r="S696">
            <v>0</v>
          </cell>
          <cell r="T696">
            <v>0</v>
          </cell>
          <cell r="U696">
            <v>0</v>
          </cell>
          <cell r="V696">
            <v>103</v>
          </cell>
          <cell r="W696">
            <v>106</v>
          </cell>
          <cell r="X696">
            <v>108</v>
          </cell>
          <cell r="Y696">
            <v>0</v>
          </cell>
          <cell r="Z696">
            <v>0</v>
          </cell>
          <cell r="AA696">
            <v>0</v>
          </cell>
          <cell r="AB696">
            <v>103</v>
          </cell>
          <cell r="AC696">
            <v>106</v>
          </cell>
          <cell r="AD696">
            <v>108</v>
          </cell>
        </row>
        <row r="697">
          <cell r="M697">
            <v>6598</v>
          </cell>
          <cell r="N697">
            <v>6606</v>
          </cell>
          <cell r="O697">
            <v>6505</v>
          </cell>
          <cell r="P697">
            <v>9365</v>
          </cell>
          <cell r="Q697">
            <v>9522</v>
          </cell>
          <cell r="R697">
            <v>9642</v>
          </cell>
          <cell r="S697">
            <v>699</v>
          </cell>
          <cell r="T697">
            <v>887</v>
          </cell>
          <cell r="U697">
            <v>3717</v>
          </cell>
          <cell r="V697">
            <v>8408</v>
          </cell>
          <cell r="W697">
            <v>8547</v>
          </cell>
          <cell r="X697">
            <v>8648</v>
          </cell>
          <cell r="Y697">
            <v>2181</v>
          </cell>
          <cell r="Z697">
            <v>2264</v>
          </cell>
          <cell r="AA697">
            <v>3717</v>
          </cell>
          <cell r="AB697">
            <v>8408</v>
          </cell>
          <cell r="AC697">
            <v>8547</v>
          </cell>
          <cell r="AD697">
            <v>8648</v>
          </cell>
        </row>
        <row r="698">
          <cell r="C698" t="str">
            <v>인천리</v>
          </cell>
          <cell r="D698" t="str">
            <v>소계</v>
          </cell>
          <cell r="M698">
            <v>894</v>
          </cell>
          <cell r="N698">
            <v>894</v>
          </cell>
          <cell r="O698">
            <v>880</v>
          </cell>
          <cell r="P698">
            <v>873</v>
          </cell>
          <cell r="Q698">
            <v>894</v>
          </cell>
          <cell r="R698">
            <v>909</v>
          </cell>
          <cell r="S698">
            <v>503</v>
          </cell>
          <cell r="T698">
            <v>503</v>
          </cell>
          <cell r="U698">
            <v>613</v>
          </cell>
          <cell r="V698">
            <v>742</v>
          </cell>
          <cell r="W698">
            <v>761</v>
          </cell>
          <cell r="X698">
            <v>773</v>
          </cell>
          <cell r="Y698">
            <v>584</v>
          </cell>
          <cell r="Z698">
            <v>584</v>
          </cell>
          <cell r="AA698">
            <v>613</v>
          </cell>
          <cell r="AB698">
            <v>742</v>
          </cell>
          <cell r="AC698">
            <v>761</v>
          </cell>
          <cell r="AD698">
            <v>773</v>
          </cell>
        </row>
        <row r="699">
          <cell r="C699" t="str">
            <v>인천 1</v>
          </cell>
          <cell r="D699" t="str">
            <v>계</v>
          </cell>
          <cell r="M699">
            <v>409</v>
          </cell>
          <cell r="N699">
            <v>409</v>
          </cell>
          <cell r="O699">
            <v>403</v>
          </cell>
          <cell r="P699">
            <v>399</v>
          </cell>
          <cell r="Q699">
            <v>409</v>
          </cell>
          <cell r="R699">
            <v>416</v>
          </cell>
          <cell r="S699">
            <v>307</v>
          </cell>
          <cell r="T699">
            <v>307</v>
          </cell>
          <cell r="U699">
            <v>322</v>
          </cell>
          <cell r="V699">
            <v>339</v>
          </cell>
          <cell r="W699">
            <v>348</v>
          </cell>
          <cell r="X699">
            <v>354</v>
          </cell>
          <cell r="Y699">
            <v>307</v>
          </cell>
          <cell r="Z699">
            <v>307</v>
          </cell>
          <cell r="AA699">
            <v>322</v>
          </cell>
          <cell r="AB699">
            <v>339</v>
          </cell>
          <cell r="AC699">
            <v>348</v>
          </cell>
          <cell r="AD699">
            <v>354</v>
          </cell>
        </row>
        <row r="700">
          <cell r="D700" t="str">
            <v>인내장터</v>
          </cell>
          <cell r="F700">
            <v>0</v>
          </cell>
          <cell r="H700">
            <v>0.75</v>
          </cell>
          <cell r="I700">
            <v>0.8</v>
          </cell>
          <cell r="J700">
            <v>0.85</v>
          </cell>
          <cell r="K700">
            <v>0.85</v>
          </cell>
          <cell r="L700">
            <v>0.85</v>
          </cell>
          <cell r="M700">
            <v>409</v>
          </cell>
          <cell r="N700">
            <v>409</v>
          </cell>
          <cell r="O700">
            <v>403</v>
          </cell>
          <cell r="P700">
            <v>399</v>
          </cell>
          <cell r="Q700">
            <v>409</v>
          </cell>
          <cell r="R700">
            <v>416</v>
          </cell>
          <cell r="S700">
            <v>307</v>
          </cell>
          <cell r="T700">
            <v>307</v>
          </cell>
          <cell r="U700">
            <v>322</v>
          </cell>
          <cell r="V700">
            <v>339</v>
          </cell>
          <cell r="W700">
            <v>348</v>
          </cell>
          <cell r="X700">
            <v>354</v>
          </cell>
          <cell r="Y700">
            <v>307</v>
          </cell>
          <cell r="Z700">
            <v>307</v>
          </cell>
          <cell r="AA700">
            <v>322</v>
          </cell>
          <cell r="AB700">
            <v>339</v>
          </cell>
          <cell r="AC700">
            <v>348</v>
          </cell>
          <cell r="AD700">
            <v>354</v>
          </cell>
        </row>
        <row r="701">
          <cell r="C701" t="str">
            <v>인천 2</v>
          </cell>
          <cell r="D701" t="str">
            <v>계</v>
          </cell>
          <cell r="M701">
            <v>261</v>
          </cell>
          <cell r="N701">
            <v>261</v>
          </cell>
          <cell r="O701">
            <v>257</v>
          </cell>
          <cell r="P701">
            <v>255</v>
          </cell>
          <cell r="Q701">
            <v>261</v>
          </cell>
          <cell r="R701">
            <v>265</v>
          </cell>
          <cell r="S701">
            <v>196</v>
          </cell>
          <cell r="T701">
            <v>196</v>
          </cell>
          <cell r="U701">
            <v>206</v>
          </cell>
          <cell r="V701">
            <v>217</v>
          </cell>
          <cell r="W701">
            <v>222</v>
          </cell>
          <cell r="X701">
            <v>225</v>
          </cell>
          <cell r="Y701">
            <v>196</v>
          </cell>
          <cell r="Z701">
            <v>196</v>
          </cell>
          <cell r="AA701">
            <v>206</v>
          </cell>
          <cell r="AB701">
            <v>217</v>
          </cell>
          <cell r="AC701">
            <v>222</v>
          </cell>
          <cell r="AD701">
            <v>225</v>
          </cell>
        </row>
        <row r="702">
          <cell r="D702" t="str">
            <v>건너장터</v>
          </cell>
          <cell r="F702">
            <v>0</v>
          </cell>
          <cell r="H702">
            <v>0.75</v>
          </cell>
          <cell r="I702">
            <v>0.8</v>
          </cell>
          <cell r="J702">
            <v>0.85</v>
          </cell>
          <cell r="K702">
            <v>0.85</v>
          </cell>
          <cell r="L702">
            <v>0.85</v>
          </cell>
          <cell r="M702">
            <v>261</v>
          </cell>
          <cell r="N702">
            <v>261</v>
          </cell>
          <cell r="O702">
            <v>257</v>
          </cell>
          <cell r="P702">
            <v>255</v>
          </cell>
          <cell r="Q702">
            <v>261</v>
          </cell>
          <cell r="R702">
            <v>265</v>
          </cell>
          <cell r="S702">
            <v>196</v>
          </cell>
          <cell r="T702">
            <v>196</v>
          </cell>
          <cell r="U702">
            <v>206</v>
          </cell>
          <cell r="V702">
            <v>217</v>
          </cell>
          <cell r="W702">
            <v>222</v>
          </cell>
          <cell r="X702">
            <v>225</v>
          </cell>
          <cell r="Y702">
            <v>196</v>
          </cell>
          <cell r="Z702">
            <v>196</v>
          </cell>
          <cell r="AA702">
            <v>206</v>
          </cell>
          <cell r="AB702">
            <v>217</v>
          </cell>
          <cell r="AC702">
            <v>222</v>
          </cell>
          <cell r="AD702">
            <v>225</v>
          </cell>
        </row>
        <row r="703">
          <cell r="C703" t="str">
            <v>인천 3</v>
          </cell>
          <cell r="D703" t="str">
            <v>계</v>
          </cell>
          <cell r="M703">
            <v>108</v>
          </cell>
          <cell r="N703">
            <v>108</v>
          </cell>
          <cell r="O703">
            <v>106</v>
          </cell>
          <cell r="P703">
            <v>106</v>
          </cell>
          <cell r="Q703">
            <v>108</v>
          </cell>
          <cell r="R703">
            <v>110</v>
          </cell>
          <cell r="S703">
            <v>0</v>
          </cell>
          <cell r="T703">
            <v>0</v>
          </cell>
          <cell r="U703">
            <v>85</v>
          </cell>
          <cell r="V703">
            <v>90</v>
          </cell>
          <cell r="W703">
            <v>92</v>
          </cell>
          <cell r="X703">
            <v>94</v>
          </cell>
          <cell r="Y703">
            <v>81</v>
          </cell>
          <cell r="Z703">
            <v>81</v>
          </cell>
          <cell r="AA703">
            <v>85</v>
          </cell>
          <cell r="AB703">
            <v>90</v>
          </cell>
          <cell r="AC703">
            <v>92</v>
          </cell>
          <cell r="AD703">
            <v>94</v>
          </cell>
        </row>
        <row r="704">
          <cell r="D704" t="str">
            <v>동산리</v>
          </cell>
          <cell r="F704">
            <v>5</v>
          </cell>
          <cell r="H704">
            <v>0.75</v>
          </cell>
          <cell r="I704">
            <v>0.8</v>
          </cell>
          <cell r="J704">
            <v>0.85</v>
          </cell>
          <cell r="K704">
            <v>0.85</v>
          </cell>
          <cell r="L704">
            <v>0.85</v>
          </cell>
          <cell r="M704">
            <v>108</v>
          </cell>
          <cell r="N704">
            <v>108</v>
          </cell>
          <cell r="O704">
            <v>106</v>
          </cell>
          <cell r="P704">
            <v>106</v>
          </cell>
          <cell r="Q704">
            <v>108</v>
          </cell>
          <cell r="R704">
            <v>110</v>
          </cell>
          <cell r="S704">
            <v>0</v>
          </cell>
          <cell r="T704">
            <v>0</v>
          </cell>
          <cell r="U704">
            <v>85</v>
          </cell>
          <cell r="V704">
            <v>90</v>
          </cell>
          <cell r="W704">
            <v>92</v>
          </cell>
          <cell r="X704">
            <v>94</v>
          </cell>
          <cell r="Y704">
            <v>81</v>
          </cell>
          <cell r="Z704">
            <v>81</v>
          </cell>
          <cell r="AA704">
            <v>85</v>
          </cell>
          <cell r="AB704">
            <v>90</v>
          </cell>
          <cell r="AC704">
            <v>92</v>
          </cell>
          <cell r="AD704">
            <v>94</v>
          </cell>
        </row>
        <row r="705">
          <cell r="C705" t="str">
            <v>인천 4</v>
          </cell>
          <cell r="D705" t="str">
            <v>계</v>
          </cell>
          <cell r="M705">
            <v>116</v>
          </cell>
          <cell r="N705">
            <v>116</v>
          </cell>
          <cell r="O705">
            <v>114</v>
          </cell>
          <cell r="P705">
            <v>113</v>
          </cell>
          <cell r="Q705">
            <v>116</v>
          </cell>
          <cell r="R705">
            <v>118</v>
          </cell>
          <cell r="S705">
            <v>0</v>
          </cell>
          <cell r="T705">
            <v>0</v>
          </cell>
          <cell r="U705">
            <v>0</v>
          </cell>
          <cell r="V705">
            <v>96</v>
          </cell>
          <cell r="W705">
            <v>99</v>
          </cell>
          <cell r="X705">
            <v>100</v>
          </cell>
          <cell r="Y705">
            <v>0</v>
          </cell>
          <cell r="Z705">
            <v>0</v>
          </cell>
          <cell r="AA705">
            <v>0</v>
          </cell>
          <cell r="AB705">
            <v>96</v>
          </cell>
          <cell r="AC705">
            <v>99</v>
          </cell>
          <cell r="AD705">
            <v>100</v>
          </cell>
        </row>
        <row r="706">
          <cell r="D706" t="str">
            <v>도정골</v>
          </cell>
          <cell r="F706">
            <v>2</v>
          </cell>
          <cell r="H706">
            <v>0.75</v>
          </cell>
          <cell r="I706">
            <v>0.8</v>
          </cell>
          <cell r="J706">
            <v>0.85</v>
          </cell>
          <cell r="K706">
            <v>0.85</v>
          </cell>
          <cell r="L706">
            <v>0.85</v>
          </cell>
          <cell r="M706">
            <v>116</v>
          </cell>
          <cell r="N706">
            <v>116</v>
          </cell>
          <cell r="O706">
            <v>114</v>
          </cell>
          <cell r="P706">
            <v>113</v>
          </cell>
          <cell r="Q706">
            <v>116</v>
          </cell>
          <cell r="R706">
            <v>118</v>
          </cell>
          <cell r="S706">
            <v>0</v>
          </cell>
          <cell r="T706">
            <v>0</v>
          </cell>
          <cell r="U706">
            <v>0</v>
          </cell>
          <cell r="V706">
            <v>96</v>
          </cell>
          <cell r="W706">
            <v>99</v>
          </cell>
          <cell r="X706">
            <v>100</v>
          </cell>
          <cell r="Y706">
            <v>0</v>
          </cell>
          <cell r="Z706">
            <v>0</v>
          </cell>
          <cell r="AA706">
            <v>0</v>
          </cell>
          <cell r="AB706">
            <v>96</v>
          </cell>
          <cell r="AC706">
            <v>99</v>
          </cell>
          <cell r="AD706">
            <v>100</v>
          </cell>
        </row>
        <row r="707">
          <cell r="C707" t="str">
            <v>도평리</v>
          </cell>
          <cell r="D707" t="str">
            <v>소계</v>
          </cell>
          <cell r="M707">
            <v>417</v>
          </cell>
          <cell r="N707">
            <v>418</v>
          </cell>
          <cell r="O707">
            <v>412</v>
          </cell>
          <cell r="P707">
            <v>407</v>
          </cell>
          <cell r="Q707">
            <v>417</v>
          </cell>
          <cell r="R707">
            <v>425</v>
          </cell>
          <cell r="S707">
            <v>108</v>
          </cell>
          <cell r="T707">
            <v>108</v>
          </cell>
          <cell r="U707">
            <v>331</v>
          </cell>
          <cell r="V707">
            <v>346</v>
          </cell>
          <cell r="W707">
            <v>354</v>
          </cell>
          <cell r="X707">
            <v>362</v>
          </cell>
          <cell r="Y707">
            <v>108</v>
          </cell>
          <cell r="Z707">
            <v>0</v>
          </cell>
          <cell r="AA707">
            <v>331</v>
          </cell>
          <cell r="AB707">
            <v>346</v>
          </cell>
          <cell r="AC707">
            <v>354</v>
          </cell>
          <cell r="AD707">
            <v>362</v>
          </cell>
        </row>
        <row r="708">
          <cell r="C708" t="str">
            <v>도평 1</v>
          </cell>
          <cell r="D708" t="str">
            <v>계</v>
          </cell>
          <cell r="M708">
            <v>124</v>
          </cell>
          <cell r="N708">
            <v>124</v>
          </cell>
          <cell r="O708">
            <v>122</v>
          </cell>
          <cell r="P708">
            <v>121</v>
          </cell>
          <cell r="Q708">
            <v>124</v>
          </cell>
          <cell r="R708">
            <v>126</v>
          </cell>
          <cell r="S708">
            <v>0</v>
          </cell>
          <cell r="T708">
            <v>0</v>
          </cell>
          <cell r="U708">
            <v>98</v>
          </cell>
          <cell r="V708">
            <v>103</v>
          </cell>
          <cell r="W708">
            <v>105</v>
          </cell>
          <cell r="X708">
            <v>107</v>
          </cell>
          <cell r="Y708">
            <v>0</v>
          </cell>
          <cell r="Z708">
            <v>0</v>
          </cell>
          <cell r="AA708">
            <v>98</v>
          </cell>
          <cell r="AB708">
            <v>103</v>
          </cell>
          <cell r="AC708">
            <v>105</v>
          </cell>
          <cell r="AD708">
            <v>107</v>
          </cell>
        </row>
        <row r="709">
          <cell r="D709" t="str">
            <v>상도평</v>
          </cell>
          <cell r="F709">
            <v>1</v>
          </cell>
          <cell r="H709">
            <v>0.75</v>
          </cell>
          <cell r="I709">
            <v>0.8</v>
          </cell>
          <cell r="J709">
            <v>0.85</v>
          </cell>
          <cell r="K709">
            <v>0.85</v>
          </cell>
          <cell r="L709">
            <v>0.85</v>
          </cell>
          <cell r="M709">
            <v>124</v>
          </cell>
          <cell r="N709">
            <v>124</v>
          </cell>
          <cell r="O709">
            <v>122</v>
          </cell>
          <cell r="P709">
            <v>121</v>
          </cell>
          <cell r="Q709">
            <v>124</v>
          </cell>
          <cell r="R709">
            <v>126</v>
          </cell>
          <cell r="S709">
            <v>0</v>
          </cell>
          <cell r="T709">
            <v>0</v>
          </cell>
          <cell r="U709">
            <v>98</v>
          </cell>
          <cell r="V709">
            <v>103</v>
          </cell>
          <cell r="W709">
            <v>105</v>
          </cell>
          <cell r="X709">
            <v>107</v>
          </cell>
          <cell r="Y709">
            <v>0</v>
          </cell>
          <cell r="Z709">
            <v>0</v>
          </cell>
          <cell r="AA709">
            <v>98</v>
          </cell>
          <cell r="AB709">
            <v>103</v>
          </cell>
          <cell r="AC709">
            <v>105</v>
          </cell>
          <cell r="AD709">
            <v>107</v>
          </cell>
        </row>
        <row r="710">
          <cell r="C710" t="str">
            <v>도평 2</v>
          </cell>
          <cell r="D710" t="str">
            <v>계</v>
          </cell>
          <cell r="E710">
            <v>35476</v>
          </cell>
          <cell r="M710">
            <v>129</v>
          </cell>
          <cell r="N710">
            <v>130</v>
          </cell>
          <cell r="O710">
            <v>128</v>
          </cell>
          <cell r="P710">
            <v>126</v>
          </cell>
          <cell r="Q710">
            <v>129</v>
          </cell>
          <cell r="R710">
            <v>132</v>
          </cell>
          <cell r="S710">
            <v>0</v>
          </cell>
          <cell r="T710">
            <v>0</v>
          </cell>
          <cell r="U710">
            <v>103</v>
          </cell>
          <cell r="V710">
            <v>107</v>
          </cell>
          <cell r="W710">
            <v>110</v>
          </cell>
          <cell r="X710">
            <v>113</v>
          </cell>
          <cell r="Y710">
            <v>0</v>
          </cell>
          <cell r="Z710">
            <v>0</v>
          </cell>
          <cell r="AA710">
            <v>103</v>
          </cell>
          <cell r="AB710">
            <v>107</v>
          </cell>
          <cell r="AC710">
            <v>110</v>
          </cell>
          <cell r="AD710">
            <v>113</v>
          </cell>
        </row>
        <row r="711">
          <cell r="D711" t="str">
            <v>돌서</v>
          </cell>
          <cell r="E711">
            <v>29573</v>
          </cell>
          <cell r="F711">
            <v>1</v>
          </cell>
          <cell r="H711">
            <v>0.75</v>
          </cell>
          <cell r="I711">
            <v>0.8</v>
          </cell>
          <cell r="J711">
            <v>0.85</v>
          </cell>
          <cell r="K711">
            <v>0.85</v>
          </cell>
          <cell r="L711">
            <v>0.85</v>
          </cell>
          <cell r="M711">
            <v>108</v>
          </cell>
          <cell r="N711">
            <v>108</v>
          </cell>
          <cell r="O711">
            <v>107</v>
          </cell>
          <cell r="P711">
            <v>105</v>
          </cell>
          <cell r="Q711">
            <v>108</v>
          </cell>
          <cell r="R711">
            <v>110</v>
          </cell>
          <cell r="S711">
            <v>0</v>
          </cell>
          <cell r="T711">
            <v>0</v>
          </cell>
          <cell r="U711">
            <v>86</v>
          </cell>
          <cell r="V711">
            <v>89</v>
          </cell>
          <cell r="W711">
            <v>92</v>
          </cell>
          <cell r="X711">
            <v>94</v>
          </cell>
          <cell r="Y711">
            <v>0</v>
          </cell>
          <cell r="Z711">
            <v>0</v>
          </cell>
          <cell r="AA711">
            <v>86</v>
          </cell>
          <cell r="AB711">
            <v>89</v>
          </cell>
          <cell r="AC711">
            <v>92</v>
          </cell>
          <cell r="AD711">
            <v>94</v>
          </cell>
        </row>
        <row r="712">
          <cell r="D712" t="str">
            <v>건너말</v>
          </cell>
          <cell r="E712">
            <v>5903</v>
          </cell>
          <cell r="F712">
            <v>1</v>
          </cell>
          <cell r="H712">
            <v>0.75</v>
          </cell>
          <cell r="I712">
            <v>0.8</v>
          </cell>
          <cell r="J712">
            <v>0.85</v>
          </cell>
          <cell r="K712">
            <v>0.85</v>
          </cell>
          <cell r="L712">
            <v>0.85</v>
          </cell>
          <cell r="M712">
            <v>21</v>
          </cell>
          <cell r="N712">
            <v>22</v>
          </cell>
          <cell r="O712">
            <v>21</v>
          </cell>
          <cell r="P712">
            <v>21</v>
          </cell>
          <cell r="Q712">
            <v>21</v>
          </cell>
          <cell r="R712">
            <v>22</v>
          </cell>
          <cell r="S712">
            <v>0</v>
          </cell>
          <cell r="T712">
            <v>0</v>
          </cell>
          <cell r="U712">
            <v>17</v>
          </cell>
          <cell r="V712">
            <v>18</v>
          </cell>
          <cell r="W712">
            <v>18</v>
          </cell>
          <cell r="X712">
            <v>19</v>
          </cell>
          <cell r="Y712">
            <v>0</v>
          </cell>
          <cell r="Z712">
            <v>0</v>
          </cell>
          <cell r="AA712">
            <v>17</v>
          </cell>
          <cell r="AB712">
            <v>18</v>
          </cell>
          <cell r="AC712">
            <v>18</v>
          </cell>
          <cell r="AD712">
            <v>19</v>
          </cell>
        </row>
        <row r="713">
          <cell r="C713" t="str">
            <v>도평 3</v>
          </cell>
          <cell r="D713" t="str">
            <v>계</v>
          </cell>
          <cell r="E713">
            <v>52700</v>
          </cell>
          <cell r="M713">
            <v>164</v>
          </cell>
          <cell r="N713">
            <v>164</v>
          </cell>
          <cell r="O713">
            <v>162</v>
          </cell>
          <cell r="P713">
            <v>160</v>
          </cell>
          <cell r="Q713">
            <v>164</v>
          </cell>
          <cell r="R713">
            <v>167</v>
          </cell>
          <cell r="S713">
            <v>108</v>
          </cell>
          <cell r="T713">
            <v>108</v>
          </cell>
          <cell r="U713">
            <v>130</v>
          </cell>
          <cell r="V713">
            <v>136</v>
          </cell>
          <cell r="W713">
            <v>139</v>
          </cell>
          <cell r="X713">
            <v>142</v>
          </cell>
          <cell r="Y713">
            <v>108</v>
          </cell>
          <cell r="AA713">
            <v>130</v>
          </cell>
          <cell r="AB713">
            <v>136</v>
          </cell>
          <cell r="AC713">
            <v>139</v>
          </cell>
          <cell r="AD713">
            <v>142</v>
          </cell>
        </row>
        <row r="714">
          <cell r="D714" t="str">
            <v>하도평</v>
          </cell>
          <cell r="E714">
            <v>46250</v>
          </cell>
          <cell r="F714">
            <v>0</v>
          </cell>
          <cell r="H714">
            <v>0.75</v>
          </cell>
          <cell r="I714">
            <v>0.8</v>
          </cell>
          <cell r="J714">
            <v>0.85</v>
          </cell>
          <cell r="K714">
            <v>0.85</v>
          </cell>
          <cell r="L714">
            <v>0.85</v>
          </cell>
          <cell r="M714">
            <v>144</v>
          </cell>
          <cell r="N714">
            <v>144</v>
          </cell>
          <cell r="O714">
            <v>142</v>
          </cell>
          <cell r="P714">
            <v>140</v>
          </cell>
          <cell r="Q714">
            <v>144</v>
          </cell>
          <cell r="R714">
            <v>147</v>
          </cell>
          <cell r="S714">
            <v>108</v>
          </cell>
          <cell r="T714">
            <v>108</v>
          </cell>
          <cell r="U714">
            <v>114</v>
          </cell>
          <cell r="V714">
            <v>119</v>
          </cell>
          <cell r="W714">
            <v>122</v>
          </cell>
          <cell r="X714">
            <v>125</v>
          </cell>
          <cell r="Y714">
            <v>108</v>
          </cell>
          <cell r="Z714">
            <v>108</v>
          </cell>
          <cell r="AA714">
            <v>114</v>
          </cell>
          <cell r="AB714">
            <v>119</v>
          </cell>
          <cell r="AC714">
            <v>122</v>
          </cell>
          <cell r="AD714">
            <v>125</v>
          </cell>
        </row>
        <row r="715">
          <cell r="D715" t="str">
            <v>새뜸</v>
          </cell>
          <cell r="E715">
            <v>6450</v>
          </cell>
          <cell r="F715">
            <v>1</v>
          </cell>
          <cell r="H715">
            <v>0.75</v>
          </cell>
          <cell r="I715">
            <v>0.8</v>
          </cell>
          <cell r="J715">
            <v>0.85</v>
          </cell>
          <cell r="K715">
            <v>0.85</v>
          </cell>
          <cell r="L715">
            <v>0.85</v>
          </cell>
          <cell r="M715">
            <v>20</v>
          </cell>
          <cell r="N715">
            <v>20</v>
          </cell>
          <cell r="O715">
            <v>20</v>
          </cell>
          <cell r="P715">
            <v>20</v>
          </cell>
          <cell r="Q715">
            <v>20</v>
          </cell>
          <cell r="R715">
            <v>20</v>
          </cell>
          <cell r="S715">
            <v>0</v>
          </cell>
          <cell r="T715">
            <v>0</v>
          </cell>
          <cell r="U715">
            <v>16</v>
          </cell>
          <cell r="V715">
            <v>17</v>
          </cell>
          <cell r="W715">
            <v>17</v>
          </cell>
          <cell r="X715">
            <v>17</v>
          </cell>
          <cell r="Y715">
            <v>0</v>
          </cell>
          <cell r="Z715">
            <v>0</v>
          </cell>
          <cell r="AA715">
            <v>16</v>
          </cell>
          <cell r="AB715">
            <v>17</v>
          </cell>
          <cell r="AC715">
            <v>17</v>
          </cell>
          <cell r="AD715">
            <v>17</v>
          </cell>
        </row>
        <row r="716">
          <cell r="C716" t="str">
            <v>임화리</v>
          </cell>
          <cell r="D716" t="str">
            <v>소계</v>
          </cell>
          <cell r="M716">
            <v>459</v>
          </cell>
          <cell r="N716">
            <v>460</v>
          </cell>
          <cell r="O716">
            <v>452</v>
          </cell>
          <cell r="P716">
            <v>447</v>
          </cell>
          <cell r="Q716">
            <v>459</v>
          </cell>
          <cell r="R716">
            <v>467</v>
          </cell>
          <cell r="S716">
            <v>0</v>
          </cell>
          <cell r="T716">
            <v>0</v>
          </cell>
          <cell r="U716">
            <v>217</v>
          </cell>
          <cell r="V716">
            <v>379</v>
          </cell>
          <cell r="W716">
            <v>389</v>
          </cell>
          <cell r="X716">
            <v>397</v>
          </cell>
          <cell r="Y716">
            <v>199</v>
          </cell>
          <cell r="Z716">
            <v>200</v>
          </cell>
          <cell r="AA716">
            <v>217</v>
          </cell>
          <cell r="AB716">
            <v>379</v>
          </cell>
          <cell r="AC716">
            <v>389</v>
          </cell>
          <cell r="AD716">
            <v>397</v>
          </cell>
        </row>
        <row r="717">
          <cell r="C717" t="str">
            <v>임화 1</v>
          </cell>
          <cell r="D717" t="str">
            <v>계</v>
          </cell>
          <cell r="E717">
            <v>23595</v>
          </cell>
          <cell r="M717">
            <v>104</v>
          </cell>
          <cell r="N717">
            <v>104</v>
          </cell>
          <cell r="O717">
            <v>102</v>
          </cell>
          <cell r="P717">
            <v>101</v>
          </cell>
          <cell r="Q717">
            <v>104</v>
          </cell>
          <cell r="R717">
            <v>106</v>
          </cell>
          <cell r="S717">
            <v>0</v>
          </cell>
          <cell r="T717">
            <v>0</v>
          </cell>
          <cell r="U717">
            <v>81</v>
          </cell>
          <cell r="V717">
            <v>85</v>
          </cell>
          <cell r="W717">
            <v>88</v>
          </cell>
          <cell r="X717">
            <v>90</v>
          </cell>
          <cell r="Y717">
            <v>70</v>
          </cell>
          <cell r="Z717">
            <v>70</v>
          </cell>
          <cell r="AA717">
            <v>81</v>
          </cell>
          <cell r="AB717">
            <v>85</v>
          </cell>
          <cell r="AC717">
            <v>88</v>
          </cell>
          <cell r="AD717">
            <v>90</v>
          </cell>
        </row>
        <row r="718">
          <cell r="D718" t="str">
            <v>잣정이</v>
          </cell>
          <cell r="E718">
            <v>17946</v>
          </cell>
          <cell r="F718">
            <v>5</v>
          </cell>
          <cell r="H718">
            <v>0.75</v>
          </cell>
          <cell r="I718">
            <v>0.8</v>
          </cell>
          <cell r="J718">
            <v>0.85</v>
          </cell>
          <cell r="K718">
            <v>0.85</v>
          </cell>
          <cell r="L718">
            <v>0.85</v>
          </cell>
          <cell r="M718">
            <v>79</v>
          </cell>
          <cell r="N718">
            <v>79</v>
          </cell>
          <cell r="O718">
            <v>78</v>
          </cell>
          <cell r="P718">
            <v>77</v>
          </cell>
          <cell r="Q718">
            <v>79</v>
          </cell>
          <cell r="R718">
            <v>81</v>
          </cell>
          <cell r="S718">
            <v>0</v>
          </cell>
          <cell r="T718">
            <v>0</v>
          </cell>
          <cell r="U718">
            <v>62</v>
          </cell>
          <cell r="V718">
            <v>65</v>
          </cell>
          <cell r="W718">
            <v>67</v>
          </cell>
          <cell r="X718">
            <v>69</v>
          </cell>
          <cell r="Y718">
            <v>59</v>
          </cell>
          <cell r="Z718">
            <v>59</v>
          </cell>
          <cell r="AA718">
            <v>62</v>
          </cell>
          <cell r="AB718">
            <v>65</v>
          </cell>
          <cell r="AC718">
            <v>67</v>
          </cell>
          <cell r="AD718">
            <v>69</v>
          </cell>
        </row>
        <row r="719">
          <cell r="D719" t="str">
            <v>계동</v>
          </cell>
          <cell r="E719">
            <v>3109</v>
          </cell>
          <cell r="F719">
            <v>5</v>
          </cell>
          <cell r="H719">
            <v>0.75</v>
          </cell>
          <cell r="I719">
            <v>0.8</v>
          </cell>
          <cell r="J719">
            <v>0.85</v>
          </cell>
          <cell r="K719">
            <v>0.85</v>
          </cell>
          <cell r="L719">
            <v>0.85</v>
          </cell>
          <cell r="M719">
            <v>14</v>
          </cell>
          <cell r="N719">
            <v>14</v>
          </cell>
          <cell r="O719">
            <v>13</v>
          </cell>
          <cell r="P719">
            <v>13</v>
          </cell>
          <cell r="Q719">
            <v>14</v>
          </cell>
          <cell r="R719">
            <v>14</v>
          </cell>
          <cell r="S719">
            <v>0</v>
          </cell>
          <cell r="T719">
            <v>0</v>
          </cell>
          <cell r="U719">
            <v>10</v>
          </cell>
          <cell r="V719">
            <v>11</v>
          </cell>
          <cell r="W719">
            <v>12</v>
          </cell>
          <cell r="X719">
            <v>12</v>
          </cell>
          <cell r="Y719">
            <v>11</v>
          </cell>
          <cell r="Z719">
            <v>11</v>
          </cell>
          <cell r="AA719">
            <v>10</v>
          </cell>
          <cell r="AB719">
            <v>11</v>
          </cell>
          <cell r="AC719">
            <v>12</v>
          </cell>
          <cell r="AD719">
            <v>12</v>
          </cell>
        </row>
        <row r="720">
          <cell r="D720" t="str">
            <v>무수리</v>
          </cell>
          <cell r="E720">
            <v>2540</v>
          </cell>
          <cell r="F720">
            <v>1</v>
          </cell>
          <cell r="H720">
            <v>0.75</v>
          </cell>
          <cell r="I720">
            <v>0.8</v>
          </cell>
          <cell r="J720">
            <v>0.85</v>
          </cell>
          <cell r="K720">
            <v>0.85</v>
          </cell>
          <cell r="L720">
            <v>0.85</v>
          </cell>
          <cell r="M720">
            <v>11</v>
          </cell>
          <cell r="N720">
            <v>11</v>
          </cell>
          <cell r="O720">
            <v>11</v>
          </cell>
          <cell r="P720">
            <v>11</v>
          </cell>
          <cell r="Q720">
            <v>11</v>
          </cell>
          <cell r="R720">
            <v>11</v>
          </cell>
          <cell r="S720">
            <v>0</v>
          </cell>
          <cell r="T720">
            <v>0</v>
          </cell>
          <cell r="U720">
            <v>9</v>
          </cell>
          <cell r="V720">
            <v>9</v>
          </cell>
          <cell r="W720">
            <v>9</v>
          </cell>
          <cell r="X720">
            <v>9</v>
          </cell>
          <cell r="Y720">
            <v>0</v>
          </cell>
          <cell r="Z720">
            <v>0</v>
          </cell>
          <cell r="AA720">
            <v>9</v>
          </cell>
          <cell r="AB720">
            <v>9</v>
          </cell>
          <cell r="AC720">
            <v>9</v>
          </cell>
          <cell r="AD720">
            <v>9</v>
          </cell>
        </row>
        <row r="721">
          <cell r="C721" t="str">
            <v>임화 2</v>
          </cell>
          <cell r="D721" t="str">
            <v>계</v>
          </cell>
          <cell r="M721">
            <v>80</v>
          </cell>
          <cell r="N721">
            <v>80</v>
          </cell>
          <cell r="O721">
            <v>79</v>
          </cell>
          <cell r="P721">
            <v>78</v>
          </cell>
          <cell r="Q721">
            <v>80</v>
          </cell>
          <cell r="R721">
            <v>81</v>
          </cell>
          <cell r="S721">
            <v>0</v>
          </cell>
          <cell r="T721">
            <v>0</v>
          </cell>
          <cell r="U721">
            <v>0</v>
          </cell>
          <cell r="V721">
            <v>66</v>
          </cell>
          <cell r="W721">
            <v>68</v>
          </cell>
          <cell r="X721">
            <v>69</v>
          </cell>
          <cell r="Y721">
            <v>0</v>
          </cell>
          <cell r="Z721">
            <v>0</v>
          </cell>
          <cell r="AA721">
            <v>0</v>
          </cell>
          <cell r="AB721">
            <v>66</v>
          </cell>
          <cell r="AC721">
            <v>68</v>
          </cell>
          <cell r="AD721">
            <v>69</v>
          </cell>
        </row>
        <row r="722">
          <cell r="D722" t="str">
            <v>고산임화</v>
          </cell>
          <cell r="F722">
            <v>2</v>
          </cell>
          <cell r="H722">
            <v>0.75</v>
          </cell>
          <cell r="I722">
            <v>0.8</v>
          </cell>
          <cell r="J722">
            <v>0.85</v>
          </cell>
          <cell r="K722">
            <v>0.85</v>
          </cell>
          <cell r="L722">
            <v>0.85</v>
          </cell>
          <cell r="M722">
            <v>80</v>
          </cell>
          <cell r="N722">
            <v>80</v>
          </cell>
          <cell r="O722">
            <v>79</v>
          </cell>
          <cell r="P722">
            <v>78</v>
          </cell>
          <cell r="Q722">
            <v>80</v>
          </cell>
          <cell r="R722">
            <v>81</v>
          </cell>
          <cell r="S722">
            <v>0</v>
          </cell>
          <cell r="T722">
            <v>0</v>
          </cell>
          <cell r="U722">
            <v>0</v>
          </cell>
          <cell r="V722">
            <v>66</v>
          </cell>
          <cell r="W722">
            <v>68</v>
          </cell>
          <cell r="X722">
            <v>69</v>
          </cell>
          <cell r="Y722">
            <v>0</v>
          </cell>
          <cell r="Z722">
            <v>0</v>
          </cell>
          <cell r="AA722">
            <v>0</v>
          </cell>
          <cell r="AB722">
            <v>66</v>
          </cell>
          <cell r="AC722">
            <v>68</v>
          </cell>
          <cell r="AD722">
            <v>69</v>
          </cell>
        </row>
        <row r="723">
          <cell r="C723" t="str">
            <v>임화 3</v>
          </cell>
          <cell r="D723" t="str">
            <v>계</v>
          </cell>
          <cell r="E723">
            <v>38770</v>
          </cell>
          <cell r="M723">
            <v>172</v>
          </cell>
          <cell r="N723">
            <v>173</v>
          </cell>
          <cell r="O723">
            <v>170</v>
          </cell>
          <cell r="P723">
            <v>168</v>
          </cell>
          <cell r="Q723">
            <v>172</v>
          </cell>
          <cell r="R723">
            <v>175</v>
          </cell>
          <cell r="S723">
            <v>0</v>
          </cell>
          <cell r="T723">
            <v>0</v>
          </cell>
          <cell r="U723">
            <v>136</v>
          </cell>
          <cell r="V723">
            <v>143</v>
          </cell>
          <cell r="W723">
            <v>146</v>
          </cell>
          <cell r="X723">
            <v>149</v>
          </cell>
          <cell r="Y723">
            <v>129</v>
          </cell>
          <cell r="Z723">
            <v>130</v>
          </cell>
          <cell r="AA723">
            <v>136</v>
          </cell>
          <cell r="AB723">
            <v>143</v>
          </cell>
          <cell r="AC723">
            <v>146</v>
          </cell>
          <cell r="AD723">
            <v>149</v>
          </cell>
        </row>
        <row r="724">
          <cell r="D724" t="str">
            <v>새터</v>
          </cell>
          <cell r="E724">
            <v>17406</v>
          </cell>
          <cell r="F724">
            <v>5</v>
          </cell>
          <cell r="H724">
            <v>0.75</v>
          </cell>
          <cell r="I724">
            <v>0.8</v>
          </cell>
          <cell r="J724">
            <v>0.85</v>
          </cell>
          <cell r="K724">
            <v>0.85</v>
          </cell>
          <cell r="L724">
            <v>0.85</v>
          </cell>
          <cell r="M724">
            <v>77</v>
          </cell>
          <cell r="N724">
            <v>78</v>
          </cell>
          <cell r="O724">
            <v>76</v>
          </cell>
          <cell r="P724">
            <v>75</v>
          </cell>
          <cell r="Q724">
            <v>77</v>
          </cell>
          <cell r="R724">
            <v>79</v>
          </cell>
          <cell r="S724">
            <v>0</v>
          </cell>
          <cell r="T724">
            <v>0</v>
          </cell>
          <cell r="U724">
            <v>61</v>
          </cell>
          <cell r="V724">
            <v>64</v>
          </cell>
          <cell r="W724">
            <v>65</v>
          </cell>
          <cell r="X724">
            <v>67</v>
          </cell>
          <cell r="Y724">
            <v>58</v>
          </cell>
          <cell r="Z724">
            <v>59</v>
          </cell>
          <cell r="AA724">
            <v>61</v>
          </cell>
          <cell r="AB724">
            <v>64</v>
          </cell>
          <cell r="AC724">
            <v>65</v>
          </cell>
          <cell r="AD724">
            <v>67</v>
          </cell>
        </row>
        <row r="725">
          <cell r="D725" t="str">
            <v>노가티</v>
          </cell>
          <cell r="E725">
            <v>21364</v>
          </cell>
          <cell r="F725">
            <v>5</v>
          </cell>
          <cell r="H725">
            <v>0.75</v>
          </cell>
          <cell r="I725">
            <v>0.8</v>
          </cell>
          <cell r="J725">
            <v>0.85</v>
          </cell>
          <cell r="K725">
            <v>0.85</v>
          </cell>
          <cell r="L725">
            <v>0.85</v>
          </cell>
          <cell r="M725">
            <v>95</v>
          </cell>
          <cell r="N725">
            <v>95</v>
          </cell>
          <cell r="O725">
            <v>94</v>
          </cell>
          <cell r="P725">
            <v>93</v>
          </cell>
          <cell r="Q725">
            <v>95</v>
          </cell>
          <cell r="R725">
            <v>96</v>
          </cell>
          <cell r="S725">
            <v>0</v>
          </cell>
          <cell r="T725">
            <v>0</v>
          </cell>
          <cell r="U725">
            <v>75</v>
          </cell>
          <cell r="V725">
            <v>79</v>
          </cell>
          <cell r="W725">
            <v>81</v>
          </cell>
          <cell r="X725">
            <v>82</v>
          </cell>
          <cell r="Y725">
            <v>71</v>
          </cell>
          <cell r="Z725">
            <v>71</v>
          </cell>
          <cell r="AA725">
            <v>75</v>
          </cell>
          <cell r="AB725">
            <v>79</v>
          </cell>
          <cell r="AC725">
            <v>81</v>
          </cell>
          <cell r="AD725">
            <v>82</v>
          </cell>
        </row>
        <row r="726">
          <cell r="C726" t="str">
            <v>임화 4</v>
          </cell>
          <cell r="D726" t="str">
            <v>계</v>
          </cell>
          <cell r="E726">
            <v>29507</v>
          </cell>
          <cell r="M726">
            <v>103</v>
          </cell>
          <cell r="N726">
            <v>103</v>
          </cell>
          <cell r="O726">
            <v>101</v>
          </cell>
          <cell r="P726">
            <v>100</v>
          </cell>
          <cell r="Q726">
            <v>103</v>
          </cell>
          <cell r="R726">
            <v>105</v>
          </cell>
          <cell r="S726">
            <v>0</v>
          </cell>
          <cell r="T726">
            <v>0</v>
          </cell>
          <cell r="U726">
            <v>0</v>
          </cell>
          <cell r="V726">
            <v>85</v>
          </cell>
          <cell r="W726">
            <v>87</v>
          </cell>
          <cell r="X726">
            <v>89</v>
          </cell>
          <cell r="Y726">
            <v>0</v>
          </cell>
          <cell r="Z726">
            <v>0</v>
          </cell>
          <cell r="AA726">
            <v>0</v>
          </cell>
          <cell r="AB726">
            <v>85</v>
          </cell>
          <cell r="AC726">
            <v>87</v>
          </cell>
          <cell r="AD726">
            <v>89</v>
          </cell>
        </row>
        <row r="727">
          <cell r="D727" t="str">
            <v>빼재</v>
          </cell>
          <cell r="E727">
            <v>16774</v>
          </cell>
          <cell r="F727">
            <v>2</v>
          </cell>
          <cell r="H727">
            <v>0.75</v>
          </cell>
          <cell r="I727">
            <v>0.8</v>
          </cell>
          <cell r="J727">
            <v>0.85</v>
          </cell>
          <cell r="K727">
            <v>0.85</v>
          </cell>
          <cell r="L727">
            <v>0.85</v>
          </cell>
          <cell r="M727">
            <v>59</v>
          </cell>
          <cell r="N727">
            <v>59</v>
          </cell>
          <cell r="O727">
            <v>57</v>
          </cell>
          <cell r="P727">
            <v>57</v>
          </cell>
          <cell r="Q727">
            <v>59</v>
          </cell>
          <cell r="R727">
            <v>60</v>
          </cell>
          <cell r="S727">
            <v>0</v>
          </cell>
          <cell r="T727">
            <v>0</v>
          </cell>
          <cell r="U727">
            <v>0</v>
          </cell>
          <cell r="V727">
            <v>48</v>
          </cell>
          <cell r="W727">
            <v>50</v>
          </cell>
          <cell r="X727">
            <v>51</v>
          </cell>
          <cell r="Y727">
            <v>0</v>
          </cell>
          <cell r="Z727">
            <v>0</v>
          </cell>
          <cell r="AA727">
            <v>0</v>
          </cell>
          <cell r="AB727">
            <v>48</v>
          </cell>
          <cell r="AC727">
            <v>50</v>
          </cell>
          <cell r="AD727">
            <v>51</v>
          </cell>
        </row>
        <row r="728">
          <cell r="D728" t="str">
            <v>상고</v>
          </cell>
          <cell r="E728">
            <v>3752</v>
          </cell>
          <cell r="F728">
            <v>2</v>
          </cell>
          <cell r="H728">
            <v>0.75</v>
          </cell>
          <cell r="I728">
            <v>0.8</v>
          </cell>
          <cell r="J728">
            <v>0.85</v>
          </cell>
          <cell r="K728">
            <v>0.85</v>
          </cell>
          <cell r="L728">
            <v>0.85</v>
          </cell>
          <cell r="M728">
            <v>13</v>
          </cell>
          <cell r="N728">
            <v>13</v>
          </cell>
          <cell r="O728">
            <v>13</v>
          </cell>
          <cell r="P728">
            <v>13</v>
          </cell>
          <cell r="Q728">
            <v>13</v>
          </cell>
          <cell r="R728">
            <v>13</v>
          </cell>
          <cell r="S728">
            <v>0</v>
          </cell>
          <cell r="T728">
            <v>0</v>
          </cell>
          <cell r="U728">
            <v>0</v>
          </cell>
          <cell r="V728">
            <v>11</v>
          </cell>
          <cell r="W728">
            <v>11</v>
          </cell>
          <cell r="X728">
            <v>11</v>
          </cell>
          <cell r="Y728">
            <v>0</v>
          </cell>
          <cell r="Z728">
            <v>0</v>
          </cell>
          <cell r="AA728">
            <v>0</v>
          </cell>
          <cell r="AB728">
            <v>11</v>
          </cell>
          <cell r="AC728">
            <v>11</v>
          </cell>
          <cell r="AD728">
            <v>11</v>
          </cell>
        </row>
        <row r="729">
          <cell r="D729" t="str">
            <v>벌말</v>
          </cell>
          <cell r="E729">
            <v>8981</v>
          </cell>
          <cell r="F729">
            <v>2</v>
          </cell>
          <cell r="H729">
            <v>0.75</v>
          </cell>
          <cell r="I729">
            <v>0.8</v>
          </cell>
          <cell r="J729">
            <v>0.85</v>
          </cell>
          <cell r="K729">
            <v>0.85</v>
          </cell>
          <cell r="L729">
            <v>0.85</v>
          </cell>
          <cell r="M729">
            <v>31</v>
          </cell>
          <cell r="N729">
            <v>31</v>
          </cell>
          <cell r="O729">
            <v>31</v>
          </cell>
          <cell r="P729">
            <v>30</v>
          </cell>
          <cell r="Q729">
            <v>31</v>
          </cell>
          <cell r="R729">
            <v>32</v>
          </cell>
          <cell r="S729">
            <v>0</v>
          </cell>
          <cell r="T729">
            <v>0</v>
          </cell>
          <cell r="U729">
            <v>0</v>
          </cell>
          <cell r="V729">
            <v>26</v>
          </cell>
          <cell r="W729">
            <v>26</v>
          </cell>
          <cell r="X729">
            <v>27</v>
          </cell>
          <cell r="Y729">
            <v>0</v>
          </cell>
          <cell r="Z729">
            <v>0</v>
          </cell>
          <cell r="AA729">
            <v>0</v>
          </cell>
          <cell r="AB729">
            <v>26</v>
          </cell>
          <cell r="AC729">
            <v>26</v>
          </cell>
          <cell r="AD729">
            <v>27</v>
          </cell>
        </row>
        <row r="730">
          <cell r="C730" t="str">
            <v>양촌리-</v>
          </cell>
          <cell r="D730" t="str">
            <v>소계</v>
          </cell>
          <cell r="M730">
            <v>389</v>
          </cell>
          <cell r="N730">
            <v>389</v>
          </cell>
          <cell r="O730">
            <v>384</v>
          </cell>
          <cell r="P730">
            <v>379</v>
          </cell>
          <cell r="Q730">
            <v>389</v>
          </cell>
          <cell r="R730">
            <v>396</v>
          </cell>
          <cell r="S730">
            <v>0</v>
          </cell>
          <cell r="T730">
            <v>0</v>
          </cell>
          <cell r="U730">
            <v>0</v>
          </cell>
          <cell r="V730">
            <v>322</v>
          </cell>
          <cell r="W730">
            <v>331</v>
          </cell>
          <cell r="X730">
            <v>337</v>
          </cell>
          <cell r="Y730">
            <v>0</v>
          </cell>
          <cell r="Z730">
            <v>0</v>
          </cell>
          <cell r="AA730">
            <v>0</v>
          </cell>
          <cell r="AB730">
            <v>322</v>
          </cell>
          <cell r="AC730">
            <v>331</v>
          </cell>
          <cell r="AD730">
            <v>337</v>
          </cell>
        </row>
        <row r="731">
          <cell r="C731" t="str">
            <v>양촌 1</v>
          </cell>
          <cell r="D731" t="str">
            <v>계</v>
          </cell>
          <cell r="E731">
            <v>57997</v>
          </cell>
          <cell r="M731">
            <v>227</v>
          </cell>
          <cell r="N731">
            <v>227</v>
          </cell>
          <cell r="O731">
            <v>224</v>
          </cell>
          <cell r="P731">
            <v>221</v>
          </cell>
          <cell r="Q731">
            <v>227</v>
          </cell>
          <cell r="R731">
            <v>231</v>
          </cell>
          <cell r="S731">
            <v>0</v>
          </cell>
          <cell r="T731">
            <v>0</v>
          </cell>
          <cell r="U731">
            <v>0</v>
          </cell>
          <cell r="V731">
            <v>188</v>
          </cell>
          <cell r="W731">
            <v>193</v>
          </cell>
          <cell r="X731">
            <v>197</v>
          </cell>
          <cell r="Y731">
            <v>0</v>
          </cell>
          <cell r="Z731">
            <v>0</v>
          </cell>
          <cell r="AA731">
            <v>0</v>
          </cell>
          <cell r="AB731">
            <v>188</v>
          </cell>
          <cell r="AC731">
            <v>193</v>
          </cell>
          <cell r="AD731">
            <v>197</v>
          </cell>
        </row>
        <row r="732">
          <cell r="D732" t="str">
            <v>탑안이</v>
          </cell>
          <cell r="E732">
            <v>34213</v>
          </cell>
          <cell r="F732">
            <v>2</v>
          </cell>
          <cell r="H732">
            <v>0.75</v>
          </cell>
          <cell r="I732">
            <v>0.8</v>
          </cell>
          <cell r="J732">
            <v>0.85</v>
          </cell>
          <cell r="K732">
            <v>0.85</v>
          </cell>
          <cell r="L732">
            <v>0.85</v>
          </cell>
          <cell r="M732">
            <v>134</v>
          </cell>
          <cell r="N732">
            <v>134</v>
          </cell>
          <cell r="O732">
            <v>132</v>
          </cell>
          <cell r="P732">
            <v>130</v>
          </cell>
          <cell r="Q732">
            <v>134</v>
          </cell>
          <cell r="R732">
            <v>136</v>
          </cell>
          <cell r="S732">
            <v>0</v>
          </cell>
          <cell r="T732">
            <v>0</v>
          </cell>
          <cell r="U732">
            <v>0</v>
          </cell>
          <cell r="V732">
            <v>111</v>
          </cell>
          <cell r="W732">
            <v>114</v>
          </cell>
          <cell r="X732">
            <v>116</v>
          </cell>
          <cell r="Y732">
            <v>0</v>
          </cell>
          <cell r="Z732">
            <v>0</v>
          </cell>
          <cell r="AA732">
            <v>0</v>
          </cell>
          <cell r="AB732">
            <v>111</v>
          </cell>
          <cell r="AC732">
            <v>114</v>
          </cell>
          <cell r="AD732">
            <v>116</v>
          </cell>
        </row>
        <row r="733">
          <cell r="D733" t="str">
            <v>이문안</v>
          </cell>
          <cell r="E733">
            <v>23784</v>
          </cell>
          <cell r="F733">
            <v>2</v>
          </cell>
          <cell r="H733">
            <v>0.75</v>
          </cell>
          <cell r="I733">
            <v>0.8</v>
          </cell>
          <cell r="J733">
            <v>0.85</v>
          </cell>
          <cell r="K733">
            <v>0.85</v>
          </cell>
          <cell r="L733">
            <v>0.85</v>
          </cell>
          <cell r="M733">
            <v>93</v>
          </cell>
          <cell r="N733">
            <v>93</v>
          </cell>
          <cell r="O733">
            <v>92</v>
          </cell>
          <cell r="P733">
            <v>91</v>
          </cell>
          <cell r="Q733">
            <v>93</v>
          </cell>
          <cell r="R733">
            <v>95</v>
          </cell>
          <cell r="S733">
            <v>0</v>
          </cell>
          <cell r="T733">
            <v>0</v>
          </cell>
          <cell r="U733">
            <v>0</v>
          </cell>
          <cell r="V733">
            <v>77</v>
          </cell>
          <cell r="W733">
            <v>79</v>
          </cell>
          <cell r="X733">
            <v>81</v>
          </cell>
          <cell r="Y733">
            <v>0</v>
          </cell>
          <cell r="Z733">
            <v>0</v>
          </cell>
          <cell r="AA733">
            <v>0</v>
          </cell>
          <cell r="AB733">
            <v>77</v>
          </cell>
          <cell r="AC733">
            <v>79</v>
          </cell>
          <cell r="AD733">
            <v>81</v>
          </cell>
        </row>
        <row r="734">
          <cell r="C734" t="str">
            <v>양촌 2</v>
          </cell>
          <cell r="D734" t="str">
            <v>계</v>
          </cell>
          <cell r="M734">
            <v>162</v>
          </cell>
          <cell r="N734">
            <v>162</v>
          </cell>
          <cell r="O734">
            <v>160</v>
          </cell>
          <cell r="P734">
            <v>158</v>
          </cell>
          <cell r="Q734">
            <v>162</v>
          </cell>
          <cell r="R734">
            <v>165</v>
          </cell>
          <cell r="S734">
            <v>0</v>
          </cell>
          <cell r="T734">
            <v>0</v>
          </cell>
          <cell r="U734">
            <v>0</v>
          </cell>
          <cell r="V734">
            <v>134</v>
          </cell>
          <cell r="W734">
            <v>138</v>
          </cell>
          <cell r="X734">
            <v>140</v>
          </cell>
          <cell r="Y734">
            <v>0</v>
          </cell>
          <cell r="Z734">
            <v>0</v>
          </cell>
          <cell r="AA734">
            <v>0</v>
          </cell>
          <cell r="AB734">
            <v>134</v>
          </cell>
          <cell r="AC734">
            <v>138</v>
          </cell>
          <cell r="AD734">
            <v>140</v>
          </cell>
        </row>
        <row r="735">
          <cell r="D735" t="str">
            <v>원양촌</v>
          </cell>
          <cell r="F735">
            <v>2</v>
          </cell>
          <cell r="H735">
            <v>0.75</v>
          </cell>
          <cell r="I735">
            <v>0.8</v>
          </cell>
          <cell r="J735">
            <v>0.85</v>
          </cell>
          <cell r="K735">
            <v>0.85</v>
          </cell>
          <cell r="L735">
            <v>0.85</v>
          </cell>
          <cell r="M735">
            <v>162</v>
          </cell>
          <cell r="N735">
            <v>162</v>
          </cell>
          <cell r="O735">
            <v>160</v>
          </cell>
          <cell r="P735">
            <v>158</v>
          </cell>
          <cell r="Q735">
            <v>162</v>
          </cell>
          <cell r="R735">
            <v>165</v>
          </cell>
          <cell r="S735">
            <v>0</v>
          </cell>
          <cell r="T735">
            <v>0</v>
          </cell>
          <cell r="U735">
            <v>0</v>
          </cell>
          <cell r="V735">
            <v>134</v>
          </cell>
          <cell r="W735">
            <v>138</v>
          </cell>
          <cell r="X735">
            <v>140</v>
          </cell>
          <cell r="Y735">
            <v>0</v>
          </cell>
          <cell r="Z735">
            <v>0</v>
          </cell>
          <cell r="AA735">
            <v>0</v>
          </cell>
          <cell r="AB735">
            <v>134</v>
          </cell>
          <cell r="AC735">
            <v>138</v>
          </cell>
          <cell r="AD735">
            <v>140</v>
          </cell>
        </row>
        <row r="736">
          <cell r="C736" t="str">
            <v>신기리</v>
          </cell>
          <cell r="D736" t="str">
            <v>소계</v>
          </cell>
          <cell r="M736">
            <v>328</v>
          </cell>
          <cell r="N736">
            <v>328</v>
          </cell>
          <cell r="O736">
            <v>323</v>
          </cell>
          <cell r="P736">
            <v>321</v>
          </cell>
          <cell r="Q736">
            <v>328</v>
          </cell>
          <cell r="R736">
            <v>335</v>
          </cell>
          <cell r="S736">
            <v>0</v>
          </cell>
          <cell r="T736">
            <v>0</v>
          </cell>
          <cell r="U736">
            <v>0</v>
          </cell>
          <cell r="V736">
            <v>273</v>
          </cell>
          <cell r="W736">
            <v>279</v>
          </cell>
          <cell r="X736">
            <v>285</v>
          </cell>
          <cell r="Y736">
            <v>0</v>
          </cell>
          <cell r="Z736">
            <v>0</v>
          </cell>
          <cell r="AA736">
            <v>0</v>
          </cell>
          <cell r="AB736">
            <v>273</v>
          </cell>
          <cell r="AC736">
            <v>279</v>
          </cell>
          <cell r="AD736">
            <v>285</v>
          </cell>
        </row>
        <row r="737">
          <cell r="C737" t="str">
            <v>신기 1</v>
          </cell>
          <cell r="D737" t="str">
            <v>계</v>
          </cell>
          <cell r="E737">
            <v>52487</v>
          </cell>
          <cell r="M737">
            <v>184</v>
          </cell>
          <cell r="N737">
            <v>184</v>
          </cell>
          <cell r="O737">
            <v>181</v>
          </cell>
          <cell r="P737">
            <v>180</v>
          </cell>
          <cell r="Q737">
            <v>184</v>
          </cell>
          <cell r="R737">
            <v>188</v>
          </cell>
          <cell r="S737">
            <v>0</v>
          </cell>
          <cell r="T737">
            <v>0</v>
          </cell>
          <cell r="U737">
            <v>0</v>
          </cell>
          <cell r="V737">
            <v>153</v>
          </cell>
          <cell r="W737">
            <v>156</v>
          </cell>
          <cell r="X737">
            <v>160</v>
          </cell>
          <cell r="Y737">
            <v>0</v>
          </cell>
          <cell r="Z737">
            <v>0</v>
          </cell>
          <cell r="AA737">
            <v>0</v>
          </cell>
          <cell r="AB737">
            <v>153</v>
          </cell>
          <cell r="AC737">
            <v>156</v>
          </cell>
          <cell r="AD737">
            <v>160</v>
          </cell>
        </row>
        <row r="738">
          <cell r="D738" t="str">
            <v>괸돌</v>
          </cell>
          <cell r="E738">
            <v>28555</v>
          </cell>
          <cell r="F738">
            <v>2</v>
          </cell>
          <cell r="H738">
            <v>0.75</v>
          </cell>
          <cell r="I738">
            <v>0.8</v>
          </cell>
          <cell r="J738">
            <v>0.85</v>
          </cell>
          <cell r="K738">
            <v>0.85</v>
          </cell>
          <cell r="L738">
            <v>0.85</v>
          </cell>
          <cell r="M738">
            <v>100</v>
          </cell>
          <cell r="N738">
            <v>100</v>
          </cell>
          <cell r="O738">
            <v>98</v>
          </cell>
          <cell r="P738">
            <v>98</v>
          </cell>
          <cell r="Q738">
            <v>100</v>
          </cell>
          <cell r="R738">
            <v>102</v>
          </cell>
          <cell r="S738">
            <v>0</v>
          </cell>
          <cell r="T738">
            <v>0</v>
          </cell>
          <cell r="U738">
            <v>0</v>
          </cell>
          <cell r="V738">
            <v>83</v>
          </cell>
          <cell r="W738">
            <v>85</v>
          </cell>
          <cell r="X738">
            <v>87</v>
          </cell>
          <cell r="Y738">
            <v>0</v>
          </cell>
          <cell r="Z738">
            <v>0</v>
          </cell>
          <cell r="AA738">
            <v>0</v>
          </cell>
          <cell r="AB738">
            <v>83</v>
          </cell>
          <cell r="AC738">
            <v>85</v>
          </cell>
          <cell r="AD738">
            <v>87</v>
          </cell>
        </row>
        <row r="739">
          <cell r="D739" t="str">
            <v>늘마</v>
          </cell>
          <cell r="E739">
            <v>23932</v>
          </cell>
          <cell r="F739">
            <v>2</v>
          </cell>
          <cell r="H739">
            <v>0.75</v>
          </cell>
          <cell r="I739">
            <v>0.8</v>
          </cell>
          <cell r="J739">
            <v>0.85</v>
          </cell>
          <cell r="K739">
            <v>0.85</v>
          </cell>
          <cell r="L739">
            <v>0.85</v>
          </cell>
          <cell r="M739">
            <v>84</v>
          </cell>
          <cell r="N739">
            <v>84</v>
          </cell>
          <cell r="O739">
            <v>83</v>
          </cell>
          <cell r="P739">
            <v>82</v>
          </cell>
          <cell r="Q739">
            <v>84</v>
          </cell>
          <cell r="R739">
            <v>86</v>
          </cell>
          <cell r="S739">
            <v>0</v>
          </cell>
          <cell r="T739">
            <v>0</v>
          </cell>
          <cell r="U739">
            <v>0</v>
          </cell>
          <cell r="V739">
            <v>70</v>
          </cell>
          <cell r="W739">
            <v>71</v>
          </cell>
          <cell r="X739">
            <v>73</v>
          </cell>
          <cell r="Y739">
            <v>0</v>
          </cell>
          <cell r="Z739">
            <v>0</v>
          </cell>
          <cell r="AA739">
            <v>0</v>
          </cell>
          <cell r="AB739">
            <v>70</v>
          </cell>
          <cell r="AC739">
            <v>71</v>
          </cell>
          <cell r="AD739">
            <v>73</v>
          </cell>
        </row>
        <row r="740">
          <cell r="C740" t="str">
            <v>신기 2</v>
          </cell>
          <cell r="D740" t="str">
            <v>계</v>
          </cell>
          <cell r="E740">
            <v>46912</v>
          </cell>
          <cell r="M740">
            <v>144</v>
          </cell>
          <cell r="N740">
            <v>144</v>
          </cell>
          <cell r="O740">
            <v>142</v>
          </cell>
          <cell r="P740">
            <v>141</v>
          </cell>
          <cell r="Q740">
            <v>144</v>
          </cell>
          <cell r="R740">
            <v>147</v>
          </cell>
          <cell r="S740">
            <v>0</v>
          </cell>
          <cell r="T740">
            <v>0</v>
          </cell>
          <cell r="U740">
            <v>0</v>
          </cell>
          <cell r="V740">
            <v>120</v>
          </cell>
          <cell r="W740">
            <v>123</v>
          </cell>
          <cell r="X740">
            <v>125</v>
          </cell>
          <cell r="Y740">
            <v>0</v>
          </cell>
          <cell r="Z740">
            <v>0</v>
          </cell>
          <cell r="AA740">
            <v>0</v>
          </cell>
          <cell r="AB740">
            <v>120</v>
          </cell>
          <cell r="AC740">
            <v>123</v>
          </cell>
          <cell r="AD740">
            <v>125</v>
          </cell>
        </row>
        <row r="741">
          <cell r="D741" t="str">
            <v>아래사기</v>
          </cell>
          <cell r="E741">
            <v>24572</v>
          </cell>
          <cell r="F741">
            <v>2</v>
          </cell>
          <cell r="H741">
            <v>0.75</v>
          </cell>
          <cell r="I741">
            <v>0.8</v>
          </cell>
          <cell r="J741">
            <v>0.85</v>
          </cell>
          <cell r="K741">
            <v>0.85</v>
          </cell>
          <cell r="L741">
            <v>0.85</v>
          </cell>
          <cell r="M741">
            <v>75</v>
          </cell>
          <cell r="N741">
            <v>75</v>
          </cell>
          <cell r="O741">
            <v>74</v>
          </cell>
          <cell r="P741">
            <v>74</v>
          </cell>
          <cell r="Q741">
            <v>75</v>
          </cell>
          <cell r="R741">
            <v>77</v>
          </cell>
          <cell r="S741">
            <v>0</v>
          </cell>
          <cell r="T741">
            <v>0</v>
          </cell>
          <cell r="U741">
            <v>0</v>
          </cell>
          <cell r="V741">
            <v>63</v>
          </cell>
          <cell r="W741">
            <v>64</v>
          </cell>
          <cell r="X741">
            <v>65</v>
          </cell>
          <cell r="Y741">
            <v>0</v>
          </cell>
          <cell r="Z741">
            <v>0</v>
          </cell>
          <cell r="AA741">
            <v>0</v>
          </cell>
          <cell r="AB741">
            <v>63</v>
          </cell>
          <cell r="AC741">
            <v>64</v>
          </cell>
          <cell r="AD741">
            <v>65</v>
          </cell>
        </row>
        <row r="742">
          <cell r="D742" t="str">
            <v>위사기소</v>
          </cell>
          <cell r="E742">
            <v>22340</v>
          </cell>
          <cell r="F742">
            <v>2</v>
          </cell>
          <cell r="H742">
            <v>0.75</v>
          </cell>
          <cell r="I742">
            <v>0.8</v>
          </cell>
          <cell r="J742">
            <v>0.85</v>
          </cell>
          <cell r="K742">
            <v>0.85</v>
          </cell>
          <cell r="L742">
            <v>0.85</v>
          </cell>
          <cell r="M742">
            <v>69</v>
          </cell>
          <cell r="N742">
            <v>69</v>
          </cell>
          <cell r="O742">
            <v>68</v>
          </cell>
          <cell r="P742">
            <v>67</v>
          </cell>
          <cell r="Q742">
            <v>69</v>
          </cell>
          <cell r="R742">
            <v>70</v>
          </cell>
          <cell r="S742">
            <v>0</v>
          </cell>
          <cell r="T742">
            <v>0</v>
          </cell>
          <cell r="U742">
            <v>0</v>
          </cell>
          <cell r="V742">
            <v>57</v>
          </cell>
          <cell r="W742">
            <v>59</v>
          </cell>
          <cell r="X742">
            <v>60</v>
          </cell>
          <cell r="Y742">
            <v>0</v>
          </cell>
          <cell r="Z742">
            <v>0</v>
          </cell>
          <cell r="AA742">
            <v>0</v>
          </cell>
          <cell r="AB742">
            <v>57</v>
          </cell>
          <cell r="AC742">
            <v>59</v>
          </cell>
          <cell r="AD742">
            <v>60</v>
          </cell>
        </row>
        <row r="743">
          <cell r="C743" t="str">
            <v>오산리-</v>
          </cell>
          <cell r="D743" t="str">
            <v>소계</v>
          </cell>
          <cell r="M743">
            <v>370</v>
          </cell>
          <cell r="N743">
            <v>370</v>
          </cell>
          <cell r="O743">
            <v>365</v>
          </cell>
          <cell r="P743">
            <v>361</v>
          </cell>
          <cell r="Q743">
            <v>370</v>
          </cell>
          <cell r="R743">
            <v>377</v>
          </cell>
          <cell r="S743">
            <v>0</v>
          </cell>
          <cell r="T743">
            <v>0</v>
          </cell>
          <cell r="U743">
            <v>0</v>
          </cell>
          <cell r="V743">
            <v>307</v>
          </cell>
          <cell r="W743">
            <v>315</v>
          </cell>
          <cell r="X743">
            <v>320</v>
          </cell>
          <cell r="Y743">
            <v>0</v>
          </cell>
          <cell r="Z743">
            <v>0</v>
          </cell>
          <cell r="AA743">
            <v>0</v>
          </cell>
          <cell r="AB743">
            <v>307</v>
          </cell>
          <cell r="AC743">
            <v>315</v>
          </cell>
          <cell r="AD743">
            <v>320</v>
          </cell>
        </row>
        <row r="744">
          <cell r="C744" t="str">
            <v>오산 1</v>
          </cell>
          <cell r="D744" t="str">
            <v>계</v>
          </cell>
          <cell r="M744">
            <v>143</v>
          </cell>
          <cell r="N744">
            <v>143</v>
          </cell>
          <cell r="O744">
            <v>141</v>
          </cell>
          <cell r="P744">
            <v>140</v>
          </cell>
          <cell r="Q744">
            <v>143</v>
          </cell>
          <cell r="R744">
            <v>146</v>
          </cell>
          <cell r="S744">
            <v>0</v>
          </cell>
          <cell r="T744">
            <v>0</v>
          </cell>
          <cell r="U744">
            <v>0</v>
          </cell>
          <cell r="V744">
            <v>119</v>
          </cell>
          <cell r="W744">
            <v>122</v>
          </cell>
          <cell r="X744">
            <v>124</v>
          </cell>
          <cell r="Y744">
            <v>0</v>
          </cell>
          <cell r="Z744">
            <v>0</v>
          </cell>
          <cell r="AA744">
            <v>0</v>
          </cell>
          <cell r="AB744">
            <v>119</v>
          </cell>
          <cell r="AC744">
            <v>122</v>
          </cell>
          <cell r="AD744">
            <v>124</v>
          </cell>
        </row>
        <row r="745">
          <cell r="D745" t="str">
            <v>상미</v>
          </cell>
          <cell r="F745">
            <v>2</v>
          </cell>
          <cell r="H745">
            <v>0.75</v>
          </cell>
          <cell r="I745">
            <v>0.8</v>
          </cell>
          <cell r="J745">
            <v>0.85</v>
          </cell>
          <cell r="K745">
            <v>0.85</v>
          </cell>
          <cell r="L745">
            <v>0.85</v>
          </cell>
          <cell r="M745">
            <v>143</v>
          </cell>
          <cell r="N745">
            <v>143</v>
          </cell>
          <cell r="O745">
            <v>141</v>
          </cell>
          <cell r="P745">
            <v>140</v>
          </cell>
          <cell r="Q745">
            <v>143</v>
          </cell>
          <cell r="R745">
            <v>146</v>
          </cell>
          <cell r="S745">
            <v>0</v>
          </cell>
          <cell r="T745">
            <v>0</v>
          </cell>
          <cell r="U745">
            <v>0</v>
          </cell>
          <cell r="V745">
            <v>119</v>
          </cell>
          <cell r="W745">
            <v>122</v>
          </cell>
          <cell r="X745">
            <v>124</v>
          </cell>
          <cell r="Y745">
            <v>0</v>
          </cell>
          <cell r="Z745">
            <v>0</v>
          </cell>
          <cell r="AA745">
            <v>0</v>
          </cell>
          <cell r="AB745">
            <v>119</v>
          </cell>
          <cell r="AC745">
            <v>122</v>
          </cell>
          <cell r="AD745">
            <v>124</v>
          </cell>
        </row>
        <row r="746">
          <cell r="C746" t="str">
            <v>오산 2</v>
          </cell>
          <cell r="D746" t="str">
            <v>계</v>
          </cell>
          <cell r="M746">
            <v>227</v>
          </cell>
          <cell r="N746">
            <v>227</v>
          </cell>
          <cell r="O746">
            <v>224</v>
          </cell>
          <cell r="P746">
            <v>221</v>
          </cell>
          <cell r="Q746">
            <v>227</v>
          </cell>
          <cell r="R746">
            <v>231</v>
          </cell>
          <cell r="S746">
            <v>0</v>
          </cell>
          <cell r="T746">
            <v>0</v>
          </cell>
          <cell r="U746">
            <v>0</v>
          </cell>
          <cell r="V746">
            <v>188</v>
          </cell>
          <cell r="W746">
            <v>193</v>
          </cell>
          <cell r="X746">
            <v>196</v>
          </cell>
          <cell r="Y746">
            <v>0</v>
          </cell>
          <cell r="Z746">
            <v>0</v>
          </cell>
          <cell r="AA746">
            <v>0</v>
          </cell>
          <cell r="AB746">
            <v>188</v>
          </cell>
          <cell r="AC746">
            <v>193</v>
          </cell>
          <cell r="AD746">
            <v>196</v>
          </cell>
        </row>
        <row r="747">
          <cell r="D747" t="str">
            <v>오미</v>
          </cell>
          <cell r="F747">
            <v>2</v>
          </cell>
          <cell r="H747">
            <v>0.75</v>
          </cell>
          <cell r="I747">
            <v>0.8</v>
          </cell>
          <cell r="J747">
            <v>0.85</v>
          </cell>
          <cell r="K747">
            <v>0.85</v>
          </cell>
          <cell r="L747">
            <v>0.85</v>
          </cell>
          <cell r="M747">
            <v>227</v>
          </cell>
          <cell r="N747">
            <v>227</v>
          </cell>
          <cell r="O747">
            <v>224</v>
          </cell>
          <cell r="P747">
            <v>221</v>
          </cell>
          <cell r="Q747">
            <v>227</v>
          </cell>
          <cell r="R747">
            <v>231</v>
          </cell>
          <cell r="S747">
            <v>0</v>
          </cell>
          <cell r="T747">
            <v>0</v>
          </cell>
          <cell r="U747">
            <v>0</v>
          </cell>
          <cell r="V747">
            <v>188</v>
          </cell>
          <cell r="W747">
            <v>193</v>
          </cell>
          <cell r="X747">
            <v>196</v>
          </cell>
          <cell r="Y747">
            <v>0</v>
          </cell>
          <cell r="Z747">
            <v>0</v>
          </cell>
          <cell r="AA747">
            <v>0</v>
          </cell>
          <cell r="AB747">
            <v>188</v>
          </cell>
          <cell r="AC747">
            <v>193</v>
          </cell>
          <cell r="AD747">
            <v>196</v>
          </cell>
        </row>
        <row r="748">
          <cell r="C748" t="str">
            <v>채광리</v>
          </cell>
          <cell r="D748" t="str">
            <v>소계</v>
          </cell>
          <cell r="M748">
            <v>295</v>
          </cell>
          <cell r="N748">
            <v>296</v>
          </cell>
          <cell r="O748">
            <v>291</v>
          </cell>
          <cell r="P748">
            <v>287</v>
          </cell>
          <cell r="Q748">
            <v>294</v>
          </cell>
          <cell r="R748">
            <v>300</v>
          </cell>
          <cell r="S748">
            <v>0</v>
          </cell>
          <cell r="T748">
            <v>0</v>
          </cell>
          <cell r="U748">
            <v>0</v>
          </cell>
          <cell r="V748">
            <v>243</v>
          </cell>
          <cell r="W748">
            <v>250</v>
          </cell>
          <cell r="X748">
            <v>256</v>
          </cell>
          <cell r="Y748">
            <v>0</v>
          </cell>
          <cell r="Z748">
            <v>0</v>
          </cell>
          <cell r="AA748">
            <v>0</v>
          </cell>
          <cell r="AB748">
            <v>243</v>
          </cell>
          <cell r="AC748">
            <v>250</v>
          </cell>
          <cell r="AD748">
            <v>256</v>
          </cell>
        </row>
        <row r="749">
          <cell r="C749" t="str">
            <v>채광 1</v>
          </cell>
          <cell r="D749" t="str">
            <v>계</v>
          </cell>
          <cell r="E749">
            <v>53845</v>
          </cell>
          <cell r="M749">
            <v>167</v>
          </cell>
          <cell r="N749">
            <v>168</v>
          </cell>
          <cell r="O749">
            <v>165</v>
          </cell>
          <cell r="P749">
            <v>162</v>
          </cell>
          <cell r="Q749">
            <v>166</v>
          </cell>
          <cell r="R749">
            <v>169</v>
          </cell>
          <cell r="S749">
            <v>0</v>
          </cell>
          <cell r="T749">
            <v>0</v>
          </cell>
          <cell r="U749">
            <v>0</v>
          </cell>
          <cell r="V749">
            <v>137</v>
          </cell>
          <cell r="W749">
            <v>141</v>
          </cell>
          <cell r="X749">
            <v>144</v>
          </cell>
          <cell r="Y749">
            <v>0</v>
          </cell>
          <cell r="Z749">
            <v>0</v>
          </cell>
          <cell r="AA749">
            <v>0</v>
          </cell>
          <cell r="AB749">
            <v>137</v>
          </cell>
          <cell r="AC749">
            <v>141</v>
          </cell>
          <cell r="AD749">
            <v>144</v>
          </cell>
        </row>
        <row r="750">
          <cell r="D750" t="str">
            <v>광달리</v>
          </cell>
          <cell r="E750">
            <v>30266</v>
          </cell>
          <cell r="F750">
            <v>2</v>
          </cell>
          <cell r="H750">
            <v>0.75</v>
          </cell>
          <cell r="I750">
            <v>0.8</v>
          </cell>
          <cell r="J750">
            <v>0.85</v>
          </cell>
          <cell r="K750">
            <v>0.85</v>
          </cell>
          <cell r="L750">
            <v>0.85</v>
          </cell>
          <cell r="M750">
            <v>94</v>
          </cell>
          <cell r="N750">
            <v>94</v>
          </cell>
          <cell r="O750">
            <v>93</v>
          </cell>
          <cell r="P750">
            <v>91</v>
          </cell>
          <cell r="Q750">
            <v>93</v>
          </cell>
          <cell r="R750">
            <v>95</v>
          </cell>
          <cell r="S750">
            <v>0</v>
          </cell>
          <cell r="T750">
            <v>0</v>
          </cell>
          <cell r="U750">
            <v>0</v>
          </cell>
          <cell r="V750">
            <v>77</v>
          </cell>
          <cell r="W750">
            <v>79</v>
          </cell>
          <cell r="X750">
            <v>81</v>
          </cell>
          <cell r="Y750">
            <v>0</v>
          </cell>
          <cell r="Z750">
            <v>0</v>
          </cell>
          <cell r="AA750">
            <v>0</v>
          </cell>
          <cell r="AB750">
            <v>77</v>
          </cell>
          <cell r="AC750">
            <v>79</v>
          </cell>
          <cell r="AD750">
            <v>81</v>
          </cell>
        </row>
        <row r="751">
          <cell r="D751" t="str">
            <v>수락리</v>
          </cell>
          <cell r="E751">
            <v>15280</v>
          </cell>
          <cell r="F751">
            <v>2</v>
          </cell>
          <cell r="H751">
            <v>0.75</v>
          </cell>
          <cell r="I751">
            <v>0.8</v>
          </cell>
          <cell r="J751">
            <v>0.85</v>
          </cell>
          <cell r="K751">
            <v>0.85</v>
          </cell>
          <cell r="L751">
            <v>0.85</v>
          </cell>
          <cell r="M751">
            <v>47</v>
          </cell>
          <cell r="N751">
            <v>48</v>
          </cell>
          <cell r="O751">
            <v>47</v>
          </cell>
          <cell r="P751">
            <v>46</v>
          </cell>
          <cell r="Q751">
            <v>47</v>
          </cell>
          <cell r="R751">
            <v>48</v>
          </cell>
          <cell r="S751">
            <v>0</v>
          </cell>
          <cell r="T751">
            <v>0</v>
          </cell>
          <cell r="U751">
            <v>0</v>
          </cell>
          <cell r="V751">
            <v>39</v>
          </cell>
          <cell r="W751">
            <v>40</v>
          </cell>
          <cell r="X751">
            <v>41</v>
          </cell>
          <cell r="Y751">
            <v>0</v>
          </cell>
          <cell r="Z751">
            <v>0</v>
          </cell>
          <cell r="AA751">
            <v>0</v>
          </cell>
          <cell r="AB751">
            <v>39</v>
          </cell>
          <cell r="AC751">
            <v>40</v>
          </cell>
          <cell r="AD751">
            <v>41</v>
          </cell>
        </row>
        <row r="752">
          <cell r="D752" t="str">
            <v>용암리</v>
          </cell>
          <cell r="E752">
            <v>8299</v>
          </cell>
          <cell r="F752">
            <v>2</v>
          </cell>
          <cell r="H752">
            <v>0.75</v>
          </cell>
          <cell r="I752">
            <v>0.8</v>
          </cell>
          <cell r="J752">
            <v>0.85</v>
          </cell>
          <cell r="K752">
            <v>0.85</v>
          </cell>
          <cell r="L752">
            <v>0.85</v>
          </cell>
          <cell r="M752">
            <v>26</v>
          </cell>
          <cell r="N752">
            <v>26</v>
          </cell>
          <cell r="O752">
            <v>25</v>
          </cell>
          <cell r="P752">
            <v>25</v>
          </cell>
          <cell r="Q752">
            <v>26</v>
          </cell>
          <cell r="R752">
            <v>26</v>
          </cell>
          <cell r="S752">
            <v>0</v>
          </cell>
          <cell r="T752">
            <v>0</v>
          </cell>
          <cell r="U752">
            <v>0</v>
          </cell>
          <cell r="V752">
            <v>21</v>
          </cell>
          <cell r="W752">
            <v>22</v>
          </cell>
          <cell r="X752">
            <v>22</v>
          </cell>
          <cell r="Y752">
            <v>0</v>
          </cell>
          <cell r="Z752">
            <v>0</v>
          </cell>
          <cell r="AA752">
            <v>0</v>
          </cell>
          <cell r="AB752">
            <v>21</v>
          </cell>
          <cell r="AC752">
            <v>22</v>
          </cell>
          <cell r="AD752">
            <v>22</v>
          </cell>
        </row>
        <row r="753">
          <cell r="C753" t="str">
            <v>채광 2</v>
          </cell>
          <cell r="D753" t="str">
            <v>계</v>
          </cell>
          <cell r="E753">
            <v>38475</v>
          </cell>
          <cell r="M753">
            <v>128</v>
          </cell>
          <cell r="N753">
            <v>128</v>
          </cell>
          <cell r="O753">
            <v>126</v>
          </cell>
          <cell r="P753">
            <v>125</v>
          </cell>
          <cell r="Q753">
            <v>128</v>
          </cell>
          <cell r="R753">
            <v>131</v>
          </cell>
          <cell r="S753">
            <v>0</v>
          </cell>
          <cell r="T753">
            <v>0</v>
          </cell>
          <cell r="U753">
            <v>0</v>
          </cell>
          <cell r="V753">
            <v>106</v>
          </cell>
          <cell r="W753">
            <v>109</v>
          </cell>
          <cell r="X753">
            <v>112</v>
          </cell>
          <cell r="Y753">
            <v>0</v>
          </cell>
          <cell r="Z753">
            <v>0</v>
          </cell>
          <cell r="AA753">
            <v>0</v>
          </cell>
          <cell r="AB753">
            <v>106</v>
          </cell>
          <cell r="AC753">
            <v>109</v>
          </cell>
          <cell r="AD753">
            <v>112</v>
          </cell>
        </row>
        <row r="754">
          <cell r="D754" t="str">
            <v>상광리</v>
          </cell>
          <cell r="E754">
            <v>8509</v>
          </cell>
          <cell r="F754">
            <v>2</v>
          </cell>
          <cell r="H754">
            <v>0.75</v>
          </cell>
          <cell r="I754">
            <v>0.8</v>
          </cell>
          <cell r="J754">
            <v>0.85</v>
          </cell>
          <cell r="K754">
            <v>0.85</v>
          </cell>
          <cell r="L754">
            <v>0.85</v>
          </cell>
          <cell r="M754">
            <v>28</v>
          </cell>
          <cell r="N754">
            <v>28</v>
          </cell>
          <cell r="O754">
            <v>28</v>
          </cell>
          <cell r="P754">
            <v>28</v>
          </cell>
          <cell r="Q754">
            <v>28</v>
          </cell>
          <cell r="R754">
            <v>29</v>
          </cell>
          <cell r="S754">
            <v>0</v>
          </cell>
          <cell r="T754">
            <v>0</v>
          </cell>
          <cell r="U754">
            <v>0</v>
          </cell>
          <cell r="V754">
            <v>24</v>
          </cell>
          <cell r="W754">
            <v>24</v>
          </cell>
          <cell r="X754">
            <v>25</v>
          </cell>
          <cell r="Y754">
            <v>0</v>
          </cell>
          <cell r="Z754">
            <v>0</v>
          </cell>
          <cell r="AA754">
            <v>0</v>
          </cell>
          <cell r="AB754">
            <v>24</v>
          </cell>
          <cell r="AC754">
            <v>24</v>
          </cell>
          <cell r="AD754">
            <v>25</v>
          </cell>
        </row>
        <row r="755">
          <cell r="D755" t="str">
            <v>하광리</v>
          </cell>
          <cell r="E755">
            <v>29966</v>
          </cell>
          <cell r="F755">
            <v>2</v>
          </cell>
          <cell r="H755">
            <v>0.75</v>
          </cell>
          <cell r="I755">
            <v>0.8</v>
          </cell>
          <cell r="J755">
            <v>0.85</v>
          </cell>
          <cell r="K755">
            <v>0.85</v>
          </cell>
          <cell r="L755">
            <v>0.85</v>
          </cell>
          <cell r="M755">
            <v>100</v>
          </cell>
          <cell r="N755">
            <v>100</v>
          </cell>
          <cell r="O755">
            <v>98</v>
          </cell>
          <cell r="P755">
            <v>97</v>
          </cell>
          <cell r="Q755">
            <v>100</v>
          </cell>
          <cell r="R755">
            <v>102</v>
          </cell>
          <cell r="S755">
            <v>0</v>
          </cell>
          <cell r="T755">
            <v>0</v>
          </cell>
          <cell r="U755">
            <v>0</v>
          </cell>
          <cell r="V755">
            <v>82</v>
          </cell>
          <cell r="W755">
            <v>85</v>
          </cell>
          <cell r="X755">
            <v>87</v>
          </cell>
          <cell r="Y755">
            <v>0</v>
          </cell>
          <cell r="Z755">
            <v>0</v>
          </cell>
          <cell r="AA755">
            <v>0</v>
          </cell>
          <cell r="AB755">
            <v>82</v>
          </cell>
          <cell r="AC755">
            <v>85</v>
          </cell>
          <cell r="AD755">
            <v>87</v>
          </cell>
        </row>
        <row r="756">
          <cell r="C756" t="str">
            <v>남산리-</v>
          </cell>
          <cell r="D756" t="str">
            <v>소계</v>
          </cell>
          <cell r="M756">
            <v>314</v>
          </cell>
          <cell r="N756">
            <v>314</v>
          </cell>
          <cell r="O756">
            <v>310</v>
          </cell>
          <cell r="P756">
            <v>306</v>
          </cell>
          <cell r="Q756">
            <v>314</v>
          </cell>
          <cell r="R756">
            <v>319</v>
          </cell>
          <cell r="S756">
            <v>0</v>
          </cell>
          <cell r="T756">
            <v>0</v>
          </cell>
          <cell r="U756">
            <v>248</v>
          </cell>
          <cell r="V756">
            <v>260</v>
          </cell>
          <cell r="W756">
            <v>267</v>
          </cell>
          <cell r="X756">
            <v>271</v>
          </cell>
          <cell r="Y756">
            <v>235</v>
          </cell>
          <cell r="Z756">
            <v>235</v>
          </cell>
          <cell r="AA756">
            <v>248</v>
          </cell>
          <cell r="AB756">
            <v>260</v>
          </cell>
          <cell r="AC756">
            <v>267</v>
          </cell>
          <cell r="AD756">
            <v>271</v>
          </cell>
        </row>
        <row r="757">
          <cell r="C757" t="str">
            <v>남산- 1</v>
          </cell>
          <cell r="D757" t="str">
            <v>계</v>
          </cell>
          <cell r="M757">
            <v>227</v>
          </cell>
          <cell r="N757">
            <v>227</v>
          </cell>
          <cell r="O757">
            <v>224</v>
          </cell>
          <cell r="P757">
            <v>221</v>
          </cell>
          <cell r="Q757">
            <v>227</v>
          </cell>
          <cell r="R757">
            <v>231</v>
          </cell>
          <cell r="S757">
            <v>0</v>
          </cell>
          <cell r="T757">
            <v>0</v>
          </cell>
          <cell r="U757">
            <v>179</v>
          </cell>
          <cell r="V757">
            <v>188</v>
          </cell>
          <cell r="W757">
            <v>193</v>
          </cell>
          <cell r="X757">
            <v>196</v>
          </cell>
          <cell r="Y757">
            <v>170</v>
          </cell>
          <cell r="Z757">
            <v>170</v>
          </cell>
          <cell r="AA757">
            <v>179</v>
          </cell>
          <cell r="AB757">
            <v>188</v>
          </cell>
          <cell r="AC757">
            <v>193</v>
          </cell>
          <cell r="AD757">
            <v>196</v>
          </cell>
        </row>
        <row r="758">
          <cell r="D758" t="str">
            <v>갓점말</v>
          </cell>
          <cell r="F758">
            <v>5</v>
          </cell>
          <cell r="H758">
            <v>0.75</v>
          </cell>
          <cell r="I758">
            <v>0.8</v>
          </cell>
          <cell r="J758">
            <v>0.85</v>
          </cell>
          <cell r="K758">
            <v>0.85</v>
          </cell>
          <cell r="L758">
            <v>0.85</v>
          </cell>
          <cell r="M758">
            <v>227</v>
          </cell>
          <cell r="N758">
            <v>227</v>
          </cell>
          <cell r="O758">
            <v>224</v>
          </cell>
          <cell r="P758">
            <v>221</v>
          </cell>
          <cell r="Q758">
            <v>227</v>
          </cell>
          <cell r="R758">
            <v>231</v>
          </cell>
          <cell r="S758">
            <v>0</v>
          </cell>
          <cell r="T758">
            <v>0</v>
          </cell>
          <cell r="U758">
            <v>179</v>
          </cell>
          <cell r="V758">
            <v>188</v>
          </cell>
          <cell r="W758">
            <v>193</v>
          </cell>
          <cell r="X758">
            <v>196</v>
          </cell>
          <cell r="Y758">
            <v>170</v>
          </cell>
          <cell r="Z758">
            <v>170</v>
          </cell>
          <cell r="AA758">
            <v>179</v>
          </cell>
          <cell r="AB758">
            <v>188</v>
          </cell>
          <cell r="AC758">
            <v>193</v>
          </cell>
          <cell r="AD758">
            <v>196</v>
          </cell>
        </row>
        <row r="759">
          <cell r="C759" t="str">
            <v>남산- 2</v>
          </cell>
          <cell r="D759" t="str">
            <v>계</v>
          </cell>
          <cell r="M759">
            <v>87</v>
          </cell>
          <cell r="N759">
            <v>87</v>
          </cell>
          <cell r="O759">
            <v>86</v>
          </cell>
          <cell r="P759">
            <v>85</v>
          </cell>
          <cell r="Q759">
            <v>87</v>
          </cell>
          <cell r="R759">
            <v>88</v>
          </cell>
          <cell r="S759">
            <v>0</v>
          </cell>
          <cell r="T759">
            <v>0</v>
          </cell>
          <cell r="U759">
            <v>69</v>
          </cell>
          <cell r="V759">
            <v>72</v>
          </cell>
          <cell r="W759">
            <v>74</v>
          </cell>
          <cell r="X759">
            <v>75</v>
          </cell>
          <cell r="Y759">
            <v>65</v>
          </cell>
          <cell r="Z759">
            <v>65</v>
          </cell>
          <cell r="AA759">
            <v>69</v>
          </cell>
          <cell r="AB759">
            <v>72</v>
          </cell>
          <cell r="AC759">
            <v>74</v>
          </cell>
          <cell r="AD759">
            <v>75</v>
          </cell>
        </row>
        <row r="760">
          <cell r="D760" t="str">
            <v>당골</v>
          </cell>
          <cell r="F760">
            <v>5</v>
          </cell>
          <cell r="H760">
            <v>0.75</v>
          </cell>
          <cell r="I760">
            <v>0.8</v>
          </cell>
          <cell r="J760">
            <v>0.85</v>
          </cell>
          <cell r="K760">
            <v>0.85</v>
          </cell>
          <cell r="L760">
            <v>0.85</v>
          </cell>
          <cell r="M760">
            <v>87</v>
          </cell>
          <cell r="N760">
            <v>87</v>
          </cell>
          <cell r="O760">
            <v>86</v>
          </cell>
          <cell r="P760">
            <v>85</v>
          </cell>
          <cell r="Q760">
            <v>87</v>
          </cell>
          <cell r="R760">
            <v>88</v>
          </cell>
          <cell r="S760">
            <v>0</v>
          </cell>
          <cell r="T760">
            <v>0</v>
          </cell>
          <cell r="U760">
            <v>69</v>
          </cell>
          <cell r="V760">
            <v>72</v>
          </cell>
          <cell r="W760">
            <v>74</v>
          </cell>
          <cell r="X760">
            <v>75</v>
          </cell>
          <cell r="Y760">
            <v>65</v>
          </cell>
          <cell r="Z760">
            <v>65</v>
          </cell>
          <cell r="AA760">
            <v>69</v>
          </cell>
          <cell r="AB760">
            <v>72</v>
          </cell>
          <cell r="AC760">
            <v>74</v>
          </cell>
          <cell r="AD760">
            <v>75</v>
          </cell>
        </row>
        <row r="761">
          <cell r="C761" t="str">
            <v>반암리</v>
          </cell>
          <cell r="D761" t="str">
            <v>소계</v>
          </cell>
          <cell r="M761">
            <v>239</v>
          </cell>
          <cell r="N761">
            <v>239</v>
          </cell>
          <cell r="O761">
            <v>235</v>
          </cell>
          <cell r="P761">
            <v>233</v>
          </cell>
          <cell r="Q761">
            <v>239</v>
          </cell>
          <cell r="R761">
            <v>243</v>
          </cell>
          <cell r="S761">
            <v>0</v>
          </cell>
          <cell r="T761">
            <v>188</v>
          </cell>
          <cell r="U761">
            <v>188</v>
          </cell>
          <cell r="V761">
            <v>198</v>
          </cell>
          <cell r="W761">
            <v>203</v>
          </cell>
          <cell r="X761">
            <v>206</v>
          </cell>
          <cell r="Y761">
            <v>0</v>
          </cell>
          <cell r="Z761">
            <v>188</v>
          </cell>
          <cell r="AA761">
            <v>188</v>
          </cell>
          <cell r="AB761">
            <v>198</v>
          </cell>
          <cell r="AC761">
            <v>203</v>
          </cell>
          <cell r="AD761">
            <v>206</v>
          </cell>
        </row>
        <row r="762">
          <cell r="C762" t="str">
            <v>반암 1</v>
          </cell>
          <cell r="D762" t="str">
            <v>계</v>
          </cell>
          <cell r="E762">
            <v>41270</v>
          </cell>
          <cell r="M762">
            <v>101</v>
          </cell>
          <cell r="N762">
            <v>101</v>
          </cell>
          <cell r="O762">
            <v>99</v>
          </cell>
          <cell r="P762">
            <v>98</v>
          </cell>
          <cell r="Q762">
            <v>101</v>
          </cell>
          <cell r="R762">
            <v>103</v>
          </cell>
          <cell r="S762">
            <v>0</v>
          </cell>
          <cell r="T762">
            <v>79</v>
          </cell>
          <cell r="U762">
            <v>79</v>
          </cell>
          <cell r="V762">
            <v>83</v>
          </cell>
          <cell r="W762">
            <v>86</v>
          </cell>
          <cell r="X762">
            <v>87</v>
          </cell>
          <cell r="Y762">
            <v>0</v>
          </cell>
          <cell r="Z762">
            <v>79</v>
          </cell>
          <cell r="AA762">
            <v>79</v>
          </cell>
          <cell r="AB762">
            <v>83</v>
          </cell>
          <cell r="AC762">
            <v>86</v>
          </cell>
          <cell r="AD762">
            <v>87</v>
          </cell>
        </row>
        <row r="763">
          <cell r="D763" t="str">
            <v>천동</v>
          </cell>
          <cell r="E763">
            <v>18444</v>
          </cell>
          <cell r="F763">
            <v>1</v>
          </cell>
          <cell r="H763">
            <v>0.75</v>
          </cell>
          <cell r="I763">
            <v>0.8</v>
          </cell>
          <cell r="J763">
            <v>0.85</v>
          </cell>
          <cell r="K763">
            <v>0.85</v>
          </cell>
          <cell r="L763">
            <v>0.85</v>
          </cell>
          <cell r="M763">
            <v>45</v>
          </cell>
          <cell r="N763">
            <v>45</v>
          </cell>
          <cell r="O763">
            <v>44</v>
          </cell>
          <cell r="P763">
            <v>44</v>
          </cell>
          <cell r="Q763">
            <v>45</v>
          </cell>
          <cell r="R763">
            <v>46</v>
          </cell>
          <cell r="S763">
            <v>0</v>
          </cell>
          <cell r="T763">
            <v>35</v>
          </cell>
          <cell r="U763">
            <v>35</v>
          </cell>
          <cell r="V763">
            <v>37</v>
          </cell>
          <cell r="W763">
            <v>38</v>
          </cell>
          <cell r="X763">
            <v>39</v>
          </cell>
          <cell r="Y763">
            <v>0</v>
          </cell>
          <cell r="Z763">
            <v>35</v>
          </cell>
          <cell r="AA763">
            <v>35</v>
          </cell>
          <cell r="AB763">
            <v>37</v>
          </cell>
          <cell r="AC763">
            <v>38</v>
          </cell>
          <cell r="AD763">
            <v>39</v>
          </cell>
        </row>
        <row r="764">
          <cell r="D764" t="str">
            <v>제비울</v>
          </cell>
          <cell r="E764">
            <v>22826</v>
          </cell>
          <cell r="F764">
            <v>1</v>
          </cell>
          <cell r="H764">
            <v>0.75</v>
          </cell>
          <cell r="I764">
            <v>0.8</v>
          </cell>
          <cell r="J764">
            <v>0.85</v>
          </cell>
          <cell r="K764">
            <v>0.85</v>
          </cell>
          <cell r="L764">
            <v>0.85</v>
          </cell>
          <cell r="M764">
            <v>56</v>
          </cell>
          <cell r="N764">
            <v>56</v>
          </cell>
          <cell r="O764">
            <v>55</v>
          </cell>
          <cell r="P764">
            <v>54</v>
          </cell>
          <cell r="Q764">
            <v>56</v>
          </cell>
          <cell r="R764">
            <v>57</v>
          </cell>
          <cell r="S764">
            <v>0</v>
          </cell>
          <cell r="T764">
            <v>44</v>
          </cell>
          <cell r="U764">
            <v>44</v>
          </cell>
          <cell r="V764">
            <v>46</v>
          </cell>
          <cell r="W764">
            <v>48</v>
          </cell>
          <cell r="X764">
            <v>48</v>
          </cell>
          <cell r="Y764">
            <v>0</v>
          </cell>
          <cell r="Z764">
            <v>44</v>
          </cell>
          <cell r="AA764">
            <v>44</v>
          </cell>
          <cell r="AB764">
            <v>46</v>
          </cell>
          <cell r="AC764">
            <v>48</v>
          </cell>
          <cell r="AD764">
            <v>48</v>
          </cell>
        </row>
        <row r="765">
          <cell r="C765" t="str">
            <v>반암 2</v>
          </cell>
          <cell r="D765" t="str">
            <v>계</v>
          </cell>
          <cell r="M765">
            <v>138</v>
          </cell>
          <cell r="N765">
            <v>138</v>
          </cell>
          <cell r="O765">
            <v>136</v>
          </cell>
          <cell r="P765">
            <v>135</v>
          </cell>
          <cell r="Q765">
            <v>138</v>
          </cell>
          <cell r="R765">
            <v>140</v>
          </cell>
          <cell r="S765">
            <v>0</v>
          </cell>
          <cell r="T765">
            <v>109</v>
          </cell>
          <cell r="U765">
            <v>109</v>
          </cell>
          <cell r="V765">
            <v>115</v>
          </cell>
          <cell r="W765">
            <v>117</v>
          </cell>
          <cell r="X765">
            <v>119</v>
          </cell>
          <cell r="Y765">
            <v>0</v>
          </cell>
          <cell r="Z765">
            <v>109</v>
          </cell>
          <cell r="AA765">
            <v>109</v>
          </cell>
          <cell r="AB765">
            <v>115</v>
          </cell>
          <cell r="AC765">
            <v>117</v>
          </cell>
          <cell r="AD765">
            <v>119</v>
          </cell>
        </row>
        <row r="766">
          <cell r="D766" t="str">
            <v>요동</v>
          </cell>
          <cell r="F766">
            <v>1</v>
          </cell>
          <cell r="H766">
            <v>0.75</v>
          </cell>
          <cell r="I766">
            <v>0.8</v>
          </cell>
          <cell r="J766">
            <v>0.85</v>
          </cell>
          <cell r="K766">
            <v>0.85</v>
          </cell>
          <cell r="L766">
            <v>0.85</v>
          </cell>
          <cell r="M766">
            <v>138</v>
          </cell>
          <cell r="N766">
            <v>138</v>
          </cell>
          <cell r="O766">
            <v>136</v>
          </cell>
          <cell r="P766">
            <v>135</v>
          </cell>
          <cell r="Q766">
            <v>138</v>
          </cell>
          <cell r="R766">
            <v>140</v>
          </cell>
          <cell r="S766">
            <v>0</v>
          </cell>
          <cell r="T766">
            <v>109</v>
          </cell>
          <cell r="U766">
            <v>109</v>
          </cell>
          <cell r="V766">
            <v>115</v>
          </cell>
          <cell r="W766">
            <v>117</v>
          </cell>
          <cell r="X766">
            <v>119</v>
          </cell>
          <cell r="Y766">
            <v>0</v>
          </cell>
          <cell r="Z766">
            <v>109</v>
          </cell>
          <cell r="AA766">
            <v>109</v>
          </cell>
          <cell r="AB766">
            <v>115</v>
          </cell>
          <cell r="AC766">
            <v>117</v>
          </cell>
          <cell r="AD766">
            <v>119</v>
          </cell>
        </row>
        <row r="767">
          <cell r="C767" t="str">
            <v>산직리</v>
          </cell>
          <cell r="D767" t="str">
            <v>소계</v>
          </cell>
          <cell r="M767">
            <v>207</v>
          </cell>
          <cell r="N767">
            <v>207</v>
          </cell>
          <cell r="O767">
            <v>204</v>
          </cell>
          <cell r="P767">
            <v>202</v>
          </cell>
          <cell r="Q767">
            <v>207</v>
          </cell>
          <cell r="R767">
            <v>211</v>
          </cell>
          <cell r="S767">
            <v>0</v>
          </cell>
          <cell r="T767">
            <v>0</v>
          </cell>
          <cell r="U767">
            <v>0</v>
          </cell>
          <cell r="V767">
            <v>171</v>
          </cell>
          <cell r="W767">
            <v>176</v>
          </cell>
          <cell r="X767">
            <v>180</v>
          </cell>
          <cell r="Y767">
            <v>0</v>
          </cell>
          <cell r="Z767">
            <v>0</v>
          </cell>
          <cell r="AA767">
            <v>0</v>
          </cell>
          <cell r="AB767">
            <v>171</v>
          </cell>
          <cell r="AC767">
            <v>176</v>
          </cell>
          <cell r="AD767">
            <v>180</v>
          </cell>
        </row>
        <row r="768">
          <cell r="C768" t="str">
            <v>산직 1</v>
          </cell>
          <cell r="D768" t="str">
            <v>계</v>
          </cell>
          <cell r="E768">
            <v>86850</v>
          </cell>
          <cell r="M768">
            <v>90</v>
          </cell>
          <cell r="N768">
            <v>90</v>
          </cell>
          <cell r="O768">
            <v>89</v>
          </cell>
          <cell r="P768">
            <v>88</v>
          </cell>
          <cell r="Q768">
            <v>90</v>
          </cell>
          <cell r="R768">
            <v>92</v>
          </cell>
          <cell r="S768">
            <v>0</v>
          </cell>
          <cell r="T768">
            <v>0</v>
          </cell>
          <cell r="U768">
            <v>0</v>
          </cell>
          <cell r="V768">
            <v>74</v>
          </cell>
          <cell r="W768">
            <v>76</v>
          </cell>
          <cell r="X768">
            <v>78</v>
          </cell>
          <cell r="Y768">
            <v>0</v>
          </cell>
          <cell r="Z768">
            <v>0</v>
          </cell>
          <cell r="AA768">
            <v>0</v>
          </cell>
          <cell r="AB768">
            <v>74</v>
          </cell>
          <cell r="AC768">
            <v>76</v>
          </cell>
          <cell r="AD768">
            <v>78</v>
          </cell>
        </row>
        <row r="769">
          <cell r="D769" t="str">
            <v>잔골</v>
          </cell>
          <cell r="E769">
            <v>75751</v>
          </cell>
          <cell r="F769">
            <v>2</v>
          </cell>
          <cell r="H769">
            <v>0.75</v>
          </cell>
          <cell r="I769">
            <v>0.8</v>
          </cell>
          <cell r="J769">
            <v>0.85</v>
          </cell>
          <cell r="K769">
            <v>0.85</v>
          </cell>
          <cell r="L769">
            <v>0.85</v>
          </cell>
          <cell r="M769">
            <v>78</v>
          </cell>
          <cell r="N769">
            <v>78</v>
          </cell>
          <cell r="O769">
            <v>78</v>
          </cell>
          <cell r="P769">
            <v>77</v>
          </cell>
          <cell r="Q769">
            <v>78</v>
          </cell>
          <cell r="R769">
            <v>80</v>
          </cell>
          <cell r="S769">
            <v>0</v>
          </cell>
          <cell r="T769">
            <v>0</v>
          </cell>
          <cell r="U769">
            <v>0</v>
          </cell>
          <cell r="V769">
            <v>65</v>
          </cell>
          <cell r="W769">
            <v>66</v>
          </cell>
          <cell r="X769">
            <v>68</v>
          </cell>
          <cell r="Y769">
            <v>0</v>
          </cell>
          <cell r="Z769">
            <v>0</v>
          </cell>
          <cell r="AA769">
            <v>0</v>
          </cell>
          <cell r="AB769">
            <v>65</v>
          </cell>
          <cell r="AC769">
            <v>66</v>
          </cell>
          <cell r="AD769">
            <v>68</v>
          </cell>
        </row>
        <row r="770">
          <cell r="D770" t="str">
            <v>뒷목</v>
          </cell>
          <cell r="E770">
            <v>11099</v>
          </cell>
          <cell r="F770">
            <v>2</v>
          </cell>
          <cell r="H770">
            <v>0.75</v>
          </cell>
          <cell r="I770">
            <v>0.8</v>
          </cell>
          <cell r="J770">
            <v>0.85</v>
          </cell>
          <cell r="K770">
            <v>0.85</v>
          </cell>
          <cell r="L770">
            <v>0.85</v>
          </cell>
          <cell r="M770">
            <v>12</v>
          </cell>
          <cell r="N770">
            <v>12</v>
          </cell>
          <cell r="O770">
            <v>11</v>
          </cell>
          <cell r="P770">
            <v>11</v>
          </cell>
          <cell r="Q770">
            <v>12</v>
          </cell>
          <cell r="R770">
            <v>12</v>
          </cell>
          <cell r="S770">
            <v>0</v>
          </cell>
          <cell r="T770">
            <v>0</v>
          </cell>
          <cell r="U770">
            <v>0</v>
          </cell>
          <cell r="V770">
            <v>9</v>
          </cell>
          <cell r="W770">
            <v>10</v>
          </cell>
          <cell r="X770">
            <v>10</v>
          </cell>
          <cell r="Y770">
            <v>0</v>
          </cell>
          <cell r="Z770">
            <v>0</v>
          </cell>
          <cell r="AA770">
            <v>0</v>
          </cell>
          <cell r="AB770">
            <v>9</v>
          </cell>
          <cell r="AC770">
            <v>10</v>
          </cell>
          <cell r="AD770">
            <v>10</v>
          </cell>
        </row>
        <row r="771">
          <cell r="C771" t="str">
            <v>산직 2</v>
          </cell>
          <cell r="D771" t="str">
            <v>계</v>
          </cell>
          <cell r="E771">
            <v>89823</v>
          </cell>
          <cell r="M771">
            <v>117</v>
          </cell>
          <cell r="N771">
            <v>117</v>
          </cell>
          <cell r="O771">
            <v>115</v>
          </cell>
          <cell r="P771">
            <v>114</v>
          </cell>
          <cell r="Q771">
            <v>117</v>
          </cell>
          <cell r="R771">
            <v>119</v>
          </cell>
          <cell r="S771">
            <v>0</v>
          </cell>
          <cell r="T771">
            <v>0</v>
          </cell>
          <cell r="U771">
            <v>0</v>
          </cell>
          <cell r="V771">
            <v>97</v>
          </cell>
          <cell r="W771">
            <v>100</v>
          </cell>
          <cell r="X771">
            <v>102</v>
          </cell>
          <cell r="Y771">
            <v>0</v>
          </cell>
          <cell r="Z771">
            <v>0</v>
          </cell>
          <cell r="AA771">
            <v>0</v>
          </cell>
          <cell r="AB771">
            <v>97</v>
          </cell>
          <cell r="AC771">
            <v>100</v>
          </cell>
          <cell r="AD771">
            <v>102</v>
          </cell>
        </row>
        <row r="772">
          <cell r="D772" t="str">
            <v>녹산</v>
          </cell>
          <cell r="E772">
            <v>6990</v>
          </cell>
          <cell r="F772">
            <v>2</v>
          </cell>
          <cell r="H772">
            <v>0.75</v>
          </cell>
          <cell r="I772">
            <v>0.8</v>
          </cell>
          <cell r="J772">
            <v>0.85</v>
          </cell>
          <cell r="K772">
            <v>0.85</v>
          </cell>
          <cell r="L772">
            <v>0.85</v>
          </cell>
          <cell r="M772">
            <v>9</v>
          </cell>
          <cell r="N772">
            <v>9</v>
          </cell>
          <cell r="O772">
            <v>9</v>
          </cell>
          <cell r="P772">
            <v>9</v>
          </cell>
          <cell r="Q772">
            <v>9</v>
          </cell>
          <cell r="R772">
            <v>9</v>
          </cell>
          <cell r="S772">
            <v>0</v>
          </cell>
          <cell r="T772">
            <v>0</v>
          </cell>
          <cell r="U772">
            <v>0</v>
          </cell>
          <cell r="V772">
            <v>8</v>
          </cell>
          <cell r="W772">
            <v>8</v>
          </cell>
          <cell r="X772">
            <v>8</v>
          </cell>
          <cell r="Y772">
            <v>0</v>
          </cell>
          <cell r="Z772">
            <v>0</v>
          </cell>
          <cell r="AA772">
            <v>0</v>
          </cell>
          <cell r="AB772">
            <v>8</v>
          </cell>
          <cell r="AC772">
            <v>8</v>
          </cell>
          <cell r="AD772">
            <v>8</v>
          </cell>
        </row>
        <row r="773">
          <cell r="D773" t="str">
            <v>머낭골</v>
          </cell>
          <cell r="E773">
            <v>55657</v>
          </cell>
          <cell r="F773">
            <v>2</v>
          </cell>
          <cell r="H773">
            <v>0.75</v>
          </cell>
          <cell r="I773">
            <v>0.8</v>
          </cell>
          <cell r="J773">
            <v>0.85</v>
          </cell>
          <cell r="K773">
            <v>0.85</v>
          </cell>
          <cell r="L773">
            <v>0.85</v>
          </cell>
          <cell r="M773">
            <v>72</v>
          </cell>
          <cell r="N773">
            <v>72</v>
          </cell>
          <cell r="O773">
            <v>71</v>
          </cell>
          <cell r="P773">
            <v>71</v>
          </cell>
          <cell r="Q773">
            <v>72</v>
          </cell>
          <cell r="R773">
            <v>74</v>
          </cell>
          <cell r="S773">
            <v>0</v>
          </cell>
          <cell r="T773">
            <v>0</v>
          </cell>
          <cell r="U773">
            <v>0</v>
          </cell>
          <cell r="V773">
            <v>60</v>
          </cell>
          <cell r="W773">
            <v>61</v>
          </cell>
          <cell r="X773">
            <v>63</v>
          </cell>
          <cell r="Y773">
            <v>0</v>
          </cell>
          <cell r="Z773">
            <v>0</v>
          </cell>
          <cell r="AA773">
            <v>0</v>
          </cell>
          <cell r="AB773">
            <v>60</v>
          </cell>
          <cell r="AC773">
            <v>61</v>
          </cell>
          <cell r="AD773">
            <v>63</v>
          </cell>
        </row>
        <row r="774">
          <cell r="D774" t="str">
            <v>골막</v>
          </cell>
          <cell r="E774">
            <v>27176</v>
          </cell>
          <cell r="F774">
            <v>2</v>
          </cell>
          <cell r="H774">
            <v>0.75</v>
          </cell>
          <cell r="I774">
            <v>0.8</v>
          </cell>
          <cell r="J774">
            <v>0.85</v>
          </cell>
          <cell r="K774">
            <v>0.85</v>
          </cell>
          <cell r="L774">
            <v>0.85</v>
          </cell>
          <cell r="M774">
            <v>36</v>
          </cell>
          <cell r="N774">
            <v>36</v>
          </cell>
          <cell r="O774">
            <v>35</v>
          </cell>
          <cell r="P774">
            <v>34</v>
          </cell>
          <cell r="Q774">
            <v>36</v>
          </cell>
          <cell r="R774">
            <v>36</v>
          </cell>
          <cell r="S774">
            <v>0</v>
          </cell>
          <cell r="T774">
            <v>0</v>
          </cell>
          <cell r="U774">
            <v>0</v>
          </cell>
          <cell r="V774">
            <v>29</v>
          </cell>
          <cell r="W774">
            <v>31</v>
          </cell>
          <cell r="X774">
            <v>31</v>
          </cell>
          <cell r="Y774">
            <v>0</v>
          </cell>
          <cell r="Z774">
            <v>0</v>
          </cell>
          <cell r="AA774">
            <v>0</v>
          </cell>
          <cell r="AB774">
            <v>29</v>
          </cell>
          <cell r="AC774">
            <v>31</v>
          </cell>
          <cell r="AD774">
            <v>31</v>
          </cell>
        </row>
        <row r="775">
          <cell r="C775" t="str">
            <v>모촌리</v>
          </cell>
          <cell r="D775" t="str">
            <v>소계</v>
          </cell>
          <cell r="M775">
            <v>460</v>
          </cell>
          <cell r="N775">
            <v>460</v>
          </cell>
          <cell r="O775">
            <v>453</v>
          </cell>
          <cell r="P775">
            <v>449</v>
          </cell>
          <cell r="Q775">
            <v>460</v>
          </cell>
          <cell r="R775">
            <v>469</v>
          </cell>
          <cell r="S775">
            <v>88</v>
          </cell>
          <cell r="T775">
            <v>88</v>
          </cell>
          <cell r="U775">
            <v>362</v>
          </cell>
          <cell r="V775">
            <v>381</v>
          </cell>
          <cell r="W775">
            <v>391</v>
          </cell>
          <cell r="X775">
            <v>398</v>
          </cell>
          <cell r="Y775">
            <v>155</v>
          </cell>
          <cell r="Z775">
            <v>155</v>
          </cell>
          <cell r="AA775">
            <v>362</v>
          </cell>
          <cell r="AB775">
            <v>381</v>
          </cell>
          <cell r="AC775">
            <v>391</v>
          </cell>
          <cell r="AD775">
            <v>398</v>
          </cell>
        </row>
        <row r="776">
          <cell r="C776" t="str">
            <v>모촌 1</v>
          </cell>
          <cell r="D776" t="str">
            <v>계</v>
          </cell>
          <cell r="E776">
            <v>119617</v>
          </cell>
          <cell r="M776">
            <v>254</v>
          </cell>
          <cell r="N776">
            <v>254</v>
          </cell>
          <cell r="O776">
            <v>250</v>
          </cell>
          <cell r="P776">
            <v>248</v>
          </cell>
          <cell r="Q776">
            <v>254</v>
          </cell>
          <cell r="R776">
            <v>259</v>
          </cell>
          <cell r="S776">
            <v>0</v>
          </cell>
          <cell r="T776">
            <v>0</v>
          </cell>
          <cell r="U776">
            <v>200</v>
          </cell>
          <cell r="V776">
            <v>210</v>
          </cell>
          <cell r="W776">
            <v>216</v>
          </cell>
          <cell r="X776">
            <v>220</v>
          </cell>
          <cell r="Y776">
            <v>0</v>
          </cell>
          <cell r="Z776">
            <v>0</v>
          </cell>
          <cell r="AA776">
            <v>200</v>
          </cell>
          <cell r="AB776">
            <v>210</v>
          </cell>
          <cell r="AC776">
            <v>216</v>
          </cell>
          <cell r="AD776">
            <v>220</v>
          </cell>
        </row>
        <row r="777">
          <cell r="D777" t="str">
            <v>원실보</v>
          </cell>
          <cell r="E777">
            <v>88879</v>
          </cell>
          <cell r="F777">
            <v>1</v>
          </cell>
          <cell r="H777">
            <v>0.75</v>
          </cell>
          <cell r="I777">
            <v>0.8</v>
          </cell>
          <cell r="J777">
            <v>0.85</v>
          </cell>
          <cell r="K777">
            <v>0.85</v>
          </cell>
          <cell r="L777">
            <v>0.85</v>
          </cell>
          <cell r="M777">
            <v>189</v>
          </cell>
          <cell r="N777">
            <v>189</v>
          </cell>
          <cell r="O777">
            <v>186</v>
          </cell>
          <cell r="P777">
            <v>184</v>
          </cell>
          <cell r="Q777">
            <v>189</v>
          </cell>
          <cell r="R777">
            <v>192</v>
          </cell>
          <cell r="S777">
            <v>0</v>
          </cell>
          <cell r="T777">
            <v>0</v>
          </cell>
          <cell r="U777">
            <v>149</v>
          </cell>
          <cell r="V777">
            <v>156</v>
          </cell>
          <cell r="W777">
            <v>161</v>
          </cell>
          <cell r="X777">
            <v>163</v>
          </cell>
          <cell r="Y777">
            <v>0</v>
          </cell>
          <cell r="Z777">
            <v>0</v>
          </cell>
          <cell r="AA777">
            <v>149</v>
          </cell>
          <cell r="AB777">
            <v>156</v>
          </cell>
          <cell r="AC777">
            <v>161</v>
          </cell>
          <cell r="AD777">
            <v>163</v>
          </cell>
        </row>
        <row r="778">
          <cell r="D778" t="str">
            <v>하마촌</v>
          </cell>
          <cell r="E778">
            <v>30738</v>
          </cell>
          <cell r="F778">
            <v>1</v>
          </cell>
          <cell r="H778">
            <v>0.75</v>
          </cell>
          <cell r="I778">
            <v>0.8</v>
          </cell>
          <cell r="J778">
            <v>0.85</v>
          </cell>
          <cell r="K778">
            <v>0.85</v>
          </cell>
          <cell r="L778">
            <v>0.85</v>
          </cell>
          <cell r="M778">
            <v>65</v>
          </cell>
          <cell r="N778">
            <v>65</v>
          </cell>
          <cell r="O778">
            <v>64</v>
          </cell>
          <cell r="P778">
            <v>64</v>
          </cell>
          <cell r="Q778">
            <v>65</v>
          </cell>
          <cell r="R778">
            <v>67</v>
          </cell>
          <cell r="S778">
            <v>0</v>
          </cell>
          <cell r="T778">
            <v>0</v>
          </cell>
          <cell r="U778">
            <v>51</v>
          </cell>
          <cell r="V778">
            <v>54</v>
          </cell>
          <cell r="W778">
            <v>55</v>
          </cell>
          <cell r="X778">
            <v>57</v>
          </cell>
          <cell r="Y778">
            <v>0</v>
          </cell>
          <cell r="Z778">
            <v>0</v>
          </cell>
          <cell r="AA778">
            <v>51</v>
          </cell>
          <cell r="AB778">
            <v>54</v>
          </cell>
          <cell r="AC778">
            <v>55</v>
          </cell>
          <cell r="AD778">
            <v>57</v>
          </cell>
        </row>
        <row r="779">
          <cell r="C779" t="str">
            <v>모촌 2</v>
          </cell>
          <cell r="D779" t="str">
            <v>계</v>
          </cell>
          <cell r="M779">
            <v>117</v>
          </cell>
          <cell r="N779">
            <v>117</v>
          </cell>
          <cell r="O779">
            <v>115</v>
          </cell>
          <cell r="P779">
            <v>114</v>
          </cell>
          <cell r="Q779">
            <v>117</v>
          </cell>
          <cell r="R779">
            <v>119</v>
          </cell>
          <cell r="S779">
            <v>88</v>
          </cell>
          <cell r="T779">
            <v>88</v>
          </cell>
          <cell r="U779">
            <v>92</v>
          </cell>
          <cell r="V779">
            <v>97</v>
          </cell>
          <cell r="W779">
            <v>99</v>
          </cell>
          <cell r="X779">
            <v>101</v>
          </cell>
          <cell r="Y779">
            <v>88</v>
          </cell>
          <cell r="Z779">
            <v>88</v>
          </cell>
          <cell r="AA779">
            <v>92</v>
          </cell>
          <cell r="AB779">
            <v>97</v>
          </cell>
          <cell r="AC779">
            <v>99</v>
          </cell>
          <cell r="AD779">
            <v>101</v>
          </cell>
        </row>
        <row r="780">
          <cell r="D780" t="str">
            <v>곰내</v>
          </cell>
          <cell r="F780">
            <v>0</v>
          </cell>
          <cell r="H780">
            <v>0.75</v>
          </cell>
          <cell r="I780">
            <v>0.8</v>
          </cell>
          <cell r="J780">
            <v>0.85</v>
          </cell>
          <cell r="K780">
            <v>0.85</v>
          </cell>
          <cell r="L780">
            <v>0.85</v>
          </cell>
          <cell r="M780">
            <v>117</v>
          </cell>
          <cell r="N780">
            <v>117</v>
          </cell>
          <cell r="O780">
            <v>115</v>
          </cell>
          <cell r="P780">
            <v>114</v>
          </cell>
          <cell r="Q780">
            <v>117</v>
          </cell>
          <cell r="R780">
            <v>119</v>
          </cell>
          <cell r="S780">
            <v>88</v>
          </cell>
          <cell r="T780">
            <v>88</v>
          </cell>
          <cell r="U780">
            <v>92</v>
          </cell>
          <cell r="V780">
            <v>97</v>
          </cell>
          <cell r="W780">
            <v>99</v>
          </cell>
          <cell r="X780">
            <v>101</v>
          </cell>
          <cell r="Y780">
            <v>88</v>
          </cell>
          <cell r="Z780">
            <v>88</v>
          </cell>
          <cell r="AA780">
            <v>92</v>
          </cell>
          <cell r="AB780">
            <v>97</v>
          </cell>
          <cell r="AC780">
            <v>99</v>
          </cell>
          <cell r="AD780">
            <v>101</v>
          </cell>
        </row>
        <row r="781">
          <cell r="C781" t="str">
            <v>모촌 3</v>
          </cell>
          <cell r="D781" t="str">
            <v>계</v>
          </cell>
          <cell r="M781">
            <v>89</v>
          </cell>
          <cell r="N781">
            <v>89</v>
          </cell>
          <cell r="O781">
            <v>88</v>
          </cell>
          <cell r="P781">
            <v>87</v>
          </cell>
          <cell r="Q781">
            <v>89</v>
          </cell>
          <cell r="R781">
            <v>91</v>
          </cell>
          <cell r="S781">
            <v>0</v>
          </cell>
          <cell r="T781">
            <v>0</v>
          </cell>
          <cell r="U781">
            <v>70</v>
          </cell>
          <cell r="V781">
            <v>74</v>
          </cell>
          <cell r="W781">
            <v>76</v>
          </cell>
          <cell r="X781">
            <v>77</v>
          </cell>
          <cell r="Y781">
            <v>67</v>
          </cell>
          <cell r="Z781">
            <v>67</v>
          </cell>
          <cell r="AA781">
            <v>70</v>
          </cell>
          <cell r="AB781">
            <v>74</v>
          </cell>
          <cell r="AC781">
            <v>76</v>
          </cell>
          <cell r="AD781">
            <v>77</v>
          </cell>
        </row>
        <row r="782">
          <cell r="D782" t="str">
            <v>버낭골</v>
          </cell>
          <cell r="F782">
            <v>5</v>
          </cell>
          <cell r="H782">
            <v>0.75</v>
          </cell>
          <cell r="I782">
            <v>0.8</v>
          </cell>
          <cell r="J782">
            <v>0.85</v>
          </cell>
          <cell r="K782">
            <v>0.85</v>
          </cell>
          <cell r="L782">
            <v>0.85</v>
          </cell>
          <cell r="M782">
            <v>89</v>
          </cell>
          <cell r="N782">
            <v>89</v>
          </cell>
          <cell r="O782">
            <v>88</v>
          </cell>
          <cell r="P782">
            <v>87</v>
          </cell>
          <cell r="Q782">
            <v>89</v>
          </cell>
          <cell r="R782">
            <v>91</v>
          </cell>
          <cell r="S782">
            <v>0</v>
          </cell>
          <cell r="T782">
            <v>0</v>
          </cell>
          <cell r="U782">
            <v>70</v>
          </cell>
          <cell r="V782">
            <v>74</v>
          </cell>
          <cell r="W782">
            <v>76</v>
          </cell>
          <cell r="X782">
            <v>77</v>
          </cell>
          <cell r="Y782">
            <v>67</v>
          </cell>
          <cell r="Z782">
            <v>67</v>
          </cell>
          <cell r="AA782">
            <v>70</v>
          </cell>
          <cell r="AB782">
            <v>74</v>
          </cell>
          <cell r="AC782">
            <v>76</v>
          </cell>
          <cell r="AD782">
            <v>77</v>
          </cell>
        </row>
        <row r="783">
          <cell r="C783" t="str">
            <v>신흥리</v>
          </cell>
          <cell r="D783" t="str">
            <v>소계</v>
          </cell>
          <cell r="M783">
            <v>327</v>
          </cell>
          <cell r="N783">
            <v>327</v>
          </cell>
          <cell r="O783">
            <v>322</v>
          </cell>
          <cell r="P783">
            <v>320</v>
          </cell>
          <cell r="Q783">
            <v>327</v>
          </cell>
          <cell r="R783">
            <v>333</v>
          </cell>
          <cell r="S783">
            <v>0</v>
          </cell>
          <cell r="T783">
            <v>0</v>
          </cell>
          <cell r="U783">
            <v>258</v>
          </cell>
          <cell r="V783">
            <v>272</v>
          </cell>
          <cell r="W783">
            <v>279</v>
          </cell>
          <cell r="X783">
            <v>283</v>
          </cell>
          <cell r="Y783">
            <v>246</v>
          </cell>
          <cell r="Z783">
            <v>246</v>
          </cell>
          <cell r="AA783">
            <v>258</v>
          </cell>
          <cell r="AB783">
            <v>272</v>
          </cell>
          <cell r="AC783">
            <v>279</v>
          </cell>
          <cell r="AD783">
            <v>283</v>
          </cell>
        </row>
        <row r="784">
          <cell r="C784" t="str">
            <v>신흥 1</v>
          </cell>
          <cell r="D784" t="str">
            <v>계</v>
          </cell>
          <cell r="E784">
            <v>53503</v>
          </cell>
          <cell r="M784">
            <v>179</v>
          </cell>
          <cell r="N784">
            <v>179</v>
          </cell>
          <cell r="O784">
            <v>176</v>
          </cell>
          <cell r="P784">
            <v>175</v>
          </cell>
          <cell r="Q784">
            <v>179</v>
          </cell>
          <cell r="R784">
            <v>182</v>
          </cell>
          <cell r="S784">
            <v>0</v>
          </cell>
          <cell r="T784">
            <v>0</v>
          </cell>
          <cell r="U784">
            <v>141</v>
          </cell>
          <cell r="V784">
            <v>149</v>
          </cell>
          <cell r="W784">
            <v>153</v>
          </cell>
          <cell r="X784">
            <v>155</v>
          </cell>
          <cell r="Y784">
            <v>135</v>
          </cell>
          <cell r="Z784">
            <v>135</v>
          </cell>
          <cell r="AA784">
            <v>141</v>
          </cell>
          <cell r="AB784">
            <v>149</v>
          </cell>
          <cell r="AC784">
            <v>153</v>
          </cell>
          <cell r="AD784">
            <v>155</v>
          </cell>
        </row>
        <row r="785">
          <cell r="D785" t="str">
            <v>안뜸</v>
          </cell>
          <cell r="E785">
            <v>38676</v>
          </cell>
          <cell r="F785">
            <v>5</v>
          </cell>
          <cell r="H785">
            <v>0.75</v>
          </cell>
          <cell r="I785">
            <v>0.8</v>
          </cell>
          <cell r="J785">
            <v>0.85</v>
          </cell>
          <cell r="K785">
            <v>0.85</v>
          </cell>
          <cell r="L785">
            <v>0.85</v>
          </cell>
          <cell r="M785">
            <v>129</v>
          </cell>
          <cell r="N785">
            <v>129</v>
          </cell>
          <cell r="O785">
            <v>127</v>
          </cell>
          <cell r="P785">
            <v>127</v>
          </cell>
          <cell r="Q785">
            <v>129</v>
          </cell>
          <cell r="R785">
            <v>132</v>
          </cell>
          <cell r="S785">
            <v>0</v>
          </cell>
          <cell r="T785">
            <v>0</v>
          </cell>
          <cell r="U785">
            <v>102</v>
          </cell>
          <cell r="V785">
            <v>108</v>
          </cell>
          <cell r="W785">
            <v>110</v>
          </cell>
          <cell r="X785">
            <v>112</v>
          </cell>
          <cell r="Y785">
            <v>97</v>
          </cell>
          <cell r="Z785">
            <v>97</v>
          </cell>
          <cell r="AA785">
            <v>102</v>
          </cell>
          <cell r="AB785">
            <v>108</v>
          </cell>
          <cell r="AC785">
            <v>110</v>
          </cell>
          <cell r="AD785">
            <v>112</v>
          </cell>
        </row>
        <row r="786">
          <cell r="D786" t="str">
            <v>새뜸</v>
          </cell>
          <cell r="E786">
            <v>14827</v>
          </cell>
          <cell r="F786">
            <v>5</v>
          </cell>
          <cell r="H786">
            <v>0.75</v>
          </cell>
          <cell r="I786">
            <v>0.8</v>
          </cell>
          <cell r="J786">
            <v>0.85</v>
          </cell>
          <cell r="K786">
            <v>0.85</v>
          </cell>
          <cell r="L786">
            <v>0.85</v>
          </cell>
          <cell r="M786">
            <v>50</v>
          </cell>
          <cell r="N786">
            <v>50</v>
          </cell>
          <cell r="O786">
            <v>49</v>
          </cell>
          <cell r="P786">
            <v>48</v>
          </cell>
          <cell r="Q786">
            <v>50</v>
          </cell>
          <cell r="R786">
            <v>50</v>
          </cell>
          <cell r="S786">
            <v>0</v>
          </cell>
          <cell r="T786">
            <v>0</v>
          </cell>
          <cell r="U786">
            <v>39</v>
          </cell>
          <cell r="V786">
            <v>41</v>
          </cell>
          <cell r="W786">
            <v>43</v>
          </cell>
          <cell r="X786">
            <v>43</v>
          </cell>
          <cell r="Y786">
            <v>38</v>
          </cell>
          <cell r="Z786">
            <v>38</v>
          </cell>
          <cell r="AA786">
            <v>39</v>
          </cell>
          <cell r="AB786">
            <v>41</v>
          </cell>
          <cell r="AC786">
            <v>43</v>
          </cell>
          <cell r="AD786">
            <v>43</v>
          </cell>
        </row>
        <row r="787">
          <cell r="C787" t="str">
            <v>신흥 2</v>
          </cell>
          <cell r="D787" t="str">
            <v>계</v>
          </cell>
          <cell r="M787">
            <v>148</v>
          </cell>
          <cell r="N787">
            <v>148</v>
          </cell>
          <cell r="O787">
            <v>146</v>
          </cell>
          <cell r="P787">
            <v>145</v>
          </cell>
          <cell r="Q787">
            <v>148</v>
          </cell>
          <cell r="R787">
            <v>151</v>
          </cell>
          <cell r="S787">
            <v>0</v>
          </cell>
          <cell r="T787">
            <v>0</v>
          </cell>
          <cell r="U787">
            <v>117</v>
          </cell>
          <cell r="V787">
            <v>123</v>
          </cell>
          <cell r="W787">
            <v>126</v>
          </cell>
          <cell r="X787">
            <v>128</v>
          </cell>
          <cell r="Y787">
            <v>111</v>
          </cell>
          <cell r="Z787">
            <v>111</v>
          </cell>
          <cell r="AA787">
            <v>117</v>
          </cell>
          <cell r="AB787">
            <v>123</v>
          </cell>
          <cell r="AC787">
            <v>126</v>
          </cell>
          <cell r="AD787">
            <v>128</v>
          </cell>
        </row>
        <row r="788">
          <cell r="D788" t="str">
            <v>소금번지</v>
          </cell>
          <cell r="F788">
            <v>5</v>
          </cell>
          <cell r="H788">
            <v>0.75</v>
          </cell>
          <cell r="I788">
            <v>0.8</v>
          </cell>
          <cell r="J788">
            <v>0.85</v>
          </cell>
          <cell r="K788">
            <v>0.85</v>
          </cell>
          <cell r="L788">
            <v>0.85</v>
          </cell>
          <cell r="M788">
            <v>148</v>
          </cell>
          <cell r="N788">
            <v>148</v>
          </cell>
          <cell r="O788">
            <v>146</v>
          </cell>
          <cell r="P788">
            <v>145</v>
          </cell>
          <cell r="Q788">
            <v>148</v>
          </cell>
          <cell r="R788">
            <v>151</v>
          </cell>
          <cell r="S788">
            <v>0</v>
          </cell>
          <cell r="T788">
            <v>0</v>
          </cell>
          <cell r="U788">
            <v>117</v>
          </cell>
          <cell r="V788">
            <v>123</v>
          </cell>
          <cell r="W788">
            <v>126</v>
          </cell>
          <cell r="X788">
            <v>128</v>
          </cell>
          <cell r="Y788">
            <v>111</v>
          </cell>
          <cell r="Z788">
            <v>111</v>
          </cell>
          <cell r="AA788">
            <v>117</v>
          </cell>
          <cell r="AB788">
            <v>123</v>
          </cell>
          <cell r="AC788">
            <v>126</v>
          </cell>
          <cell r="AD788">
            <v>128</v>
          </cell>
        </row>
        <row r="789">
          <cell r="C789" t="str">
            <v>거사리</v>
          </cell>
          <cell r="D789" t="str">
            <v>소계</v>
          </cell>
          <cell r="M789">
            <v>395</v>
          </cell>
          <cell r="N789">
            <v>396</v>
          </cell>
          <cell r="O789">
            <v>390</v>
          </cell>
          <cell r="P789">
            <v>3311</v>
          </cell>
          <cell r="Q789">
            <v>3321</v>
          </cell>
          <cell r="R789">
            <v>3328</v>
          </cell>
          <cell r="S789">
            <v>0</v>
          </cell>
          <cell r="T789">
            <v>0</v>
          </cell>
          <cell r="U789">
            <v>313</v>
          </cell>
          <cell r="V789">
            <v>3265</v>
          </cell>
          <cell r="W789">
            <v>3272</v>
          </cell>
          <cell r="X789">
            <v>3279</v>
          </cell>
          <cell r="Y789">
            <v>296</v>
          </cell>
          <cell r="Z789">
            <v>297</v>
          </cell>
          <cell r="AA789">
            <v>313</v>
          </cell>
          <cell r="AB789">
            <v>3265</v>
          </cell>
          <cell r="AC789">
            <v>3272</v>
          </cell>
          <cell r="AD789">
            <v>3279</v>
          </cell>
        </row>
        <row r="790">
          <cell r="C790" t="str">
            <v>거사 1</v>
          </cell>
          <cell r="D790" t="str">
            <v>계</v>
          </cell>
          <cell r="E790">
            <v>58600</v>
          </cell>
          <cell r="M790">
            <v>191</v>
          </cell>
          <cell r="N790">
            <v>191</v>
          </cell>
          <cell r="O790">
            <v>188</v>
          </cell>
          <cell r="P790">
            <v>186</v>
          </cell>
          <cell r="Q790">
            <v>191</v>
          </cell>
          <cell r="R790">
            <v>194</v>
          </cell>
          <cell r="S790">
            <v>0</v>
          </cell>
          <cell r="T790">
            <v>0</v>
          </cell>
          <cell r="U790">
            <v>151</v>
          </cell>
          <cell r="V790">
            <v>158</v>
          </cell>
          <cell r="W790">
            <v>162</v>
          </cell>
          <cell r="X790">
            <v>165</v>
          </cell>
          <cell r="Y790">
            <v>143</v>
          </cell>
          <cell r="Z790">
            <v>143</v>
          </cell>
          <cell r="AA790">
            <v>151</v>
          </cell>
          <cell r="AB790">
            <v>158</v>
          </cell>
          <cell r="AC790">
            <v>162</v>
          </cell>
          <cell r="AD790">
            <v>165</v>
          </cell>
        </row>
        <row r="791">
          <cell r="D791" t="str">
            <v>가리터</v>
          </cell>
          <cell r="E791">
            <v>42617</v>
          </cell>
          <cell r="F791">
            <v>5</v>
          </cell>
          <cell r="H791">
            <v>0.75</v>
          </cell>
          <cell r="I791">
            <v>0.8</v>
          </cell>
          <cell r="J791">
            <v>0.85</v>
          </cell>
          <cell r="K791">
            <v>0.85</v>
          </cell>
          <cell r="L791">
            <v>0.85</v>
          </cell>
          <cell r="M791">
            <v>139</v>
          </cell>
          <cell r="N791">
            <v>139</v>
          </cell>
          <cell r="O791">
            <v>137</v>
          </cell>
          <cell r="P791">
            <v>135</v>
          </cell>
          <cell r="Q791">
            <v>139</v>
          </cell>
          <cell r="R791">
            <v>141</v>
          </cell>
          <cell r="S791">
            <v>0</v>
          </cell>
          <cell r="T791">
            <v>0</v>
          </cell>
          <cell r="U791">
            <v>110</v>
          </cell>
          <cell r="V791">
            <v>115</v>
          </cell>
          <cell r="W791">
            <v>118</v>
          </cell>
          <cell r="X791">
            <v>120</v>
          </cell>
          <cell r="Y791">
            <v>104</v>
          </cell>
          <cell r="Z791">
            <v>104</v>
          </cell>
          <cell r="AA791">
            <v>110</v>
          </cell>
          <cell r="AB791">
            <v>115</v>
          </cell>
          <cell r="AC791">
            <v>118</v>
          </cell>
          <cell r="AD791">
            <v>120</v>
          </cell>
        </row>
        <row r="792">
          <cell r="D792" t="str">
            <v>거사</v>
          </cell>
          <cell r="E792">
            <v>15983</v>
          </cell>
          <cell r="F792">
            <v>5</v>
          </cell>
          <cell r="H792">
            <v>0.75</v>
          </cell>
          <cell r="I792">
            <v>0.8</v>
          </cell>
          <cell r="J792">
            <v>0.85</v>
          </cell>
          <cell r="K792">
            <v>0.85</v>
          </cell>
          <cell r="L792">
            <v>0.85</v>
          </cell>
          <cell r="M792">
            <v>52</v>
          </cell>
          <cell r="N792">
            <v>52</v>
          </cell>
          <cell r="O792">
            <v>51</v>
          </cell>
          <cell r="P792">
            <v>51</v>
          </cell>
          <cell r="Q792">
            <v>52</v>
          </cell>
          <cell r="R792">
            <v>53</v>
          </cell>
          <cell r="S792">
            <v>0</v>
          </cell>
          <cell r="T792">
            <v>0</v>
          </cell>
          <cell r="U792">
            <v>41</v>
          </cell>
          <cell r="V792">
            <v>43</v>
          </cell>
          <cell r="W792">
            <v>44</v>
          </cell>
          <cell r="X792">
            <v>45</v>
          </cell>
          <cell r="Y792">
            <v>39</v>
          </cell>
          <cell r="Z792">
            <v>39</v>
          </cell>
          <cell r="AA792">
            <v>41</v>
          </cell>
          <cell r="AB792">
            <v>43</v>
          </cell>
          <cell r="AC792">
            <v>44</v>
          </cell>
          <cell r="AD792">
            <v>45</v>
          </cell>
        </row>
        <row r="793">
          <cell r="C793" t="str">
            <v>거사 2</v>
          </cell>
          <cell r="D793" t="str">
            <v>계</v>
          </cell>
          <cell r="M793">
            <v>132</v>
          </cell>
          <cell r="N793">
            <v>133</v>
          </cell>
          <cell r="O793">
            <v>131</v>
          </cell>
          <cell r="P793">
            <v>3055</v>
          </cell>
          <cell r="Q793">
            <v>3058</v>
          </cell>
          <cell r="R793">
            <v>3061</v>
          </cell>
          <cell r="S793">
            <v>0</v>
          </cell>
          <cell r="T793">
            <v>0</v>
          </cell>
          <cell r="U793">
            <v>105</v>
          </cell>
          <cell r="V793">
            <v>3047</v>
          </cell>
          <cell r="W793">
            <v>3049</v>
          </cell>
          <cell r="X793">
            <v>3052</v>
          </cell>
          <cell r="Y793">
            <v>99</v>
          </cell>
          <cell r="Z793">
            <v>100</v>
          </cell>
          <cell r="AA793">
            <v>105</v>
          </cell>
          <cell r="AB793">
            <v>3047</v>
          </cell>
          <cell r="AC793">
            <v>3049</v>
          </cell>
          <cell r="AD793">
            <v>3052</v>
          </cell>
        </row>
        <row r="794">
          <cell r="D794" t="str">
            <v>치곡</v>
          </cell>
          <cell r="F794">
            <v>5</v>
          </cell>
          <cell r="H794">
            <v>0.75</v>
          </cell>
          <cell r="I794">
            <v>0.8</v>
          </cell>
          <cell r="J794">
            <v>0.85</v>
          </cell>
          <cell r="K794">
            <v>0.85</v>
          </cell>
          <cell r="L794">
            <v>0.85</v>
          </cell>
          <cell r="M794">
            <v>132</v>
          </cell>
          <cell r="N794">
            <v>133</v>
          </cell>
          <cell r="O794">
            <v>131</v>
          </cell>
          <cell r="P794">
            <v>55</v>
          </cell>
          <cell r="Q794">
            <v>58</v>
          </cell>
          <cell r="R794">
            <v>61</v>
          </cell>
          <cell r="S794">
            <v>0</v>
          </cell>
          <cell r="T794">
            <v>0</v>
          </cell>
          <cell r="U794">
            <v>105</v>
          </cell>
          <cell r="V794">
            <v>47</v>
          </cell>
          <cell r="W794">
            <v>49</v>
          </cell>
          <cell r="X794">
            <v>52</v>
          </cell>
          <cell r="Y794">
            <v>99</v>
          </cell>
          <cell r="Z794">
            <v>100</v>
          </cell>
          <cell r="AA794">
            <v>105</v>
          </cell>
          <cell r="AB794">
            <v>47</v>
          </cell>
          <cell r="AC794">
            <v>49</v>
          </cell>
          <cell r="AD794">
            <v>52</v>
          </cell>
        </row>
        <row r="795">
          <cell r="D795" t="str">
            <v>국방대</v>
          </cell>
          <cell r="F795">
            <v>2</v>
          </cell>
          <cell r="H795">
            <v>0.75</v>
          </cell>
          <cell r="I795">
            <v>0.8</v>
          </cell>
          <cell r="J795">
            <v>0.85</v>
          </cell>
          <cell r="K795">
            <v>0.85</v>
          </cell>
          <cell r="L795">
            <v>0.85</v>
          </cell>
          <cell r="M795">
            <v>0</v>
          </cell>
          <cell r="N795">
            <v>0</v>
          </cell>
          <cell r="O795">
            <v>0</v>
          </cell>
          <cell r="P795">
            <v>3000</v>
          </cell>
          <cell r="Q795">
            <v>3000</v>
          </cell>
          <cell r="R795">
            <v>3000</v>
          </cell>
          <cell r="S795">
            <v>0</v>
          </cell>
          <cell r="T795">
            <v>0</v>
          </cell>
          <cell r="U795">
            <v>0</v>
          </cell>
          <cell r="V795">
            <v>3000</v>
          </cell>
          <cell r="W795">
            <v>3000</v>
          </cell>
          <cell r="X795">
            <v>3000</v>
          </cell>
          <cell r="Y795">
            <v>0</v>
          </cell>
          <cell r="Z795">
            <v>0</v>
          </cell>
          <cell r="AA795">
            <v>0</v>
          </cell>
          <cell r="AB795">
            <v>3000</v>
          </cell>
          <cell r="AC795">
            <v>3000</v>
          </cell>
          <cell r="AD795">
            <v>3000</v>
          </cell>
        </row>
        <row r="796">
          <cell r="C796" t="str">
            <v>거사 3</v>
          </cell>
          <cell r="D796" t="str">
            <v>계</v>
          </cell>
          <cell r="M796">
            <v>72</v>
          </cell>
          <cell r="N796">
            <v>72</v>
          </cell>
          <cell r="O796">
            <v>71</v>
          </cell>
          <cell r="P796">
            <v>70</v>
          </cell>
          <cell r="Q796">
            <v>72</v>
          </cell>
          <cell r="R796">
            <v>73</v>
          </cell>
          <cell r="S796">
            <v>0</v>
          </cell>
          <cell r="T796">
            <v>0</v>
          </cell>
          <cell r="U796">
            <v>57</v>
          </cell>
          <cell r="V796">
            <v>60</v>
          </cell>
          <cell r="W796">
            <v>61</v>
          </cell>
          <cell r="X796">
            <v>62</v>
          </cell>
          <cell r="Y796">
            <v>54</v>
          </cell>
          <cell r="Z796">
            <v>54</v>
          </cell>
          <cell r="AA796">
            <v>57</v>
          </cell>
          <cell r="AB796">
            <v>60</v>
          </cell>
          <cell r="AC796">
            <v>61</v>
          </cell>
          <cell r="AD796">
            <v>62</v>
          </cell>
        </row>
        <row r="797">
          <cell r="D797" t="str">
            <v>죽안이</v>
          </cell>
          <cell r="F797">
            <v>5</v>
          </cell>
          <cell r="H797">
            <v>0.75</v>
          </cell>
          <cell r="I797">
            <v>0.8</v>
          </cell>
          <cell r="J797">
            <v>0.85</v>
          </cell>
          <cell r="K797">
            <v>0.85</v>
          </cell>
          <cell r="L797">
            <v>0.85</v>
          </cell>
          <cell r="M797">
            <v>72</v>
          </cell>
          <cell r="N797">
            <v>72</v>
          </cell>
          <cell r="O797">
            <v>71</v>
          </cell>
          <cell r="P797">
            <v>70</v>
          </cell>
          <cell r="Q797">
            <v>72</v>
          </cell>
          <cell r="R797">
            <v>73</v>
          </cell>
          <cell r="S797">
            <v>0</v>
          </cell>
          <cell r="T797">
            <v>0</v>
          </cell>
          <cell r="U797">
            <v>57</v>
          </cell>
          <cell r="V797">
            <v>60</v>
          </cell>
          <cell r="W797">
            <v>61</v>
          </cell>
          <cell r="X797">
            <v>62</v>
          </cell>
          <cell r="Y797">
            <v>54</v>
          </cell>
          <cell r="Z797">
            <v>54</v>
          </cell>
          <cell r="AA797">
            <v>57</v>
          </cell>
          <cell r="AB797">
            <v>60</v>
          </cell>
          <cell r="AC797">
            <v>61</v>
          </cell>
          <cell r="AD797">
            <v>62</v>
          </cell>
        </row>
        <row r="798">
          <cell r="C798" t="str">
            <v>반곡리</v>
          </cell>
          <cell r="D798" t="str">
            <v>소계</v>
          </cell>
          <cell r="M798">
            <v>608</v>
          </cell>
          <cell r="N798">
            <v>610</v>
          </cell>
          <cell r="O798">
            <v>600</v>
          </cell>
          <cell r="P798">
            <v>593</v>
          </cell>
          <cell r="Q798">
            <v>607</v>
          </cell>
          <cell r="R798">
            <v>618</v>
          </cell>
          <cell r="S798">
            <v>0</v>
          </cell>
          <cell r="T798">
            <v>0</v>
          </cell>
          <cell r="U798">
            <v>480</v>
          </cell>
          <cell r="V798">
            <v>504</v>
          </cell>
          <cell r="W798">
            <v>517</v>
          </cell>
          <cell r="X798">
            <v>525</v>
          </cell>
          <cell r="Y798">
            <v>154</v>
          </cell>
          <cell r="Z798">
            <v>155</v>
          </cell>
          <cell r="AA798">
            <v>480</v>
          </cell>
          <cell r="AB798">
            <v>504</v>
          </cell>
          <cell r="AC798">
            <v>517</v>
          </cell>
          <cell r="AD798">
            <v>525</v>
          </cell>
        </row>
        <row r="799">
          <cell r="C799" t="str">
            <v>반곡 1</v>
          </cell>
          <cell r="D799" t="str">
            <v>계</v>
          </cell>
          <cell r="E799">
            <v>125254</v>
          </cell>
          <cell r="M799">
            <v>280</v>
          </cell>
          <cell r="N799">
            <v>281</v>
          </cell>
          <cell r="O799">
            <v>276</v>
          </cell>
          <cell r="P799">
            <v>273</v>
          </cell>
          <cell r="Q799">
            <v>280</v>
          </cell>
          <cell r="R799">
            <v>285</v>
          </cell>
          <cell r="S799">
            <v>0</v>
          </cell>
          <cell r="T799">
            <v>0</v>
          </cell>
          <cell r="U799">
            <v>220</v>
          </cell>
          <cell r="V799">
            <v>232</v>
          </cell>
          <cell r="W799">
            <v>239</v>
          </cell>
          <cell r="X799">
            <v>242</v>
          </cell>
          <cell r="Y799">
            <v>154</v>
          </cell>
          <cell r="Z799">
            <v>155</v>
          </cell>
          <cell r="AA799">
            <v>220</v>
          </cell>
          <cell r="AB799">
            <v>232</v>
          </cell>
          <cell r="AC799">
            <v>239</v>
          </cell>
          <cell r="AD799">
            <v>242</v>
          </cell>
        </row>
        <row r="800">
          <cell r="D800" t="str">
            <v>난민촌</v>
          </cell>
          <cell r="E800">
            <v>39906</v>
          </cell>
          <cell r="F800">
            <v>5</v>
          </cell>
          <cell r="H800">
            <v>0.75</v>
          </cell>
          <cell r="I800">
            <v>0.8</v>
          </cell>
          <cell r="J800">
            <v>0.85</v>
          </cell>
          <cell r="K800">
            <v>0.85</v>
          </cell>
          <cell r="L800">
            <v>0.85</v>
          </cell>
          <cell r="M800">
            <v>89</v>
          </cell>
          <cell r="N800">
            <v>90</v>
          </cell>
          <cell r="O800">
            <v>88</v>
          </cell>
          <cell r="P800">
            <v>87</v>
          </cell>
          <cell r="Q800">
            <v>89</v>
          </cell>
          <cell r="R800">
            <v>91</v>
          </cell>
          <cell r="S800">
            <v>0</v>
          </cell>
          <cell r="T800">
            <v>0</v>
          </cell>
          <cell r="U800">
            <v>70</v>
          </cell>
          <cell r="V800">
            <v>74</v>
          </cell>
          <cell r="W800">
            <v>76</v>
          </cell>
          <cell r="X800">
            <v>77</v>
          </cell>
          <cell r="Y800">
            <v>67</v>
          </cell>
          <cell r="Z800">
            <v>68</v>
          </cell>
          <cell r="AA800">
            <v>70</v>
          </cell>
          <cell r="AB800">
            <v>74</v>
          </cell>
          <cell r="AC800">
            <v>76</v>
          </cell>
          <cell r="AD800">
            <v>77</v>
          </cell>
        </row>
        <row r="801">
          <cell r="D801" t="str">
            <v>서당골</v>
          </cell>
          <cell r="E801">
            <v>33433</v>
          </cell>
          <cell r="F801">
            <v>1</v>
          </cell>
          <cell r="H801">
            <v>0.75</v>
          </cell>
          <cell r="I801">
            <v>0.8</v>
          </cell>
          <cell r="J801">
            <v>0.85</v>
          </cell>
          <cell r="K801">
            <v>0.85</v>
          </cell>
          <cell r="L801">
            <v>0.85</v>
          </cell>
          <cell r="M801">
            <v>75</v>
          </cell>
          <cell r="N801">
            <v>75</v>
          </cell>
          <cell r="O801">
            <v>74</v>
          </cell>
          <cell r="P801">
            <v>73</v>
          </cell>
          <cell r="Q801">
            <v>75</v>
          </cell>
          <cell r="R801">
            <v>76</v>
          </cell>
          <cell r="S801">
            <v>0</v>
          </cell>
          <cell r="T801">
            <v>0</v>
          </cell>
          <cell r="U801">
            <v>59</v>
          </cell>
          <cell r="V801">
            <v>62</v>
          </cell>
          <cell r="W801">
            <v>64</v>
          </cell>
          <cell r="X801">
            <v>65</v>
          </cell>
          <cell r="Y801">
            <v>0</v>
          </cell>
          <cell r="Z801">
            <v>0</v>
          </cell>
          <cell r="AA801">
            <v>59</v>
          </cell>
          <cell r="AB801">
            <v>62</v>
          </cell>
          <cell r="AC801">
            <v>64</v>
          </cell>
          <cell r="AD801">
            <v>65</v>
          </cell>
        </row>
        <row r="802">
          <cell r="D802" t="str">
            <v>서림리</v>
          </cell>
          <cell r="E802">
            <v>51915</v>
          </cell>
          <cell r="F802">
            <v>5</v>
          </cell>
          <cell r="H802">
            <v>0.75</v>
          </cell>
          <cell r="I802">
            <v>0.8</v>
          </cell>
          <cell r="J802">
            <v>0.85</v>
          </cell>
          <cell r="K802">
            <v>0.85</v>
          </cell>
          <cell r="L802">
            <v>0.85</v>
          </cell>
          <cell r="M802">
            <v>116</v>
          </cell>
          <cell r="N802">
            <v>116</v>
          </cell>
          <cell r="O802">
            <v>114</v>
          </cell>
          <cell r="P802">
            <v>113</v>
          </cell>
          <cell r="Q802">
            <v>116</v>
          </cell>
          <cell r="R802">
            <v>118</v>
          </cell>
          <cell r="S802">
            <v>0</v>
          </cell>
          <cell r="T802">
            <v>0</v>
          </cell>
          <cell r="U802">
            <v>91</v>
          </cell>
          <cell r="V802">
            <v>96</v>
          </cell>
          <cell r="W802">
            <v>99</v>
          </cell>
          <cell r="X802">
            <v>100</v>
          </cell>
          <cell r="Y802">
            <v>87</v>
          </cell>
          <cell r="Z802">
            <v>87</v>
          </cell>
          <cell r="AA802">
            <v>91</v>
          </cell>
          <cell r="AB802">
            <v>96</v>
          </cell>
          <cell r="AC802">
            <v>99</v>
          </cell>
          <cell r="AD802">
            <v>100</v>
          </cell>
        </row>
        <row r="803">
          <cell r="C803" t="str">
            <v>반곡 2</v>
          </cell>
          <cell r="D803" t="str">
            <v>계</v>
          </cell>
          <cell r="E803">
            <v>62507</v>
          </cell>
          <cell r="M803">
            <v>328</v>
          </cell>
          <cell r="N803">
            <v>329</v>
          </cell>
          <cell r="O803">
            <v>324</v>
          </cell>
          <cell r="P803">
            <v>320</v>
          </cell>
          <cell r="Q803">
            <v>327</v>
          </cell>
          <cell r="R803">
            <v>333</v>
          </cell>
          <cell r="S803">
            <v>0</v>
          </cell>
          <cell r="T803">
            <v>0</v>
          </cell>
          <cell r="U803">
            <v>260</v>
          </cell>
          <cell r="V803">
            <v>272</v>
          </cell>
          <cell r="W803">
            <v>278</v>
          </cell>
          <cell r="X803">
            <v>283</v>
          </cell>
          <cell r="Y803">
            <v>0</v>
          </cell>
          <cell r="Z803">
            <v>0</v>
          </cell>
          <cell r="AA803">
            <v>260</v>
          </cell>
          <cell r="AB803">
            <v>272</v>
          </cell>
          <cell r="AC803">
            <v>278</v>
          </cell>
          <cell r="AD803">
            <v>283</v>
          </cell>
        </row>
        <row r="804">
          <cell r="D804" t="str">
            <v>동상골</v>
          </cell>
          <cell r="E804">
            <v>19722</v>
          </cell>
          <cell r="F804">
            <v>1</v>
          </cell>
          <cell r="H804">
            <v>0.75</v>
          </cell>
          <cell r="I804">
            <v>0.8</v>
          </cell>
          <cell r="J804">
            <v>0.85</v>
          </cell>
          <cell r="K804">
            <v>0.85</v>
          </cell>
          <cell r="L804">
            <v>0.85</v>
          </cell>
          <cell r="M804">
            <v>103</v>
          </cell>
          <cell r="N804">
            <v>104</v>
          </cell>
          <cell r="O804">
            <v>102</v>
          </cell>
          <cell r="P804">
            <v>101</v>
          </cell>
          <cell r="Q804">
            <v>103</v>
          </cell>
          <cell r="R804">
            <v>105</v>
          </cell>
          <cell r="S804">
            <v>0</v>
          </cell>
          <cell r="T804">
            <v>0</v>
          </cell>
          <cell r="U804">
            <v>82</v>
          </cell>
          <cell r="V804">
            <v>86</v>
          </cell>
          <cell r="W804">
            <v>88</v>
          </cell>
          <cell r="X804">
            <v>89</v>
          </cell>
          <cell r="Y804">
            <v>0</v>
          </cell>
          <cell r="Z804">
            <v>0</v>
          </cell>
          <cell r="AA804">
            <v>82</v>
          </cell>
          <cell r="AB804">
            <v>86</v>
          </cell>
          <cell r="AC804">
            <v>88</v>
          </cell>
          <cell r="AD804">
            <v>89</v>
          </cell>
        </row>
        <row r="805">
          <cell r="D805" t="str">
            <v>원디</v>
          </cell>
          <cell r="E805">
            <v>42785</v>
          </cell>
          <cell r="F805">
            <v>1</v>
          </cell>
          <cell r="H805">
            <v>0.75</v>
          </cell>
          <cell r="I805">
            <v>0.8</v>
          </cell>
          <cell r="J805">
            <v>0.85</v>
          </cell>
          <cell r="K805">
            <v>0.85</v>
          </cell>
          <cell r="L805">
            <v>0.85</v>
          </cell>
          <cell r="M805">
            <v>225</v>
          </cell>
          <cell r="N805">
            <v>225</v>
          </cell>
          <cell r="O805">
            <v>222</v>
          </cell>
          <cell r="P805">
            <v>219</v>
          </cell>
          <cell r="Q805">
            <v>224</v>
          </cell>
          <cell r="R805">
            <v>228</v>
          </cell>
          <cell r="S805">
            <v>0</v>
          </cell>
          <cell r="T805">
            <v>0</v>
          </cell>
          <cell r="U805">
            <v>178</v>
          </cell>
          <cell r="V805">
            <v>186</v>
          </cell>
          <cell r="W805">
            <v>190</v>
          </cell>
          <cell r="X805">
            <v>194</v>
          </cell>
          <cell r="Y805">
            <v>0</v>
          </cell>
          <cell r="Z805">
            <v>0</v>
          </cell>
          <cell r="AA805">
            <v>178</v>
          </cell>
          <cell r="AB805">
            <v>186</v>
          </cell>
          <cell r="AC805">
            <v>190</v>
          </cell>
          <cell r="AD805">
            <v>194</v>
          </cell>
        </row>
        <row r="806">
          <cell r="C806" t="str">
            <v>명암리</v>
          </cell>
          <cell r="D806" t="str">
            <v>소계</v>
          </cell>
          <cell r="M806">
            <v>271</v>
          </cell>
          <cell r="N806">
            <v>272</v>
          </cell>
          <cell r="O806">
            <v>267</v>
          </cell>
          <cell r="P806">
            <v>265</v>
          </cell>
          <cell r="Q806">
            <v>271</v>
          </cell>
          <cell r="R806">
            <v>276</v>
          </cell>
          <cell r="S806">
            <v>0</v>
          </cell>
          <cell r="T806">
            <v>0</v>
          </cell>
          <cell r="U806">
            <v>213</v>
          </cell>
          <cell r="V806">
            <v>225</v>
          </cell>
          <cell r="W806">
            <v>230</v>
          </cell>
          <cell r="X806">
            <v>235</v>
          </cell>
          <cell r="Y806">
            <v>204</v>
          </cell>
          <cell r="Z806">
            <v>204</v>
          </cell>
          <cell r="AA806">
            <v>213</v>
          </cell>
          <cell r="AB806">
            <v>225</v>
          </cell>
          <cell r="AC806">
            <v>230</v>
          </cell>
          <cell r="AD806">
            <v>235</v>
          </cell>
        </row>
        <row r="807">
          <cell r="C807" t="str">
            <v>명암 1</v>
          </cell>
          <cell r="D807" t="str">
            <v>계</v>
          </cell>
          <cell r="M807">
            <v>94</v>
          </cell>
          <cell r="N807">
            <v>95</v>
          </cell>
          <cell r="O807">
            <v>93</v>
          </cell>
          <cell r="P807">
            <v>92</v>
          </cell>
          <cell r="Q807">
            <v>94</v>
          </cell>
          <cell r="R807">
            <v>96</v>
          </cell>
          <cell r="S807">
            <v>0</v>
          </cell>
          <cell r="T807">
            <v>0</v>
          </cell>
          <cell r="U807">
            <v>74</v>
          </cell>
          <cell r="V807">
            <v>78</v>
          </cell>
          <cell r="W807">
            <v>80</v>
          </cell>
          <cell r="X807">
            <v>82</v>
          </cell>
          <cell r="Y807">
            <v>71</v>
          </cell>
          <cell r="Z807">
            <v>71</v>
          </cell>
          <cell r="AA807">
            <v>74</v>
          </cell>
          <cell r="AB807">
            <v>78</v>
          </cell>
          <cell r="AC807">
            <v>80</v>
          </cell>
          <cell r="AD807">
            <v>82</v>
          </cell>
        </row>
        <row r="808">
          <cell r="D808" t="str">
            <v>울바우</v>
          </cell>
          <cell r="F808">
            <v>5</v>
          </cell>
          <cell r="H808">
            <v>0.75</v>
          </cell>
          <cell r="I808">
            <v>0.8</v>
          </cell>
          <cell r="J808">
            <v>0.85</v>
          </cell>
          <cell r="K808">
            <v>0.85</v>
          </cell>
          <cell r="L808">
            <v>0.85</v>
          </cell>
          <cell r="M808">
            <v>94</v>
          </cell>
          <cell r="N808">
            <v>95</v>
          </cell>
          <cell r="O808">
            <v>93</v>
          </cell>
          <cell r="P808">
            <v>92</v>
          </cell>
          <cell r="Q808">
            <v>94</v>
          </cell>
          <cell r="R808">
            <v>96</v>
          </cell>
          <cell r="S808">
            <v>0</v>
          </cell>
          <cell r="T808">
            <v>0</v>
          </cell>
          <cell r="U808">
            <v>74</v>
          </cell>
          <cell r="V808">
            <v>78</v>
          </cell>
          <cell r="W808">
            <v>80</v>
          </cell>
          <cell r="X808">
            <v>82</v>
          </cell>
          <cell r="Y808">
            <v>71</v>
          </cell>
          <cell r="Z808">
            <v>71</v>
          </cell>
          <cell r="AA808">
            <v>74</v>
          </cell>
          <cell r="AB808">
            <v>78</v>
          </cell>
          <cell r="AC808">
            <v>80</v>
          </cell>
          <cell r="AD808">
            <v>82</v>
          </cell>
        </row>
        <row r="809">
          <cell r="C809" t="str">
            <v>명암 2</v>
          </cell>
          <cell r="D809" t="str">
            <v>계</v>
          </cell>
          <cell r="M809">
            <v>177</v>
          </cell>
          <cell r="N809">
            <v>177</v>
          </cell>
          <cell r="O809">
            <v>174</v>
          </cell>
          <cell r="P809">
            <v>173</v>
          </cell>
          <cell r="Q809">
            <v>177</v>
          </cell>
          <cell r="R809">
            <v>180</v>
          </cell>
          <cell r="S809">
            <v>0</v>
          </cell>
          <cell r="T809">
            <v>0</v>
          </cell>
          <cell r="U809">
            <v>139</v>
          </cell>
          <cell r="V809">
            <v>147</v>
          </cell>
          <cell r="W809">
            <v>150</v>
          </cell>
          <cell r="X809">
            <v>153</v>
          </cell>
          <cell r="Y809">
            <v>133</v>
          </cell>
          <cell r="Z809">
            <v>133</v>
          </cell>
          <cell r="AA809">
            <v>139</v>
          </cell>
          <cell r="AB809">
            <v>147</v>
          </cell>
          <cell r="AC809">
            <v>150</v>
          </cell>
          <cell r="AD809">
            <v>153</v>
          </cell>
        </row>
        <row r="810">
          <cell r="D810" t="str">
            <v>빗가리</v>
          </cell>
          <cell r="F810">
            <v>5</v>
          </cell>
          <cell r="H810">
            <v>0.75</v>
          </cell>
          <cell r="I810">
            <v>0.8</v>
          </cell>
          <cell r="J810">
            <v>0.85</v>
          </cell>
          <cell r="K810">
            <v>0.85</v>
          </cell>
          <cell r="L810">
            <v>0.85</v>
          </cell>
          <cell r="M810">
            <v>177</v>
          </cell>
          <cell r="N810">
            <v>177</v>
          </cell>
          <cell r="O810">
            <v>174</v>
          </cell>
          <cell r="P810">
            <v>173</v>
          </cell>
          <cell r="Q810">
            <v>177</v>
          </cell>
          <cell r="R810">
            <v>180</v>
          </cell>
          <cell r="S810">
            <v>0</v>
          </cell>
          <cell r="T810">
            <v>0</v>
          </cell>
          <cell r="U810">
            <v>139</v>
          </cell>
          <cell r="V810">
            <v>147</v>
          </cell>
          <cell r="W810">
            <v>150</v>
          </cell>
          <cell r="X810">
            <v>153</v>
          </cell>
          <cell r="Y810">
            <v>133</v>
          </cell>
          <cell r="Z810">
            <v>133</v>
          </cell>
          <cell r="AA810">
            <v>139</v>
          </cell>
          <cell r="AB810">
            <v>147</v>
          </cell>
          <cell r="AC810">
            <v>150</v>
          </cell>
          <cell r="AD810">
            <v>153</v>
          </cell>
        </row>
        <row r="811">
          <cell r="C811" t="str">
            <v>석서리</v>
          </cell>
          <cell r="D811" t="str">
            <v>소계</v>
          </cell>
          <cell r="M811">
            <v>230</v>
          </cell>
          <cell r="N811">
            <v>230</v>
          </cell>
          <cell r="O811">
            <v>227</v>
          </cell>
          <cell r="P811">
            <v>225</v>
          </cell>
          <cell r="Q811">
            <v>230</v>
          </cell>
          <cell r="R811">
            <v>234</v>
          </cell>
          <cell r="S811">
            <v>0</v>
          </cell>
          <cell r="T811">
            <v>0</v>
          </cell>
          <cell r="U811">
            <v>182</v>
          </cell>
          <cell r="V811">
            <v>191</v>
          </cell>
          <cell r="W811">
            <v>196</v>
          </cell>
          <cell r="X811">
            <v>199</v>
          </cell>
          <cell r="Y811">
            <v>0</v>
          </cell>
          <cell r="Z811">
            <v>0</v>
          </cell>
          <cell r="AA811">
            <v>182</v>
          </cell>
          <cell r="AB811">
            <v>191</v>
          </cell>
          <cell r="AC811">
            <v>196</v>
          </cell>
          <cell r="AD811">
            <v>199</v>
          </cell>
        </row>
        <row r="812">
          <cell r="C812" t="str">
            <v>석서 1</v>
          </cell>
          <cell r="D812" t="str">
            <v>계</v>
          </cell>
          <cell r="E812">
            <v>40921</v>
          </cell>
          <cell r="M812">
            <v>87</v>
          </cell>
          <cell r="N812">
            <v>87</v>
          </cell>
          <cell r="O812">
            <v>86</v>
          </cell>
          <cell r="P812">
            <v>85</v>
          </cell>
          <cell r="Q812">
            <v>87</v>
          </cell>
          <cell r="R812">
            <v>88</v>
          </cell>
          <cell r="S812">
            <v>0</v>
          </cell>
          <cell r="T812">
            <v>0</v>
          </cell>
          <cell r="U812">
            <v>69</v>
          </cell>
          <cell r="V812">
            <v>72</v>
          </cell>
          <cell r="W812">
            <v>74</v>
          </cell>
          <cell r="X812">
            <v>75</v>
          </cell>
          <cell r="Y812">
            <v>0</v>
          </cell>
          <cell r="Z812">
            <v>0</v>
          </cell>
          <cell r="AA812">
            <v>69</v>
          </cell>
          <cell r="AB812">
            <v>72</v>
          </cell>
          <cell r="AC812">
            <v>74</v>
          </cell>
          <cell r="AD812">
            <v>75</v>
          </cell>
        </row>
        <row r="813">
          <cell r="D813" t="str">
            <v>고말</v>
          </cell>
          <cell r="E813">
            <v>9732</v>
          </cell>
          <cell r="F813">
            <v>1</v>
          </cell>
          <cell r="H813">
            <v>0.75</v>
          </cell>
          <cell r="I813">
            <v>0.8</v>
          </cell>
          <cell r="J813">
            <v>0.85</v>
          </cell>
          <cell r="K813">
            <v>0.85</v>
          </cell>
          <cell r="L813">
            <v>0.85</v>
          </cell>
          <cell r="M813">
            <v>21</v>
          </cell>
          <cell r="N813">
            <v>21</v>
          </cell>
          <cell r="O813">
            <v>20</v>
          </cell>
          <cell r="P813">
            <v>20</v>
          </cell>
          <cell r="Q813">
            <v>21</v>
          </cell>
          <cell r="R813">
            <v>21</v>
          </cell>
          <cell r="S813">
            <v>0</v>
          </cell>
          <cell r="T813">
            <v>0</v>
          </cell>
          <cell r="U813">
            <v>16</v>
          </cell>
          <cell r="V813">
            <v>17</v>
          </cell>
          <cell r="W813">
            <v>18</v>
          </cell>
          <cell r="X813">
            <v>18</v>
          </cell>
          <cell r="Y813">
            <v>0</v>
          </cell>
          <cell r="Z813">
            <v>0</v>
          </cell>
          <cell r="AA813">
            <v>16</v>
          </cell>
          <cell r="AB813">
            <v>17</v>
          </cell>
          <cell r="AC813">
            <v>18</v>
          </cell>
          <cell r="AD813">
            <v>18</v>
          </cell>
        </row>
        <row r="814">
          <cell r="D814" t="str">
            <v>상석</v>
          </cell>
          <cell r="E814">
            <v>31189</v>
          </cell>
          <cell r="F814">
            <v>1</v>
          </cell>
          <cell r="H814">
            <v>0.75</v>
          </cell>
          <cell r="I814">
            <v>0.8</v>
          </cell>
          <cell r="J814">
            <v>0.85</v>
          </cell>
          <cell r="K814">
            <v>0.85</v>
          </cell>
          <cell r="L814">
            <v>0.85</v>
          </cell>
          <cell r="M814">
            <v>66</v>
          </cell>
          <cell r="N814">
            <v>66</v>
          </cell>
          <cell r="O814">
            <v>66</v>
          </cell>
          <cell r="P814">
            <v>65</v>
          </cell>
          <cell r="Q814">
            <v>66</v>
          </cell>
          <cell r="R814">
            <v>67</v>
          </cell>
          <cell r="S814">
            <v>0</v>
          </cell>
          <cell r="T814">
            <v>0</v>
          </cell>
          <cell r="U814">
            <v>53</v>
          </cell>
          <cell r="V814">
            <v>55</v>
          </cell>
          <cell r="W814">
            <v>56</v>
          </cell>
          <cell r="X814">
            <v>57</v>
          </cell>
          <cell r="Y814">
            <v>0</v>
          </cell>
          <cell r="Z814">
            <v>0</v>
          </cell>
          <cell r="AA814">
            <v>53</v>
          </cell>
          <cell r="AB814">
            <v>55</v>
          </cell>
          <cell r="AC814">
            <v>56</v>
          </cell>
          <cell r="AD814">
            <v>57</v>
          </cell>
        </row>
        <row r="815">
          <cell r="C815" t="str">
            <v>석서 2</v>
          </cell>
          <cell r="D815" t="str">
            <v>계</v>
          </cell>
          <cell r="M815">
            <v>143</v>
          </cell>
          <cell r="N815">
            <v>143</v>
          </cell>
          <cell r="O815">
            <v>141</v>
          </cell>
          <cell r="P815">
            <v>140</v>
          </cell>
          <cell r="Q815">
            <v>143</v>
          </cell>
          <cell r="R815">
            <v>146</v>
          </cell>
          <cell r="S815">
            <v>0</v>
          </cell>
          <cell r="T815">
            <v>0</v>
          </cell>
          <cell r="U815">
            <v>113</v>
          </cell>
          <cell r="V815">
            <v>119</v>
          </cell>
          <cell r="W815">
            <v>122</v>
          </cell>
          <cell r="X815">
            <v>124</v>
          </cell>
          <cell r="Y815">
            <v>0</v>
          </cell>
          <cell r="Z815">
            <v>0</v>
          </cell>
          <cell r="AA815">
            <v>113</v>
          </cell>
          <cell r="AB815">
            <v>119</v>
          </cell>
          <cell r="AC815">
            <v>122</v>
          </cell>
          <cell r="AD815">
            <v>124</v>
          </cell>
        </row>
        <row r="816">
          <cell r="D816" t="str">
            <v>하석</v>
          </cell>
          <cell r="F816">
            <v>1</v>
          </cell>
          <cell r="H816">
            <v>0.75</v>
          </cell>
          <cell r="I816">
            <v>0.8</v>
          </cell>
          <cell r="J816">
            <v>0.85</v>
          </cell>
          <cell r="K816">
            <v>0.85</v>
          </cell>
          <cell r="L816">
            <v>0.85</v>
          </cell>
          <cell r="M816">
            <v>143</v>
          </cell>
          <cell r="N816">
            <v>143</v>
          </cell>
          <cell r="O816">
            <v>141</v>
          </cell>
          <cell r="P816">
            <v>140</v>
          </cell>
          <cell r="Q816">
            <v>143</v>
          </cell>
          <cell r="R816">
            <v>146</v>
          </cell>
          <cell r="S816">
            <v>0</v>
          </cell>
          <cell r="T816">
            <v>0</v>
          </cell>
          <cell r="U816">
            <v>113</v>
          </cell>
          <cell r="V816">
            <v>119</v>
          </cell>
          <cell r="W816">
            <v>122</v>
          </cell>
          <cell r="X816">
            <v>124</v>
          </cell>
          <cell r="Y816">
            <v>0</v>
          </cell>
          <cell r="Z816">
            <v>0</v>
          </cell>
          <cell r="AA816">
            <v>113</v>
          </cell>
          <cell r="AB816">
            <v>119</v>
          </cell>
          <cell r="AC816">
            <v>122</v>
          </cell>
          <cell r="AD816">
            <v>124</v>
          </cell>
        </row>
        <row r="817">
          <cell r="C817" t="str">
            <v>중산리</v>
          </cell>
          <cell r="D817" t="str">
            <v>소계</v>
          </cell>
          <cell r="M817">
            <v>395</v>
          </cell>
          <cell r="N817">
            <v>396</v>
          </cell>
          <cell r="O817">
            <v>390</v>
          </cell>
          <cell r="P817">
            <v>386</v>
          </cell>
          <cell r="Q817">
            <v>395</v>
          </cell>
          <cell r="R817">
            <v>402</v>
          </cell>
          <cell r="S817">
            <v>0</v>
          </cell>
          <cell r="T817">
            <v>0</v>
          </cell>
          <cell r="U817">
            <v>312</v>
          </cell>
          <cell r="V817">
            <v>329</v>
          </cell>
          <cell r="W817">
            <v>337</v>
          </cell>
          <cell r="X817">
            <v>342</v>
          </cell>
          <cell r="Y817">
            <v>0</v>
          </cell>
          <cell r="Z817">
            <v>0</v>
          </cell>
          <cell r="AA817">
            <v>312</v>
          </cell>
          <cell r="AB817">
            <v>329</v>
          </cell>
          <cell r="AC817">
            <v>337</v>
          </cell>
          <cell r="AD817">
            <v>342</v>
          </cell>
        </row>
        <row r="818">
          <cell r="C818" t="str">
            <v>중산 1</v>
          </cell>
          <cell r="D818" t="str">
            <v>계</v>
          </cell>
          <cell r="E818">
            <v>38157</v>
          </cell>
          <cell r="M818">
            <v>126</v>
          </cell>
          <cell r="N818">
            <v>126</v>
          </cell>
          <cell r="O818">
            <v>124</v>
          </cell>
          <cell r="P818">
            <v>123</v>
          </cell>
          <cell r="Q818">
            <v>126</v>
          </cell>
          <cell r="R818">
            <v>128</v>
          </cell>
          <cell r="S818">
            <v>0</v>
          </cell>
          <cell r="T818">
            <v>0</v>
          </cell>
          <cell r="U818">
            <v>99</v>
          </cell>
          <cell r="V818">
            <v>105</v>
          </cell>
          <cell r="W818">
            <v>107</v>
          </cell>
          <cell r="X818">
            <v>109</v>
          </cell>
          <cell r="Y818">
            <v>0</v>
          </cell>
          <cell r="Z818">
            <v>0</v>
          </cell>
          <cell r="AA818">
            <v>99</v>
          </cell>
          <cell r="AB818">
            <v>105</v>
          </cell>
          <cell r="AC818">
            <v>107</v>
          </cell>
          <cell r="AD818">
            <v>109</v>
          </cell>
        </row>
        <row r="819">
          <cell r="D819" t="str">
            <v>동구리</v>
          </cell>
          <cell r="E819">
            <v>18588</v>
          </cell>
          <cell r="F819">
            <v>1</v>
          </cell>
          <cell r="H819">
            <v>0.75</v>
          </cell>
          <cell r="I819">
            <v>0.8</v>
          </cell>
          <cell r="J819">
            <v>0.85</v>
          </cell>
          <cell r="K819">
            <v>0.85</v>
          </cell>
          <cell r="L819">
            <v>0.85</v>
          </cell>
          <cell r="M819">
            <v>61</v>
          </cell>
          <cell r="N819">
            <v>61</v>
          </cell>
          <cell r="O819">
            <v>60</v>
          </cell>
          <cell r="P819">
            <v>60</v>
          </cell>
          <cell r="Q819">
            <v>61</v>
          </cell>
          <cell r="R819">
            <v>62</v>
          </cell>
          <cell r="S819">
            <v>0</v>
          </cell>
          <cell r="T819">
            <v>0</v>
          </cell>
          <cell r="U819">
            <v>48</v>
          </cell>
          <cell r="V819">
            <v>51</v>
          </cell>
          <cell r="W819">
            <v>52</v>
          </cell>
          <cell r="X819">
            <v>53</v>
          </cell>
          <cell r="Y819">
            <v>0</v>
          </cell>
          <cell r="Z819">
            <v>0</v>
          </cell>
          <cell r="AA819">
            <v>48</v>
          </cell>
          <cell r="AB819">
            <v>51</v>
          </cell>
          <cell r="AC819">
            <v>52</v>
          </cell>
          <cell r="AD819">
            <v>53</v>
          </cell>
        </row>
        <row r="820">
          <cell r="D820" t="str">
            <v>중매</v>
          </cell>
          <cell r="E820">
            <v>19569</v>
          </cell>
          <cell r="F820">
            <v>1</v>
          </cell>
          <cell r="H820">
            <v>0.75</v>
          </cell>
          <cell r="I820">
            <v>0.8</v>
          </cell>
          <cell r="J820">
            <v>0.85</v>
          </cell>
          <cell r="K820">
            <v>0.85</v>
          </cell>
          <cell r="L820">
            <v>0.85</v>
          </cell>
          <cell r="M820">
            <v>65</v>
          </cell>
          <cell r="N820">
            <v>65</v>
          </cell>
          <cell r="O820">
            <v>64</v>
          </cell>
          <cell r="P820">
            <v>63</v>
          </cell>
          <cell r="Q820">
            <v>65</v>
          </cell>
          <cell r="R820">
            <v>66</v>
          </cell>
          <cell r="S820">
            <v>0</v>
          </cell>
          <cell r="T820">
            <v>0</v>
          </cell>
          <cell r="U820">
            <v>51</v>
          </cell>
          <cell r="V820">
            <v>54</v>
          </cell>
          <cell r="W820">
            <v>55</v>
          </cell>
          <cell r="X820">
            <v>56</v>
          </cell>
          <cell r="Y820">
            <v>0</v>
          </cell>
          <cell r="Z820">
            <v>0</v>
          </cell>
          <cell r="AA820">
            <v>51</v>
          </cell>
          <cell r="AB820">
            <v>54</v>
          </cell>
          <cell r="AC820">
            <v>55</v>
          </cell>
          <cell r="AD820">
            <v>56</v>
          </cell>
        </row>
        <row r="821">
          <cell r="C821" t="str">
            <v>중산 2</v>
          </cell>
          <cell r="D821" t="str">
            <v>계</v>
          </cell>
          <cell r="E821">
            <v>41807</v>
          </cell>
          <cell r="M821">
            <v>139</v>
          </cell>
          <cell r="N821">
            <v>139</v>
          </cell>
          <cell r="O821">
            <v>137</v>
          </cell>
          <cell r="P821">
            <v>136</v>
          </cell>
          <cell r="Q821">
            <v>139</v>
          </cell>
          <cell r="R821">
            <v>141</v>
          </cell>
          <cell r="S821">
            <v>0</v>
          </cell>
          <cell r="T821">
            <v>0</v>
          </cell>
          <cell r="U821">
            <v>109</v>
          </cell>
          <cell r="V821">
            <v>116</v>
          </cell>
          <cell r="W821">
            <v>119</v>
          </cell>
          <cell r="X821">
            <v>120</v>
          </cell>
          <cell r="Y821">
            <v>0</v>
          </cell>
          <cell r="Z821">
            <v>0</v>
          </cell>
          <cell r="AA821">
            <v>109</v>
          </cell>
          <cell r="AB821">
            <v>116</v>
          </cell>
          <cell r="AC821">
            <v>119</v>
          </cell>
          <cell r="AD821">
            <v>120</v>
          </cell>
        </row>
        <row r="822">
          <cell r="D822" t="str">
            <v>사라니</v>
          </cell>
          <cell r="E822">
            <v>20773</v>
          </cell>
          <cell r="F822">
            <v>1</v>
          </cell>
          <cell r="H822">
            <v>0.75</v>
          </cell>
          <cell r="I822">
            <v>0.8</v>
          </cell>
          <cell r="J822">
            <v>0.85</v>
          </cell>
          <cell r="K822">
            <v>0.85</v>
          </cell>
          <cell r="L822">
            <v>0.85</v>
          </cell>
          <cell r="M822">
            <v>69</v>
          </cell>
          <cell r="N822">
            <v>69</v>
          </cell>
          <cell r="O822">
            <v>68</v>
          </cell>
          <cell r="P822">
            <v>68</v>
          </cell>
          <cell r="Q822">
            <v>69</v>
          </cell>
          <cell r="R822">
            <v>70</v>
          </cell>
          <cell r="S822">
            <v>0</v>
          </cell>
          <cell r="T822">
            <v>0</v>
          </cell>
          <cell r="U822">
            <v>54</v>
          </cell>
          <cell r="V822">
            <v>58</v>
          </cell>
          <cell r="W822">
            <v>59</v>
          </cell>
          <cell r="X822">
            <v>60</v>
          </cell>
          <cell r="Y822">
            <v>0</v>
          </cell>
          <cell r="Z822">
            <v>0</v>
          </cell>
          <cell r="AA822">
            <v>54</v>
          </cell>
          <cell r="AB822">
            <v>58</v>
          </cell>
          <cell r="AC822">
            <v>59</v>
          </cell>
          <cell r="AD822">
            <v>60</v>
          </cell>
        </row>
        <row r="823">
          <cell r="D823" t="str">
            <v>쇠묵</v>
          </cell>
          <cell r="E823">
            <v>21034</v>
          </cell>
          <cell r="F823">
            <v>1</v>
          </cell>
          <cell r="H823">
            <v>0.75</v>
          </cell>
          <cell r="I823">
            <v>0.8</v>
          </cell>
          <cell r="J823">
            <v>0.85</v>
          </cell>
          <cell r="K823">
            <v>0.85</v>
          </cell>
          <cell r="L823">
            <v>0.85</v>
          </cell>
          <cell r="M823">
            <v>70</v>
          </cell>
          <cell r="N823">
            <v>70</v>
          </cell>
          <cell r="O823">
            <v>69</v>
          </cell>
          <cell r="P823">
            <v>68</v>
          </cell>
          <cell r="Q823">
            <v>70</v>
          </cell>
          <cell r="R823">
            <v>71</v>
          </cell>
          <cell r="S823">
            <v>0</v>
          </cell>
          <cell r="T823">
            <v>0</v>
          </cell>
          <cell r="U823">
            <v>55</v>
          </cell>
          <cell r="V823">
            <v>58</v>
          </cell>
          <cell r="W823">
            <v>60</v>
          </cell>
          <cell r="X823">
            <v>60</v>
          </cell>
          <cell r="Y823">
            <v>0</v>
          </cell>
          <cell r="Z823">
            <v>0</v>
          </cell>
          <cell r="AA823">
            <v>55</v>
          </cell>
          <cell r="AB823">
            <v>58</v>
          </cell>
          <cell r="AC823">
            <v>60</v>
          </cell>
          <cell r="AD823">
            <v>60</v>
          </cell>
        </row>
        <row r="824">
          <cell r="C824" t="str">
            <v>중산 3</v>
          </cell>
          <cell r="D824" t="str">
            <v>계</v>
          </cell>
          <cell r="E824">
            <v>55390</v>
          </cell>
          <cell r="M824">
            <v>130</v>
          </cell>
          <cell r="N824">
            <v>131</v>
          </cell>
          <cell r="O824">
            <v>129</v>
          </cell>
          <cell r="P824">
            <v>127</v>
          </cell>
          <cell r="Q824">
            <v>130</v>
          </cell>
          <cell r="R824">
            <v>133</v>
          </cell>
          <cell r="S824">
            <v>0</v>
          </cell>
          <cell r="T824">
            <v>0</v>
          </cell>
          <cell r="U824">
            <v>104</v>
          </cell>
          <cell r="V824">
            <v>108</v>
          </cell>
          <cell r="W824">
            <v>111</v>
          </cell>
          <cell r="X824">
            <v>113</v>
          </cell>
          <cell r="Y824">
            <v>0</v>
          </cell>
          <cell r="Z824">
            <v>0</v>
          </cell>
          <cell r="AA824">
            <v>104</v>
          </cell>
          <cell r="AB824">
            <v>108</v>
          </cell>
          <cell r="AC824">
            <v>111</v>
          </cell>
          <cell r="AD824">
            <v>113</v>
          </cell>
        </row>
        <row r="825">
          <cell r="D825" t="str">
            <v>노촌</v>
          </cell>
          <cell r="E825">
            <v>37250</v>
          </cell>
          <cell r="F825">
            <v>1</v>
          </cell>
          <cell r="H825">
            <v>0.75</v>
          </cell>
          <cell r="I825">
            <v>0.8</v>
          </cell>
          <cell r="J825">
            <v>0.85</v>
          </cell>
          <cell r="K825">
            <v>0.85</v>
          </cell>
          <cell r="L825">
            <v>0.85</v>
          </cell>
          <cell r="M825">
            <v>87</v>
          </cell>
          <cell r="N825">
            <v>88</v>
          </cell>
          <cell r="O825">
            <v>87</v>
          </cell>
          <cell r="P825">
            <v>85</v>
          </cell>
          <cell r="Q825">
            <v>87</v>
          </cell>
          <cell r="R825">
            <v>89</v>
          </cell>
          <cell r="S825">
            <v>0</v>
          </cell>
          <cell r="T825">
            <v>0</v>
          </cell>
          <cell r="U825">
            <v>70</v>
          </cell>
          <cell r="V825">
            <v>72</v>
          </cell>
          <cell r="W825">
            <v>74</v>
          </cell>
          <cell r="X825">
            <v>76</v>
          </cell>
          <cell r="Y825">
            <v>0</v>
          </cell>
          <cell r="Z825">
            <v>0</v>
          </cell>
          <cell r="AA825">
            <v>70</v>
          </cell>
          <cell r="AB825">
            <v>72</v>
          </cell>
          <cell r="AC825">
            <v>74</v>
          </cell>
          <cell r="AD825">
            <v>76</v>
          </cell>
        </row>
        <row r="826">
          <cell r="D826" t="str">
            <v>양촌</v>
          </cell>
          <cell r="E826">
            <v>18140</v>
          </cell>
          <cell r="F826">
            <v>1</v>
          </cell>
          <cell r="H826">
            <v>0.75</v>
          </cell>
          <cell r="I826">
            <v>0.8</v>
          </cell>
          <cell r="J826">
            <v>0.85</v>
          </cell>
          <cell r="K826">
            <v>0.85</v>
          </cell>
          <cell r="L826">
            <v>0.85</v>
          </cell>
          <cell r="M826">
            <v>43</v>
          </cell>
          <cell r="N826">
            <v>43</v>
          </cell>
          <cell r="O826">
            <v>42</v>
          </cell>
          <cell r="P826">
            <v>42</v>
          </cell>
          <cell r="Q826">
            <v>43</v>
          </cell>
          <cell r="R826">
            <v>44</v>
          </cell>
          <cell r="S826">
            <v>0</v>
          </cell>
          <cell r="T826">
            <v>0</v>
          </cell>
          <cell r="U826">
            <v>34</v>
          </cell>
          <cell r="V826">
            <v>36</v>
          </cell>
          <cell r="W826">
            <v>37</v>
          </cell>
          <cell r="X826">
            <v>37</v>
          </cell>
          <cell r="Y826">
            <v>0</v>
          </cell>
          <cell r="Z826">
            <v>0</v>
          </cell>
          <cell r="AA826">
            <v>34</v>
          </cell>
          <cell r="AB826">
            <v>36</v>
          </cell>
          <cell r="AC826">
            <v>37</v>
          </cell>
          <cell r="AD826">
            <v>37</v>
          </cell>
        </row>
        <row r="827">
          <cell r="M827">
            <v>4295</v>
          </cell>
          <cell r="N827">
            <v>4299</v>
          </cell>
          <cell r="O827">
            <v>4233</v>
          </cell>
          <cell r="P827">
            <v>4189</v>
          </cell>
          <cell r="Q827">
            <v>4288</v>
          </cell>
          <cell r="R827">
            <v>4366</v>
          </cell>
          <cell r="S827">
            <v>602</v>
          </cell>
          <cell r="T827">
            <v>671</v>
          </cell>
          <cell r="U827">
            <v>1252</v>
          </cell>
          <cell r="V827">
            <v>3563</v>
          </cell>
          <cell r="W827">
            <v>3642</v>
          </cell>
          <cell r="X827">
            <v>3711</v>
          </cell>
          <cell r="Y827">
            <v>602</v>
          </cell>
          <cell r="Z827">
            <v>671</v>
          </cell>
          <cell r="AA827">
            <v>1252</v>
          </cell>
          <cell r="AB827">
            <v>3563</v>
          </cell>
          <cell r="AC827">
            <v>3642</v>
          </cell>
          <cell r="AD827">
            <v>3711</v>
          </cell>
        </row>
        <row r="828">
          <cell r="C828" t="str">
            <v>육곡리</v>
          </cell>
          <cell r="D828" t="str">
            <v>소계</v>
          </cell>
          <cell r="M828">
            <v>594</v>
          </cell>
          <cell r="N828">
            <v>595</v>
          </cell>
          <cell r="O828">
            <v>586</v>
          </cell>
          <cell r="P828">
            <v>580</v>
          </cell>
          <cell r="Q828">
            <v>593</v>
          </cell>
          <cell r="R828">
            <v>604</v>
          </cell>
          <cell r="S828">
            <v>421</v>
          </cell>
          <cell r="T828">
            <v>421</v>
          </cell>
          <cell r="U828">
            <v>443</v>
          </cell>
          <cell r="V828">
            <v>493</v>
          </cell>
          <cell r="W828">
            <v>504</v>
          </cell>
          <cell r="X828">
            <v>514</v>
          </cell>
          <cell r="Y828">
            <v>421</v>
          </cell>
          <cell r="Z828">
            <v>421</v>
          </cell>
          <cell r="AA828">
            <v>443</v>
          </cell>
          <cell r="AB828">
            <v>493</v>
          </cell>
          <cell r="AC828">
            <v>504</v>
          </cell>
          <cell r="AD828">
            <v>514</v>
          </cell>
        </row>
        <row r="829">
          <cell r="C829" t="str">
            <v>육곡 1</v>
          </cell>
          <cell r="D829" t="str">
            <v>계</v>
          </cell>
          <cell r="M829">
            <v>199</v>
          </cell>
          <cell r="N829">
            <v>199</v>
          </cell>
          <cell r="O829">
            <v>196</v>
          </cell>
          <cell r="P829">
            <v>195</v>
          </cell>
          <cell r="Q829">
            <v>199</v>
          </cell>
          <cell r="R829">
            <v>203</v>
          </cell>
          <cell r="S829">
            <v>149</v>
          </cell>
          <cell r="T829">
            <v>149</v>
          </cell>
          <cell r="U829">
            <v>157</v>
          </cell>
          <cell r="V829">
            <v>166</v>
          </cell>
          <cell r="W829">
            <v>169</v>
          </cell>
          <cell r="X829">
            <v>173</v>
          </cell>
          <cell r="Y829">
            <v>149</v>
          </cell>
          <cell r="Z829">
            <v>149</v>
          </cell>
          <cell r="AA829">
            <v>157</v>
          </cell>
          <cell r="AB829">
            <v>166</v>
          </cell>
          <cell r="AC829">
            <v>169</v>
          </cell>
          <cell r="AD829">
            <v>173</v>
          </cell>
        </row>
        <row r="830">
          <cell r="D830" t="str">
            <v>행정</v>
          </cell>
          <cell r="F830">
            <v>0</v>
          </cell>
          <cell r="H830">
            <v>0.75</v>
          </cell>
          <cell r="I830">
            <v>0.8</v>
          </cell>
          <cell r="J830">
            <v>0.85</v>
          </cell>
          <cell r="K830">
            <v>0.85</v>
          </cell>
          <cell r="L830">
            <v>0.85</v>
          </cell>
          <cell r="M830">
            <v>199</v>
          </cell>
          <cell r="N830">
            <v>199</v>
          </cell>
          <cell r="O830">
            <v>196</v>
          </cell>
          <cell r="P830">
            <v>195</v>
          </cell>
          <cell r="Q830">
            <v>199</v>
          </cell>
          <cell r="R830">
            <v>203</v>
          </cell>
          <cell r="S830">
            <v>149</v>
          </cell>
          <cell r="T830">
            <v>149</v>
          </cell>
          <cell r="U830">
            <v>157</v>
          </cell>
          <cell r="V830">
            <v>166</v>
          </cell>
          <cell r="W830">
            <v>169</v>
          </cell>
          <cell r="X830">
            <v>173</v>
          </cell>
          <cell r="Y830">
            <v>149</v>
          </cell>
          <cell r="Z830">
            <v>149</v>
          </cell>
          <cell r="AA830">
            <v>157</v>
          </cell>
          <cell r="AB830">
            <v>166</v>
          </cell>
          <cell r="AC830">
            <v>169</v>
          </cell>
          <cell r="AD830">
            <v>173</v>
          </cell>
        </row>
        <row r="831">
          <cell r="C831" t="str">
            <v>육곡 2</v>
          </cell>
          <cell r="D831" t="str">
            <v>계</v>
          </cell>
          <cell r="E831">
            <v>140595</v>
          </cell>
          <cell r="M831">
            <v>395</v>
          </cell>
          <cell r="N831">
            <v>396</v>
          </cell>
          <cell r="O831">
            <v>390</v>
          </cell>
          <cell r="P831">
            <v>385</v>
          </cell>
          <cell r="Q831">
            <v>394</v>
          </cell>
          <cell r="R831">
            <v>401</v>
          </cell>
          <cell r="S831">
            <v>272</v>
          </cell>
          <cell r="T831">
            <v>272</v>
          </cell>
          <cell r="U831">
            <v>286</v>
          </cell>
          <cell r="V831">
            <v>327</v>
          </cell>
          <cell r="W831">
            <v>335</v>
          </cell>
          <cell r="X831">
            <v>341</v>
          </cell>
          <cell r="Y831">
            <v>272</v>
          </cell>
          <cell r="Z831">
            <v>272</v>
          </cell>
          <cell r="AA831">
            <v>286</v>
          </cell>
          <cell r="AB831">
            <v>327</v>
          </cell>
          <cell r="AC831">
            <v>335</v>
          </cell>
          <cell r="AD831">
            <v>341</v>
          </cell>
        </row>
        <row r="832">
          <cell r="D832" t="str">
            <v>육곡</v>
          </cell>
          <cell r="E832">
            <v>128914</v>
          </cell>
          <cell r="F832">
            <v>0</v>
          </cell>
          <cell r="H832">
            <v>0.75</v>
          </cell>
          <cell r="I832">
            <v>0.8</v>
          </cell>
          <cell r="J832">
            <v>0.85</v>
          </cell>
          <cell r="K832">
            <v>0.85</v>
          </cell>
          <cell r="L832">
            <v>0.85</v>
          </cell>
          <cell r="M832">
            <v>362</v>
          </cell>
          <cell r="N832">
            <v>363</v>
          </cell>
          <cell r="O832">
            <v>358</v>
          </cell>
          <cell r="P832">
            <v>353</v>
          </cell>
          <cell r="Q832">
            <v>361</v>
          </cell>
          <cell r="R832">
            <v>368</v>
          </cell>
          <cell r="S832">
            <v>272</v>
          </cell>
          <cell r="T832">
            <v>272</v>
          </cell>
          <cell r="U832">
            <v>286</v>
          </cell>
          <cell r="V832">
            <v>300</v>
          </cell>
          <cell r="W832">
            <v>307</v>
          </cell>
          <cell r="X832">
            <v>313</v>
          </cell>
          <cell r="Y832">
            <v>272</v>
          </cell>
          <cell r="Z832">
            <v>272</v>
          </cell>
          <cell r="AA832">
            <v>286</v>
          </cell>
          <cell r="AB832">
            <v>300</v>
          </cell>
          <cell r="AC832">
            <v>307</v>
          </cell>
          <cell r="AD832">
            <v>313</v>
          </cell>
        </row>
        <row r="833">
          <cell r="D833" t="str">
            <v>서풍골</v>
          </cell>
          <cell r="E833">
            <v>11681</v>
          </cell>
          <cell r="F833">
            <v>2</v>
          </cell>
          <cell r="H833">
            <v>0.75</v>
          </cell>
          <cell r="I833">
            <v>0.8</v>
          </cell>
          <cell r="J833">
            <v>0.85</v>
          </cell>
          <cell r="K833">
            <v>0.85</v>
          </cell>
          <cell r="L833">
            <v>0.85</v>
          </cell>
          <cell r="M833">
            <v>33</v>
          </cell>
          <cell r="N833">
            <v>33</v>
          </cell>
          <cell r="O833">
            <v>32</v>
          </cell>
          <cell r="P833">
            <v>32</v>
          </cell>
          <cell r="Q833">
            <v>33</v>
          </cell>
          <cell r="R833">
            <v>33</v>
          </cell>
          <cell r="S833">
            <v>0</v>
          </cell>
          <cell r="T833">
            <v>0</v>
          </cell>
          <cell r="U833">
            <v>0</v>
          </cell>
          <cell r="V833">
            <v>27</v>
          </cell>
          <cell r="W833">
            <v>28</v>
          </cell>
          <cell r="X833">
            <v>28</v>
          </cell>
          <cell r="Y833">
            <v>0</v>
          </cell>
          <cell r="Z833">
            <v>0</v>
          </cell>
          <cell r="AA833">
            <v>0</v>
          </cell>
          <cell r="AB833">
            <v>27</v>
          </cell>
          <cell r="AC833">
            <v>28</v>
          </cell>
          <cell r="AD833">
            <v>28</v>
          </cell>
        </row>
        <row r="834">
          <cell r="C834" t="str">
            <v>강청리</v>
          </cell>
          <cell r="D834" t="str">
            <v>소계</v>
          </cell>
          <cell r="M834">
            <v>365</v>
          </cell>
          <cell r="N834">
            <v>366</v>
          </cell>
          <cell r="O834">
            <v>360</v>
          </cell>
          <cell r="P834">
            <v>356</v>
          </cell>
          <cell r="Q834">
            <v>364</v>
          </cell>
          <cell r="R834">
            <v>372</v>
          </cell>
          <cell r="S834">
            <v>0</v>
          </cell>
          <cell r="T834">
            <v>0</v>
          </cell>
          <cell r="U834">
            <v>0</v>
          </cell>
          <cell r="V834">
            <v>303</v>
          </cell>
          <cell r="W834">
            <v>309</v>
          </cell>
          <cell r="X834">
            <v>315</v>
          </cell>
          <cell r="Y834">
            <v>0</v>
          </cell>
          <cell r="Z834">
            <v>0</v>
          </cell>
          <cell r="AA834">
            <v>0</v>
          </cell>
          <cell r="AB834">
            <v>303</v>
          </cell>
          <cell r="AC834">
            <v>309</v>
          </cell>
          <cell r="AD834">
            <v>315</v>
          </cell>
        </row>
        <row r="835">
          <cell r="C835" t="str">
            <v>강청 1</v>
          </cell>
          <cell r="D835" t="str">
            <v>계</v>
          </cell>
          <cell r="E835">
            <v>65575</v>
          </cell>
          <cell r="M835">
            <v>250</v>
          </cell>
          <cell r="N835">
            <v>251</v>
          </cell>
          <cell r="O835">
            <v>247</v>
          </cell>
          <cell r="P835">
            <v>244</v>
          </cell>
          <cell r="Q835">
            <v>250</v>
          </cell>
          <cell r="R835">
            <v>255</v>
          </cell>
          <cell r="S835">
            <v>0</v>
          </cell>
          <cell r="T835">
            <v>0</v>
          </cell>
          <cell r="U835">
            <v>0</v>
          </cell>
          <cell r="V835">
            <v>208</v>
          </cell>
          <cell r="W835">
            <v>212</v>
          </cell>
          <cell r="X835">
            <v>216</v>
          </cell>
          <cell r="Y835">
            <v>0</v>
          </cell>
          <cell r="Z835">
            <v>0</v>
          </cell>
          <cell r="AA835">
            <v>0</v>
          </cell>
          <cell r="AB835">
            <v>208</v>
          </cell>
          <cell r="AC835">
            <v>212</v>
          </cell>
          <cell r="AD835">
            <v>216</v>
          </cell>
        </row>
        <row r="836">
          <cell r="D836" t="str">
            <v>강청</v>
          </cell>
          <cell r="E836">
            <v>25727</v>
          </cell>
          <cell r="F836">
            <v>2</v>
          </cell>
          <cell r="H836">
            <v>0.75</v>
          </cell>
          <cell r="I836">
            <v>0.8</v>
          </cell>
          <cell r="J836">
            <v>0.85</v>
          </cell>
          <cell r="K836">
            <v>0.85</v>
          </cell>
          <cell r="L836">
            <v>0.85</v>
          </cell>
          <cell r="M836">
            <v>98</v>
          </cell>
          <cell r="N836">
            <v>98</v>
          </cell>
          <cell r="O836">
            <v>97</v>
          </cell>
          <cell r="P836">
            <v>96</v>
          </cell>
          <cell r="Q836">
            <v>98</v>
          </cell>
          <cell r="R836">
            <v>100</v>
          </cell>
          <cell r="S836">
            <v>0</v>
          </cell>
          <cell r="T836">
            <v>0</v>
          </cell>
          <cell r="U836">
            <v>0</v>
          </cell>
          <cell r="V836">
            <v>82</v>
          </cell>
          <cell r="W836">
            <v>83</v>
          </cell>
          <cell r="X836">
            <v>85</v>
          </cell>
          <cell r="Y836">
            <v>0</v>
          </cell>
          <cell r="Z836">
            <v>0</v>
          </cell>
          <cell r="AA836">
            <v>0</v>
          </cell>
          <cell r="AB836">
            <v>82</v>
          </cell>
          <cell r="AC836">
            <v>83</v>
          </cell>
          <cell r="AD836">
            <v>85</v>
          </cell>
        </row>
        <row r="837">
          <cell r="D837" t="str">
            <v>빈마루</v>
          </cell>
          <cell r="E837">
            <v>31787</v>
          </cell>
          <cell r="F837">
            <v>2</v>
          </cell>
          <cell r="H837">
            <v>0.75</v>
          </cell>
          <cell r="I837">
            <v>0.8</v>
          </cell>
          <cell r="J837">
            <v>0.85</v>
          </cell>
          <cell r="K837">
            <v>0.85</v>
          </cell>
          <cell r="L837">
            <v>0.85</v>
          </cell>
          <cell r="M837">
            <v>121</v>
          </cell>
          <cell r="N837">
            <v>122</v>
          </cell>
          <cell r="O837">
            <v>120</v>
          </cell>
          <cell r="P837">
            <v>118</v>
          </cell>
          <cell r="Q837">
            <v>121</v>
          </cell>
          <cell r="R837">
            <v>124</v>
          </cell>
          <cell r="S837">
            <v>0</v>
          </cell>
          <cell r="T837">
            <v>0</v>
          </cell>
          <cell r="U837">
            <v>0</v>
          </cell>
          <cell r="V837">
            <v>100</v>
          </cell>
          <cell r="W837">
            <v>103</v>
          </cell>
          <cell r="X837">
            <v>105</v>
          </cell>
          <cell r="Y837">
            <v>0</v>
          </cell>
          <cell r="Z837">
            <v>0</v>
          </cell>
          <cell r="AA837">
            <v>0</v>
          </cell>
          <cell r="AB837">
            <v>100</v>
          </cell>
          <cell r="AC837">
            <v>103</v>
          </cell>
          <cell r="AD837">
            <v>105</v>
          </cell>
        </row>
        <row r="838">
          <cell r="D838" t="str">
            <v>외강청</v>
          </cell>
          <cell r="E838">
            <v>8061</v>
          </cell>
          <cell r="F838">
            <v>2</v>
          </cell>
          <cell r="H838">
            <v>0.75</v>
          </cell>
          <cell r="I838">
            <v>0.8</v>
          </cell>
          <cell r="J838">
            <v>0.85</v>
          </cell>
          <cell r="K838">
            <v>0.85</v>
          </cell>
          <cell r="L838">
            <v>0.85</v>
          </cell>
          <cell r="M838">
            <v>31</v>
          </cell>
          <cell r="N838">
            <v>31</v>
          </cell>
          <cell r="O838">
            <v>30</v>
          </cell>
          <cell r="P838">
            <v>30</v>
          </cell>
          <cell r="Q838">
            <v>31</v>
          </cell>
          <cell r="R838">
            <v>31</v>
          </cell>
          <cell r="S838">
            <v>0</v>
          </cell>
          <cell r="T838">
            <v>0</v>
          </cell>
          <cell r="U838">
            <v>0</v>
          </cell>
          <cell r="V838">
            <v>26</v>
          </cell>
          <cell r="W838">
            <v>26</v>
          </cell>
          <cell r="X838">
            <v>26</v>
          </cell>
          <cell r="Y838">
            <v>0</v>
          </cell>
          <cell r="Z838">
            <v>0</v>
          </cell>
          <cell r="AA838">
            <v>0</v>
          </cell>
          <cell r="AB838">
            <v>26</v>
          </cell>
          <cell r="AC838">
            <v>26</v>
          </cell>
          <cell r="AD838">
            <v>26</v>
          </cell>
        </row>
        <row r="839">
          <cell r="C839" t="str">
            <v>강청 2</v>
          </cell>
          <cell r="D839" t="str">
            <v>계</v>
          </cell>
          <cell r="M839">
            <v>115</v>
          </cell>
          <cell r="N839">
            <v>115</v>
          </cell>
          <cell r="O839">
            <v>113</v>
          </cell>
          <cell r="P839">
            <v>112</v>
          </cell>
          <cell r="Q839">
            <v>114</v>
          </cell>
          <cell r="R839">
            <v>117</v>
          </cell>
          <cell r="S839">
            <v>0</v>
          </cell>
          <cell r="T839">
            <v>0</v>
          </cell>
          <cell r="U839">
            <v>0</v>
          </cell>
          <cell r="V839">
            <v>95</v>
          </cell>
          <cell r="W839">
            <v>97</v>
          </cell>
          <cell r="X839">
            <v>99</v>
          </cell>
          <cell r="Y839">
            <v>0</v>
          </cell>
          <cell r="Z839">
            <v>0</v>
          </cell>
          <cell r="AA839">
            <v>0</v>
          </cell>
          <cell r="AB839">
            <v>95</v>
          </cell>
          <cell r="AC839">
            <v>97</v>
          </cell>
          <cell r="AD839">
            <v>99</v>
          </cell>
        </row>
        <row r="840">
          <cell r="D840" t="str">
            <v>독점</v>
          </cell>
          <cell r="F840">
            <v>2</v>
          </cell>
          <cell r="H840">
            <v>0.75</v>
          </cell>
          <cell r="I840">
            <v>0.8</v>
          </cell>
          <cell r="J840">
            <v>0.85</v>
          </cell>
          <cell r="K840">
            <v>0.85</v>
          </cell>
          <cell r="L840">
            <v>0.85</v>
          </cell>
          <cell r="M840">
            <v>115</v>
          </cell>
          <cell r="N840">
            <v>115</v>
          </cell>
          <cell r="O840">
            <v>113</v>
          </cell>
          <cell r="P840">
            <v>112</v>
          </cell>
          <cell r="Q840">
            <v>114</v>
          </cell>
          <cell r="R840">
            <v>117</v>
          </cell>
          <cell r="S840">
            <v>0</v>
          </cell>
          <cell r="T840">
            <v>0</v>
          </cell>
          <cell r="U840">
            <v>0</v>
          </cell>
          <cell r="V840">
            <v>95</v>
          </cell>
          <cell r="W840">
            <v>97</v>
          </cell>
          <cell r="X840">
            <v>99</v>
          </cell>
          <cell r="Y840">
            <v>0</v>
          </cell>
          <cell r="Z840">
            <v>0</v>
          </cell>
          <cell r="AA840">
            <v>0</v>
          </cell>
          <cell r="AB840">
            <v>95</v>
          </cell>
          <cell r="AC840">
            <v>97</v>
          </cell>
          <cell r="AD840">
            <v>99</v>
          </cell>
        </row>
        <row r="841">
          <cell r="C841" t="str">
            <v>목곡리</v>
          </cell>
          <cell r="D841" t="str">
            <v>소계</v>
          </cell>
          <cell r="M841">
            <v>178</v>
          </cell>
          <cell r="N841">
            <v>178</v>
          </cell>
          <cell r="O841">
            <v>175</v>
          </cell>
          <cell r="P841">
            <v>173</v>
          </cell>
          <cell r="Q841">
            <v>177</v>
          </cell>
          <cell r="R841">
            <v>180</v>
          </cell>
          <cell r="S841">
            <v>0</v>
          </cell>
          <cell r="T841">
            <v>0</v>
          </cell>
          <cell r="U841">
            <v>0</v>
          </cell>
          <cell r="V841">
            <v>148</v>
          </cell>
          <cell r="W841">
            <v>150</v>
          </cell>
          <cell r="X841">
            <v>153</v>
          </cell>
          <cell r="Y841">
            <v>0</v>
          </cell>
          <cell r="Z841">
            <v>0</v>
          </cell>
          <cell r="AA841">
            <v>0</v>
          </cell>
          <cell r="AB841">
            <v>148</v>
          </cell>
          <cell r="AC841">
            <v>150</v>
          </cell>
          <cell r="AD841">
            <v>153</v>
          </cell>
        </row>
        <row r="842">
          <cell r="C842" t="str">
            <v>목곡 1</v>
          </cell>
          <cell r="D842" t="str">
            <v>계</v>
          </cell>
          <cell r="E842">
            <v>43519</v>
          </cell>
          <cell r="M842">
            <v>114</v>
          </cell>
          <cell r="N842">
            <v>114</v>
          </cell>
          <cell r="O842">
            <v>112</v>
          </cell>
          <cell r="P842">
            <v>111</v>
          </cell>
          <cell r="Q842">
            <v>113</v>
          </cell>
          <cell r="R842">
            <v>115</v>
          </cell>
          <cell r="S842">
            <v>0</v>
          </cell>
          <cell r="T842">
            <v>0</v>
          </cell>
          <cell r="U842">
            <v>0</v>
          </cell>
          <cell r="V842">
            <v>95</v>
          </cell>
          <cell r="W842">
            <v>96</v>
          </cell>
          <cell r="X842">
            <v>98</v>
          </cell>
          <cell r="Y842">
            <v>0</v>
          </cell>
          <cell r="Z842">
            <v>0</v>
          </cell>
          <cell r="AA842">
            <v>0</v>
          </cell>
          <cell r="AB842">
            <v>95</v>
          </cell>
          <cell r="AC842">
            <v>96</v>
          </cell>
          <cell r="AD842">
            <v>98</v>
          </cell>
        </row>
        <row r="843">
          <cell r="D843" t="str">
            <v>서촌</v>
          </cell>
          <cell r="E843">
            <v>19730</v>
          </cell>
          <cell r="F843">
            <v>2</v>
          </cell>
          <cell r="H843">
            <v>0.75</v>
          </cell>
          <cell r="I843">
            <v>0.8</v>
          </cell>
          <cell r="J843">
            <v>0.85</v>
          </cell>
          <cell r="K843">
            <v>0.85</v>
          </cell>
          <cell r="L843">
            <v>0.85</v>
          </cell>
          <cell r="M843">
            <v>52</v>
          </cell>
          <cell r="N843">
            <v>52</v>
          </cell>
          <cell r="O843">
            <v>51</v>
          </cell>
          <cell r="P843">
            <v>50</v>
          </cell>
          <cell r="Q843">
            <v>51</v>
          </cell>
          <cell r="R843">
            <v>52</v>
          </cell>
          <cell r="S843">
            <v>0</v>
          </cell>
          <cell r="T843">
            <v>0</v>
          </cell>
          <cell r="U843">
            <v>0</v>
          </cell>
          <cell r="V843">
            <v>43</v>
          </cell>
          <cell r="W843">
            <v>43</v>
          </cell>
          <cell r="X843">
            <v>44</v>
          </cell>
          <cell r="Y843">
            <v>0</v>
          </cell>
          <cell r="Z843">
            <v>0</v>
          </cell>
          <cell r="AA843">
            <v>0</v>
          </cell>
          <cell r="AB843">
            <v>43</v>
          </cell>
          <cell r="AC843">
            <v>43</v>
          </cell>
          <cell r="AD843">
            <v>44</v>
          </cell>
        </row>
        <row r="844">
          <cell r="D844" t="str">
            <v>소쟁이</v>
          </cell>
          <cell r="E844">
            <v>23789</v>
          </cell>
          <cell r="F844">
            <v>2</v>
          </cell>
          <cell r="H844">
            <v>0.75</v>
          </cell>
          <cell r="I844">
            <v>0.8</v>
          </cell>
          <cell r="J844">
            <v>0.85</v>
          </cell>
          <cell r="K844">
            <v>0.85</v>
          </cell>
          <cell r="L844">
            <v>0.85</v>
          </cell>
          <cell r="M844">
            <v>62</v>
          </cell>
          <cell r="N844">
            <v>62</v>
          </cell>
          <cell r="O844">
            <v>61</v>
          </cell>
          <cell r="P844">
            <v>61</v>
          </cell>
          <cell r="Q844">
            <v>62</v>
          </cell>
          <cell r="R844">
            <v>63</v>
          </cell>
          <cell r="S844">
            <v>0</v>
          </cell>
          <cell r="T844">
            <v>0</v>
          </cell>
          <cell r="U844">
            <v>0</v>
          </cell>
          <cell r="V844">
            <v>52</v>
          </cell>
          <cell r="W844">
            <v>53</v>
          </cell>
          <cell r="X844">
            <v>54</v>
          </cell>
          <cell r="Y844">
            <v>0</v>
          </cell>
          <cell r="Z844">
            <v>0</v>
          </cell>
          <cell r="AA844">
            <v>0</v>
          </cell>
          <cell r="AB844">
            <v>52</v>
          </cell>
          <cell r="AC844">
            <v>53</v>
          </cell>
          <cell r="AD844">
            <v>54</v>
          </cell>
        </row>
        <row r="845">
          <cell r="C845" t="str">
            <v>목곡 2</v>
          </cell>
          <cell r="D845" t="str">
            <v>계</v>
          </cell>
          <cell r="M845">
            <v>64</v>
          </cell>
          <cell r="N845">
            <v>64</v>
          </cell>
          <cell r="O845">
            <v>63</v>
          </cell>
          <cell r="P845">
            <v>62</v>
          </cell>
          <cell r="Q845">
            <v>64</v>
          </cell>
          <cell r="R845">
            <v>65</v>
          </cell>
          <cell r="S845">
            <v>0</v>
          </cell>
          <cell r="T845">
            <v>0</v>
          </cell>
          <cell r="U845">
            <v>0</v>
          </cell>
          <cell r="V845">
            <v>53</v>
          </cell>
          <cell r="W845">
            <v>54</v>
          </cell>
          <cell r="X845">
            <v>55</v>
          </cell>
          <cell r="Y845">
            <v>0</v>
          </cell>
          <cell r="Z845">
            <v>0</v>
          </cell>
          <cell r="AA845">
            <v>0</v>
          </cell>
          <cell r="AB845">
            <v>53</v>
          </cell>
          <cell r="AC845">
            <v>54</v>
          </cell>
          <cell r="AD845">
            <v>55</v>
          </cell>
        </row>
        <row r="846">
          <cell r="D846" t="str">
            <v>평촌</v>
          </cell>
          <cell r="F846">
            <v>2</v>
          </cell>
          <cell r="H846">
            <v>0.75</v>
          </cell>
          <cell r="I846">
            <v>0.8</v>
          </cell>
          <cell r="J846">
            <v>0.85</v>
          </cell>
          <cell r="K846">
            <v>0.85</v>
          </cell>
          <cell r="L846">
            <v>0.85</v>
          </cell>
          <cell r="M846">
            <v>64</v>
          </cell>
          <cell r="N846">
            <v>64</v>
          </cell>
          <cell r="O846">
            <v>63</v>
          </cell>
          <cell r="P846">
            <v>62</v>
          </cell>
          <cell r="Q846">
            <v>64</v>
          </cell>
          <cell r="R846">
            <v>65</v>
          </cell>
          <cell r="S846">
            <v>0</v>
          </cell>
          <cell r="T846">
            <v>0</v>
          </cell>
          <cell r="U846">
            <v>0</v>
          </cell>
          <cell r="V846">
            <v>53</v>
          </cell>
          <cell r="W846">
            <v>54</v>
          </cell>
          <cell r="X846">
            <v>55</v>
          </cell>
          <cell r="Y846">
            <v>0</v>
          </cell>
          <cell r="Z846">
            <v>0</v>
          </cell>
          <cell r="AA846">
            <v>0</v>
          </cell>
          <cell r="AB846">
            <v>53</v>
          </cell>
          <cell r="AC846">
            <v>54</v>
          </cell>
          <cell r="AD846">
            <v>55</v>
          </cell>
        </row>
        <row r="847">
          <cell r="C847" t="str">
            <v>함적리</v>
          </cell>
          <cell r="D847" t="str">
            <v>소계</v>
          </cell>
          <cell r="M847">
            <v>180</v>
          </cell>
          <cell r="N847">
            <v>180</v>
          </cell>
          <cell r="O847">
            <v>177</v>
          </cell>
          <cell r="P847">
            <v>176</v>
          </cell>
          <cell r="Q847">
            <v>180</v>
          </cell>
          <cell r="R847">
            <v>183</v>
          </cell>
          <cell r="S847">
            <v>0</v>
          </cell>
          <cell r="T847">
            <v>0</v>
          </cell>
          <cell r="U847">
            <v>0</v>
          </cell>
          <cell r="V847">
            <v>150</v>
          </cell>
          <cell r="W847">
            <v>153</v>
          </cell>
          <cell r="X847">
            <v>156</v>
          </cell>
          <cell r="Y847">
            <v>0</v>
          </cell>
          <cell r="Z847">
            <v>0</v>
          </cell>
          <cell r="AA847">
            <v>0</v>
          </cell>
          <cell r="AB847">
            <v>150</v>
          </cell>
          <cell r="AC847">
            <v>153</v>
          </cell>
          <cell r="AD847">
            <v>156</v>
          </cell>
        </row>
        <row r="848">
          <cell r="C848" t="str">
            <v>함적 1</v>
          </cell>
          <cell r="D848" t="str">
            <v>계</v>
          </cell>
          <cell r="F848">
            <v>2</v>
          </cell>
          <cell r="H848">
            <v>0.75</v>
          </cell>
          <cell r="I848">
            <v>0.8</v>
          </cell>
          <cell r="J848">
            <v>0.85</v>
          </cell>
          <cell r="K848">
            <v>0.85</v>
          </cell>
          <cell r="L848">
            <v>0.85</v>
          </cell>
          <cell r="M848">
            <v>138</v>
          </cell>
          <cell r="N848">
            <v>138</v>
          </cell>
          <cell r="O848">
            <v>136</v>
          </cell>
          <cell r="P848">
            <v>135</v>
          </cell>
          <cell r="Q848">
            <v>138</v>
          </cell>
          <cell r="R848">
            <v>140</v>
          </cell>
          <cell r="S848">
            <v>0</v>
          </cell>
          <cell r="T848">
            <v>0</v>
          </cell>
          <cell r="U848">
            <v>0</v>
          </cell>
          <cell r="V848">
            <v>115</v>
          </cell>
          <cell r="W848">
            <v>117</v>
          </cell>
          <cell r="X848">
            <v>119</v>
          </cell>
          <cell r="Y848">
            <v>0</v>
          </cell>
          <cell r="Z848">
            <v>0</v>
          </cell>
          <cell r="AA848">
            <v>0</v>
          </cell>
          <cell r="AB848">
            <v>115</v>
          </cell>
          <cell r="AC848">
            <v>117</v>
          </cell>
          <cell r="AD848">
            <v>119</v>
          </cell>
        </row>
        <row r="849">
          <cell r="C849" t="str">
            <v>함적 2</v>
          </cell>
          <cell r="D849" t="str">
            <v>계</v>
          </cell>
          <cell r="F849">
            <v>2</v>
          </cell>
          <cell r="H849">
            <v>0.75</v>
          </cell>
          <cell r="I849">
            <v>0.8</v>
          </cell>
          <cell r="J849">
            <v>0.85</v>
          </cell>
          <cell r="K849">
            <v>0.85</v>
          </cell>
          <cell r="L849">
            <v>0.85</v>
          </cell>
          <cell r="M849">
            <v>42</v>
          </cell>
          <cell r="N849">
            <v>42</v>
          </cell>
          <cell r="O849">
            <v>41</v>
          </cell>
          <cell r="P849">
            <v>41</v>
          </cell>
          <cell r="Q849">
            <v>42</v>
          </cell>
          <cell r="R849">
            <v>43</v>
          </cell>
          <cell r="S849">
            <v>0</v>
          </cell>
          <cell r="T849">
            <v>0</v>
          </cell>
          <cell r="U849">
            <v>0</v>
          </cell>
          <cell r="V849">
            <v>35</v>
          </cell>
          <cell r="W849">
            <v>36</v>
          </cell>
          <cell r="X849">
            <v>37</v>
          </cell>
          <cell r="Y849">
            <v>0</v>
          </cell>
          <cell r="Z849">
            <v>0</v>
          </cell>
          <cell r="AA849">
            <v>0</v>
          </cell>
          <cell r="AB849">
            <v>35</v>
          </cell>
          <cell r="AC849">
            <v>36</v>
          </cell>
          <cell r="AD849">
            <v>37</v>
          </cell>
        </row>
        <row r="850">
          <cell r="C850" t="str">
            <v>산노리</v>
          </cell>
          <cell r="D850" t="str">
            <v>소계</v>
          </cell>
          <cell r="M850">
            <v>371</v>
          </cell>
          <cell r="N850">
            <v>371</v>
          </cell>
          <cell r="O850">
            <v>365</v>
          </cell>
          <cell r="P850">
            <v>362</v>
          </cell>
          <cell r="Q850">
            <v>371</v>
          </cell>
          <cell r="R850">
            <v>377</v>
          </cell>
          <cell r="S850">
            <v>0</v>
          </cell>
          <cell r="T850">
            <v>0</v>
          </cell>
          <cell r="U850">
            <v>0</v>
          </cell>
          <cell r="V850">
            <v>307</v>
          </cell>
          <cell r="W850">
            <v>315</v>
          </cell>
          <cell r="X850">
            <v>320</v>
          </cell>
          <cell r="Y850">
            <v>0</v>
          </cell>
          <cell r="Z850">
            <v>0</v>
          </cell>
          <cell r="AA850">
            <v>0</v>
          </cell>
          <cell r="AB850">
            <v>307</v>
          </cell>
          <cell r="AC850">
            <v>315</v>
          </cell>
          <cell r="AD850">
            <v>320</v>
          </cell>
        </row>
        <row r="851">
          <cell r="C851" t="str">
            <v>산노 1</v>
          </cell>
          <cell r="D851" t="str">
            <v>계</v>
          </cell>
          <cell r="E851">
            <v>87620</v>
          </cell>
          <cell r="M851">
            <v>191</v>
          </cell>
          <cell r="N851">
            <v>191</v>
          </cell>
          <cell r="O851">
            <v>188</v>
          </cell>
          <cell r="P851">
            <v>186</v>
          </cell>
          <cell r="Q851">
            <v>191</v>
          </cell>
          <cell r="R851">
            <v>194</v>
          </cell>
          <cell r="S851">
            <v>0</v>
          </cell>
          <cell r="T851">
            <v>0</v>
          </cell>
          <cell r="U851">
            <v>0</v>
          </cell>
          <cell r="V851">
            <v>158</v>
          </cell>
          <cell r="W851">
            <v>163</v>
          </cell>
          <cell r="X851">
            <v>165</v>
          </cell>
          <cell r="Y851">
            <v>0</v>
          </cell>
          <cell r="Z851">
            <v>0</v>
          </cell>
          <cell r="AA851">
            <v>0</v>
          </cell>
          <cell r="AB851">
            <v>158</v>
          </cell>
          <cell r="AC851">
            <v>163</v>
          </cell>
          <cell r="AD851">
            <v>165</v>
          </cell>
        </row>
        <row r="852">
          <cell r="D852" t="str">
            <v>아태</v>
          </cell>
          <cell r="E852">
            <v>50620</v>
          </cell>
          <cell r="F852">
            <v>2</v>
          </cell>
          <cell r="H852">
            <v>0.75</v>
          </cell>
          <cell r="I852">
            <v>0.8</v>
          </cell>
          <cell r="J852">
            <v>0.85</v>
          </cell>
          <cell r="K852">
            <v>0.85</v>
          </cell>
          <cell r="L852">
            <v>0.85</v>
          </cell>
          <cell r="M852">
            <v>110</v>
          </cell>
          <cell r="N852">
            <v>110</v>
          </cell>
          <cell r="O852">
            <v>109</v>
          </cell>
          <cell r="P852">
            <v>107</v>
          </cell>
          <cell r="Q852">
            <v>110</v>
          </cell>
          <cell r="R852">
            <v>112</v>
          </cell>
          <cell r="S852">
            <v>0</v>
          </cell>
          <cell r="T852">
            <v>0</v>
          </cell>
          <cell r="U852">
            <v>0</v>
          </cell>
          <cell r="V852">
            <v>91</v>
          </cell>
          <cell r="W852">
            <v>94</v>
          </cell>
          <cell r="X852">
            <v>95</v>
          </cell>
          <cell r="Y852">
            <v>0</v>
          </cell>
          <cell r="Z852">
            <v>0</v>
          </cell>
          <cell r="AA852">
            <v>0</v>
          </cell>
          <cell r="AB852">
            <v>91</v>
          </cell>
          <cell r="AC852">
            <v>94</v>
          </cell>
          <cell r="AD852">
            <v>95</v>
          </cell>
        </row>
        <row r="853">
          <cell r="D853" t="str">
            <v>세동</v>
          </cell>
          <cell r="E853">
            <v>37000</v>
          </cell>
          <cell r="F853">
            <v>2</v>
          </cell>
          <cell r="H853">
            <v>0.75</v>
          </cell>
          <cell r="I853">
            <v>0.8</v>
          </cell>
          <cell r="J853">
            <v>0.85</v>
          </cell>
          <cell r="K853">
            <v>0.85</v>
          </cell>
          <cell r="L853">
            <v>0.85</v>
          </cell>
          <cell r="M853">
            <v>81</v>
          </cell>
          <cell r="N853">
            <v>81</v>
          </cell>
          <cell r="O853">
            <v>79</v>
          </cell>
          <cell r="P853">
            <v>79</v>
          </cell>
          <cell r="Q853">
            <v>81</v>
          </cell>
          <cell r="R853">
            <v>82</v>
          </cell>
          <cell r="S853">
            <v>0</v>
          </cell>
          <cell r="T853">
            <v>0</v>
          </cell>
          <cell r="U853">
            <v>0</v>
          </cell>
          <cell r="V853">
            <v>67</v>
          </cell>
          <cell r="W853">
            <v>69</v>
          </cell>
          <cell r="X853">
            <v>70</v>
          </cell>
          <cell r="Y853">
            <v>0</v>
          </cell>
          <cell r="Z853">
            <v>0</v>
          </cell>
          <cell r="AA853">
            <v>0</v>
          </cell>
          <cell r="AB853">
            <v>67</v>
          </cell>
          <cell r="AC853">
            <v>69</v>
          </cell>
          <cell r="AD853">
            <v>70</v>
          </cell>
        </row>
        <row r="854">
          <cell r="C854" t="str">
            <v>산노 2</v>
          </cell>
          <cell r="D854" t="str">
            <v>계</v>
          </cell>
          <cell r="E854">
            <v>74666</v>
          </cell>
          <cell r="M854">
            <v>180</v>
          </cell>
          <cell r="N854">
            <v>180</v>
          </cell>
          <cell r="O854">
            <v>177</v>
          </cell>
          <cell r="P854">
            <v>176</v>
          </cell>
          <cell r="Q854">
            <v>180</v>
          </cell>
          <cell r="R854">
            <v>183</v>
          </cell>
          <cell r="S854">
            <v>0</v>
          </cell>
          <cell r="T854">
            <v>0</v>
          </cell>
          <cell r="U854">
            <v>0</v>
          </cell>
          <cell r="V854">
            <v>149</v>
          </cell>
          <cell r="W854">
            <v>152</v>
          </cell>
          <cell r="X854">
            <v>155</v>
          </cell>
          <cell r="Y854">
            <v>0</v>
          </cell>
          <cell r="Z854">
            <v>0</v>
          </cell>
          <cell r="AA854">
            <v>0</v>
          </cell>
          <cell r="AB854">
            <v>149</v>
          </cell>
          <cell r="AC854">
            <v>152</v>
          </cell>
          <cell r="AD854">
            <v>155</v>
          </cell>
        </row>
        <row r="855">
          <cell r="D855" t="str">
            <v>평매</v>
          </cell>
          <cell r="E855">
            <v>15658</v>
          </cell>
          <cell r="F855">
            <v>2</v>
          </cell>
          <cell r="H855">
            <v>0.75</v>
          </cell>
          <cell r="I855">
            <v>0.8</v>
          </cell>
          <cell r="J855">
            <v>0.85</v>
          </cell>
          <cell r="K855">
            <v>0.85</v>
          </cell>
          <cell r="L855">
            <v>0.85</v>
          </cell>
          <cell r="M855">
            <v>38</v>
          </cell>
          <cell r="N855">
            <v>38</v>
          </cell>
          <cell r="O855">
            <v>37</v>
          </cell>
          <cell r="P855">
            <v>37</v>
          </cell>
          <cell r="Q855">
            <v>38</v>
          </cell>
          <cell r="R855">
            <v>38</v>
          </cell>
          <cell r="S855">
            <v>0</v>
          </cell>
          <cell r="T855">
            <v>0</v>
          </cell>
          <cell r="U855">
            <v>0</v>
          </cell>
          <cell r="V855">
            <v>31</v>
          </cell>
          <cell r="W855">
            <v>32</v>
          </cell>
          <cell r="X855">
            <v>32</v>
          </cell>
          <cell r="Y855">
            <v>0</v>
          </cell>
          <cell r="Z855">
            <v>0</v>
          </cell>
          <cell r="AA855">
            <v>0</v>
          </cell>
          <cell r="AB855">
            <v>31</v>
          </cell>
          <cell r="AC855">
            <v>32</v>
          </cell>
          <cell r="AD855">
            <v>32</v>
          </cell>
        </row>
        <row r="856">
          <cell r="D856" t="str">
            <v>오동나무골</v>
          </cell>
          <cell r="E856">
            <v>11357</v>
          </cell>
          <cell r="F856">
            <v>2</v>
          </cell>
          <cell r="H856">
            <v>0.75</v>
          </cell>
          <cell r="I856">
            <v>0.8</v>
          </cell>
          <cell r="J856">
            <v>0.85</v>
          </cell>
          <cell r="K856">
            <v>0.85</v>
          </cell>
          <cell r="L856">
            <v>0.85</v>
          </cell>
          <cell r="M856">
            <v>27</v>
          </cell>
          <cell r="N856">
            <v>27</v>
          </cell>
          <cell r="O856">
            <v>27</v>
          </cell>
          <cell r="P856">
            <v>27</v>
          </cell>
          <cell r="Q856">
            <v>27</v>
          </cell>
          <cell r="R856">
            <v>28</v>
          </cell>
          <cell r="S856">
            <v>0</v>
          </cell>
          <cell r="T856">
            <v>0</v>
          </cell>
          <cell r="U856">
            <v>0</v>
          </cell>
          <cell r="V856">
            <v>23</v>
          </cell>
          <cell r="W856">
            <v>23</v>
          </cell>
          <cell r="X856">
            <v>24</v>
          </cell>
          <cell r="Y856">
            <v>0</v>
          </cell>
          <cell r="Z856">
            <v>0</v>
          </cell>
          <cell r="AA856">
            <v>0</v>
          </cell>
          <cell r="AB856">
            <v>23</v>
          </cell>
          <cell r="AC856">
            <v>23</v>
          </cell>
          <cell r="AD856">
            <v>24</v>
          </cell>
        </row>
        <row r="857">
          <cell r="D857" t="str">
            <v>산정말</v>
          </cell>
          <cell r="E857">
            <v>15695</v>
          </cell>
          <cell r="F857">
            <v>2</v>
          </cell>
          <cell r="H857">
            <v>0.75</v>
          </cell>
          <cell r="I857">
            <v>0.8</v>
          </cell>
          <cell r="J857">
            <v>0.85</v>
          </cell>
          <cell r="K857">
            <v>0.85</v>
          </cell>
          <cell r="L857">
            <v>0.85</v>
          </cell>
          <cell r="M857">
            <v>38</v>
          </cell>
          <cell r="N857">
            <v>38</v>
          </cell>
          <cell r="O857">
            <v>37</v>
          </cell>
          <cell r="P857">
            <v>37</v>
          </cell>
          <cell r="Q857">
            <v>38</v>
          </cell>
          <cell r="R857">
            <v>38</v>
          </cell>
          <cell r="S857">
            <v>0</v>
          </cell>
          <cell r="T857">
            <v>0</v>
          </cell>
          <cell r="U857">
            <v>0</v>
          </cell>
          <cell r="V857">
            <v>31</v>
          </cell>
          <cell r="W857">
            <v>32</v>
          </cell>
          <cell r="X857">
            <v>32</v>
          </cell>
          <cell r="Y857">
            <v>0</v>
          </cell>
          <cell r="Z857">
            <v>0</v>
          </cell>
          <cell r="AA857">
            <v>0</v>
          </cell>
          <cell r="AB857">
            <v>31</v>
          </cell>
          <cell r="AC857">
            <v>32</v>
          </cell>
          <cell r="AD857">
            <v>32</v>
          </cell>
        </row>
        <row r="858">
          <cell r="D858" t="str">
            <v>원말</v>
          </cell>
          <cell r="E858">
            <v>31956</v>
          </cell>
          <cell r="F858">
            <v>2</v>
          </cell>
          <cell r="H858">
            <v>0.75</v>
          </cell>
          <cell r="I858">
            <v>0.8</v>
          </cell>
          <cell r="J858">
            <v>0.85</v>
          </cell>
          <cell r="K858">
            <v>0.85</v>
          </cell>
          <cell r="L858">
            <v>0.85</v>
          </cell>
          <cell r="M858">
            <v>77</v>
          </cell>
          <cell r="N858">
            <v>77</v>
          </cell>
          <cell r="O858">
            <v>76</v>
          </cell>
          <cell r="P858">
            <v>75</v>
          </cell>
          <cell r="Q858">
            <v>77</v>
          </cell>
          <cell r="R858">
            <v>79</v>
          </cell>
          <cell r="S858">
            <v>0</v>
          </cell>
          <cell r="T858">
            <v>0</v>
          </cell>
          <cell r="U858">
            <v>0</v>
          </cell>
          <cell r="V858">
            <v>64</v>
          </cell>
          <cell r="W858">
            <v>65</v>
          </cell>
          <cell r="X858">
            <v>67</v>
          </cell>
          <cell r="Y858">
            <v>0</v>
          </cell>
          <cell r="Z858">
            <v>0</v>
          </cell>
          <cell r="AA858">
            <v>0</v>
          </cell>
          <cell r="AB858">
            <v>64</v>
          </cell>
          <cell r="AC858">
            <v>65</v>
          </cell>
          <cell r="AD858">
            <v>67</v>
          </cell>
        </row>
        <row r="859">
          <cell r="C859" t="str">
            <v>병암리</v>
          </cell>
          <cell r="D859" t="str">
            <v>소계</v>
          </cell>
          <cell r="M859">
            <v>209</v>
          </cell>
          <cell r="N859">
            <v>209</v>
          </cell>
          <cell r="O859">
            <v>206</v>
          </cell>
          <cell r="P859">
            <v>204</v>
          </cell>
          <cell r="Q859">
            <v>209</v>
          </cell>
          <cell r="R859">
            <v>212</v>
          </cell>
          <cell r="S859">
            <v>92</v>
          </cell>
          <cell r="T859">
            <v>161</v>
          </cell>
          <cell r="U859">
            <v>165</v>
          </cell>
          <cell r="V859">
            <v>173</v>
          </cell>
          <cell r="W859">
            <v>178</v>
          </cell>
          <cell r="X859">
            <v>180</v>
          </cell>
          <cell r="Y859">
            <v>92</v>
          </cell>
          <cell r="Z859">
            <v>161</v>
          </cell>
          <cell r="AA859">
            <v>165</v>
          </cell>
          <cell r="AB859">
            <v>173</v>
          </cell>
          <cell r="AC859">
            <v>178</v>
          </cell>
          <cell r="AD859">
            <v>180</v>
          </cell>
        </row>
        <row r="860">
          <cell r="C860" t="str">
            <v>병암 1</v>
          </cell>
          <cell r="D860" t="str">
            <v>계</v>
          </cell>
          <cell r="M860">
            <v>87</v>
          </cell>
          <cell r="N860">
            <v>87</v>
          </cell>
          <cell r="O860">
            <v>86</v>
          </cell>
          <cell r="P860">
            <v>85</v>
          </cell>
          <cell r="Q860">
            <v>87</v>
          </cell>
          <cell r="R860">
            <v>88</v>
          </cell>
          <cell r="S860">
            <v>0</v>
          </cell>
          <cell r="T860">
            <v>69</v>
          </cell>
          <cell r="U860">
            <v>69</v>
          </cell>
          <cell r="V860">
            <v>72</v>
          </cell>
          <cell r="W860">
            <v>74</v>
          </cell>
          <cell r="X860">
            <v>75</v>
          </cell>
          <cell r="Y860">
            <v>0</v>
          </cell>
          <cell r="Z860">
            <v>69</v>
          </cell>
          <cell r="AA860">
            <v>69</v>
          </cell>
          <cell r="AB860">
            <v>72</v>
          </cell>
          <cell r="AC860">
            <v>74</v>
          </cell>
          <cell r="AD860">
            <v>75</v>
          </cell>
        </row>
        <row r="861">
          <cell r="D861" t="str">
            <v>매오리</v>
          </cell>
          <cell r="F861">
            <v>1</v>
          </cell>
          <cell r="H861">
            <v>0.75</v>
          </cell>
          <cell r="I861">
            <v>0.8</v>
          </cell>
          <cell r="J861">
            <v>0.85</v>
          </cell>
          <cell r="K861">
            <v>0.85</v>
          </cell>
          <cell r="L861">
            <v>0.85</v>
          </cell>
          <cell r="M861">
            <v>87</v>
          </cell>
          <cell r="N861">
            <v>87</v>
          </cell>
          <cell r="O861">
            <v>86</v>
          </cell>
          <cell r="P861">
            <v>85</v>
          </cell>
          <cell r="Q861">
            <v>87</v>
          </cell>
          <cell r="R861">
            <v>88</v>
          </cell>
          <cell r="S861">
            <v>0</v>
          </cell>
          <cell r="T861">
            <v>69</v>
          </cell>
          <cell r="U861">
            <v>69</v>
          </cell>
          <cell r="V861">
            <v>72</v>
          </cell>
          <cell r="W861">
            <v>74</v>
          </cell>
          <cell r="X861">
            <v>75</v>
          </cell>
          <cell r="Y861">
            <v>0</v>
          </cell>
          <cell r="Z861">
            <v>69</v>
          </cell>
          <cell r="AA861">
            <v>69</v>
          </cell>
          <cell r="AB861">
            <v>72</v>
          </cell>
          <cell r="AC861">
            <v>74</v>
          </cell>
          <cell r="AD861">
            <v>75</v>
          </cell>
        </row>
        <row r="862">
          <cell r="C862" t="str">
            <v>병암 2</v>
          </cell>
          <cell r="D862" t="str">
            <v>계</v>
          </cell>
          <cell r="M862">
            <v>122</v>
          </cell>
          <cell r="N862">
            <v>122</v>
          </cell>
          <cell r="O862">
            <v>120</v>
          </cell>
          <cell r="P862">
            <v>119</v>
          </cell>
          <cell r="Q862">
            <v>122</v>
          </cell>
          <cell r="R862">
            <v>124</v>
          </cell>
          <cell r="S862">
            <v>92</v>
          </cell>
          <cell r="T862">
            <v>92</v>
          </cell>
          <cell r="U862">
            <v>96</v>
          </cell>
          <cell r="V862">
            <v>101</v>
          </cell>
          <cell r="W862">
            <v>104</v>
          </cell>
          <cell r="X862">
            <v>105</v>
          </cell>
          <cell r="Y862">
            <v>92</v>
          </cell>
          <cell r="Z862">
            <v>92</v>
          </cell>
          <cell r="AA862">
            <v>96</v>
          </cell>
          <cell r="AB862">
            <v>101</v>
          </cell>
          <cell r="AC862">
            <v>104</v>
          </cell>
          <cell r="AD862">
            <v>105</v>
          </cell>
        </row>
        <row r="863">
          <cell r="D863" t="str">
            <v>병암</v>
          </cell>
          <cell r="F863">
            <v>0</v>
          </cell>
          <cell r="H863">
            <v>0.75</v>
          </cell>
          <cell r="I863">
            <v>0.8</v>
          </cell>
          <cell r="J863">
            <v>0.85</v>
          </cell>
          <cell r="K863">
            <v>0.85</v>
          </cell>
          <cell r="L863">
            <v>0.85</v>
          </cell>
          <cell r="M863">
            <v>122</v>
          </cell>
          <cell r="N863">
            <v>122</v>
          </cell>
          <cell r="O863">
            <v>120</v>
          </cell>
          <cell r="P863">
            <v>119</v>
          </cell>
          <cell r="Q863">
            <v>122</v>
          </cell>
          <cell r="R863">
            <v>124</v>
          </cell>
          <cell r="S863">
            <v>92</v>
          </cell>
          <cell r="T863">
            <v>92</v>
          </cell>
          <cell r="U863">
            <v>96</v>
          </cell>
          <cell r="V863">
            <v>101</v>
          </cell>
          <cell r="W863">
            <v>104</v>
          </cell>
          <cell r="X863">
            <v>105</v>
          </cell>
          <cell r="Y863">
            <v>92</v>
          </cell>
          <cell r="Z863">
            <v>92</v>
          </cell>
          <cell r="AA863">
            <v>96</v>
          </cell>
          <cell r="AB863">
            <v>101</v>
          </cell>
          <cell r="AC863">
            <v>104</v>
          </cell>
          <cell r="AD863">
            <v>105</v>
          </cell>
        </row>
        <row r="864">
          <cell r="C864" t="str">
            <v>조정리</v>
          </cell>
          <cell r="D864" t="str">
            <v>소계</v>
          </cell>
          <cell r="F864">
            <v>2</v>
          </cell>
          <cell r="H864">
            <v>0.75</v>
          </cell>
          <cell r="I864">
            <v>0.8</v>
          </cell>
          <cell r="J864">
            <v>0.85</v>
          </cell>
          <cell r="K864">
            <v>0.85</v>
          </cell>
          <cell r="L864">
            <v>0.85</v>
          </cell>
          <cell r="M864">
            <v>44</v>
          </cell>
          <cell r="N864">
            <v>44</v>
          </cell>
          <cell r="O864">
            <v>44</v>
          </cell>
          <cell r="P864">
            <v>42</v>
          </cell>
          <cell r="Q864">
            <v>43</v>
          </cell>
          <cell r="R864">
            <v>44</v>
          </cell>
          <cell r="S864">
            <v>0</v>
          </cell>
          <cell r="T864">
            <v>0</v>
          </cell>
          <cell r="U864">
            <v>0</v>
          </cell>
          <cell r="V864">
            <v>36</v>
          </cell>
          <cell r="W864">
            <v>37</v>
          </cell>
          <cell r="X864">
            <v>37</v>
          </cell>
          <cell r="Y864">
            <v>0</v>
          </cell>
          <cell r="Z864">
            <v>0</v>
          </cell>
          <cell r="AA864">
            <v>0</v>
          </cell>
          <cell r="AB864">
            <v>36</v>
          </cell>
          <cell r="AC864">
            <v>37</v>
          </cell>
          <cell r="AD864">
            <v>37</v>
          </cell>
        </row>
        <row r="865">
          <cell r="C865" t="str">
            <v>등리</v>
          </cell>
          <cell r="D865" t="str">
            <v>소계</v>
          </cell>
          <cell r="M865">
            <v>355</v>
          </cell>
          <cell r="N865">
            <v>355</v>
          </cell>
          <cell r="O865">
            <v>350</v>
          </cell>
          <cell r="P865">
            <v>347</v>
          </cell>
          <cell r="Q865">
            <v>355</v>
          </cell>
          <cell r="R865">
            <v>362</v>
          </cell>
          <cell r="S865">
            <v>0</v>
          </cell>
          <cell r="T865">
            <v>0</v>
          </cell>
          <cell r="U865">
            <v>0</v>
          </cell>
          <cell r="V865">
            <v>295</v>
          </cell>
          <cell r="W865">
            <v>302</v>
          </cell>
          <cell r="X865">
            <v>307</v>
          </cell>
          <cell r="Y865">
            <v>0</v>
          </cell>
          <cell r="Z865">
            <v>0</v>
          </cell>
          <cell r="AA865">
            <v>0</v>
          </cell>
          <cell r="AB865">
            <v>295</v>
          </cell>
          <cell r="AC865">
            <v>302</v>
          </cell>
          <cell r="AD865">
            <v>307</v>
          </cell>
        </row>
        <row r="866">
          <cell r="C866" t="str">
            <v>등 1</v>
          </cell>
          <cell r="D866" t="str">
            <v>계</v>
          </cell>
          <cell r="M866">
            <v>157</v>
          </cell>
          <cell r="N866">
            <v>157</v>
          </cell>
          <cell r="O866">
            <v>155</v>
          </cell>
          <cell r="P866">
            <v>153</v>
          </cell>
          <cell r="Q866">
            <v>157</v>
          </cell>
          <cell r="R866">
            <v>160</v>
          </cell>
          <cell r="S866">
            <v>0</v>
          </cell>
          <cell r="T866">
            <v>0</v>
          </cell>
          <cell r="U866">
            <v>0</v>
          </cell>
          <cell r="V866">
            <v>130</v>
          </cell>
          <cell r="W866">
            <v>133</v>
          </cell>
          <cell r="X866">
            <v>136</v>
          </cell>
          <cell r="Y866">
            <v>0</v>
          </cell>
          <cell r="Z866">
            <v>0</v>
          </cell>
          <cell r="AA866">
            <v>0</v>
          </cell>
          <cell r="AB866">
            <v>130</v>
          </cell>
          <cell r="AC866">
            <v>133</v>
          </cell>
          <cell r="AD866">
            <v>136</v>
          </cell>
        </row>
        <row r="867">
          <cell r="D867" t="str">
            <v>오류동</v>
          </cell>
          <cell r="F867">
            <v>2</v>
          </cell>
          <cell r="H867">
            <v>0.75</v>
          </cell>
          <cell r="I867">
            <v>0.8</v>
          </cell>
          <cell r="J867">
            <v>0.85</v>
          </cell>
          <cell r="K867">
            <v>0.85</v>
          </cell>
          <cell r="L867">
            <v>0.85</v>
          </cell>
          <cell r="M867">
            <v>157</v>
          </cell>
          <cell r="N867">
            <v>157</v>
          </cell>
          <cell r="O867">
            <v>155</v>
          </cell>
          <cell r="P867">
            <v>153</v>
          </cell>
          <cell r="Q867">
            <v>157</v>
          </cell>
          <cell r="R867">
            <v>160</v>
          </cell>
          <cell r="S867">
            <v>0</v>
          </cell>
          <cell r="T867">
            <v>0</v>
          </cell>
          <cell r="U867">
            <v>0</v>
          </cell>
          <cell r="V867">
            <v>130</v>
          </cell>
          <cell r="W867">
            <v>133</v>
          </cell>
          <cell r="X867">
            <v>136</v>
          </cell>
          <cell r="Y867">
            <v>0</v>
          </cell>
          <cell r="Z867">
            <v>0</v>
          </cell>
          <cell r="AA867">
            <v>0</v>
          </cell>
          <cell r="AB867">
            <v>130</v>
          </cell>
          <cell r="AC867">
            <v>133</v>
          </cell>
          <cell r="AD867">
            <v>136</v>
          </cell>
        </row>
        <row r="868">
          <cell r="C868" t="str">
            <v>등 2</v>
          </cell>
          <cell r="D868" t="str">
            <v>계</v>
          </cell>
          <cell r="E868">
            <v>59499</v>
          </cell>
          <cell r="M868">
            <v>198</v>
          </cell>
          <cell r="N868">
            <v>198</v>
          </cell>
          <cell r="O868">
            <v>195</v>
          </cell>
          <cell r="P868">
            <v>194</v>
          </cell>
          <cell r="Q868">
            <v>198</v>
          </cell>
          <cell r="R868">
            <v>202</v>
          </cell>
          <cell r="S868">
            <v>0</v>
          </cell>
          <cell r="T868">
            <v>0</v>
          </cell>
          <cell r="U868">
            <v>0</v>
          </cell>
          <cell r="V868">
            <v>165</v>
          </cell>
          <cell r="W868">
            <v>169</v>
          </cell>
          <cell r="X868">
            <v>171</v>
          </cell>
          <cell r="Y868">
            <v>0</v>
          </cell>
          <cell r="Z868">
            <v>0</v>
          </cell>
          <cell r="AA868">
            <v>0</v>
          </cell>
          <cell r="AB868">
            <v>165</v>
          </cell>
          <cell r="AC868">
            <v>169</v>
          </cell>
          <cell r="AD868">
            <v>171</v>
          </cell>
        </row>
        <row r="869">
          <cell r="D869" t="str">
            <v>대실뜸</v>
          </cell>
          <cell r="E869">
            <v>16923</v>
          </cell>
          <cell r="F869">
            <v>2</v>
          </cell>
          <cell r="H869">
            <v>0.75</v>
          </cell>
          <cell r="I869">
            <v>0.8</v>
          </cell>
          <cell r="J869">
            <v>0.85</v>
          </cell>
          <cell r="K869">
            <v>0.85</v>
          </cell>
          <cell r="L869">
            <v>0.85</v>
          </cell>
          <cell r="M869">
            <v>56</v>
          </cell>
          <cell r="N869">
            <v>56</v>
          </cell>
          <cell r="O869">
            <v>55</v>
          </cell>
          <cell r="P869">
            <v>55</v>
          </cell>
          <cell r="Q869">
            <v>56</v>
          </cell>
          <cell r="R869">
            <v>57</v>
          </cell>
          <cell r="S869">
            <v>0</v>
          </cell>
          <cell r="T869">
            <v>0</v>
          </cell>
          <cell r="U869">
            <v>0</v>
          </cell>
          <cell r="V869">
            <v>47</v>
          </cell>
          <cell r="W869">
            <v>48</v>
          </cell>
          <cell r="X869">
            <v>48</v>
          </cell>
          <cell r="Y869">
            <v>0</v>
          </cell>
          <cell r="Z869">
            <v>0</v>
          </cell>
          <cell r="AA869">
            <v>0</v>
          </cell>
          <cell r="AB869">
            <v>47</v>
          </cell>
          <cell r="AC869">
            <v>48</v>
          </cell>
          <cell r="AD869">
            <v>48</v>
          </cell>
        </row>
        <row r="870">
          <cell r="D870" t="str">
            <v>뒷골</v>
          </cell>
          <cell r="E870">
            <v>11847</v>
          </cell>
          <cell r="F870">
            <v>2</v>
          </cell>
          <cell r="H870">
            <v>0.75</v>
          </cell>
          <cell r="I870">
            <v>0.8</v>
          </cell>
          <cell r="J870">
            <v>0.85</v>
          </cell>
          <cell r="K870">
            <v>0.85</v>
          </cell>
          <cell r="L870">
            <v>0.85</v>
          </cell>
          <cell r="M870">
            <v>39</v>
          </cell>
          <cell r="N870">
            <v>39</v>
          </cell>
          <cell r="O870">
            <v>39</v>
          </cell>
          <cell r="P870">
            <v>39</v>
          </cell>
          <cell r="Q870">
            <v>39</v>
          </cell>
          <cell r="R870">
            <v>40</v>
          </cell>
          <cell r="S870">
            <v>0</v>
          </cell>
          <cell r="T870">
            <v>0</v>
          </cell>
          <cell r="U870">
            <v>0</v>
          </cell>
          <cell r="V870">
            <v>33</v>
          </cell>
          <cell r="W870">
            <v>33</v>
          </cell>
          <cell r="X870">
            <v>34</v>
          </cell>
          <cell r="Y870">
            <v>0</v>
          </cell>
          <cell r="Z870">
            <v>0</v>
          </cell>
          <cell r="AA870">
            <v>0</v>
          </cell>
          <cell r="AB870">
            <v>33</v>
          </cell>
          <cell r="AC870">
            <v>33</v>
          </cell>
          <cell r="AD870">
            <v>34</v>
          </cell>
        </row>
        <row r="871">
          <cell r="D871" t="str">
            <v>등골</v>
          </cell>
          <cell r="E871">
            <v>14893</v>
          </cell>
          <cell r="F871">
            <v>2</v>
          </cell>
          <cell r="H871">
            <v>0.75</v>
          </cell>
          <cell r="I871">
            <v>0.8</v>
          </cell>
          <cell r="J871">
            <v>0.85</v>
          </cell>
          <cell r="K871">
            <v>0.85</v>
          </cell>
          <cell r="L871">
            <v>0.85</v>
          </cell>
          <cell r="M871">
            <v>50</v>
          </cell>
          <cell r="N871">
            <v>50</v>
          </cell>
          <cell r="O871">
            <v>49</v>
          </cell>
          <cell r="P871">
            <v>49</v>
          </cell>
          <cell r="Q871">
            <v>50</v>
          </cell>
          <cell r="R871">
            <v>51</v>
          </cell>
          <cell r="S871">
            <v>0</v>
          </cell>
          <cell r="T871">
            <v>0</v>
          </cell>
          <cell r="U871">
            <v>0</v>
          </cell>
          <cell r="V871">
            <v>42</v>
          </cell>
          <cell r="W871">
            <v>43</v>
          </cell>
          <cell r="X871">
            <v>43</v>
          </cell>
          <cell r="Y871">
            <v>0</v>
          </cell>
          <cell r="Z871">
            <v>0</v>
          </cell>
          <cell r="AA871">
            <v>0</v>
          </cell>
          <cell r="AB871">
            <v>42</v>
          </cell>
          <cell r="AC871">
            <v>43</v>
          </cell>
          <cell r="AD871">
            <v>43</v>
          </cell>
        </row>
        <row r="872">
          <cell r="D872" t="str">
            <v>재실</v>
          </cell>
          <cell r="E872">
            <v>7652</v>
          </cell>
          <cell r="F872">
            <v>2</v>
          </cell>
          <cell r="H872">
            <v>0.75</v>
          </cell>
          <cell r="I872">
            <v>0.8</v>
          </cell>
          <cell r="J872">
            <v>0.85</v>
          </cell>
          <cell r="K872">
            <v>0.85</v>
          </cell>
          <cell r="L872">
            <v>0.85</v>
          </cell>
          <cell r="M872">
            <v>25</v>
          </cell>
          <cell r="N872">
            <v>25</v>
          </cell>
          <cell r="O872">
            <v>25</v>
          </cell>
          <cell r="P872">
            <v>25</v>
          </cell>
          <cell r="Q872">
            <v>25</v>
          </cell>
          <cell r="R872">
            <v>26</v>
          </cell>
          <cell r="S872">
            <v>0</v>
          </cell>
          <cell r="T872">
            <v>0</v>
          </cell>
          <cell r="U872">
            <v>0</v>
          </cell>
          <cell r="V872">
            <v>21</v>
          </cell>
          <cell r="W872">
            <v>21</v>
          </cell>
          <cell r="X872">
            <v>22</v>
          </cell>
          <cell r="Y872">
            <v>0</v>
          </cell>
          <cell r="Z872">
            <v>0</v>
          </cell>
          <cell r="AA872">
            <v>0</v>
          </cell>
          <cell r="AB872">
            <v>21</v>
          </cell>
          <cell r="AC872">
            <v>21</v>
          </cell>
          <cell r="AD872">
            <v>22</v>
          </cell>
        </row>
        <row r="873">
          <cell r="D873" t="str">
            <v>용당리</v>
          </cell>
          <cell r="E873">
            <v>8184</v>
          </cell>
          <cell r="F873">
            <v>2</v>
          </cell>
          <cell r="H873">
            <v>0.75</v>
          </cell>
          <cell r="I873">
            <v>0.8</v>
          </cell>
          <cell r="J873">
            <v>0.85</v>
          </cell>
          <cell r="K873">
            <v>0.85</v>
          </cell>
          <cell r="L873">
            <v>0.85</v>
          </cell>
          <cell r="M873">
            <v>28</v>
          </cell>
          <cell r="N873">
            <v>28</v>
          </cell>
          <cell r="O873">
            <v>27</v>
          </cell>
          <cell r="P873">
            <v>26</v>
          </cell>
          <cell r="Q873">
            <v>28</v>
          </cell>
          <cell r="R873">
            <v>28</v>
          </cell>
          <cell r="S873">
            <v>0</v>
          </cell>
          <cell r="T873">
            <v>0</v>
          </cell>
          <cell r="U873">
            <v>0</v>
          </cell>
          <cell r="V873">
            <v>22</v>
          </cell>
          <cell r="W873">
            <v>24</v>
          </cell>
          <cell r="X873">
            <v>24</v>
          </cell>
          <cell r="Y873">
            <v>0</v>
          </cell>
          <cell r="Z873">
            <v>0</v>
          </cell>
          <cell r="AA873">
            <v>0</v>
          </cell>
          <cell r="AB873">
            <v>22</v>
          </cell>
          <cell r="AC873">
            <v>24</v>
          </cell>
          <cell r="AD873">
            <v>24</v>
          </cell>
        </row>
        <row r="874">
          <cell r="C874" t="str">
            <v>종연리</v>
          </cell>
          <cell r="D874" t="str">
            <v>소계</v>
          </cell>
          <cell r="M874">
            <v>422</v>
          </cell>
          <cell r="N874">
            <v>422</v>
          </cell>
          <cell r="O874">
            <v>416</v>
          </cell>
          <cell r="P874">
            <v>411</v>
          </cell>
          <cell r="Q874">
            <v>422</v>
          </cell>
          <cell r="R874">
            <v>429</v>
          </cell>
          <cell r="S874">
            <v>0</v>
          </cell>
          <cell r="T874">
            <v>0</v>
          </cell>
          <cell r="U874">
            <v>0</v>
          </cell>
          <cell r="V874">
            <v>350</v>
          </cell>
          <cell r="W874">
            <v>358</v>
          </cell>
          <cell r="X874">
            <v>365</v>
          </cell>
          <cell r="Y874">
            <v>0</v>
          </cell>
          <cell r="Z874">
            <v>0</v>
          </cell>
          <cell r="AA874">
            <v>0</v>
          </cell>
          <cell r="AB874">
            <v>350</v>
          </cell>
          <cell r="AC874">
            <v>358</v>
          </cell>
          <cell r="AD874">
            <v>365</v>
          </cell>
        </row>
        <row r="875">
          <cell r="C875" t="str">
            <v>종연 1</v>
          </cell>
          <cell r="D875" t="str">
            <v>계</v>
          </cell>
          <cell r="E875">
            <v>55949</v>
          </cell>
          <cell r="M875">
            <v>163</v>
          </cell>
          <cell r="N875">
            <v>163</v>
          </cell>
          <cell r="O875">
            <v>161</v>
          </cell>
          <cell r="P875">
            <v>159</v>
          </cell>
          <cell r="Q875">
            <v>163</v>
          </cell>
          <cell r="R875">
            <v>166</v>
          </cell>
          <cell r="S875">
            <v>0</v>
          </cell>
          <cell r="T875">
            <v>0</v>
          </cell>
          <cell r="U875">
            <v>0</v>
          </cell>
          <cell r="V875">
            <v>135</v>
          </cell>
          <cell r="W875">
            <v>138</v>
          </cell>
          <cell r="X875">
            <v>141</v>
          </cell>
          <cell r="Y875">
            <v>0</v>
          </cell>
          <cell r="Z875">
            <v>0</v>
          </cell>
          <cell r="AA875">
            <v>0</v>
          </cell>
          <cell r="AB875">
            <v>135</v>
          </cell>
          <cell r="AC875">
            <v>138</v>
          </cell>
          <cell r="AD875">
            <v>141</v>
          </cell>
        </row>
        <row r="876">
          <cell r="D876" t="str">
            <v>반송리</v>
          </cell>
          <cell r="E876">
            <v>34116</v>
          </cell>
          <cell r="F876">
            <v>2</v>
          </cell>
          <cell r="H876">
            <v>0.75</v>
          </cell>
          <cell r="I876">
            <v>0.8</v>
          </cell>
          <cell r="J876">
            <v>0.85</v>
          </cell>
          <cell r="K876">
            <v>0.85</v>
          </cell>
          <cell r="L876">
            <v>0.85</v>
          </cell>
          <cell r="M876">
            <v>99</v>
          </cell>
          <cell r="N876">
            <v>99</v>
          </cell>
          <cell r="O876">
            <v>98</v>
          </cell>
          <cell r="P876">
            <v>97</v>
          </cell>
          <cell r="Q876">
            <v>99</v>
          </cell>
          <cell r="R876">
            <v>101</v>
          </cell>
          <cell r="S876">
            <v>0</v>
          </cell>
          <cell r="T876">
            <v>0</v>
          </cell>
          <cell r="U876">
            <v>0</v>
          </cell>
          <cell r="V876">
            <v>82</v>
          </cell>
          <cell r="W876">
            <v>84</v>
          </cell>
          <cell r="X876">
            <v>86</v>
          </cell>
          <cell r="Y876">
            <v>0</v>
          </cell>
          <cell r="Z876">
            <v>0</v>
          </cell>
          <cell r="AA876">
            <v>0</v>
          </cell>
          <cell r="AB876">
            <v>82</v>
          </cell>
          <cell r="AC876">
            <v>84</v>
          </cell>
          <cell r="AD876">
            <v>86</v>
          </cell>
        </row>
        <row r="877">
          <cell r="D877" t="str">
            <v>고당</v>
          </cell>
          <cell r="E877">
            <v>21833</v>
          </cell>
          <cell r="F877">
            <v>2</v>
          </cell>
          <cell r="H877">
            <v>0.75</v>
          </cell>
          <cell r="I877">
            <v>0.8</v>
          </cell>
          <cell r="J877">
            <v>0.85</v>
          </cell>
          <cell r="K877">
            <v>0.85</v>
          </cell>
          <cell r="L877">
            <v>0.85</v>
          </cell>
          <cell r="M877">
            <v>64</v>
          </cell>
          <cell r="N877">
            <v>64</v>
          </cell>
          <cell r="O877">
            <v>63</v>
          </cell>
          <cell r="P877">
            <v>62</v>
          </cell>
          <cell r="Q877">
            <v>64</v>
          </cell>
          <cell r="R877">
            <v>65</v>
          </cell>
          <cell r="S877">
            <v>0</v>
          </cell>
          <cell r="T877">
            <v>0</v>
          </cell>
          <cell r="U877">
            <v>0</v>
          </cell>
          <cell r="V877">
            <v>53</v>
          </cell>
          <cell r="W877">
            <v>54</v>
          </cell>
          <cell r="X877">
            <v>55</v>
          </cell>
          <cell r="Y877">
            <v>0</v>
          </cell>
          <cell r="Z877">
            <v>0</v>
          </cell>
          <cell r="AA877">
            <v>0</v>
          </cell>
          <cell r="AB877">
            <v>53</v>
          </cell>
          <cell r="AC877">
            <v>54</v>
          </cell>
          <cell r="AD877">
            <v>55</v>
          </cell>
        </row>
        <row r="878">
          <cell r="C878" t="str">
            <v>종연 2</v>
          </cell>
          <cell r="D878" t="str">
            <v>계</v>
          </cell>
          <cell r="M878">
            <v>99</v>
          </cell>
          <cell r="N878">
            <v>99</v>
          </cell>
          <cell r="O878">
            <v>97</v>
          </cell>
          <cell r="P878">
            <v>96</v>
          </cell>
          <cell r="Q878">
            <v>99</v>
          </cell>
          <cell r="R878">
            <v>100</v>
          </cell>
          <cell r="S878">
            <v>0</v>
          </cell>
          <cell r="T878">
            <v>0</v>
          </cell>
          <cell r="U878">
            <v>0</v>
          </cell>
          <cell r="V878">
            <v>82</v>
          </cell>
          <cell r="W878">
            <v>84</v>
          </cell>
          <cell r="X878">
            <v>85</v>
          </cell>
          <cell r="Y878">
            <v>0</v>
          </cell>
          <cell r="Z878">
            <v>0</v>
          </cell>
          <cell r="AA878">
            <v>0</v>
          </cell>
          <cell r="AB878">
            <v>82</v>
          </cell>
          <cell r="AC878">
            <v>84</v>
          </cell>
          <cell r="AD878">
            <v>85</v>
          </cell>
        </row>
        <row r="879">
          <cell r="D879" t="str">
            <v>소사</v>
          </cell>
          <cell r="F879">
            <v>2</v>
          </cell>
          <cell r="H879">
            <v>0.75</v>
          </cell>
          <cell r="I879">
            <v>0.8</v>
          </cell>
          <cell r="J879">
            <v>0.85</v>
          </cell>
          <cell r="K879">
            <v>0.85</v>
          </cell>
          <cell r="L879">
            <v>0.85</v>
          </cell>
          <cell r="M879">
            <v>99</v>
          </cell>
          <cell r="N879">
            <v>99</v>
          </cell>
          <cell r="O879">
            <v>97</v>
          </cell>
          <cell r="P879">
            <v>96</v>
          </cell>
          <cell r="Q879">
            <v>99</v>
          </cell>
          <cell r="R879">
            <v>100</v>
          </cell>
          <cell r="S879">
            <v>0</v>
          </cell>
          <cell r="T879">
            <v>0</v>
          </cell>
          <cell r="U879">
            <v>0</v>
          </cell>
          <cell r="V879">
            <v>82</v>
          </cell>
          <cell r="W879">
            <v>84</v>
          </cell>
          <cell r="X879">
            <v>85</v>
          </cell>
          <cell r="Y879">
            <v>0</v>
          </cell>
          <cell r="Z879">
            <v>0</v>
          </cell>
          <cell r="AA879">
            <v>0</v>
          </cell>
          <cell r="AB879">
            <v>82</v>
          </cell>
          <cell r="AC879">
            <v>84</v>
          </cell>
          <cell r="AD879">
            <v>85</v>
          </cell>
        </row>
        <row r="880">
          <cell r="C880" t="str">
            <v>종연 3</v>
          </cell>
          <cell r="D880" t="str">
            <v>계</v>
          </cell>
          <cell r="M880">
            <v>160</v>
          </cell>
          <cell r="N880">
            <v>160</v>
          </cell>
          <cell r="O880">
            <v>158</v>
          </cell>
          <cell r="P880">
            <v>156</v>
          </cell>
          <cell r="Q880">
            <v>160</v>
          </cell>
          <cell r="R880">
            <v>163</v>
          </cell>
          <cell r="S880">
            <v>0</v>
          </cell>
          <cell r="T880">
            <v>0</v>
          </cell>
          <cell r="U880">
            <v>0</v>
          </cell>
          <cell r="V880">
            <v>133</v>
          </cell>
          <cell r="W880">
            <v>136</v>
          </cell>
          <cell r="X880">
            <v>139</v>
          </cell>
          <cell r="Y880">
            <v>0</v>
          </cell>
          <cell r="Z880">
            <v>0</v>
          </cell>
          <cell r="AA880">
            <v>0</v>
          </cell>
          <cell r="AB880">
            <v>133</v>
          </cell>
          <cell r="AC880">
            <v>136</v>
          </cell>
          <cell r="AD880">
            <v>139</v>
          </cell>
        </row>
        <row r="881">
          <cell r="D881" t="str">
            <v>북소</v>
          </cell>
          <cell r="F881">
            <v>2</v>
          </cell>
          <cell r="H881">
            <v>0.75</v>
          </cell>
          <cell r="I881">
            <v>0.8</v>
          </cell>
          <cell r="J881">
            <v>0.85</v>
          </cell>
          <cell r="K881">
            <v>0.85</v>
          </cell>
          <cell r="L881">
            <v>0.85</v>
          </cell>
          <cell r="M881">
            <v>160</v>
          </cell>
          <cell r="N881">
            <v>160</v>
          </cell>
          <cell r="O881">
            <v>158</v>
          </cell>
          <cell r="P881">
            <v>156</v>
          </cell>
          <cell r="Q881">
            <v>160</v>
          </cell>
          <cell r="R881">
            <v>163</v>
          </cell>
          <cell r="S881">
            <v>0</v>
          </cell>
          <cell r="T881">
            <v>0</v>
          </cell>
          <cell r="U881">
            <v>0</v>
          </cell>
          <cell r="V881">
            <v>133</v>
          </cell>
          <cell r="W881">
            <v>136</v>
          </cell>
          <cell r="X881">
            <v>139</v>
          </cell>
          <cell r="Y881">
            <v>0</v>
          </cell>
          <cell r="Z881">
            <v>0</v>
          </cell>
          <cell r="AA881">
            <v>0</v>
          </cell>
          <cell r="AB881">
            <v>133</v>
          </cell>
          <cell r="AC881">
            <v>136</v>
          </cell>
          <cell r="AD881">
            <v>139</v>
          </cell>
        </row>
        <row r="882">
          <cell r="C882" t="str">
            <v>두월리</v>
          </cell>
          <cell r="D882" t="str">
            <v>소계</v>
          </cell>
          <cell r="M882">
            <v>242</v>
          </cell>
          <cell r="N882">
            <v>242</v>
          </cell>
          <cell r="O882">
            <v>238</v>
          </cell>
          <cell r="P882">
            <v>236</v>
          </cell>
          <cell r="Q882">
            <v>242</v>
          </cell>
          <cell r="R882">
            <v>246</v>
          </cell>
          <cell r="S882">
            <v>89</v>
          </cell>
          <cell r="T882">
            <v>89</v>
          </cell>
          <cell r="U882">
            <v>162</v>
          </cell>
          <cell r="V882">
            <v>201</v>
          </cell>
          <cell r="W882">
            <v>205</v>
          </cell>
          <cell r="X882">
            <v>209</v>
          </cell>
          <cell r="Y882">
            <v>89</v>
          </cell>
          <cell r="Z882">
            <v>89</v>
          </cell>
          <cell r="AA882">
            <v>162</v>
          </cell>
          <cell r="AB882">
            <v>201</v>
          </cell>
          <cell r="AC882">
            <v>205</v>
          </cell>
          <cell r="AD882">
            <v>209</v>
          </cell>
        </row>
        <row r="883">
          <cell r="C883" t="str">
            <v>두월 1</v>
          </cell>
          <cell r="D883" t="str">
            <v>계</v>
          </cell>
          <cell r="F883">
            <v>0</v>
          </cell>
          <cell r="H883">
            <v>0.75</v>
          </cell>
          <cell r="I883">
            <v>0.8</v>
          </cell>
          <cell r="J883">
            <v>0.85</v>
          </cell>
          <cell r="K883">
            <v>0.85</v>
          </cell>
          <cell r="L883">
            <v>0.85</v>
          </cell>
          <cell r="M883">
            <v>119</v>
          </cell>
          <cell r="N883">
            <v>119</v>
          </cell>
          <cell r="O883">
            <v>117</v>
          </cell>
          <cell r="P883">
            <v>116</v>
          </cell>
          <cell r="Q883">
            <v>119</v>
          </cell>
          <cell r="R883">
            <v>121</v>
          </cell>
          <cell r="S883">
            <v>89</v>
          </cell>
          <cell r="T883">
            <v>89</v>
          </cell>
          <cell r="U883">
            <v>94</v>
          </cell>
          <cell r="V883">
            <v>99</v>
          </cell>
          <cell r="W883">
            <v>101</v>
          </cell>
          <cell r="X883">
            <v>103</v>
          </cell>
          <cell r="Y883">
            <v>89</v>
          </cell>
          <cell r="Z883">
            <v>89</v>
          </cell>
          <cell r="AA883">
            <v>94</v>
          </cell>
          <cell r="AB883">
            <v>99</v>
          </cell>
          <cell r="AC883">
            <v>101</v>
          </cell>
          <cell r="AD883">
            <v>103</v>
          </cell>
        </row>
        <row r="884">
          <cell r="C884" t="str">
            <v>두월 2</v>
          </cell>
          <cell r="D884" t="str">
            <v>계</v>
          </cell>
          <cell r="E884">
            <v>46235</v>
          </cell>
          <cell r="M884">
            <v>123</v>
          </cell>
          <cell r="N884">
            <v>123</v>
          </cell>
          <cell r="O884">
            <v>121</v>
          </cell>
          <cell r="P884">
            <v>120</v>
          </cell>
          <cell r="Q884">
            <v>123</v>
          </cell>
          <cell r="R884">
            <v>125</v>
          </cell>
          <cell r="S884">
            <v>0</v>
          </cell>
          <cell r="T884">
            <v>0</v>
          </cell>
          <cell r="U884">
            <v>68</v>
          </cell>
          <cell r="V884">
            <v>102</v>
          </cell>
          <cell r="W884">
            <v>104</v>
          </cell>
          <cell r="X884">
            <v>106</v>
          </cell>
          <cell r="Y884">
            <v>0</v>
          </cell>
          <cell r="Z884">
            <v>0</v>
          </cell>
          <cell r="AA884">
            <v>68</v>
          </cell>
          <cell r="AB884">
            <v>102</v>
          </cell>
          <cell r="AC884">
            <v>104</v>
          </cell>
          <cell r="AD884">
            <v>106</v>
          </cell>
        </row>
        <row r="885">
          <cell r="D885" t="str">
            <v>도담</v>
          </cell>
          <cell r="E885">
            <v>32335</v>
          </cell>
          <cell r="F885">
            <v>1</v>
          </cell>
          <cell r="H885">
            <v>0.75</v>
          </cell>
          <cell r="I885">
            <v>0.8</v>
          </cell>
          <cell r="J885">
            <v>0.85</v>
          </cell>
          <cell r="K885">
            <v>0.85</v>
          </cell>
          <cell r="L885">
            <v>0.85</v>
          </cell>
          <cell r="M885">
            <v>86</v>
          </cell>
          <cell r="N885">
            <v>86</v>
          </cell>
          <cell r="O885">
            <v>85</v>
          </cell>
          <cell r="P885">
            <v>84</v>
          </cell>
          <cell r="Q885">
            <v>86</v>
          </cell>
          <cell r="R885">
            <v>87</v>
          </cell>
          <cell r="S885">
            <v>0</v>
          </cell>
          <cell r="T885">
            <v>0</v>
          </cell>
          <cell r="U885">
            <v>68</v>
          </cell>
          <cell r="V885">
            <v>71</v>
          </cell>
          <cell r="W885">
            <v>73</v>
          </cell>
          <cell r="X885">
            <v>74</v>
          </cell>
          <cell r="Y885">
            <v>0</v>
          </cell>
          <cell r="Z885">
            <v>0</v>
          </cell>
          <cell r="AA885">
            <v>68</v>
          </cell>
          <cell r="AB885">
            <v>71</v>
          </cell>
          <cell r="AC885">
            <v>73</v>
          </cell>
          <cell r="AD885">
            <v>74</v>
          </cell>
        </row>
        <row r="886">
          <cell r="D886" t="str">
            <v>안강청</v>
          </cell>
          <cell r="E886">
            <v>13900</v>
          </cell>
          <cell r="F886">
            <v>2</v>
          </cell>
          <cell r="H886">
            <v>0.75</v>
          </cell>
          <cell r="I886">
            <v>0.8</v>
          </cell>
          <cell r="J886">
            <v>0.85</v>
          </cell>
          <cell r="K886">
            <v>0.85</v>
          </cell>
          <cell r="L886">
            <v>0.85</v>
          </cell>
          <cell r="M886">
            <v>37</v>
          </cell>
          <cell r="N886">
            <v>37</v>
          </cell>
          <cell r="O886">
            <v>36</v>
          </cell>
          <cell r="P886">
            <v>36</v>
          </cell>
          <cell r="Q886">
            <v>37</v>
          </cell>
          <cell r="R886">
            <v>38</v>
          </cell>
          <cell r="S886">
            <v>0</v>
          </cell>
          <cell r="T886">
            <v>0</v>
          </cell>
          <cell r="U886">
            <v>0</v>
          </cell>
          <cell r="V886">
            <v>31</v>
          </cell>
          <cell r="W886">
            <v>31</v>
          </cell>
          <cell r="X886">
            <v>32</v>
          </cell>
          <cell r="Y886">
            <v>0</v>
          </cell>
          <cell r="Z886">
            <v>0</v>
          </cell>
          <cell r="AA886">
            <v>0</v>
          </cell>
          <cell r="AB886">
            <v>31</v>
          </cell>
          <cell r="AC886">
            <v>31</v>
          </cell>
          <cell r="AD886">
            <v>32</v>
          </cell>
        </row>
        <row r="887">
          <cell r="C887" t="str">
            <v>야촌리</v>
          </cell>
          <cell r="D887" t="str">
            <v>소계</v>
          </cell>
          <cell r="M887">
            <v>508</v>
          </cell>
          <cell r="N887">
            <v>510</v>
          </cell>
          <cell r="O887">
            <v>502</v>
          </cell>
          <cell r="P887">
            <v>496</v>
          </cell>
          <cell r="Q887">
            <v>508</v>
          </cell>
          <cell r="R887">
            <v>517</v>
          </cell>
          <cell r="S887">
            <v>0</v>
          </cell>
          <cell r="T887">
            <v>0</v>
          </cell>
          <cell r="U887">
            <v>401</v>
          </cell>
          <cell r="V887">
            <v>421</v>
          </cell>
          <cell r="W887">
            <v>431</v>
          </cell>
          <cell r="X887">
            <v>439</v>
          </cell>
          <cell r="Y887">
            <v>0</v>
          </cell>
          <cell r="Z887">
            <v>0</v>
          </cell>
          <cell r="AA887">
            <v>401</v>
          </cell>
          <cell r="AB887">
            <v>421</v>
          </cell>
          <cell r="AC887">
            <v>431</v>
          </cell>
          <cell r="AD887">
            <v>439</v>
          </cell>
        </row>
        <row r="888">
          <cell r="C888" t="str">
            <v>야촌 1</v>
          </cell>
          <cell r="D888" t="str">
            <v>계</v>
          </cell>
          <cell r="E888">
            <v>45121</v>
          </cell>
          <cell r="M888">
            <v>165</v>
          </cell>
          <cell r="N888">
            <v>165</v>
          </cell>
          <cell r="O888">
            <v>163</v>
          </cell>
          <cell r="P888">
            <v>161</v>
          </cell>
          <cell r="Q888">
            <v>165</v>
          </cell>
          <cell r="R888">
            <v>168</v>
          </cell>
          <cell r="S888">
            <v>0</v>
          </cell>
          <cell r="T888">
            <v>0</v>
          </cell>
          <cell r="U888">
            <v>130</v>
          </cell>
          <cell r="V888">
            <v>136</v>
          </cell>
          <cell r="W888">
            <v>140</v>
          </cell>
          <cell r="X888">
            <v>143</v>
          </cell>
          <cell r="Y888">
            <v>0</v>
          </cell>
          <cell r="Z888">
            <v>0</v>
          </cell>
          <cell r="AA888">
            <v>130</v>
          </cell>
          <cell r="AB888">
            <v>136</v>
          </cell>
          <cell r="AC888">
            <v>140</v>
          </cell>
          <cell r="AD888">
            <v>143</v>
          </cell>
        </row>
        <row r="889">
          <cell r="D889" t="str">
            <v>들말</v>
          </cell>
          <cell r="E889">
            <v>27320</v>
          </cell>
          <cell r="F889">
            <v>1</v>
          </cell>
          <cell r="H889">
            <v>0.75</v>
          </cell>
          <cell r="I889">
            <v>0.8</v>
          </cell>
          <cell r="J889">
            <v>0.85</v>
          </cell>
          <cell r="K889">
            <v>0.85</v>
          </cell>
          <cell r="L889">
            <v>0.85</v>
          </cell>
          <cell r="M889">
            <v>100</v>
          </cell>
          <cell r="N889">
            <v>100</v>
          </cell>
          <cell r="O889">
            <v>99</v>
          </cell>
          <cell r="P889">
            <v>97</v>
          </cell>
          <cell r="Q889">
            <v>100</v>
          </cell>
          <cell r="R889">
            <v>102</v>
          </cell>
          <cell r="S889">
            <v>0</v>
          </cell>
          <cell r="T889">
            <v>0</v>
          </cell>
          <cell r="U889">
            <v>79</v>
          </cell>
          <cell r="V889">
            <v>82</v>
          </cell>
          <cell r="W889">
            <v>85</v>
          </cell>
          <cell r="X889">
            <v>87</v>
          </cell>
          <cell r="Y889">
            <v>0</v>
          </cell>
          <cell r="Z889">
            <v>0</v>
          </cell>
          <cell r="AA889">
            <v>79</v>
          </cell>
          <cell r="AB889">
            <v>82</v>
          </cell>
          <cell r="AC889">
            <v>85</v>
          </cell>
          <cell r="AD889">
            <v>87</v>
          </cell>
        </row>
        <row r="890">
          <cell r="D890" t="str">
            <v>두강</v>
          </cell>
          <cell r="E890">
            <v>17801</v>
          </cell>
          <cell r="F890">
            <v>1</v>
          </cell>
          <cell r="H890">
            <v>0.75</v>
          </cell>
          <cell r="I890">
            <v>0.8</v>
          </cell>
          <cell r="J890">
            <v>0.85</v>
          </cell>
          <cell r="K890">
            <v>0.85</v>
          </cell>
          <cell r="L890">
            <v>0.85</v>
          </cell>
          <cell r="M890">
            <v>65</v>
          </cell>
          <cell r="N890">
            <v>65</v>
          </cell>
          <cell r="O890">
            <v>64</v>
          </cell>
          <cell r="P890">
            <v>64</v>
          </cell>
          <cell r="Q890">
            <v>65</v>
          </cell>
          <cell r="R890">
            <v>66</v>
          </cell>
          <cell r="S890">
            <v>0</v>
          </cell>
          <cell r="T890">
            <v>0</v>
          </cell>
          <cell r="U890">
            <v>51</v>
          </cell>
          <cell r="V890">
            <v>54</v>
          </cell>
          <cell r="W890">
            <v>55</v>
          </cell>
          <cell r="X890">
            <v>56</v>
          </cell>
          <cell r="Y890">
            <v>0</v>
          </cell>
          <cell r="Z890">
            <v>0</v>
          </cell>
          <cell r="AA890">
            <v>51</v>
          </cell>
          <cell r="AB890">
            <v>54</v>
          </cell>
          <cell r="AC890">
            <v>55</v>
          </cell>
          <cell r="AD890">
            <v>56</v>
          </cell>
        </row>
        <row r="891">
          <cell r="C891" t="str">
            <v>야촌 2</v>
          </cell>
          <cell r="D891" t="str">
            <v>계</v>
          </cell>
          <cell r="M891">
            <v>247</v>
          </cell>
          <cell r="N891">
            <v>248</v>
          </cell>
          <cell r="O891">
            <v>244</v>
          </cell>
          <cell r="P891">
            <v>241</v>
          </cell>
          <cell r="Q891">
            <v>247</v>
          </cell>
          <cell r="R891">
            <v>251</v>
          </cell>
          <cell r="S891">
            <v>0</v>
          </cell>
          <cell r="T891">
            <v>0</v>
          </cell>
          <cell r="U891">
            <v>195</v>
          </cell>
          <cell r="V891">
            <v>205</v>
          </cell>
          <cell r="W891">
            <v>210</v>
          </cell>
          <cell r="X891">
            <v>213</v>
          </cell>
          <cell r="Y891">
            <v>0</v>
          </cell>
          <cell r="Z891">
            <v>0</v>
          </cell>
          <cell r="AA891">
            <v>195</v>
          </cell>
          <cell r="AB891">
            <v>205</v>
          </cell>
          <cell r="AC891">
            <v>210</v>
          </cell>
          <cell r="AD891">
            <v>213</v>
          </cell>
        </row>
        <row r="892">
          <cell r="D892" t="str">
            <v>가동</v>
          </cell>
          <cell r="F892">
            <v>1</v>
          </cell>
          <cell r="H892">
            <v>0.75</v>
          </cell>
          <cell r="I892">
            <v>0.8</v>
          </cell>
          <cell r="J892">
            <v>0.85</v>
          </cell>
          <cell r="K892">
            <v>0.85</v>
          </cell>
          <cell r="L892">
            <v>0.85</v>
          </cell>
          <cell r="M892">
            <v>247</v>
          </cell>
          <cell r="N892">
            <v>248</v>
          </cell>
          <cell r="O892">
            <v>244</v>
          </cell>
          <cell r="P892">
            <v>241</v>
          </cell>
          <cell r="Q892">
            <v>247</v>
          </cell>
          <cell r="R892">
            <v>251</v>
          </cell>
          <cell r="S892">
            <v>0</v>
          </cell>
          <cell r="T892">
            <v>0</v>
          </cell>
          <cell r="U892">
            <v>195</v>
          </cell>
          <cell r="V892">
            <v>205</v>
          </cell>
          <cell r="W892">
            <v>210</v>
          </cell>
          <cell r="X892">
            <v>213</v>
          </cell>
          <cell r="Y892">
            <v>0</v>
          </cell>
          <cell r="Z892">
            <v>0</v>
          </cell>
          <cell r="AA892">
            <v>195</v>
          </cell>
          <cell r="AB892">
            <v>205</v>
          </cell>
          <cell r="AC892">
            <v>210</v>
          </cell>
          <cell r="AD892">
            <v>213</v>
          </cell>
        </row>
        <row r="893">
          <cell r="C893" t="str">
            <v>야촌 3</v>
          </cell>
          <cell r="D893" t="str">
            <v>계</v>
          </cell>
          <cell r="E893">
            <v>36583</v>
          </cell>
          <cell r="M893">
            <v>96</v>
          </cell>
          <cell r="N893">
            <v>97</v>
          </cell>
          <cell r="O893">
            <v>95</v>
          </cell>
          <cell r="P893">
            <v>94</v>
          </cell>
          <cell r="Q893">
            <v>96</v>
          </cell>
          <cell r="R893">
            <v>98</v>
          </cell>
          <cell r="S893">
            <v>0</v>
          </cell>
          <cell r="T893">
            <v>0</v>
          </cell>
          <cell r="U893">
            <v>76</v>
          </cell>
          <cell r="V893">
            <v>80</v>
          </cell>
          <cell r="W893">
            <v>81</v>
          </cell>
          <cell r="X893">
            <v>83</v>
          </cell>
          <cell r="Y893">
            <v>0</v>
          </cell>
          <cell r="Z893">
            <v>0</v>
          </cell>
          <cell r="AA893">
            <v>76</v>
          </cell>
          <cell r="AB893">
            <v>80</v>
          </cell>
          <cell r="AC893">
            <v>81</v>
          </cell>
          <cell r="AD893">
            <v>83</v>
          </cell>
        </row>
        <row r="894">
          <cell r="D894" t="str">
            <v>메겡이</v>
          </cell>
          <cell r="E894">
            <v>11629</v>
          </cell>
          <cell r="F894">
            <v>1</v>
          </cell>
          <cell r="H894">
            <v>0.75</v>
          </cell>
          <cell r="I894">
            <v>0.8</v>
          </cell>
          <cell r="J894">
            <v>0.85</v>
          </cell>
          <cell r="K894">
            <v>0.85</v>
          </cell>
          <cell r="L894">
            <v>0.85</v>
          </cell>
          <cell r="M894">
            <v>31</v>
          </cell>
          <cell r="N894">
            <v>31</v>
          </cell>
          <cell r="O894">
            <v>30</v>
          </cell>
          <cell r="P894">
            <v>30</v>
          </cell>
          <cell r="Q894">
            <v>31</v>
          </cell>
          <cell r="R894">
            <v>31</v>
          </cell>
          <cell r="S894">
            <v>0</v>
          </cell>
          <cell r="T894">
            <v>0</v>
          </cell>
          <cell r="U894">
            <v>24</v>
          </cell>
          <cell r="V894">
            <v>26</v>
          </cell>
          <cell r="W894">
            <v>26</v>
          </cell>
          <cell r="X894">
            <v>26</v>
          </cell>
          <cell r="Y894">
            <v>0</v>
          </cell>
          <cell r="Z894">
            <v>0</v>
          </cell>
          <cell r="AA894">
            <v>24</v>
          </cell>
          <cell r="AB894">
            <v>26</v>
          </cell>
          <cell r="AC894">
            <v>26</v>
          </cell>
          <cell r="AD894">
            <v>26</v>
          </cell>
        </row>
        <row r="895">
          <cell r="D895" t="str">
            <v>관음자골</v>
          </cell>
          <cell r="E895">
            <v>24954</v>
          </cell>
          <cell r="F895">
            <v>1</v>
          </cell>
          <cell r="H895">
            <v>0.75</v>
          </cell>
          <cell r="I895">
            <v>0.8</v>
          </cell>
          <cell r="J895">
            <v>0.85</v>
          </cell>
          <cell r="K895">
            <v>0.85</v>
          </cell>
          <cell r="L895">
            <v>0.85</v>
          </cell>
          <cell r="M895">
            <v>65</v>
          </cell>
          <cell r="N895">
            <v>66</v>
          </cell>
          <cell r="O895">
            <v>65</v>
          </cell>
          <cell r="P895">
            <v>64</v>
          </cell>
          <cell r="Q895">
            <v>65</v>
          </cell>
          <cell r="R895">
            <v>67</v>
          </cell>
          <cell r="S895">
            <v>0</v>
          </cell>
          <cell r="T895">
            <v>0</v>
          </cell>
          <cell r="U895">
            <v>52</v>
          </cell>
          <cell r="V895">
            <v>54</v>
          </cell>
          <cell r="W895">
            <v>55</v>
          </cell>
          <cell r="X895">
            <v>57</v>
          </cell>
          <cell r="Y895">
            <v>0</v>
          </cell>
          <cell r="Z895">
            <v>0</v>
          </cell>
          <cell r="AA895">
            <v>52</v>
          </cell>
          <cell r="AB895">
            <v>54</v>
          </cell>
          <cell r="AC895">
            <v>55</v>
          </cell>
          <cell r="AD895">
            <v>57</v>
          </cell>
        </row>
        <row r="896">
          <cell r="C896" t="str">
            <v>왕암리</v>
          </cell>
          <cell r="D896" t="str">
            <v>소계</v>
          </cell>
          <cell r="M896">
            <v>332</v>
          </cell>
          <cell r="N896">
            <v>332</v>
          </cell>
          <cell r="O896">
            <v>327</v>
          </cell>
          <cell r="P896">
            <v>324</v>
          </cell>
          <cell r="Q896">
            <v>331</v>
          </cell>
          <cell r="R896">
            <v>337</v>
          </cell>
          <cell r="S896">
            <v>0</v>
          </cell>
          <cell r="T896">
            <v>0</v>
          </cell>
          <cell r="U896">
            <v>0</v>
          </cell>
          <cell r="V896">
            <v>276</v>
          </cell>
          <cell r="W896">
            <v>281</v>
          </cell>
          <cell r="X896">
            <v>287</v>
          </cell>
          <cell r="Y896">
            <v>0</v>
          </cell>
          <cell r="Z896">
            <v>0</v>
          </cell>
          <cell r="AA896">
            <v>0</v>
          </cell>
          <cell r="AB896">
            <v>276</v>
          </cell>
          <cell r="AC896">
            <v>281</v>
          </cell>
          <cell r="AD896">
            <v>287</v>
          </cell>
        </row>
        <row r="897">
          <cell r="C897" t="str">
            <v>왕암 1</v>
          </cell>
          <cell r="D897" t="str">
            <v>계</v>
          </cell>
          <cell r="F897">
            <v>2</v>
          </cell>
          <cell r="H897">
            <v>0.75</v>
          </cell>
          <cell r="I897">
            <v>0.8</v>
          </cell>
          <cell r="J897">
            <v>0.85</v>
          </cell>
          <cell r="K897">
            <v>0.85</v>
          </cell>
          <cell r="L897">
            <v>0.85</v>
          </cell>
          <cell r="M897">
            <v>220</v>
          </cell>
          <cell r="N897">
            <v>220</v>
          </cell>
          <cell r="O897">
            <v>217</v>
          </cell>
          <cell r="P897">
            <v>214</v>
          </cell>
          <cell r="Q897">
            <v>219</v>
          </cell>
          <cell r="R897">
            <v>223</v>
          </cell>
          <cell r="S897">
            <v>0</v>
          </cell>
          <cell r="T897">
            <v>0</v>
          </cell>
          <cell r="U897">
            <v>0</v>
          </cell>
          <cell r="V897">
            <v>182</v>
          </cell>
          <cell r="W897">
            <v>186</v>
          </cell>
          <cell r="X897">
            <v>190</v>
          </cell>
          <cell r="Y897">
            <v>0</v>
          </cell>
          <cell r="Z897">
            <v>0</v>
          </cell>
          <cell r="AA897">
            <v>0</v>
          </cell>
          <cell r="AB897">
            <v>182</v>
          </cell>
          <cell r="AC897">
            <v>186</v>
          </cell>
          <cell r="AD897">
            <v>190</v>
          </cell>
        </row>
        <row r="898">
          <cell r="C898" t="str">
            <v>왕암 2</v>
          </cell>
          <cell r="D898" t="str">
            <v>계</v>
          </cell>
          <cell r="F898">
            <v>2</v>
          </cell>
          <cell r="H898">
            <v>0.75</v>
          </cell>
          <cell r="I898">
            <v>0.8</v>
          </cell>
          <cell r="J898">
            <v>0.85</v>
          </cell>
          <cell r="K898">
            <v>0.85</v>
          </cell>
          <cell r="L898">
            <v>0.85</v>
          </cell>
          <cell r="M898">
            <v>112</v>
          </cell>
          <cell r="N898">
            <v>112</v>
          </cell>
          <cell r="O898">
            <v>110</v>
          </cell>
          <cell r="P898">
            <v>110</v>
          </cell>
          <cell r="Q898">
            <v>112</v>
          </cell>
          <cell r="R898">
            <v>114</v>
          </cell>
          <cell r="S898">
            <v>0</v>
          </cell>
          <cell r="T898">
            <v>0</v>
          </cell>
          <cell r="U898">
            <v>0</v>
          </cell>
          <cell r="V898">
            <v>94</v>
          </cell>
          <cell r="W898">
            <v>95</v>
          </cell>
          <cell r="X898">
            <v>97</v>
          </cell>
          <cell r="Y898">
            <v>0</v>
          </cell>
          <cell r="Z898">
            <v>0</v>
          </cell>
          <cell r="AA898">
            <v>0</v>
          </cell>
          <cell r="AB898">
            <v>94</v>
          </cell>
          <cell r="AC898">
            <v>95</v>
          </cell>
          <cell r="AD898">
            <v>97</v>
          </cell>
        </row>
        <row r="899">
          <cell r="C899" t="str">
            <v>삼전리</v>
          </cell>
          <cell r="D899" t="str">
            <v>소계</v>
          </cell>
          <cell r="M899">
            <v>372</v>
          </cell>
          <cell r="N899">
            <v>372</v>
          </cell>
          <cell r="O899">
            <v>366</v>
          </cell>
          <cell r="P899">
            <v>362</v>
          </cell>
          <cell r="Q899">
            <v>370</v>
          </cell>
          <cell r="R899">
            <v>378</v>
          </cell>
          <cell r="S899">
            <v>0</v>
          </cell>
          <cell r="T899">
            <v>0</v>
          </cell>
          <cell r="U899">
            <v>0</v>
          </cell>
          <cell r="V899">
            <v>308</v>
          </cell>
          <cell r="W899">
            <v>314</v>
          </cell>
          <cell r="X899">
            <v>322</v>
          </cell>
          <cell r="Y899">
            <v>0</v>
          </cell>
          <cell r="AA899">
            <v>0</v>
          </cell>
          <cell r="AB899">
            <v>308</v>
          </cell>
          <cell r="AC899">
            <v>314</v>
          </cell>
          <cell r="AD899">
            <v>322</v>
          </cell>
        </row>
        <row r="900">
          <cell r="C900" t="str">
            <v>삼전 1</v>
          </cell>
          <cell r="D900" t="str">
            <v>계</v>
          </cell>
          <cell r="F900">
            <v>2</v>
          </cell>
          <cell r="H900">
            <v>0.75</v>
          </cell>
          <cell r="I900">
            <v>0.8</v>
          </cell>
          <cell r="J900">
            <v>0.85</v>
          </cell>
          <cell r="K900">
            <v>0.85</v>
          </cell>
          <cell r="L900">
            <v>0.85</v>
          </cell>
          <cell r="M900">
            <v>186</v>
          </cell>
          <cell r="N900">
            <v>186</v>
          </cell>
          <cell r="O900">
            <v>183</v>
          </cell>
          <cell r="P900">
            <v>181</v>
          </cell>
          <cell r="Q900">
            <v>185</v>
          </cell>
          <cell r="R900">
            <v>189</v>
          </cell>
          <cell r="S900">
            <v>0</v>
          </cell>
          <cell r="T900">
            <v>0</v>
          </cell>
          <cell r="U900">
            <v>0</v>
          </cell>
          <cell r="V900">
            <v>154</v>
          </cell>
          <cell r="W900">
            <v>157</v>
          </cell>
          <cell r="X900">
            <v>161</v>
          </cell>
          <cell r="Y900">
            <v>0</v>
          </cell>
          <cell r="Z900">
            <v>0</v>
          </cell>
          <cell r="AA900">
            <v>0</v>
          </cell>
          <cell r="AB900">
            <v>154</v>
          </cell>
          <cell r="AC900">
            <v>157</v>
          </cell>
          <cell r="AD900">
            <v>161</v>
          </cell>
        </row>
        <row r="901">
          <cell r="C901" t="str">
            <v>삼전 2</v>
          </cell>
          <cell r="D901" t="str">
            <v>계</v>
          </cell>
          <cell r="F901">
            <v>2</v>
          </cell>
          <cell r="H901">
            <v>0.75</v>
          </cell>
          <cell r="I901">
            <v>0.8</v>
          </cell>
          <cell r="J901">
            <v>0.85</v>
          </cell>
          <cell r="K901">
            <v>0.85</v>
          </cell>
          <cell r="L901">
            <v>0.85</v>
          </cell>
          <cell r="M901">
            <v>186</v>
          </cell>
          <cell r="N901">
            <v>186</v>
          </cell>
          <cell r="O901">
            <v>183</v>
          </cell>
          <cell r="P901">
            <v>181</v>
          </cell>
          <cell r="Q901">
            <v>185</v>
          </cell>
          <cell r="R901">
            <v>189</v>
          </cell>
          <cell r="S901">
            <v>0</v>
          </cell>
          <cell r="T901">
            <v>0</v>
          </cell>
          <cell r="U901">
            <v>0</v>
          </cell>
          <cell r="V901">
            <v>154</v>
          </cell>
          <cell r="W901">
            <v>157</v>
          </cell>
          <cell r="X901">
            <v>161</v>
          </cell>
          <cell r="Y901">
            <v>0</v>
          </cell>
          <cell r="Z901">
            <v>0</v>
          </cell>
          <cell r="AA901">
            <v>0</v>
          </cell>
          <cell r="AB901">
            <v>154</v>
          </cell>
          <cell r="AC901">
            <v>157</v>
          </cell>
          <cell r="AD901">
            <v>161</v>
          </cell>
        </row>
        <row r="902">
          <cell r="C902" t="str">
            <v>양촌리</v>
          </cell>
          <cell r="D902" t="str">
            <v>소계</v>
          </cell>
          <cell r="E902">
            <v>52501</v>
          </cell>
          <cell r="M902">
            <v>123</v>
          </cell>
          <cell r="N902">
            <v>123</v>
          </cell>
          <cell r="O902">
            <v>121</v>
          </cell>
          <cell r="P902">
            <v>120</v>
          </cell>
          <cell r="Q902">
            <v>123</v>
          </cell>
          <cell r="R902">
            <v>125</v>
          </cell>
          <cell r="S902">
            <v>0</v>
          </cell>
          <cell r="T902">
            <v>0</v>
          </cell>
          <cell r="U902">
            <v>81</v>
          </cell>
          <cell r="V902">
            <v>102</v>
          </cell>
          <cell r="W902">
            <v>105</v>
          </cell>
          <cell r="X902">
            <v>107</v>
          </cell>
          <cell r="Y902">
            <v>0</v>
          </cell>
          <cell r="Z902">
            <v>0</v>
          </cell>
          <cell r="AA902">
            <v>81</v>
          </cell>
          <cell r="AB902">
            <v>102</v>
          </cell>
          <cell r="AC902">
            <v>105</v>
          </cell>
          <cell r="AD902">
            <v>107</v>
          </cell>
        </row>
        <row r="903">
          <cell r="D903" t="str">
            <v>가정</v>
          </cell>
          <cell r="E903">
            <v>21056</v>
          </cell>
          <cell r="F903">
            <v>1</v>
          </cell>
          <cell r="H903">
            <v>0.75</v>
          </cell>
          <cell r="I903">
            <v>0.8</v>
          </cell>
          <cell r="J903">
            <v>0.85</v>
          </cell>
          <cell r="K903">
            <v>0.85</v>
          </cell>
          <cell r="L903">
            <v>0.85</v>
          </cell>
          <cell r="M903">
            <v>49</v>
          </cell>
          <cell r="N903">
            <v>49</v>
          </cell>
          <cell r="O903">
            <v>49</v>
          </cell>
          <cell r="P903">
            <v>48</v>
          </cell>
          <cell r="Q903">
            <v>49</v>
          </cell>
          <cell r="R903">
            <v>50</v>
          </cell>
          <cell r="S903">
            <v>0</v>
          </cell>
          <cell r="T903">
            <v>0</v>
          </cell>
          <cell r="U903">
            <v>39</v>
          </cell>
          <cell r="V903">
            <v>41</v>
          </cell>
          <cell r="W903">
            <v>42</v>
          </cell>
          <cell r="X903">
            <v>43</v>
          </cell>
          <cell r="Y903">
            <v>0</v>
          </cell>
          <cell r="Z903">
            <v>0</v>
          </cell>
          <cell r="AA903">
            <v>39</v>
          </cell>
          <cell r="AB903">
            <v>41</v>
          </cell>
          <cell r="AC903">
            <v>42</v>
          </cell>
          <cell r="AD903">
            <v>43</v>
          </cell>
        </row>
        <row r="904">
          <cell r="D904" t="str">
            <v>구루개</v>
          </cell>
          <cell r="E904">
            <v>9831</v>
          </cell>
          <cell r="F904">
            <v>1</v>
          </cell>
          <cell r="H904">
            <v>0.75</v>
          </cell>
          <cell r="I904">
            <v>0.8</v>
          </cell>
          <cell r="J904">
            <v>0.85</v>
          </cell>
          <cell r="K904">
            <v>0.85</v>
          </cell>
          <cell r="L904">
            <v>0.85</v>
          </cell>
          <cell r="M904">
            <v>23</v>
          </cell>
          <cell r="N904">
            <v>23</v>
          </cell>
          <cell r="O904">
            <v>23</v>
          </cell>
          <cell r="P904">
            <v>22</v>
          </cell>
          <cell r="Q904">
            <v>23</v>
          </cell>
          <cell r="R904">
            <v>23</v>
          </cell>
          <cell r="S904">
            <v>0</v>
          </cell>
          <cell r="T904">
            <v>0</v>
          </cell>
          <cell r="U904">
            <v>18</v>
          </cell>
          <cell r="V904">
            <v>19</v>
          </cell>
          <cell r="W904">
            <v>20</v>
          </cell>
          <cell r="X904">
            <v>20</v>
          </cell>
          <cell r="Y904">
            <v>0</v>
          </cell>
          <cell r="Z904">
            <v>0</v>
          </cell>
          <cell r="AA904">
            <v>18</v>
          </cell>
          <cell r="AB904">
            <v>19</v>
          </cell>
          <cell r="AC904">
            <v>20</v>
          </cell>
          <cell r="AD904">
            <v>20</v>
          </cell>
        </row>
        <row r="905">
          <cell r="D905" t="str">
            <v>소류지</v>
          </cell>
          <cell r="E905">
            <v>8432</v>
          </cell>
          <cell r="F905">
            <v>2</v>
          </cell>
          <cell r="H905">
            <v>0.75</v>
          </cell>
          <cell r="I905">
            <v>0.8</v>
          </cell>
          <cell r="J905">
            <v>0.85</v>
          </cell>
          <cell r="K905">
            <v>0.85</v>
          </cell>
          <cell r="L905">
            <v>0.85</v>
          </cell>
          <cell r="M905">
            <v>20</v>
          </cell>
          <cell r="N905">
            <v>20</v>
          </cell>
          <cell r="O905">
            <v>19</v>
          </cell>
          <cell r="P905">
            <v>19</v>
          </cell>
          <cell r="Q905">
            <v>20</v>
          </cell>
          <cell r="R905">
            <v>20</v>
          </cell>
          <cell r="S905">
            <v>0</v>
          </cell>
          <cell r="T905">
            <v>0</v>
          </cell>
          <cell r="U905">
            <v>0</v>
          </cell>
          <cell r="V905">
            <v>16</v>
          </cell>
          <cell r="W905">
            <v>17</v>
          </cell>
          <cell r="X905">
            <v>17</v>
          </cell>
          <cell r="Y905">
            <v>0</v>
          </cell>
          <cell r="Z905">
            <v>0</v>
          </cell>
          <cell r="AA905">
            <v>0</v>
          </cell>
          <cell r="AB905">
            <v>16</v>
          </cell>
          <cell r="AC905">
            <v>17</v>
          </cell>
          <cell r="AD905">
            <v>17</v>
          </cell>
        </row>
        <row r="906">
          <cell r="D906" t="str">
            <v>가정터</v>
          </cell>
          <cell r="E906">
            <v>13182</v>
          </cell>
          <cell r="F906">
            <v>1</v>
          </cell>
          <cell r="H906">
            <v>0.75</v>
          </cell>
          <cell r="I906">
            <v>0.8</v>
          </cell>
          <cell r="J906">
            <v>0.85</v>
          </cell>
          <cell r="K906">
            <v>0.85</v>
          </cell>
          <cell r="L906">
            <v>0.85</v>
          </cell>
          <cell r="M906">
            <v>31</v>
          </cell>
          <cell r="N906">
            <v>31</v>
          </cell>
          <cell r="O906">
            <v>30</v>
          </cell>
          <cell r="P906">
            <v>31</v>
          </cell>
          <cell r="Q906">
            <v>31</v>
          </cell>
          <cell r="R906">
            <v>32</v>
          </cell>
          <cell r="S906">
            <v>0</v>
          </cell>
          <cell r="T906">
            <v>0</v>
          </cell>
          <cell r="U906">
            <v>24</v>
          </cell>
          <cell r="V906">
            <v>26</v>
          </cell>
          <cell r="W906">
            <v>26</v>
          </cell>
          <cell r="X906">
            <v>27</v>
          </cell>
          <cell r="Y906">
            <v>0</v>
          </cell>
          <cell r="Z906">
            <v>0</v>
          </cell>
          <cell r="AA906">
            <v>24</v>
          </cell>
          <cell r="AB906">
            <v>26</v>
          </cell>
          <cell r="AC906">
            <v>26</v>
          </cell>
          <cell r="AD906">
            <v>27</v>
          </cell>
        </row>
        <row r="907">
          <cell r="M907">
            <v>5431</v>
          </cell>
          <cell r="N907">
            <v>5438</v>
          </cell>
          <cell r="O907">
            <v>5355</v>
          </cell>
          <cell r="P907">
            <v>5299</v>
          </cell>
          <cell r="Q907">
            <v>5425</v>
          </cell>
          <cell r="R907">
            <v>5524</v>
          </cell>
          <cell r="S907">
            <v>2785</v>
          </cell>
          <cell r="T907">
            <v>3067</v>
          </cell>
          <cell r="U907">
            <v>4156</v>
          </cell>
          <cell r="V907">
            <v>4838</v>
          </cell>
          <cell r="W907">
            <v>5152</v>
          </cell>
          <cell r="X907">
            <v>5243</v>
          </cell>
          <cell r="Y907">
            <v>2785</v>
          </cell>
          <cell r="Z907">
            <v>3067</v>
          </cell>
          <cell r="AA907">
            <v>4156</v>
          </cell>
          <cell r="AB907">
            <v>4838</v>
          </cell>
          <cell r="AC907">
            <v>5152</v>
          </cell>
          <cell r="AD907">
            <v>5243</v>
          </cell>
        </row>
        <row r="908">
          <cell r="C908" t="str">
            <v>연서리</v>
          </cell>
          <cell r="D908" t="str">
            <v>소계</v>
          </cell>
          <cell r="M908">
            <v>527</v>
          </cell>
          <cell r="N908">
            <v>527</v>
          </cell>
          <cell r="O908">
            <v>519</v>
          </cell>
          <cell r="P908">
            <v>514</v>
          </cell>
          <cell r="Q908">
            <v>527</v>
          </cell>
          <cell r="R908">
            <v>536</v>
          </cell>
          <cell r="S908">
            <v>396</v>
          </cell>
          <cell r="T908">
            <v>396</v>
          </cell>
          <cell r="U908">
            <v>441</v>
          </cell>
          <cell r="V908">
            <v>463</v>
          </cell>
          <cell r="W908">
            <v>502</v>
          </cell>
          <cell r="X908">
            <v>508</v>
          </cell>
          <cell r="Y908">
            <v>396</v>
          </cell>
          <cell r="Z908">
            <v>396</v>
          </cell>
          <cell r="AA908">
            <v>441</v>
          </cell>
          <cell r="AB908">
            <v>463</v>
          </cell>
          <cell r="AC908">
            <v>502</v>
          </cell>
          <cell r="AD908">
            <v>508</v>
          </cell>
        </row>
        <row r="909">
          <cell r="C909" t="str">
            <v>연서 1</v>
          </cell>
          <cell r="D909" t="str">
            <v>계</v>
          </cell>
          <cell r="F909">
            <v>0</v>
          </cell>
          <cell r="H909">
            <v>0.75</v>
          </cell>
          <cell r="I909">
            <v>0.85</v>
          </cell>
          <cell r="J909">
            <v>0.9</v>
          </cell>
          <cell r="K909">
            <v>0.95</v>
          </cell>
          <cell r="L909">
            <v>0.95</v>
          </cell>
          <cell r="M909">
            <v>228</v>
          </cell>
          <cell r="N909">
            <v>228</v>
          </cell>
          <cell r="O909">
            <v>225</v>
          </cell>
          <cell r="P909">
            <v>222</v>
          </cell>
          <cell r="Q909">
            <v>228</v>
          </cell>
          <cell r="R909">
            <v>232</v>
          </cell>
          <cell r="S909">
            <v>171</v>
          </cell>
          <cell r="T909">
            <v>171</v>
          </cell>
          <cell r="U909">
            <v>191</v>
          </cell>
          <cell r="V909">
            <v>200</v>
          </cell>
          <cell r="W909">
            <v>217</v>
          </cell>
          <cell r="X909">
            <v>220</v>
          </cell>
          <cell r="Y909">
            <v>171</v>
          </cell>
          <cell r="Z909">
            <v>171</v>
          </cell>
          <cell r="AA909">
            <v>191</v>
          </cell>
          <cell r="AB909">
            <v>200</v>
          </cell>
          <cell r="AC909">
            <v>217</v>
          </cell>
          <cell r="AD909">
            <v>220</v>
          </cell>
        </row>
        <row r="910">
          <cell r="C910" t="str">
            <v>연서 2</v>
          </cell>
          <cell r="D910" t="str">
            <v>계</v>
          </cell>
          <cell r="F910">
            <v>0</v>
          </cell>
          <cell r="H910">
            <v>0.75</v>
          </cell>
          <cell r="I910">
            <v>0.85</v>
          </cell>
          <cell r="J910">
            <v>0.9</v>
          </cell>
          <cell r="K910">
            <v>0.95</v>
          </cell>
          <cell r="L910">
            <v>0.95</v>
          </cell>
          <cell r="M910">
            <v>190</v>
          </cell>
          <cell r="N910">
            <v>190</v>
          </cell>
          <cell r="O910">
            <v>187</v>
          </cell>
          <cell r="P910">
            <v>185</v>
          </cell>
          <cell r="Q910">
            <v>190</v>
          </cell>
          <cell r="R910">
            <v>193</v>
          </cell>
          <cell r="S910">
            <v>143</v>
          </cell>
          <cell r="T910">
            <v>143</v>
          </cell>
          <cell r="U910">
            <v>159</v>
          </cell>
          <cell r="V910">
            <v>167</v>
          </cell>
          <cell r="W910">
            <v>181</v>
          </cell>
          <cell r="X910">
            <v>183</v>
          </cell>
          <cell r="Y910">
            <v>143</v>
          </cell>
          <cell r="Z910">
            <v>143</v>
          </cell>
          <cell r="AA910">
            <v>159</v>
          </cell>
          <cell r="AB910">
            <v>167</v>
          </cell>
          <cell r="AC910">
            <v>181</v>
          </cell>
          <cell r="AD910">
            <v>183</v>
          </cell>
        </row>
        <row r="911">
          <cell r="C911" t="str">
            <v>연서 3</v>
          </cell>
          <cell r="D911" t="str">
            <v>계</v>
          </cell>
          <cell r="F911">
            <v>0</v>
          </cell>
          <cell r="H911">
            <v>0.75</v>
          </cell>
          <cell r="I911">
            <v>0.85</v>
          </cell>
          <cell r="J911">
            <v>0.9</v>
          </cell>
          <cell r="K911">
            <v>0.95</v>
          </cell>
          <cell r="L911">
            <v>0.95</v>
          </cell>
          <cell r="M911">
            <v>109</v>
          </cell>
          <cell r="N911">
            <v>109</v>
          </cell>
          <cell r="O911">
            <v>107</v>
          </cell>
          <cell r="P911">
            <v>107</v>
          </cell>
          <cell r="Q911">
            <v>109</v>
          </cell>
          <cell r="R911">
            <v>111</v>
          </cell>
          <cell r="S911">
            <v>82</v>
          </cell>
          <cell r="T911">
            <v>82</v>
          </cell>
          <cell r="U911">
            <v>91</v>
          </cell>
          <cell r="V911">
            <v>96</v>
          </cell>
          <cell r="W911">
            <v>104</v>
          </cell>
          <cell r="X911">
            <v>105</v>
          </cell>
          <cell r="Y911">
            <v>82</v>
          </cell>
          <cell r="Z911">
            <v>82</v>
          </cell>
          <cell r="AA911">
            <v>91</v>
          </cell>
          <cell r="AB911">
            <v>96</v>
          </cell>
          <cell r="AC911">
            <v>104</v>
          </cell>
          <cell r="AD911">
            <v>105</v>
          </cell>
        </row>
        <row r="912">
          <cell r="C912" t="str">
            <v>방축리</v>
          </cell>
          <cell r="D912" t="str">
            <v>소계</v>
          </cell>
          <cell r="M912">
            <v>474</v>
          </cell>
          <cell r="N912">
            <v>474</v>
          </cell>
          <cell r="O912">
            <v>467</v>
          </cell>
          <cell r="P912">
            <v>463</v>
          </cell>
          <cell r="Q912">
            <v>474</v>
          </cell>
          <cell r="R912">
            <v>482</v>
          </cell>
          <cell r="S912">
            <v>356</v>
          </cell>
          <cell r="T912">
            <v>356</v>
          </cell>
          <cell r="U912">
            <v>397</v>
          </cell>
          <cell r="V912">
            <v>416</v>
          </cell>
          <cell r="W912">
            <v>450</v>
          </cell>
          <cell r="X912">
            <v>457</v>
          </cell>
          <cell r="Y912">
            <v>356</v>
          </cell>
          <cell r="Z912">
            <v>356</v>
          </cell>
          <cell r="AA912">
            <v>397</v>
          </cell>
          <cell r="AB912">
            <v>416</v>
          </cell>
          <cell r="AC912">
            <v>450</v>
          </cell>
          <cell r="AD912">
            <v>457</v>
          </cell>
        </row>
        <row r="913">
          <cell r="C913" t="str">
            <v>방축 1</v>
          </cell>
          <cell r="D913" t="str">
            <v>계</v>
          </cell>
          <cell r="F913">
            <v>0</v>
          </cell>
          <cell r="H913">
            <v>0.75</v>
          </cell>
          <cell r="I913">
            <v>0.85</v>
          </cell>
          <cell r="J913">
            <v>0.9</v>
          </cell>
          <cell r="K913">
            <v>0.95</v>
          </cell>
          <cell r="L913">
            <v>0.95</v>
          </cell>
          <cell r="M913">
            <v>113</v>
          </cell>
          <cell r="N913">
            <v>113</v>
          </cell>
          <cell r="O913">
            <v>111</v>
          </cell>
          <cell r="P913">
            <v>111</v>
          </cell>
          <cell r="Q913">
            <v>113</v>
          </cell>
          <cell r="R913">
            <v>115</v>
          </cell>
          <cell r="S913">
            <v>85</v>
          </cell>
          <cell r="T913">
            <v>85</v>
          </cell>
          <cell r="U913">
            <v>94</v>
          </cell>
          <cell r="V913">
            <v>100</v>
          </cell>
          <cell r="W913">
            <v>107</v>
          </cell>
          <cell r="X913">
            <v>109</v>
          </cell>
          <cell r="Y913">
            <v>85</v>
          </cell>
          <cell r="Z913">
            <v>85</v>
          </cell>
          <cell r="AA913">
            <v>94</v>
          </cell>
          <cell r="AB913">
            <v>100</v>
          </cell>
          <cell r="AC913">
            <v>107</v>
          </cell>
          <cell r="AD913">
            <v>109</v>
          </cell>
        </row>
        <row r="914">
          <cell r="C914" t="str">
            <v>방축 2</v>
          </cell>
          <cell r="D914" t="str">
            <v>계</v>
          </cell>
          <cell r="F914">
            <v>0</v>
          </cell>
          <cell r="H914">
            <v>0.75</v>
          </cell>
          <cell r="I914">
            <v>0.85</v>
          </cell>
          <cell r="J914">
            <v>0.9</v>
          </cell>
          <cell r="K914">
            <v>0.95</v>
          </cell>
          <cell r="L914">
            <v>0.95</v>
          </cell>
          <cell r="M914">
            <v>90</v>
          </cell>
          <cell r="N914">
            <v>90</v>
          </cell>
          <cell r="O914">
            <v>89</v>
          </cell>
          <cell r="P914">
            <v>88</v>
          </cell>
          <cell r="Q914">
            <v>90</v>
          </cell>
          <cell r="R914">
            <v>92</v>
          </cell>
          <cell r="S914">
            <v>68</v>
          </cell>
          <cell r="T914">
            <v>68</v>
          </cell>
          <cell r="U914">
            <v>76</v>
          </cell>
          <cell r="V914">
            <v>79</v>
          </cell>
          <cell r="W914">
            <v>86</v>
          </cell>
          <cell r="X914">
            <v>87</v>
          </cell>
          <cell r="Y914">
            <v>68</v>
          </cell>
          <cell r="Z914">
            <v>68</v>
          </cell>
          <cell r="AA914">
            <v>76</v>
          </cell>
          <cell r="AB914">
            <v>79</v>
          </cell>
          <cell r="AC914">
            <v>86</v>
          </cell>
          <cell r="AD914">
            <v>87</v>
          </cell>
        </row>
        <row r="915">
          <cell r="C915" t="str">
            <v>방축 3</v>
          </cell>
          <cell r="D915" t="str">
            <v>계</v>
          </cell>
          <cell r="F915">
            <v>0</v>
          </cell>
          <cell r="H915">
            <v>0.75</v>
          </cell>
          <cell r="I915">
            <v>0.85</v>
          </cell>
          <cell r="J915">
            <v>0.9</v>
          </cell>
          <cell r="K915">
            <v>0.95</v>
          </cell>
          <cell r="L915">
            <v>0.95</v>
          </cell>
          <cell r="M915">
            <v>152</v>
          </cell>
          <cell r="N915">
            <v>152</v>
          </cell>
          <cell r="O915">
            <v>150</v>
          </cell>
          <cell r="P915">
            <v>148</v>
          </cell>
          <cell r="Q915">
            <v>152</v>
          </cell>
          <cell r="R915">
            <v>154</v>
          </cell>
          <cell r="S915">
            <v>114</v>
          </cell>
          <cell r="T915">
            <v>114</v>
          </cell>
          <cell r="U915">
            <v>128</v>
          </cell>
          <cell r="V915">
            <v>133</v>
          </cell>
          <cell r="W915">
            <v>144</v>
          </cell>
          <cell r="X915">
            <v>146</v>
          </cell>
          <cell r="Y915">
            <v>114</v>
          </cell>
          <cell r="Z915">
            <v>114</v>
          </cell>
          <cell r="AA915">
            <v>128</v>
          </cell>
          <cell r="AB915">
            <v>133</v>
          </cell>
          <cell r="AC915">
            <v>144</v>
          </cell>
          <cell r="AD915">
            <v>146</v>
          </cell>
        </row>
        <row r="916">
          <cell r="C916" t="str">
            <v>방축 4</v>
          </cell>
          <cell r="D916" t="str">
            <v>계</v>
          </cell>
          <cell r="F916">
            <v>0</v>
          </cell>
          <cell r="H916">
            <v>0.75</v>
          </cell>
          <cell r="I916">
            <v>0.85</v>
          </cell>
          <cell r="J916">
            <v>0.9</v>
          </cell>
          <cell r="K916">
            <v>0.95</v>
          </cell>
          <cell r="L916">
            <v>0.95</v>
          </cell>
          <cell r="M916">
            <v>119</v>
          </cell>
          <cell r="N916">
            <v>119</v>
          </cell>
          <cell r="O916">
            <v>117</v>
          </cell>
          <cell r="P916">
            <v>116</v>
          </cell>
          <cell r="Q916">
            <v>119</v>
          </cell>
          <cell r="R916">
            <v>121</v>
          </cell>
          <cell r="S916">
            <v>89</v>
          </cell>
          <cell r="T916">
            <v>89</v>
          </cell>
          <cell r="U916">
            <v>99</v>
          </cell>
          <cell r="V916">
            <v>104</v>
          </cell>
          <cell r="W916">
            <v>113</v>
          </cell>
          <cell r="X916">
            <v>115</v>
          </cell>
          <cell r="Y916">
            <v>89</v>
          </cell>
          <cell r="Z916">
            <v>89</v>
          </cell>
          <cell r="AA916">
            <v>99</v>
          </cell>
          <cell r="AB916">
            <v>104</v>
          </cell>
          <cell r="AC916">
            <v>113</v>
          </cell>
          <cell r="AD916">
            <v>115</v>
          </cell>
        </row>
        <row r="917">
          <cell r="C917" t="str">
            <v>토양리</v>
          </cell>
          <cell r="D917" t="str">
            <v>소계</v>
          </cell>
          <cell r="M917">
            <v>404</v>
          </cell>
          <cell r="N917">
            <v>404</v>
          </cell>
          <cell r="O917">
            <v>398</v>
          </cell>
          <cell r="P917">
            <v>394</v>
          </cell>
          <cell r="Q917">
            <v>403</v>
          </cell>
          <cell r="R917">
            <v>411</v>
          </cell>
          <cell r="S917">
            <v>53</v>
          </cell>
          <cell r="T917">
            <v>332</v>
          </cell>
          <cell r="U917">
            <v>339</v>
          </cell>
          <cell r="V917">
            <v>355</v>
          </cell>
          <cell r="W917">
            <v>382</v>
          </cell>
          <cell r="X917">
            <v>390</v>
          </cell>
          <cell r="Y917">
            <v>53</v>
          </cell>
          <cell r="Z917">
            <v>332</v>
          </cell>
          <cell r="AA917">
            <v>339</v>
          </cell>
          <cell r="AB917">
            <v>355</v>
          </cell>
          <cell r="AC917">
            <v>382</v>
          </cell>
          <cell r="AD917">
            <v>390</v>
          </cell>
        </row>
        <row r="918">
          <cell r="C918" t="str">
            <v>토양 1</v>
          </cell>
          <cell r="D918" t="str">
            <v>계</v>
          </cell>
          <cell r="F918">
            <v>1</v>
          </cell>
          <cell r="H918">
            <v>0.75</v>
          </cell>
          <cell r="I918">
            <v>0.85</v>
          </cell>
          <cell r="J918">
            <v>0.9</v>
          </cell>
          <cell r="K918">
            <v>0.95</v>
          </cell>
          <cell r="L918">
            <v>0.95</v>
          </cell>
          <cell r="M918">
            <v>271</v>
          </cell>
          <cell r="N918">
            <v>271</v>
          </cell>
          <cell r="O918">
            <v>267</v>
          </cell>
          <cell r="P918">
            <v>265</v>
          </cell>
          <cell r="Q918">
            <v>271</v>
          </cell>
          <cell r="R918">
            <v>276</v>
          </cell>
          <cell r="S918">
            <v>0</v>
          </cell>
          <cell r="T918">
            <v>227</v>
          </cell>
          <cell r="U918">
            <v>227</v>
          </cell>
          <cell r="V918">
            <v>239</v>
          </cell>
          <cell r="W918">
            <v>257</v>
          </cell>
          <cell r="X918">
            <v>262</v>
          </cell>
          <cell r="Y918">
            <v>0</v>
          </cell>
          <cell r="Z918">
            <v>227</v>
          </cell>
          <cell r="AA918">
            <v>227</v>
          </cell>
          <cell r="AB918">
            <v>239</v>
          </cell>
          <cell r="AC918">
            <v>257</v>
          </cell>
          <cell r="AD918">
            <v>262</v>
          </cell>
        </row>
        <row r="919">
          <cell r="C919" t="str">
            <v>토양 2</v>
          </cell>
          <cell r="D919" t="str">
            <v>계</v>
          </cell>
          <cell r="F919">
            <v>0</v>
          </cell>
          <cell r="H919">
            <v>0.75</v>
          </cell>
          <cell r="I919">
            <v>0.85</v>
          </cell>
          <cell r="J919">
            <v>0.9</v>
          </cell>
          <cell r="K919">
            <v>0.95</v>
          </cell>
          <cell r="L919">
            <v>0.95</v>
          </cell>
          <cell r="M919">
            <v>71</v>
          </cell>
          <cell r="N919">
            <v>71</v>
          </cell>
          <cell r="O919">
            <v>70</v>
          </cell>
          <cell r="P919">
            <v>69</v>
          </cell>
          <cell r="Q919">
            <v>71</v>
          </cell>
          <cell r="R919">
            <v>72</v>
          </cell>
          <cell r="S919">
            <v>53</v>
          </cell>
          <cell r="T919">
            <v>53</v>
          </cell>
          <cell r="U919">
            <v>60</v>
          </cell>
          <cell r="V919">
            <v>62</v>
          </cell>
          <cell r="W919">
            <v>67</v>
          </cell>
          <cell r="X919">
            <v>68</v>
          </cell>
          <cell r="Y919">
            <v>53</v>
          </cell>
          <cell r="Z919">
            <v>53</v>
          </cell>
          <cell r="AA919">
            <v>60</v>
          </cell>
          <cell r="AB919">
            <v>62</v>
          </cell>
          <cell r="AC919">
            <v>67</v>
          </cell>
          <cell r="AD919">
            <v>68</v>
          </cell>
        </row>
        <row r="920">
          <cell r="C920" t="str">
            <v>토양 3</v>
          </cell>
          <cell r="D920" t="str">
            <v>계</v>
          </cell>
          <cell r="F920">
            <v>1</v>
          </cell>
          <cell r="H920">
            <v>0.75</v>
          </cell>
          <cell r="I920">
            <v>0.85</v>
          </cell>
          <cell r="J920">
            <v>0.9</v>
          </cell>
          <cell r="K920">
            <v>0.95</v>
          </cell>
          <cell r="L920">
            <v>0.95</v>
          </cell>
          <cell r="M920">
            <v>62</v>
          </cell>
          <cell r="N920">
            <v>62</v>
          </cell>
          <cell r="O920">
            <v>61</v>
          </cell>
          <cell r="P920">
            <v>60</v>
          </cell>
          <cell r="Q920">
            <v>61</v>
          </cell>
          <cell r="R920">
            <v>63</v>
          </cell>
          <cell r="S920">
            <v>0</v>
          </cell>
          <cell r="T920">
            <v>52</v>
          </cell>
          <cell r="U920">
            <v>52</v>
          </cell>
          <cell r="V920">
            <v>54</v>
          </cell>
          <cell r="W920">
            <v>58</v>
          </cell>
          <cell r="X920">
            <v>60</v>
          </cell>
          <cell r="Y920">
            <v>0</v>
          </cell>
          <cell r="Z920">
            <v>52</v>
          </cell>
          <cell r="AA920">
            <v>52</v>
          </cell>
          <cell r="AB920">
            <v>54</v>
          </cell>
          <cell r="AC920">
            <v>58</v>
          </cell>
          <cell r="AD920">
            <v>60</v>
          </cell>
        </row>
        <row r="921">
          <cell r="C921" t="str">
            <v>시묘리</v>
          </cell>
          <cell r="D921" t="str">
            <v>소계</v>
          </cell>
          <cell r="M921">
            <v>480</v>
          </cell>
          <cell r="N921">
            <v>481</v>
          </cell>
          <cell r="O921">
            <v>474</v>
          </cell>
          <cell r="P921">
            <v>468</v>
          </cell>
          <cell r="Q921">
            <v>478</v>
          </cell>
          <cell r="R921">
            <v>488</v>
          </cell>
          <cell r="S921">
            <v>18</v>
          </cell>
          <cell r="T921">
            <v>18</v>
          </cell>
          <cell r="U921">
            <v>402</v>
          </cell>
          <cell r="V921">
            <v>421</v>
          </cell>
          <cell r="W921">
            <v>454</v>
          </cell>
          <cell r="X921">
            <v>463</v>
          </cell>
          <cell r="Y921">
            <v>18</v>
          </cell>
          <cell r="Z921">
            <v>18</v>
          </cell>
          <cell r="AA921">
            <v>402</v>
          </cell>
          <cell r="AB921">
            <v>421</v>
          </cell>
          <cell r="AC921">
            <v>454</v>
          </cell>
          <cell r="AD921">
            <v>463</v>
          </cell>
        </row>
        <row r="922">
          <cell r="C922" t="str">
            <v>시묘 1</v>
          </cell>
          <cell r="D922" t="str">
            <v>계</v>
          </cell>
          <cell r="E922">
            <v>46640</v>
          </cell>
          <cell r="M922">
            <v>144</v>
          </cell>
          <cell r="N922">
            <v>144</v>
          </cell>
          <cell r="O922">
            <v>142</v>
          </cell>
          <cell r="P922">
            <v>141</v>
          </cell>
          <cell r="Q922">
            <v>144</v>
          </cell>
          <cell r="R922">
            <v>147</v>
          </cell>
          <cell r="S922">
            <v>18</v>
          </cell>
          <cell r="T922">
            <v>18</v>
          </cell>
          <cell r="U922">
            <v>120</v>
          </cell>
          <cell r="V922">
            <v>127</v>
          </cell>
          <cell r="W922">
            <v>137</v>
          </cell>
          <cell r="X922">
            <v>140</v>
          </cell>
          <cell r="Y922">
            <v>18</v>
          </cell>
          <cell r="Z922">
            <v>18</v>
          </cell>
          <cell r="AA922">
            <v>120</v>
          </cell>
          <cell r="AB922">
            <v>127</v>
          </cell>
          <cell r="AC922">
            <v>137</v>
          </cell>
          <cell r="AD922">
            <v>140</v>
          </cell>
        </row>
        <row r="923">
          <cell r="D923" t="str">
            <v>불촌</v>
          </cell>
          <cell r="E923">
            <v>8961</v>
          </cell>
          <cell r="F923">
            <v>1</v>
          </cell>
          <cell r="H923">
            <v>0.75</v>
          </cell>
          <cell r="I923">
            <v>0.85</v>
          </cell>
          <cell r="J923">
            <v>0.9</v>
          </cell>
          <cell r="K923">
            <v>0.95</v>
          </cell>
          <cell r="L923">
            <v>0.95</v>
          </cell>
          <cell r="M923">
            <v>28</v>
          </cell>
          <cell r="N923">
            <v>28</v>
          </cell>
          <cell r="O923">
            <v>27</v>
          </cell>
          <cell r="P923">
            <v>27</v>
          </cell>
          <cell r="Q923">
            <v>28</v>
          </cell>
          <cell r="R923">
            <v>28</v>
          </cell>
          <cell r="S923">
            <v>0</v>
          </cell>
          <cell r="T923">
            <v>0</v>
          </cell>
          <cell r="U923">
            <v>23</v>
          </cell>
          <cell r="V923">
            <v>24</v>
          </cell>
          <cell r="W923">
            <v>27</v>
          </cell>
          <cell r="X923">
            <v>27</v>
          </cell>
          <cell r="Y923">
            <v>0</v>
          </cell>
          <cell r="Z923">
            <v>0</v>
          </cell>
          <cell r="AA923">
            <v>23</v>
          </cell>
          <cell r="AB923">
            <v>24</v>
          </cell>
          <cell r="AC923">
            <v>27</v>
          </cell>
          <cell r="AD923">
            <v>27</v>
          </cell>
        </row>
        <row r="924">
          <cell r="D924" t="str">
            <v>시묘골</v>
          </cell>
          <cell r="E924">
            <v>29879</v>
          </cell>
          <cell r="F924">
            <v>1</v>
          </cell>
          <cell r="H924">
            <v>0.75</v>
          </cell>
          <cell r="I924">
            <v>0.85</v>
          </cell>
          <cell r="J924">
            <v>0.9</v>
          </cell>
          <cell r="K924">
            <v>0.95</v>
          </cell>
          <cell r="L924">
            <v>0.95</v>
          </cell>
          <cell r="M924">
            <v>92</v>
          </cell>
          <cell r="N924">
            <v>92</v>
          </cell>
          <cell r="O924">
            <v>91</v>
          </cell>
          <cell r="P924">
            <v>90</v>
          </cell>
          <cell r="Q924">
            <v>92</v>
          </cell>
          <cell r="R924">
            <v>94</v>
          </cell>
          <cell r="S924">
            <v>0</v>
          </cell>
          <cell r="T924">
            <v>0</v>
          </cell>
          <cell r="U924">
            <v>77</v>
          </cell>
          <cell r="V924">
            <v>81</v>
          </cell>
          <cell r="W924">
            <v>87</v>
          </cell>
          <cell r="X924">
            <v>89</v>
          </cell>
          <cell r="Y924">
            <v>0</v>
          </cell>
          <cell r="Z924">
            <v>0</v>
          </cell>
          <cell r="AA924">
            <v>77</v>
          </cell>
          <cell r="AB924">
            <v>81</v>
          </cell>
          <cell r="AC924">
            <v>87</v>
          </cell>
          <cell r="AD924">
            <v>89</v>
          </cell>
        </row>
        <row r="925">
          <cell r="D925" t="str">
            <v>양지</v>
          </cell>
          <cell r="E925">
            <v>7800</v>
          </cell>
          <cell r="F925">
            <v>0</v>
          </cell>
          <cell r="H925">
            <v>0.75</v>
          </cell>
          <cell r="I925">
            <v>0.85</v>
          </cell>
          <cell r="J925">
            <v>0.9</v>
          </cell>
          <cell r="K925">
            <v>0.95</v>
          </cell>
          <cell r="L925">
            <v>0.95</v>
          </cell>
          <cell r="M925">
            <v>24</v>
          </cell>
          <cell r="N925">
            <v>24</v>
          </cell>
          <cell r="O925">
            <v>24</v>
          </cell>
          <cell r="P925">
            <v>24</v>
          </cell>
          <cell r="Q925">
            <v>24</v>
          </cell>
          <cell r="R925">
            <v>25</v>
          </cell>
          <cell r="S925">
            <v>18</v>
          </cell>
          <cell r="T925">
            <v>18</v>
          </cell>
          <cell r="U925">
            <v>20</v>
          </cell>
          <cell r="V925">
            <v>22</v>
          </cell>
          <cell r="W925">
            <v>23</v>
          </cell>
          <cell r="X925">
            <v>24</v>
          </cell>
          <cell r="Y925">
            <v>18</v>
          </cell>
          <cell r="Z925">
            <v>18</v>
          </cell>
          <cell r="AA925">
            <v>20</v>
          </cell>
          <cell r="AB925">
            <v>22</v>
          </cell>
          <cell r="AC925">
            <v>23</v>
          </cell>
          <cell r="AD925">
            <v>24</v>
          </cell>
        </row>
        <row r="926">
          <cell r="C926" t="str">
            <v>시묘 2</v>
          </cell>
          <cell r="D926" t="str">
            <v>계</v>
          </cell>
          <cell r="M926">
            <v>90</v>
          </cell>
          <cell r="N926">
            <v>90</v>
          </cell>
          <cell r="O926">
            <v>89</v>
          </cell>
          <cell r="P926">
            <v>88</v>
          </cell>
          <cell r="Q926">
            <v>90</v>
          </cell>
          <cell r="R926">
            <v>92</v>
          </cell>
          <cell r="S926">
            <v>0</v>
          </cell>
          <cell r="T926">
            <v>0</v>
          </cell>
          <cell r="U926">
            <v>76</v>
          </cell>
          <cell r="V926">
            <v>79</v>
          </cell>
          <cell r="W926">
            <v>86</v>
          </cell>
          <cell r="X926">
            <v>87</v>
          </cell>
          <cell r="Y926">
            <v>0</v>
          </cell>
          <cell r="Z926">
            <v>0</v>
          </cell>
          <cell r="AA926">
            <v>76</v>
          </cell>
          <cell r="AB926">
            <v>79</v>
          </cell>
          <cell r="AC926">
            <v>86</v>
          </cell>
          <cell r="AD926">
            <v>87</v>
          </cell>
        </row>
        <row r="927">
          <cell r="D927" t="str">
            <v>황골</v>
          </cell>
          <cell r="F927">
            <v>1</v>
          </cell>
          <cell r="H927">
            <v>0.75</v>
          </cell>
          <cell r="I927">
            <v>0.85</v>
          </cell>
          <cell r="J927">
            <v>0.9</v>
          </cell>
          <cell r="K927">
            <v>0.95</v>
          </cell>
          <cell r="L927">
            <v>0.95</v>
          </cell>
          <cell r="M927">
            <v>90</v>
          </cell>
          <cell r="N927">
            <v>90</v>
          </cell>
          <cell r="O927">
            <v>89</v>
          </cell>
          <cell r="P927">
            <v>88</v>
          </cell>
          <cell r="Q927">
            <v>90</v>
          </cell>
          <cell r="R927">
            <v>92</v>
          </cell>
          <cell r="S927">
            <v>0</v>
          </cell>
          <cell r="T927">
            <v>0</v>
          </cell>
          <cell r="U927">
            <v>76</v>
          </cell>
          <cell r="V927">
            <v>79</v>
          </cell>
          <cell r="W927">
            <v>86</v>
          </cell>
          <cell r="X927">
            <v>87</v>
          </cell>
          <cell r="Y927">
            <v>0</v>
          </cell>
          <cell r="Z927">
            <v>0</v>
          </cell>
          <cell r="AA927">
            <v>76</v>
          </cell>
          <cell r="AB927">
            <v>79</v>
          </cell>
          <cell r="AC927">
            <v>86</v>
          </cell>
          <cell r="AD927">
            <v>87</v>
          </cell>
        </row>
        <row r="928">
          <cell r="C928" t="str">
            <v>시묘 3</v>
          </cell>
          <cell r="D928" t="str">
            <v>계</v>
          </cell>
          <cell r="M928">
            <v>132</v>
          </cell>
          <cell r="N928">
            <v>133</v>
          </cell>
          <cell r="O928">
            <v>131</v>
          </cell>
          <cell r="P928">
            <v>128</v>
          </cell>
          <cell r="Q928">
            <v>131</v>
          </cell>
          <cell r="R928">
            <v>134</v>
          </cell>
          <cell r="S928">
            <v>0</v>
          </cell>
          <cell r="T928">
            <v>0</v>
          </cell>
          <cell r="U928">
            <v>111</v>
          </cell>
          <cell r="V928">
            <v>115</v>
          </cell>
          <cell r="W928">
            <v>124</v>
          </cell>
          <cell r="X928">
            <v>127</v>
          </cell>
          <cell r="Y928">
            <v>0</v>
          </cell>
          <cell r="Z928">
            <v>0</v>
          </cell>
          <cell r="AA928">
            <v>111</v>
          </cell>
          <cell r="AB928">
            <v>115</v>
          </cell>
          <cell r="AC928">
            <v>124</v>
          </cell>
          <cell r="AD928">
            <v>127</v>
          </cell>
        </row>
        <row r="929">
          <cell r="D929" t="str">
            <v>부수골</v>
          </cell>
          <cell r="F929">
            <v>1</v>
          </cell>
          <cell r="H929">
            <v>0.75</v>
          </cell>
          <cell r="I929">
            <v>0.85</v>
          </cell>
          <cell r="J929">
            <v>0.9</v>
          </cell>
          <cell r="K929">
            <v>0.95</v>
          </cell>
          <cell r="L929">
            <v>0.95</v>
          </cell>
          <cell r="M929">
            <v>132</v>
          </cell>
          <cell r="N929">
            <v>133</v>
          </cell>
          <cell r="O929">
            <v>131</v>
          </cell>
          <cell r="P929">
            <v>128</v>
          </cell>
          <cell r="Q929">
            <v>131</v>
          </cell>
          <cell r="R929">
            <v>134</v>
          </cell>
          <cell r="S929">
            <v>0</v>
          </cell>
          <cell r="T929">
            <v>0</v>
          </cell>
          <cell r="U929">
            <v>111</v>
          </cell>
          <cell r="V929">
            <v>115</v>
          </cell>
          <cell r="W929">
            <v>124</v>
          </cell>
          <cell r="X929">
            <v>127</v>
          </cell>
          <cell r="Y929">
            <v>0</v>
          </cell>
          <cell r="Z929">
            <v>0</v>
          </cell>
          <cell r="AA929">
            <v>111</v>
          </cell>
          <cell r="AB929">
            <v>115</v>
          </cell>
          <cell r="AC929">
            <v>124</v>
          </cell>
          <cell r="AD929">
            <v>127</v>
          </cell>
        </row>
        <row r="930">
          <cell r="C930" t="str">
            <v>시묘 4</v>
          </cell>
          <cell r="D930" t="str">
            <v>계</v>
          </cell>
          <cell r="F930">
            <v>1</v>
          </cell>
          <cell r="H930">
            <v>0.75</v>
          </cell>
          <cell r="I930">
            <v>0.85</v>
          </cell>
          <cell r="J930">
            <v>0.9</v>
          </cell>
          <cell r="K930">
            <v>0.95</v>
          </cell>
          <cell r="L930">
            <v>0.95</v>
          </cell>
          <cell r="M930">
            <v>114</v>
          </cell>
          <cell r="N930">
            <v>114</v>
          </cell>
          <cell r="O930">
            <v>112</v>
          </cell>
          <cell r="P930">
            <v>111</v>
          </cell>
          <cell r="Q930">
            <v>113</v>
          </cell>
          <cell r="R930">
            <v>115</v>
          </cell>
          <cell r="S930">
            <v>0</v>
          </cell>
          <cell r="T930">
            <v>0</v>
          </cell>
          <cell r="U930">
            <v>95</v>
          </cell>
          <cell r="V930">
            <v>100</v>
          </cell>
          <cell r="W930">
            <v>107</v>
          </cell>
          <cell r="X930">
            <v>109</v>
          </cell>
          <cell r="Y930">
            <v>0</v>
          </cell>
          <cell r="Z930">
            <v>0</v>
          </cell>
          <cell r="AA930">
            <v>95</v>
          </cell>
          <cell r="AB930">
            <v>100</v>
          </cell>
          <cell r="AC930">
            <v>107</v>
          </cell>
          <cell r="AD930">
            <v>109</v>
          </cell>
        </row>
        <row r="931">
          <cell r="C931" t="str">
            <v>용산리</v>
          </cell>
          <cell r="D931" t="str">
            <v>소계</v>
          </cell>
          <cell r="M931">
            <v>344</v>
          </cell>
          <cell r="N931">
            <v>344</v>
          </cell>
          <cell r="O931">
            <v>339</v>
          </cell>
          <cell r="P931">
            <v>335</v>
          </cell>
          <cell r="Q931">
            <v>344</v>
          </cell>
          <cell r="R931">
            <v>349</v>
          </cell>
          <cell r="S931">
            <v>258</v>
          </cell>
          <cell r="T931">
            <v>258</v>
          </cell>
          <cell r="U931">
            <v>287</v>
          </cell>
          <cell r="V931">
            <v>301</v>
          </cell>
          <cell r="W931">
            <v>326</v>
          </cell>
          <cell r="X931">
            <v>331</v>
          </cell>
          <cell r="Y931">
            <v>258</v>
          </cell>
          <cell r="Z931">
            <v>258</v>
          </cell>
          <cell r="AA931">
            <v>287</v>
          </cell>
          <cell r="AB931">
            <v>301</v>
          </cell>
          <cell r="AC931">
            <v>326</v>
          </cell>
          <cell r="AD931">
            <v>331</v>
          </cell>
        </row>
        <row r="932">
          <cell r="C932" t="str">
            <v>용산 1</v>
          </cell>
          <cell r="D932" t="str">
            <v>계</v>
          </cell>
          <cell r="F932">
            <v>0</v>
          </cell>
          <cell r="H932">
            <v>0.75</v>
          </cell>
          <cell r="I932">
            <v>0.85</v>
          </cell>
          <cell r="J932">
            <v>0.9</v>
          </cell>
          <cell r="K932">
            <v>0.95</v>
          </cell>
          <cell r="L932">
            <v>0.95</v>
          </cell>
          <cell r="M932">
            <v>119</v>
          </cell>
          <cell r="N932">
            <v>119</v>
          </cell>
          <cell r="O932">
            <v>117</v>
          </cell>
          <cell r="P932">
            <v>116</v>
          </cell>
          <cell r="Q932">
            <v>119</v>
          </cell>
          <cell r="R932">
            <v>121</v>
          </cell>
          <cell r="S932">
            <v>89</v>
          </cell>
          <cell r="T932">
            <v>89</v>
          </cell>
          <cell r="U932">
            <v>99</v>
          </cell>
          <cell r="V932">
            <v>104</v>
          </cell>
          <cell r="W932">
            <v>113</v>
          </cell>
          <cell r="X932">
            <v>115</v>
          </cell>
          <cell r="Y932">
            <v>89</v>
          </cell>
          <cell r="Z932">
            <v>89</v>
          </cell>
          <cell r="AA932">
            <v>99</v>
          </cell>
          <cell r="AB932">
            <v>104</v>
          </cell>
          <cell r="AC932">
            <v>113</v>
          </cell>
          <cell r="AD932">
            <v>115</v>
          </cell>
        </row>
        <row r="933">
          <cell r="C933" t="str">
            <v>용산 2</v>
          </cell>
          <cell r="D933" t="str">
            <v>계</v>
          </cell>
          <cell r="F933">
            <v>0</v>
          </cell>
          <cell r="H933">
            <v>0.75</v>
          </cell>
          <cell r="I933">
            <v>0.85</v>
          </cell>
          <cell r="J933">
            <v>0.9</v>
          </cell>
          <cell r="K933">
            <v>0.95</v>
          </cell>
          <cell r="L933">
            <v>0.95</v>
          </cell>
          <cell r="M933">
            <v>153</v>
          </cell>
          <cell r="N933">
            <v>153</v>
          </cell>
          <cell r="O933">
            <v>151</v>
          </cell>
          <cell r="P933">
            <v>149</v>
          </cell>
          <cell r="Q933">
            <v>153</v>
          </cell>
          <cell r="R933">
            <v>155</v>
          </cell>
          <cell r="S933">
            <v>115</v>
          </cell>
          <cell r="T933">
            <v>115</v>
          </cell>
          <cell r="U933">
            <v>128</v>
          </cell>
          <cell r="V933">
            <v>134</v>
          </cell>
          <cell r="W933">
            <v>145</v>
          </cell>
          <cell r="X933">
            <v>147</v>
          </cell>
          <cell r="Y933">
            <v>115</v>
          </cell>
          <cell r="Z933">
            <v>115</v>
          </cell>
          <cell r="AA933">
            <v>128</v>
          </cell>
          <cell r="AB933">
            <v>134</v>
          </cell>
          <cell r="AC933">
            <v>145</v>
          </cell>
          <cell r="AD933">
            <v>147</v>
          </cell>
        </row>
        <row r="934">
          <cell r="C934" t="str">
            <v>용산 3</v>
          </cell>
          <cell r="D934" t="str">
            <v>계</v>
          </cell>
          <cell r="F934">
            <v>0</v>
          </cell>
          <cell r="H934">
            <v>0.75</v>
          </cell>
          <cell r="I934">
            <v>0.85</v>
          </cell>
          <cell r="J934">
            <v>0.9</v>
          </cell>
          <cell r="K934">
            <v>0.95</v>
          </cell>
          <cell r="L934">
            <v>0.95</v>
          </cell>
          <cell r="M934">
            <v>72</v>
          </cell>
          <cell r="N934">
            <v>72</v>
          </cell>
          <cell r="O934">
            <v>71</v>
          </cell>
          <cell r="P934">
            <v>70</v>
          </cell>
          <cell r="Q934">
            <v>72</v>
          </cell>
          <cell r="R934">
            <v>73</v>
          </cell>
          <cell r="S934">
            <v>54</v>
          </cell>
          <cell r="T934">
            <v>54</v>
          </cell>
          <cell r="U934">
            <v>60</v>
          </cell>
          <cell r="V934">
            <v>63</v>
          </cell>
          <cell r="W934">
            <v>68</v>
          </cell>
          <cell r="X934">
            <v>69</v>
          </cell>
          <cell r="Y934">
            <v>54</v>
          </cell>
          <cell r="Z934">
            <v>54</v>
          </cell>
          <cell r="AA934">
            <v>60</v>
          </cell>
          <cell r="AB934">
            <v>63</v>
          </cell>
          <cell r="AC934">
            <v>68</v>
          </cell>
          <cell r="AD934">
            <v>69</v>
          </cell>
        </row>
        <row r="935">
          <cell r="C935" t="str">
            <v>교촌리-</v>
          </cell>
          <cell r="D935" t="str">
            <v>소계</v>
          </cell>
          <cell r="M935">
            <v>642</v>
          </cell>
          <cell r="N935">
            <v>644</v>
          </cell>
          <cell r="O935">
            <v>634</v>
          </cell>
          <cell r="P935">
            <v>626</v>
          </cell>
          <cell r="Q935">
            <v>641</v>
          </cell>
          <cell r="R935">
            <v>653</v>
          </cell>
          <cell r="S935">
            <v>462</v>
          </cell>
          <cell r="T935">
            <v>463</v>
          </cell>
          <cell r="U935">
            <v>546</v>
          </cell>
          <cell r="V935">
            <v>570</v>
          </cell>
          <cell r="W935">
            <v>608</v>
          </cell>
          <cell r="X935">
            <v>620</v>
          </cell>
          <cell r="Y935">
            <v>462</v>
          </cell>
          <cell r="Z935">
            <v>463</v>
          </cell>
          <cell r="AA935">
            <v>546</v>
          </cell>
          <cell r="AB935">
            <v>570</v>
          </cell>
          <cell r="AC935">
            <v>608</v>
          </cell>
          <cell r="AD935">
            <v>620</v>
          </cell>
        </row>
        <row r="936">
          <cell r="C936" t="str">
            <v>교촌 1</v>
          </cell>
          <cell r="D936" t="str">
            <v>계</v>
          </cell>
          <cell r="F936">
            <v>0</v>
          </cell>
          <cell r="H936">
            <v>0.75</v>
          </cell>
          <cell r="I936">
            <v>0.85</v>
          </cell>
          <cell r="J936">
            <v>0.9</v>
          </cell>
          <cell r="K936">
            <v>0.95</v>
          </cell>
          <cell r="L936">
            <v>0.95</v>
          </cell>
          <cell r="M936">
            <v>171</v>
          </cell>
          <cell r="N936">
            <v>172</v>
          </cell>
          <cell r="O936">
            <v>169</v>
          </cell>
          <cell r="P936">
            <v>167</v>
          </cell>
          <cell r="Q936">
            <v>171</v>
          </cell>
          <cell r="R936">
            <v>174</v>
          </cell>
          <cell r="S936">
            <v>128</v>
          </cell>
          <cell r="T936">
            <v>129</v>
          </cell>
          <cell r="U936">
            <v>144</v>
          </cell>
          <cell r="V936">
            <v>150</v>
          </cell>
          <cell r="W936">
            <v>162</v>
          </cell>
          <cell r="X936">
            <v>165</v>
          </cell>
          <cell r="Y936">
            <v>128</v>
          </cell>
          <cell r="Z936">
            <v>129</v>
          </cell>
          <cell r="AA936">
            <v>144</v>
          </cell>
          <cell r="AB936">
            <v>150</v>
          </cell>
          <cell r="AC936">
            <v>162</v>
          </cell>
          <cell r="AD936">
            <v>165</v>
          </cell>
        </row>
        <row r="937">
          <cell r="C937" t="str">
            <v>교촌 2</v>
          </cell>
          <cell r="D937" t="str">
            <v>계</v>
          </cell>
          <cell r="F937">
            <v>0</v>
          </cell>
          <cell r="H937">
            <v>0.75</v>
          </cell>
          <cell r="I937">
            <v>0.85</v>
          </cell>
          <cell r="J937">
            <v>0.9</v>
          </cell>
          <cell r="K937">
            <v>0.95</v>
          </cell>
          <cell r="L937">
            <v>0.95</v>
          </cell>
          <cell r="M937">
            <v>338</v>
          </cell>
          <cell r="N937">
            <v>338</v>
          </cell>
          <cell r="O937">
            <v>333</v>
          </cell>
          <cell r="P937">
            <v>330</v>
          </cell>
          <cell r="Q937">
            <v>338</v>
          </cell>
          <cell r="R937">
            <v>344</v>
          </cell>
          <cell r="S937">
            <v>254</v>
          </cell>
          <cell r="T937">
            <v>254</v>
          </cell>
          <cell r="U937">
            <v>283</v>
          </cell>
          <cell r="V937">
            <v>297</v>
          </cell>
          <cell r="W937">
            <v>321</v>
          </cell>
          <cell r="X937">
            <v>327</v>
          </cell>
          <cell r="Y937">
            <v>254</v>
          </cell>
          <cell r="Z937">
            <v>254</v>
          </cell>
          <cell r="AA937">
            <v>283</v>
          </cell>
          <cell r="AB937">
            <v>297</v>
          </cell>
          <cell r="AC937">
            <v>321</v>
          </cell>
          <cell r="AD937">
            <v>327</v>
          </cell>
        </row>
        <row r="938">
          <cell r="C938" t="str">
            <v>교촌 3</v>
          </cell>
          <cell r="D938" t="str">
            <v>계</v>
          </cell>
          <cell r="F938">
            <v>0</v>
          </cell>
          <cell r="H938">
            <v>0.6</v>
          </cell>
          <cell r="I938">
            <v>0.9</v>
          </cell>
          <cell r="J938">
            <v>0.95</v>
          </cell>
          <cell r="K938">
            <v>0.95</v>
          </cell>
          <cell r="L938">
            <v>0.95</v>
          </cell>
          <cell r="M938">
            <v>133</v>
          </cell>
          <cell r="N938">
            <v>134</v>
          </cell>
          <cell r="O938">
            <v>132</v>
          </cell>
          <cell r="P938">
            <v>129</v>
          </cell>
          <cell r="Q938">
            <v>132</v>
          </cell>
          <cell r="R938">
            <v>135</v>
          </cell>
          <cell r="S938">
            <v>80</v>
          </cell>
          <cell r="T938">
            <v>80</v>
          </cell>
          <cell r="U938">
            <v>119</v>
          </cell>
          <cell r="V938">
            <v>123</v>
          </cell>
          <cell r="W938">
            <v>125</v>
          </cell>
          <cell r="X938">
            <v>128</v>
          </cell>
          <cell r="Y938">
            <v>80</v>
          </cell>
          <cell r="Z938">
            <v>80</v>
          </cell>
          <cell r="AA938">
            <v>119</v>
          </cell>
          <cell r="AB938">
            <v>123</v>
          </cell>
          <cell r="AC938">
            <v>125</v>
          </cell>
          <cell r="AD938">
            <v>128</v>
          </cell>
        </row>
        <row r="939">
          <cell r="C939" t="str">
            <v>와야리</v>
          </cell>
          <cell r="D939" t="str">
            <v>소계</v>
          </cell>
          <cell r="F939">
            <v>0</v>
          </cell>
          <cell r="H939">
            <v>0.55000000000000004</v>
          </cell>
          <cell r="I939">
            <v>0.9</v>
          </cell>
          <cell r="J939">
            <v>0.95</v>
          </cell>
          <cell r="K939">
            <v>0.95</v>
          </cell>
          <cell r="L939">
            <v>0.95</v>
          </cell>
          <cell r="M939">
            <v>1310</v>
          </cell>
          <cell r="N939">
            <v>1312</v>
          </cell>
          <cell r="O939">
            <v>1291</v>
          </cell>
          <cell r="P939">
            <v>1278</v>
          </cell>
          <cell r="Q939">
            <v>1309</v>
          </cell>
          <cell r="R939">
            <v>1332</v>
          </cell>
          <cell r="S939">
            <v>721</v>
          </cell>
          <cell r="T939">
            <v>722</v>
          </cell>
          <cell r="U939">
            <v>1162</v>
          </cell>
          <cell r="V939">
            <v>1214</v>
          </cell>
          <cell r="W939">
            <v>1244</v>
          </cell>
          <cell r="X939">
            <v>1265</v>
          </cell>
          <cell r="Y939">
            <v>721</v>
          </cell>
          <cell r="Z939">
            <v>722</v>
          </cell>
          <cell r="AA939">
            <v>1162</v>
          </cell>
          <cell r="AB939">
            <v>1214</v>
          </cell>
          <cell r="AC939">
            <v>1244</v>
          </cell>
          <cell r="AD939">
            <v>1265</v>
          </cell>
        </row>
        <row r="940">
          <cell r="C940" t="str">
            <v>남산리</v>
          </cell>
          <cell r="D940" t="str">
            <v>소계</v>
          </cell>
          <cell r="M940">
            <v>424</v>
          </cell>
          <cell r="N940">
            <v>425</v>
          </cell>
          <cell r="O940">
            <v>419</v>
          </cell>
          <cell r="P940">
            <v>414</v>
          </cell>
          <cell r="Q940">
            <v>423</v>
          </cell>
          <cell r="R940">
            <v>432</v>
          </cell>
          <cell r="S940">
            <v>318</v>
          </cell>
          <cell r="T940">
            <v>319</v>
          </cell>
          <cell r="U940">
            <v>356</v>
          </cell>
          <cell r="V940">
            <v>372</v>
          </cell>
          <cell r="W940">
            <v>401</v>
          </cell>
          <cell r="X940">
            <v>410</v>
          </cell>
          <cell r="Y940">
            <v>318</v>
          </cell>
          <cell r="Z940">
            <v>319</v>
          </cell>
          <cell r="AA940">
            <v>356</v>
          </cell>
          <cell r="AB940">
            <v>372</v>
          </cell>
          <cell r="AC940">
            <v>401</v>
          </cell>
          <cell r="AD940">
            <v>410</v>
          </cell>
        </row>
        <row r="941">
          <cell r="C941" t="str">
            <v>남산 1</v>
          </cell>
          <cell r="D941" t="str">
            <v>계</v>
          </cell>
          <cell r="F941">
            <v>0</v>
          </cell>
          <cell r="H941">
            <v>0.75</v>
          </cell>
          <cell r="I941">
            <v>0.85</v>
          </cell>
          <cell r="J941">
            <v>0.9</v>
          </cell>
          <cell r="K941">
            <v>0.95</v>
          </cell>
          <cell r="L941">
            <v>0.95</v>
          </cell>
          <cell r="M941">
            <v>200</v>
          </cell>
          <cell r="N941">
            <v>200</v>
          </cell>
          <cell r="O941">
            <v>197</v>
          </cell>
          <cell r="P941">
            <v>196</v>
          </cell>
          <cell r="Q941">
            <v>200</v>
          </cell>
          <cell r="R941">
            <v>204</v>
          </cell>
          <cell r="S941">
            <v>150</v>
          </cell>
          <cell r="T941">
            <v>150</v>
          </cell>
          <cell r="U941">
            <v>167</v>
          </cell>
          <cell r="V941">
            <v>176</v>
          </cell>
          <cell r="W941">
            <v>190</v>
          </cell>
          <cell r="X941">
            <v>194</v>
          </cell>
          <cell r="Y941">
            <v>150</v>
          </cell>
          <cell r="Z941">
            <v>150</v>
          </cell>
          <cell r="AA941">
            <v>167</v>
          </cell>
          <cell r="AB941">
            <v>176</v>
          </cell>
          <cell r="AC941">
            <v>190</v>
          </cell>
          <cell r="AD941">
            <v>194</v>
          </cell>
        </row>
        <row r="942">
          <cell r="C942" t="str">
            <v>남산 2</v>
          </cell>
          <cell r="D942" t="str">
            <v>계</v>
          </cell>
          <cell r="F942">
            <v>0</v>
          </cell>
          <cell r="H942">
            <v>0.75</v>
          </cell>
          <cell r="I942">
            <v>0.85</v>
          </cell>
          <cell r="J942">
            <v>0.9</v>
          </cell>
          <cell r="K942">
            <v>0.95</v>
          </cell>
          <cell r="L942">
            <v>0.95</v>
          </cell>
          <cell r="M942">
            <v>91</v>
          </cell>
          <cell r="N942">
            <v>91</v>
          </cell>
          <cell r="O942">
            <v>90</v>
          </cell>
          <cell r="P942">
            <v>89</v>
          </cell>
          <cell r="Q942">
            <v>91</v>
          </cell>
          <cell r="R942">
            <v>93</v>
          </cell>
          <cell r="S942">
            <v>68</v>
          </cell>
          <cell r="T942">
            <v>68</v>
          </cell>
          <cell r="U942">
            <v>77</v>
          </cell>
          <cell r="V942">
            <v>80</v>
          </cell>
          <cell r="W942">
            <v>86</v>
          </cell>
          <cell r="X942">
            <v>88</v>
          </cell>
          <cell r="Y942">
            <v>68</v>
          </cell>
          <cell r="Z942">
            <v>68</v>
          </cell>
          <cell r="AA942">
            <v>77</v>
          </cell>
          <cell r="AB942">
            <v>80</v>
          </cell>
          <cell r="AC942">
            <v>86</v>
          </cell>
          <cell r="AD942">
            <v>88</v>
          </cell>
        </row>
        <row r="943">
          <cell r="C943" t="str">
            <v>남산 3</v>
          </cell>
          <cell r="D943" t="str">
            <v>계</v>
          </cell>
          <cell r="F943">
            <v>0</v>
          </cell>
          <cell r="H943">
            <v>0.75</v>
          </cell>
          <cell r="I943">
            <v>0.85</v>
          </cell>
          <cell r="J943">
            <v>0.9</v>
          </cell>
          <cell r="K943">
            <v>0.95</v>
          </cell>
          <cell r="L943">
            <v>0.95</v>
          </cell>
          <cell r="M943">
            <v>133</v>
          </cell>
          <cell r="N943">
            <v>134</v>
          </cell>
          <cell r="O943">
            <v>132</v>
          </cell>
          <cell r="P943">
            <v>129</v>
          </cell>
          <cell r="Q943">
            <v>132</v>
          </cell>
          <cell r="R943">
            <v>135</v>
          </cell>
          <cell r="S943">
            <v>100</v>
          </cell>
          <cell r="T943">
            <v>101</v>
          </cell>
          <cell r="U943">
            <v>112</v>
          </cell>
          <cell r="V943">
            <v>116</v>
          </cell>
          <cell r="W943">
            <v>125</v>
          </cell>
          <cell r="X943">
            <v>128</v>
          </cell>
          <cell r="Y943">
            <v>100</v>
          </cell>
          <cell r="Z943">
            <v>101</v>
          </cell>
          <cell r="AA943">
            <v>112</v>
          </cell>
          <cell r="AB943">
            <v>116</v>
          </cell>
          <cell r="AC943">
            <v>125</v>
          </cell>
          <cell r="AD943">
            <v>128</v>
          </cell>
        </row>
        <row r="944">
          <cell r="C944" t="str">
            <v>성덕리</v>
          </cell>
          <cell r="D944" t="str">
            <v>소계</v>
          </cell>
          <cell r="E944">
            <v>46228</v>
          </cell>
          <cell r="M944">
            <v>282</v>
          </cell>
          <cell r="N944">
            <v>283</v>
          </cell>
          <cell r="O944">
            <v>278</v>
          </cell>
          <cell r="P944">
            <v>275</v>
          </cell>
          <cell r="Q944">
            <v>282</v>
          </cell>
          <cell r="R944">
            <v>287</v>
          </cell>
          <cell r="S944">
            <v>0</v>
          </cell>
          <cell r="T944">
            <v>0</v>
          </cell>
          <cell r="U944">
            <v>0</v>
          </cell>
          <cell r="V944">
            <v>247</v>
          </cell>
          <cell r="W944">
            <v>268</v>
          </cell>
          <cell r="X944">
            <v>273</v>
          </cell>
          <cell r="Y944">
            <v>0</v>
          </cell>
          <cell r="Z944">
            <v>0</v>
          </cell>
          <cell r="AA944">
            <v>0</v>
          </cell>
          <cell r="AB944">
            <v>247</v>
          </cell>
          <cell r="AC944">
            <v>268</v>
          </cell>
          <cell r="AD944">
            <v>273</v>
          </cell>
        </row>
        <row r="945">
          <cell r="D945" t="str">
            <v>섭포</v>
          </cell>
          <cell r="E945">
            <v>19633</v>
          </cell>
          <cell r="F945">
            <v>2</v>
          </cell>
          <cell r="H945">
            <v>0.75</v>
          </cell>
          <cell r="I945">
            <v>0.85</v>
          </cell>
          <cell r="J945">
            <v>0.9</v>
          </cell>
          <cell r="K945">
            <v>0.95</v>
          </cell>
          <cell r="L945">
            <v>0.95</v>
          </cell>
          <cell r="M945">
            <v>120</v>
          </cell>
          <cell r="N945">
            <v>120</v>
          </cell>
          <cell r="O945">
            <v>118</v>
          </cell>
          <cell r="P945">
            <v>117</v>
          </cell>
          <cell r="Q945">
            <v>120</v>
          </cell>
          <cell r="R945">
            <v>122</v>
          </cell>
          <cell r="S945">
            <v>0</v>
          </cell>
          <cell r="T945">
            <v>0</v>
          </cell>
          <cell r="U945">
            <v>0</v>
          </cell>
          <cell r="V945">
            <v>105</v>
          </cell>
          <cell r="W945">
            <v>114</v>
          </cell>
          <cell r="X945">
            <v>116</v>
          </cell>
          <cell r="Y945">
            <v>0</v>
          </cell>
          <cell r="Z945">
            <v>0</v>
          </cell>
          <cell r="AA945">
            <v>0</v>
          </cell>
          <cell r="AB945">
            <v>105</v>
          </cell>
          <cell r="AC945">
            <v>114</v>
          </cell>
          <cell r="AD945">
            <v>116</v>
          </cell>
        </row>
        <row r="946">
          <cell r="D946" t="str">
            <v>상성</v>
          </cell>
          <cell r="E946">
            <v>26595</v>
          </cell>
          <cell r="F946">
            <v>2</v>
          </cell>
          <cell r="H946">
            <v>0.75</v>
          </cell>
          <cell r="I946">
            <v>0.85</v>
          </cell>
          <cell r="J946">
            <v>0.9</v>
          </cell>
          <cell r="K946">
            <v>0.95</v>
          </cell>
          <cell r="L946">
            <v>0.95</v>
          </cell>
          <cell r="M946">
            <v>162</v>
          </cell>
          <cell r="N946">
            <v>163</v>
          </cell>
          <cell r="O946">
            <v>160</v>
          </cell>
          <cell r="P946">
            <v>158</v>
          </cell>
          <cell r="Q946">
            <v>162</v>
          </cell>
          <cell r="R946">
            <v>165</v>
          </cell>
          <cell r="S946">
            <v>0</v>
          </cell>
          <cell r="T946">
            <v>0</v>
          </cell>
          <cell r="U946">
            <v>0</v>
          </cell>
          <cell r="V946">
            <v>142</v>
          </cell>
          <cell r="W946">
            <v>154</v>
          </cell>
          <cell r="X946">
            <v>157</v>
          </cell>
          <cell r="Y946">
            <v>0</v>
          </cell>
          <cell r="Z946">
            <v>0</v>
          </cell>
          <cell r="AA946">
            <v>0</v>
          </cell>
          <cell r="AB946">
            <v>142</v>
          </cell>
          <cell r="AC946">
            <v>154</v>
          </cell>
          <cell r="AD946">
            <v>157</v>
          </cell>
        </row>
        <row r="947">
          <cell r="C947" t="str">
            <v>성평리</v>
          </cell>
          <cell r="D947" t="str">
            <v>소계</v>
          </cell>
          <cell r="M947">
            <v>544</v>
          </cell>
          <cell r="N947">
            <v>544</v>
          </cell>
          <cell r="O947">
            <v>536</v>
          </cell>
          <cell r="P947">
            <v>532</v>
          </cell>
          <cell r="Q947">
            <v>544</v>
          </cell>
          <cell r="R947">
            <v>554</v>
          </cell>
          <cell r="S947">
            <v>203</v>
          </cell>
          <cell r="T947">
            <v>203</v>
          </cell>
          <cell r="U947">
            <v>226</v>
          </cell>
          <cell r="V947">
            <v>479</v>
          </cell>
          <cell r="W947">
            <v>517</v>
          </cell>
          <cell r="X947">
            <v>526</v>
          </cell>
          <cell r="Y947">
            <v>203</v>
          </cell>
          <cell r="Z947">
            <v>203</v>
          </cell>
          <cell r="AA947">
            <v>226</v>
          </cell>
          <cell r="AB947">
            <v>479</v>
          </cell>
          <cell r="AC947">
            <v>517</v>
          </cell>
          <cell r="AD947">
            <v>526</v>
          </cell>
        </row>
        <row r="948">
          <cell r="C948" t="str">
            <v>성평 1</v>
          </cell>
          <cell r="D948" t="str">
            <v>계</v>
          </cell>
          <cell r="F948">
            <v>2</v>
          </cell>
          <cell r="H948">
            <v>0.75</v>
          </cell>
          <cell r="I948">
            <v>0.85</v>
          </cell>
          <cell r="J948">
            <v>0.9</v>
          </cell>
          <cell r="K948">
            <v>0.95</v>
          </cell>
          <cell r="L948">
            <v>0.95</v>
          </cell>
          <cell r="M948">
            <v>112</v>
          </cell>
          <cell r="N948">
            <v>112</v>
          </cell>
          <cell r="O948">
            <v>110</v>
          </cell>
          <cell r="P948">
            <v>110</v>
          </cell>
          <cell r="Q948">
            <v>112</v>
          </cell>
          <cell r="R948">
            <v>114</v>
          </cell>
          <cell r="S948">
            <v>0</v>
          </cell>
          <cell r="T948">
            <v>0</v>
          </cell>
          <cell r="U948">
            <v>0</v>
          </cell>
          <cell r="V948">
            <v>99</v>
          </cell>
          <cell r="W948">
            <v>106</v>
          </cell>
          <cell r="X948">
            <v>108</v>
          </cell>
          <cell r="Y948">
            <v>0</v>
          </cell>
          <cell r="Z948">
            <v>0</v>
          </cell>
          <cell r="AA948">
            <v>0</v>
          </cell>
          <cell r="AB948">
            <v>99</v>
          </cell>
          <cell r="AC948">
            <v>106</v>
          </cell>
          <cell r="AD948">
            <v>108</v>
          </cell>
        </row>
        <row r="949">
          <cell r="C949" t="str">
            <v>성평 2</v>
          </cell>
          <cell r="D949" t="str">
            <v>계</v>
          </cell>
          <cell r="F949">
            <v>2</v>
          </cell>
          <cell r="H949">
            <v>0.75</v>
          </cell>
          <cell r="I949">
            <v>0.85</v>
          </cell>
          <cell r="J949">
            <v>0.9</v>
          </cell>
          <cell r="K949">
            <v>0.95</v>
          </cell>
          <cell r="L949">
            <v>0.95</v>
          </cell>
          <cell r="M949">
            <v>162</v>
          </cell>
          <cell r="N949">
            <v>162</v>
          </cell>
          <cell r="O949">
            <v>160</v>
          </cell>
          <cell r="P949">
            <v>158</v>
          </cell>
          <cell r="Q949">
            <v>162</v>
          </cell>
          <cell r="R949">
            <v>165</v>
          </cell>
          <cell r="S949">
            <v>0</v>
          </cell>
          <cell r="T949">
            <v>0</v>
          </cell>
          <cell r="U949">
            <v>0</v>
          </cell>
          <cell r="V949">
            <v>142</v>
          </cell>
          <cell r="W949">
            <v>154</v>
          </cell>
          <cell r="X949">
            <v>157</v>
          </cell>
          <cell r="Y949">
            <v>0</v>
          </cell>
          <cell r="Z949">
            <v>0</v>
          </cell>
          <cell r="AA949">
            <v>0</v>
          </cell>
          <cell r="AB949">
            <v>142</v>
          </cell>
          <cell r="AC949">
            <v>154</v>
          </cell>
          <cell r="AD949">
            <v>157</v>
          </cell>
        </row>
        <row r="950">
          <cell r="C950" t="str">
            <v>성평 3</v>
          </cell>
          <cell r="D950" t="str">
            <v>계</v>
          </cell>
          <cell r="F950">
            <v>0</v>
          </cell>
          <cell r="H950">
            <v>0.75</v>
          </cell>
          <cell r="I950">
            <v>0.85</v>
          </cell>
          <cell r="J950">
            <v>0.9</v>
          </cell>
          <cell r="K950">
            <v>0.95</v>
          </cell>
          <cell r="L950">
            <v>0.95</v>
          </cell>
          <cell r="M950">
            <v>270</v>
          </cell>
          <cell r="N950">
            <v>270</v>
          </cell>
          <cell r="O950">
            <v>266</v>
          </cell>
          <cell r="P950">
            <v>264</v>
          </cell>
          <cell r="Q950">
            <v>270</v>
          </cell>
          <cell r="R950">
            <v>275</v>
          </cell>
          <cell r="S950">
            <v>203</v>
          </cell>
          <cell r="T950">
            <v>203</v>
          </cell>
          <cell r="U950">
            <v>226</v>
          </cell>
          <cell r="V950">
            <v>238</v>
          </cell>
          <cell r="W950">
            <v>257</v>
          </cell>
          <cell r="X950">
            <v>261</v>
          </cell>
          <cell r="Y950">
            <v>203</v>
          </cell>
          <cell r="Z950">
            <v>203</v>
          </cell>
          <cell r="AA950">
            <v>226</v>
          </cell>
          <cell r="AB950">
            <v>238</v>
          </cell>
          <cell r="AC950">
            <v>257</v>
          </cell>
          <cell r="AD950">
            <v>261</v>
          </cell>
        </row>
        <row r="951">
          <cell r="M951">
            <v>2879</v>
          </cell>
          <cell r="N951">
            <v>2881</v>
          </cell>
          <cell r="O951">
            <v>2839</v>
          </cell>
          <cell r="P951">
            <v>2807</v>
          </cell>
          <cell r="Q951">
            <v>2877</v>
          </cell>
          <cell r="R951">
            <v>2930</v>
          </cell>
          <cell r="S951">
            <v>2109</v>
          </cell>
          <cell r="T951">
            <v>2111</v>
          </cell>
          <cell r="U951">
            <v>2557</v>
          </cell>
          <cell r="V951">
            <v>2667</v>
          </cell>
          <cell r="W951">
            <v>2735</v>
          </cell>
          <cell r="X951">
            <v>2783</v>
          </cell>
          <cell r="Y951">
            <v>2109</v>
          </cell>
          <cell r="Z951">
            <v>2111</v>
          </cell>
          <cell r="AA951">
            <v>2557</v>
          </cell>
          <cell r="AB951">
            <v>2667</v>
          </cell>
          <cell r="AC951">
            <v>2735</v>
          </cell>
          <cell r="AD951">
            <v>2783</v>
          </cell>
        </row>
        <row r="952">
          <cell r="C952" t="str">
            <v>화산리</v>
          </cell>
          <cell r="D952" t="str">
            <v>소계</v>
          </cell>
          <cell r="M952">
            <v>591</v>
          </cell>
          <cell r="N952">
            <v>592</v>
          </cell>
          <cell r="O952">
            <v>584</v>
          </cell>
          <cell r="P952">
            <v>576</v>
          </cell>
          <cell r="Q952">
            <v>590</v>
          </cell>
          <cell r="R952">
            <v>602</v>
          </cell>
          <cell r="S952">
            <v>444</v>
          </cell>
          <cell r="T952">
            <v>445</v>
          </cell>
          <cell r="U952">
            <v>526</v>
          </cell>
          <cell r="V952">
            <v>547</v>
          </cell>
          <cell r="W952">
            <v>561</v>
          </cell>
          <cell r="X952">
            <v>572</v>
          </cell>
          <cell r="Y952">
            <v>444</v>
          </cell>
          <cell r="Z952">
            <v>445</v>
          </cell>
          <cell r="AA952">
            <v>526</v>
          </cell>
          <cell r="AB952">
            <v>547</v>
          </cell>
          <cell r="AC952">
            <v>561</v>
          </cell>
          <cell r="AD952">
            <v>572</v>
          </cell>
        </row>
        <row r="953">
          <cell r="C953" t="str">
            <v>화산 1</v>
          </cell>
          <cell r="D953" t="str">
            <v>계</v>
          </cell>
          <cell r="F953">
            <v>0</v>
          </cell>
          <cell r="H953">
            <v>0.75</v>
          </cell>
          <cell r="I953">
            <v>0.9</v>
          </cell>
          <cell r="J953">
            <v>0.95</v>
          </cell>
          <cell r="K953">
            <v>0.95</v>
          </cell>
          <cell r="L953">
            <v>0.95</v>
          </cell>
          <cell r="M953">
            <v>237</v>
          </cell>
          <cell r="N953">
            <v>237</v>
          </cell>
          <cell r="O953">
            <v>234</v>
          </cell>
          <cell r="P953">
            <v>231</v>
          </cell>
          <cell r="Q953">
            <v>236</v>
          </cell>
          <cell r="R953">
            <v>241</v>
          </cell>
          <cell r="S953">
            <v>178</v>
          </cell>
          <cell r="T953">
            <v>178</v>
          </cell>
          <cell r="U953">
            <v>211</v>
          </cell>
          <cell r="V953">
            <v>219</v>
          </cell>
          <cell r="W953">
            <v>224</v>
          </cell>
          <cell r="X953">
            <v>229</v>
          </cell>
          <cell r="Y953">
            <v>178</v>
          </cell>
          <cell r="Z953">
            <v>178</v>
          </cell>
          <cell r="AA953">
            <v>211</v>
          </cell>
          <cell r="AB953">
            <v>219</v>
          </cell>
          <cell r="AC953">
            <v>224</v>
          </cell>
          <cell r="AD953">
            <v>229</v>
          </cell>
        </row>
        <row r="954">
          <cell r="C954" t="str">
            <v>화산 2</v>
          </cell>
          <cell r="D954" t="str">
            <v>계</v>
          </cell>
          <cell r="F954">
            <v>0</v>
          </cell>
          <cell r="H954">
            <v>0.75</v>
          </cell>
          <cell r="I954">
            <v>0.9</v>
          </cell>
          <cell r="J954">
            <v>0.95</v>
          </cell>
          <cell r="K954">
            <v>0.95</v>
          </cell>
          <cell r="L954">
            <v>0.95</v>
          </cell>
          <cell r="M954">
            <v>225</v>
          </cell>
          <cell r="N954">
            <v>225</v>
          </cell>
          <cell r="O954">
            <v>222</v>
          </cell>
          <cell r="P954">
            <v>219</v>
          </cell>
          <cell r="Q954">
            <v>225</v>
          </cell>
          <cell r="R954">
            <v>229</v>
          </cell>
          <cell r="S954">
            <v>169</v>
          </cell>
          <cell r="T954">
            <v>169</v>
          </cell>
          <cell r="U954">
            <v>200</v>
          </cell>
          <cell r="V954">
            <v>208</v>
          </cell>
          <cell r="W954">
            <v>214</v>
          </cell>
          <cell r="X954">
            <v>218</v>
          </cell>
          <cell r="Y954">
            <v>169</v>
          </cell>
          <cell r="Z954">
            <v>169</v>
          </cell>
          <cell r="AA954">
            <v>200</v>
          </cell>
          <cell r="AB954">
            <v>208</v>
          </cell>
          <cell r="AC954">
            <v>214</v>
          </cell>
          <cell r="AD954">
            <v>218</v>
          </cell>
        </row>
        <row r="955">
          <cell r="C955" t="str">
            <v>화산 3</v>
          </cell>
          <cell r="D955" t="str">
            <v>계</v>
          </cell>
          <cell r="F955">
            <v>0</v>
          </cell>
          <cell r="H955">
            <v>0.75</v>
          </cell>
          <cell r="I955">
            <v>0.9</v>
          </cell>
          <cell r="J955">
            <v>0.95</v>
          </cell>
          <cell r="K955">
            <v>0.95</v>
          </cell>
          <cell r="L955">
            <v>0.95</v>
          </cell>
          <cell r="M955">
            <v>129</v>
          </cell>
          <cell r="N955">
            <v>130</v>
          </cell>
          <cell r="O955">
            <v>128</v>
          </cell>
          <cell r="P955">
            <v>126</v>
          </cell>
          <cell r="Q955">
            <v>129</v>
          </cell>
          <cell r="R955">
            <v>132</v>
          </cell>
          <cell r="S955">
            <v>97</v>
          </cell>
          <cell r="T955">
            <v>98</v>
          </cell>
          <cell r="U955">
            <v>115</v>
          </cell>
          <cell r="V955">
            <v>120</v>
          </cell>
          <cell r="W955">
            <v>123</v>
          </cell>
          <cell r="X955">
            <v>125</v>
          </cell>
          <cell r="Y955">
            <v>97</v>
          </cell>
          <cell r="Z955">
            <v>98</v>
          </cell>
          <cell r="AA955">
            <v>115</v>
          </cell>
          <cell r="AB955">
            <v>120</v>
          </cell>
          <cell r="AC955">
            <v>123</v>
          </cell>
          <cell r="AD955">
            <v>125</v>
          </cell>
        </row>
        <row r="956">
          <cell r="C956" t="str">
            <v>용화리</v>
          </cell>
          <cell r="D956" t="str">
            <v>소계</v>
          </cell>
          <cell r="M956">
            <v>514</v>
          </cell>
          <cell r="N956">
            <v>514</v>
          </cell>
          <cell r="O956">
            <v>507</v>
          </cell>
          <cell r="P956">
            <v>501</v>
          </cell>
          <cell r="Q956">
            <v>513</v>
          </cell>
          <cell r="R956">
            <v>522</v>
          </cell>
          <cell r="S956">
            <v>387</v>
          </cell>
          <cell r="T956">
            <v>387</v>
          </cell>
          <cell r="U956">
            <v>457</v>
          </cell>
          <cell r="V956">
            <v>477</v>
          </cell>
          <cell r="W956">
            <v>488</v>
          </cell>
          <cell r="X956">
            <v>496</v>
          </cell>
          <cell r="Y956">
            <v>387</v>
          </cell>
          <cell r="Z956">
            <v>387</v>
          </cell>
          <cell r="AA956">
            <v>457</v>
          </cell>
          <cell r="AB956">
            <v>477</v>
          </cell>
          <cell r="AC956">
            <v>488</v>
          </cell>
          <cell r="AD956">
            <v>496</v>
          </cell>
        </row>
        <row r="957">
          <cell r="C957" t="str">
            <v>용화 1</v>
          </cell>
          <cell r="D957" t="str">
            <v>계</v>
          </cell>
          <cell r="F957">
            <v>0</v>
          </cell>
          <cell r="H957">
            <v>0.75</v>
          </cell>
          <cell r="I957">
            <v>0.9</v>
          </cell>
          <cell r="J957">
            <v>0.95</v>
          </cell>
          <cell r="K957">
            <v>0.95</v>
          </cell>
          <cell r="L957">
            <v>0.95</v>
          </cell>
          <cell r="M957">
            <v>149</v>
          </cell>
          <cell r="N957">
            <v>149</v>
          </cell>
          <cell r="O957">
            <v>147</v>
          </cell>
          <cell r="P957">
            <v>145</v>
          </cell>
          <cell r="Q957">
            <v>148</v>
          </cell>
          <cell r="R957">
            <v>151</v>
          </cell>
          <cell r="S957">
            <v>112</v>
          </cell>
          <cell r="T957">
            <v>112</v>
          </cell>
          <cell r="U957">
            <v>132</v>
          </cell>
          <cell r="V957">
            <v>138</v>
          </cell>
          <cell r="W957">
            <v>141</v>
          </cell>
          <cell r="X957">
            <v>143</v>
          </cell>
          <cell r="Y957">
            <v>112</v>
          </cell>
          <cell r="Z957">
            <v>112</v>
          </cell>
          <cell r="AA957">
            <v>132</v>
          </cell>
          <cell r="AB957">
            <v>138</v>
          </cell>
          <cell r="AC957">
            <v>141</v>
          </cell>
          <cell r="AD957">
            <v>143</v>
          </cell>
        </row>
        <row r="958">
          <cell r="C958" t="str">
            <v>용화 2</v>
          </cell>
          <cell r="D958" t="str">
            <v>계</v>
          </cell>
          <cell r="F958">
            <v>0</v>
          </cell>
          <cell r="H958">
            <v>0.75</v>
          </cell>
          <cell r="I958">
            <v>0.9</v>
          </cell>
          <cell r="J958">
            <v>0.95</v>
          </cell>
          <cell r="K958">
            <v>0.95</v>
          </cell>
          <cell r="L958">
            <v>0.95</v>
          </cell>
          <cell r="M958">
            <v>145</v>
          </cell>
          <cell r="N958">
            <v>145</v>
          </cell>
          <cell r="O958">
            <v>143</v>
          </cell>
          <cell r="P958">
            <v>142</v>
          </cell>
          <cell r="Q958">
            <v>145</v>
          </cell>
          <cell r="R958">
            <v>148</v>
          </cell>
          <cell r="S958">
            <v>109</v>
          </cell>
          <cell r="T958">
            <v>109</v>
          </cell>
          <cell r="U958">
            <v>129</v>
          </cell>
          <cell r="V958">
            <v>135</v>
          </cell>
          <cell r="W958">
            <v>138</v>
          </cell>
          <cell r="X958">
            <v>141</v>
          </cell>
          <cell r="Y958">
            <v>109</v>
          </cell>
          <cell r="Z958">
            <v>109</v>
          </cell>
          <cell r="AA958">
            <v>129</v>
          </cell>
          <cell r="AB958">
            <v>135</v>
          </cell>
          <cell r="AC958">
            <v>138</v>
          </cell>
          <cell r="AD958">
            <v>141</v>
          </cell>
        </row>
        <row r="959">
          <cell r="C959" t="str">
            <v>용화 3</v>
          </cell>
          <cell r="D959" t="str">
            <v>계</v>
          </cell>
          <cell r="F959">
            <v>0</v>
          </cell>
          <cell r="H959">
            <v>0.75</v>
          </cell>
          <cell r="I959">
            <v>0.9</v>
          </cell>
          <cell r="J959">
            <v>0.95</v>
          </cell>
          <cell r="K959">
            <v>0.95</v>
          </cell>
          <cell r="L959">
            <v>0.95</v>
          </cell>
          <cell r="M959">
            <v>154</v>
          </cell>
          <cell r="N959">
            <v>154</v>
          </cell>
          <cell r="O959">
            <v>152</v>
          </cell>
          <cell r="P959">
            <v>150</v>
          </cell>
          <cell r="Q959">
            <v>154</v>
          </cell>
          <cell r="R959">
            <v>156</v>
          </cell>
          <cell r="S959">
            <v>116</v>
          </cell>
          <cell r="T959">
            <v>116</v>
          </cell>
          <cell r="U959">
            <v>137</v>
          </cell>
          <cell r="V959">
            <v>143</v>
          </cell>
          <cell r="W959">
            <v>146</v>
          </cell>
          <cell r="X959">
            <v>148</v>
          </cell>
          <cell r="Y959">
            <v>116</v>
          </cell>
          <cell r="Z959">
            <v>116</v>
          </cell>
          <cell r="AA959">
            <v>137</v>
          </cell>
          <cell r="AB959">
            <v>143</v>
          </cell>
          <cell r="AC959">
            <v>146</v>
          </cell>
          <cell r="AD959">
            <v>148</v>
          </cell>
        </row>
        <row r="960">
          <cell r="C960" t="str">
            <v>용화 4</v>
          </cell>
          <cell r="D960" t="str">
            <v>계</v>
          </cell>
          <cell r="F960">
            <v>0</v>
          </cell>
          <cell r="H960">
            <v>0.75</v>
          </cell>
          <cell r="I960">
            <v>0.9</v>
          </cell>
          <cell r="J960">
            <v>0.95</v>
          </cell>
          <cell r="K960">
            <v>0.95</v>
          </cell>
          <cell r="L960">
            <v>0.95</v>
          </cell>
          <cell r="M960">
            <v>66</v>
          </cell>
          <cell r="N960">
            <v>66</v>
          </cell>
          <cell r="O960">
            <v>65</v>
          </cell>
          <cell r="P960">
            <v>64</v>
          </cell>
          <cell r="Q960">
            <v>66</v>
          </cell>
          <cell r="R960">
            <v>67</v>
          </cell>
          <cell r="S960">
            <v>50</v>
          </cell>
          <cell r="T960">
            <v>50</v>
          </cell>
          <cell r="U960">
            <v>59</v>
          </cell>
          <cell r="V960">
            <v>61</v>
          </cell>
          <cell r="W960">
            <v>63</v>
          </cell>
          <cell r="X960">
            <v>64</v>
          </cell>
          <cell r="Y960">
            <v>50</v>
          </cell>
          <cell r="Z960">
            <v>50</v>
          </cell>
          <cell r="AA960">
            <v>59</v>
          </cell>
          <cell r="AB960">
            <v>61</v>
          </cell>
          <cell r="AC960">
            <v>63</v>
          </cell>
          <cell r="AD960">
            <v>64</v>
          </cell>
        </row>
        <row r="961">
          <cell r="C961" t="str">
            <v>우기리</v>
          </cell>
          <cell r="D961" t="str">
            <v>소계</v>
          </cell>
          <cell r="M961">
            <v>511</v>
          </cell>
          <cell r="N961">
            <v>512</v>
          </cell>
          <cell r="O961">
            <v>504</v>
          </cell>
          <cell r="P961">
            <v>499</v>
          </cell>
          <cell r="Q961">
            <v>511</v>
          </cell>
          <cell r="R961">
            <v>520</v>
          </cell>
          <cell r="S961">
            <v>383</v>
          </cell>
          <cell r="T961">
            <v>384</v>
          </cell>
          <cell r="U961">
            <v>454</v>
          </cell>
          <cell r="V961">
            <v>474</v>
          </cell>
          <cell r="W961">
            <v>486</v>
          </cell>
          <cell r="X961">
            <v>495</v>
          </cell>
          <cell r="Y961">
            <v>383</v>
          </cell>
          <cell r="Z961">
            <v>384</v>
          </cell>
          <cell r="AA961">
            <v>454</v>
          </cell>
          <cell r="AB961">
            <v>474</v>
          </cell>
          <cell r="AC961">
            <v>486</v>
          </cell>
          <cell r="AD961">
            <v>495</v>
          </cell>
        </row>
        <row r="962">
          <cell r="C962" t="str">
            <v>우기 1</v>
          </cell>
          <cell r="D962" t="str">
            <v>계</v>
          </cell>
          <cell r="F962">
            <v>0</v>
          </cell>
          <cell r="H962">
            <v>0.75</v>
          </cell>
          <cell r="I962">
            <v>0.9</v>
          </cell>
          <cell r="J962">
            <v>0.95</v>
          </cell>
          <cell r="K962">
            <v>0.95</v>
          </cell>
          <cell r="L962">
            <v>0.95</v>
          </cell>
          <cell r="M962">
            <v>241</v>
          </cell>
          <cell r="N962">
            <v>242</v>
          </cell>
          <cell r="O962">
            <v>238</v>
          </cell>
          <cell r="P962">
            <v>235</v>
          </cell>
          <cell r="Q962">
            <v>241</v>
          </cell>
          <cell r="R962">
            <v>245</v>
          </cell>
          <cell r="S962">
            <v>181</v>
          </cell>
          <cell r="T962">
            <v>182</v>
          </cell>
          <cell r="U962">
            <v>214</v>
          </cell>
          <cell r="V962">
            <v>223</v>
          </cell>
          <cell r="W962">
            <v>229</v>
          </cell>
          <cell r="X962">
            <v>233</v>
          </cell>
          <cell r="Y962">
            <v>181</v>
          </cell>
          <cell r="Z962">
            <v>182</v>
          </cell>
          <cell r="AA962">
            <v>214</v>
          </cell>
          <cell r="AB962">
            <v>223</v>
          </cell>
          <cell r="AC962">
            <v>229</v>
          </cell>
          <cell r="AD962">
            <v>233</v>
          </cell>
        </row>
        <row r="963">
          <cell r="C963" t="str">
            <v>우기 2</v>
          </cell>
          <cell r="D963" t="str">
            <v>계</v>
          </cell>
          <cell r="F963">
            <v>0</v>
          </cell>
          <cell r="H963">
            <v>0.75</v>
          </cell>
          <cell r="I963">
            <v>0.9</v>
          </cell>
          <cell r="J963">
            <v>0.95</v>
          </cell>
          <cell r="K963">
            <v>0.95</v>
          </cell>
          <cell r="L963">
            <v>0.95</v>
          </cell>
          <cell r="M963">
            <v>163</v>
          </cell>
          <cell r="N963">
            <v>163</v>
          </cell>
          <cell r="O963">
            <v>161</v>
          </cell>
          <cell r="P963">
            <v>159</v>
          </cell>
          <cell r="Q963">
            <v>163</v>
          </cell>
          <cell r="R963">
            <v>166</v>
          </cell>
          <cell r="S963">
            <v>122</v>
          </cell>
          <cell r="T963">
            <v>122</v>
          </cell>
          <cell r="U963">
            <v>145</v>
          </cell>
          <cell r="V963">
            <v>151</v>
          </cell>
          <cell r="W963">
            <v>155</v>
          </cell>
          <cell r="X963">
            <v>158</v>
          </cell>
          <cell r="Y963">
            <v>122</v>
          </cell>
          <cell r="Z963">
            <v>122</v>
          </cell>
          <cell r="AA963">
            <v>145</v>
          </cell>
          <cell r="AB963">
            <v>151</v>
          </cell>
          <cell r="AC963">
            <v>155</v>
          </cell>
          <cell r="AD963">
            <v>158</v>
          </cell>
        </row>
        <row r="964">
          <cell r="C964" t="str">
            <v>우기 3</v>
          </cell>
          <cell r="D964" t="str">
            <v>계</v>
          </cell>
          <cell r="F964">
            <v>0</v>
          </cell>
          <cell r="H964">
            <v>0.75</v>
          </cell>
          <cell r="I964">
            <v>0.9</v>
          </cell>
          <cell r="J964">
            <v>0.95</v>
          </cell>
          <cell r="K964">
            <v>0.95</v>
          </cell>
          <cell r="L964">
            <v>0.95</v>
          </cell>
          <cell r="M964">
            <v>107</v>
          </cell>
          <cell r="N964">
            <v>107</v>
          </cell>
          <cell r="O964">
            <v>105</v>
          </cell>
          <cell r="P964">
            <v>105</v>
          </cell>
          <cell r="Q964">
            <v>107</v>
          </cell>
          <cell r="R964">
            <v>109</v>
          </cell>
          <cell r="S964">
            <v>80</v>
          </cell>
          <cell r="T964">
            <v>80</v>
          </cell>
          <cell r="U964">
            <v>95</v>
          </cell>
          <cell r="V964">
            <v>100</v>
          </cell>
          <cell r="W964">
            <v>102</v>
          </cell>
          <cell r="X964">
            <v>104</v>
          </cell>
          <cell r="Y964">
            <v>80</v>
          </cell>
          <cell r="Z964">
            <v>80</v>
          </cell>
          <cell r="AA964">
            <v>95</v>
          </cell>
          <cell r="AB964">
            <v>100</v>
          </cell>
          <cell r="AC964">
            <v>102</v>
          </cell>
          <cell r="AD964">
            <v>104</v>
          </cell>
        </row>
        <row r="965">
          <cell r="C965" t="str">
            <v>심암리</v>
          </cell>
          <cell r="D965" t="str">
            <v>소계</v>
          </cell>
          <cell r="M965">
            <v>250</v>
          </cell>
          <cell r="N965">
            <v>250</v>
          </cell>
          <cell r="O965">
            <v>246</v>
          </cell>
          <cell r="P965">
            <v>244</v>
          </cell>
          <cell r="Q965">
            <v>250</v>
          </cell>
          <cell r="R965">
            <v>255</v>
          </cell>
          <cell r="S965">
            <v>132</v>
          </cell>
          <cell r="T965">
            <v>132</v>
          </cell>
          <cell r="U965">
            <v>222</v>
          </cell>
          <cell r="V965">
            <v>231</v>
          </cell>
          <cell r="W965">
            <v>237</v>
          </cell>
          <cell r="X965">
            <v>242</v>
          </cell>
          <cell r="Y965">
            <v>132</v>
          </cell>
          <cell r="Z965">
            <v>132</v>
          </cell>
          <cell r="AA965">
            <v>222</v>
          </cell>
          <cell r="AB965">
            <v>231</v>
          </cell>
          <cell r="AC965">
            <v>237</v>
          </cell>
          <cell r="AD965">
            <v>242</v>
          </cell>
        </row>
        <row r="966">
          <cell r="C966" t="str">
            <v>심암 1</v>
          </cell>
          <cell r="D966" t="str">
            <v>계</v>
          </cell>
          <cell r="F966">
            <v>0</v>
          </cell>
          <cell r="H966">
            <v>0.75</v>
          </cell>
          <cell r="I966">
            <v>0.9</v>
          </cell>
          <cell r="J966">
            <v>0.95</v>
          </cell>
          <cell r="K966">
            <v>0.95</v>
          </cell>
          <cell r="L966">
            <v>0.95</v>
          </cell>
          <cell r="M966">
            <v>176</v>
          </cell>
          <cell r="N966">
            <v>176</v>
          </cell>
          <cell r="O966">
            <v>173</v>
          </cell>
          <cell r="P966">
            <v>172</v>
          </cell>
          <cell r="Q966">
            <v>176</v>
          </cell>
          <cell r="R966">
            <v>179</v>
          </cell>
          <cell r="S966">
            <v>132</v>
          </cell>
          <cell r="T966">
            <v>132</v>
          </cell>
          <cell r="U966">
            <v>156</v>
          </cell>
          <cell r="V966">
            <v>163</v>
          </cell>
          <cell r="W966">
            <v>167</v>
          </cell>
          <cell r="X966">
            <v>170</v>
          </cell>
          <cell r="Y966">
            <v>132</v>
          </cell>
          <cell r="Z966">
            <v>132</v>
          </cell>
          <cell r="AA966">
            <v>156</v>
          </cell>
          <cell r="AB966">
            <v>163</v>
          </cell>
          <cell r="AC966">
            <v>167</v>
          </cell>
          <cell r="AD966">
            <v>170</v>
          </cell>
        </row>
        <row r="967">
          <cell r="C967" t="str">
            <v>심암 2</v>
          </cell>
          <cell r="D967" t="str">
            <v>계</v>
          </cell>
          <cell r="F967">
            <v>1</v>
          </cell>
          <cell r="H967">
            <v>0.75</v>
          </cell>
          <cell r="I967">
            <v>0.9</v>
          </cell>
          <cell r="J967">
            <v>0.95</v>
          </cell>
          <cell r="K967">
            <v>0.95</v>
          </cell>
          <cell r="L967">
            <v>0.95</v>
          </cell>
          <cell r="M967">
            <v>74</v>
          </cell>
          <cell r="N967">
            <v>74</v>
          </cell>
          <cell r="O967">
            <v>73</v>
          </cell>
          <cell r="P967">
            <v>72</v>
          </cell>
          <cell r="Q967">
            <v>74</v>
          </cell>
          <cell r="R967">
            <v>76</v>
          </cell>
          <cell r="S967">
            <v>0</v>
          </cell>
          <cell r="T967">
            <v>0</v>
          </cell>
          <cell r="U967">
            <v>66</v>
          </cell>
          <cell r="V967">
            <v>68</v>
          </cell>
          <cell r="W967">
            <v>70</v>
          </cell>
          <cell r="X967">
            <v>72</v>
          </cell>
          <cell r="Y967">
            <v>0</v>
          </cell>
          <cell r="Z967">
            <v>0</v>
          </cell>
          <cell r="AA967">
            <v>66</v>
          </cell>
          <cell r="AB967">
            <v>68</v>
          </cell>
          <cell r="AC967">
            <v>70</v>
          </cell>
          <cell r="AD967">
            <v>72</v>
          </cell>
        </row>
        <row r="968">
          <cell r="C968" t="str">
            <v>화정리</v>
          </cell>
          <cell r="D968" t="str">
            <v>소계</v>
          </cell>
          <cell r="M968">
            <v>328</v>
          </cell>
          <cell r="N968">
            <v>328</v>
          </cell>
          <cell r="O968">
            <v>323</v>
          </cell>
          <cell r="P968">
            <v>321</v>
          </cell>
          <cell r="Q968">
            <v>328</v>
          </cell>
          <cell r="R968">
            <v>334</v>
          </cell>
          <cell r="S968">
            <v>246</v>
          </cell>
          <cell r="T968">
            <v>246</v>
          </cell>
          <cell r="U968">
            <v>290</v>
          </cell>
          <cell r="V968">
            <v>305</v>
          </cell>
          <cell r="W968">
            <v>312</v>
          </cell>
          <cell r="X968">
            <v>317</v>
          </cell>
          <cell r="Y968">
            <v>246</v>
          </cell>
          <cell r="Z968">
            <v>246</v>
          </cell>
          <cell r="AA968">
            <v>290</v>
          </cell>
          <cell r="AB968">
            <v>305</v>
          </cell>
          <cell r="AC968">
            <v>312</v>
          </cell>
          <cell r="AD968">
            <v>317</v>
          </cell>
        </row>
        <row r="969">
          <cell r="C969" t="str">
            <v>화정 1</v>
          </cell>
          <cell r="D969" t="str">
            <v>계</v>
          </cell>
          <cell r="F969">
            <v>0</v>
          </cell>
          <cell r="H969">
            <v>0.75</v>
          </cell>
          <cell r="I969">
            <v>0.9</v>
          </cell>
          <cell r="J969">
            <v>0.95</v>
          </cell>
          <cell r="K969">
            <v>0.95</v>
          </cell>
          <cell r="L969">
            <v>0.95</v>
          </cell>
          <cell r="M969">
            <v>148</v>
          </cell>
          <cell r="N969">
            <v>148</v>
          </cell>
          <cell r="O969">
            <v>146</v>
          </cell>
          <cell r="P969">
            <v>145</v>
          </cell>
          <cell r="Q969">
            <v>148</v>
          </cell>
          <cell r="R969">
            <v>151</v>
          </cell>
          <cell r="S969">
            <v>111</v>
          </cell>
          <cell r="T969">
            <v>111</v>
          </cell>
          <cell r="U969">
            <v>131</v>
          </cell>
          <cell r="V969">
            <v>138</v>
          </cell>
          <cell r="W969">
            <v>141</v>
          </cell>
          <cell r="X969">
            <v>143</v>
          </cell>
          <cell r="Y969">
            <v>111</v>
          </cell>
          <cell r="Z969">
            <v>111</v>
          </cell>
          <cell r="AA969">
            <v>131</v>
          </cell>
          <cell r="AB969">
            <v>138</v>
          </cell>
          <cell r="AC969">
            <v>141</v>
          </cell>
          <cell r="AD969">
            <v>143</v>
          </cell>
        </row>
        <row r="970">
          <cell r="C970" t="str">
            <v>화정 2</v>
          </cell>
          <cell r="D970" t="str">
            <v>계</v>
          </cell>
          <cell r="F970">
            <v>0</v>
          </cell>
          <cell r="H970">
            <v>0.75</v>
          </cell>
          <cell r="I970">
            <v>0.9</v>
          </cell>
          <cell r="J970">
            <v>0.95</v>
          </cell>
          <cell r="K970">
            <v>0.95</v>
          </cell>
          <cell r="L970">
            <v>0.95</v>
          </cell>
          <cell r="M970">
            <v>180</v>
          </cell>
          <cell r="N970">
            <v>180</v>
          </cell>
          <cell r="O970">
            <v>177</v>
          </cell>
          <cell r="P970">
            <v>176</v>
          </cell>
          <cell r="Q970">
            <v>180</v>
          </cell>
          <cell r="R970">
            <v>183</v>
          </cell>
          <cell r="S970">
            <v>135</v>
          </cell>
          <cell r="T970">
            <v>135</v>
          </cell>
          <cell r="U970">
            <v>159</v>
          </cell>
          <cell r="V970">
            <v>167</v>
          </cell>
          <cell r="W970">
            <v>171</v>
          </cell>
          <cell r="X970">
            <v>174</v>
          </cell>
          <cell r="Y970">
            <v>135</v>
          </cell>
          <cell r="Z970">
            <v>135</v>
          </cell>
          <cell r="AA970">
            <v>159</v>
          </cell>
          <cell r="AB970">
            <v>167</v>
          </cell>
          <cell r="AC970">
            <v>171</v>
          </cell>
          <cell r="AD970">
            <v>174</v>
          </cell>
        </row>
        <row r="971">
          <cell r="C971" t="str">
            <v>삼거리</v>
          </cell>
          <cell r="D971" t="str">
            <v>소계</v>
          </cell>
          <cell r="M971">
            <v>203</v>
          </cell>
          <cell r="N971">
            <v>203</v>
          </cell>
          <cell r="O971">
            <v>200</v>
          </cell>
          <cell r="P971">
            <v>197</v>
          </cell>
          <cell r="Q971">
            <v>203</v>
          </cell>
          <cell r="R971">
            <v>206</v>
          </cell>
          <cell r="S971">
            <v>152</v>
          </cell>
          <cell r="T971">
            <v>152</v>
          </cell>
          <cell r="U971">
            <v>180</v>
          </cell>
          <cell r="V971">
            <v>188</v>
          </cell>
          <cell r="W971">
            <v>193</v>
          </cell>
          <cell r="X971">
            <v>195</v>
          </cell>
          <cell r="Y971">
            <v>152</v>
          </cell>
          <cell r="Z971">
            <v>152</v>
          </cell>
          <cell r="AA971">
            <v>180</v>
          </cell>
          <cell r="AB971">
            <v>188</v>
          </cell>
          <cell r="AC971">
            <v>193</v>
          </cell>
          <cell r="AD971">
            <v>195</v>
          </cell>
        </row>
        <row r="972">
          <cell r="C972" t="str">
            <v>삼거 1</v>
          </cell>
          <cell r="D972" t="str">
            <v>계</v>
          </cell>
          <cell r="F972">
            <v>0</v>
          </cell>
          <cell r="H972">
            <v>0.75</v>
          </cell>
          <cell r="I972">
            <v>0.9</v>
          </cell>
          <cell r="J972">
            <v>0.95</v>
          </cell>
          <cell r="K972">
            <v>0.95</v>
          </cell>
          <cell r="L972">
            <v>0.95</v>
          </cell>
          <cell r="M972">
            <v>35</v>
          </cell>
          <cell r="N972">
            <v>35</v>
          </cell>
          <cell r="O972">
            <v>34</v>
          </cell>
          <cell r="P972">
            <v>34</v>
          </cell>
          <cell r="Q972">
            <v>35</v>
          </cell>
          <cell r="R972">
            <v>36</v>
          </cell>
          <cell r="S972">
            <v>26</v>
          </cell>
          <cell r="T972">
            <v>26</v>
          </cell>
          <cell r="U972">
            <v>31</v>
          </cell>
          <cell r="V972">
            <v>32</v>
          </cell>
          <cell r="W972">
            <v>33</v>
          </cell>
          <cell r="X972">
            <v>34</v>
          </cell>
          <cell r="Y972">
            <v>26</v>
          </cell>
          <cell r="Z972">
            <v>26</v>
          </cell>
          <cell r="AA972">
            <v>31</v>
          </cell>
          <cell r="AB972">
            <v>32</v>
          </cell>
          <cell r="AC972">
            <v>33</v>
          </cell>
          <cell r="AD972">
            <v>34</v>
          </cell>
        </row>
        <row r="973">
          <cell r="C973" t="str">
            <v>삼거 2</v>
          </cell>
          <cell r="D973" t="str">
            <v>계</v>
          </cell>
          <cell r="F973">
            <v>0</v>
          </cell>
          <cell r="H973">
            <v>0.75</v>
          </cell>
          <cell r="I973">
            <v>0.9</v>
          </cell>
          <cell r="J973">
            <v>0.95</v>
          </cell>
          <cell r="K973">
            <v>0.95</v>
          </cell>
          <cell r="L973">
            <v>0.95</v>
          </cell>
          <cell r="M973">
            <v>40</v>
          </cell>
          <cell r="N973">
            <v>40</v>
          </cell>
          <cell r="O973">
            <v>39</v>
          </cell>
          <cell r="P973">
            <v>39</v>
          </cell>
          <cell r="Q973">
            <v>40</v>
          </cell>
          <cell r="R973">
            <v>41</v>
          </cell>
          <cell r="S973">
            <v>30</v>
          </cell>
          <cell r="T973">
            <v>30</v>
          </cell>
          <cell r="U973">
            <v>35</v>
          </cell>
          <cell r="V973">
            <v>37</v>
          </cell>
          <cell r="W973">
            <v>38</v>
          </cell>
          <cell r="X973">
            <v>39</v>
          </cell>
          <cell r="Y973">
            <v>30</v>
          </cell>
          <cell r="Z973">
            <v>30</v>
          </cell>
          <cell r="AA973">
            <v>35</v>
          </cell>
          <cell r="AB973">
            <v>37</v>
          </cell>
          <cell r="AC973">
            <v>38</v>
          </cell>
          <cell r="AD973">
            <v>39</v>
          </cell>
        </row>
        <row r="974">
          <cell r="C974" t="str">
            <v>삼거 3</v>
          </cell>
          <cell r="D974" t="str">
            <v>계</v>
          </cell>
          <cell r="F974">
            <v>0</v>
          </cell>
          <cell r="H974">
            <v>0.75</v>
          </cell>
          <cell r="I974">
            <v>0.9</v>
          </cell>
          <cell r="J974">
            <v>0.95</v>
          </cell>
          <cell r="K974">
            <v>0.95</v>
          </cell>
          <cell r="L974">
            <v>0.95</v>
          </cell>
          <cell r="M974">
            <v>47</v>
          </cell>
          <cell r="N974">
            <v>47</v>
          </cell>
          <cell r="O974">
            <v>47</v>
          </cell>
          <cell r="P974">
            <v>46</v>
          </cell>
          <cell r="Q974">
            <v>47</v>
          </cell>
          <cell r="R974">
            <v>47</v>
          </cell>
          <cell r="S974">
            <v>35</v>
          </cell>
          <cell r="T974">
            <v>35</v>
          </cell>
          <cell r="U974">
            <v>42</v>
          </cell>
          <cell r="V974">
            <v>44</v>
          </cell>
          <cell r="W974">
            <v>45</v>
          </cell>
          <cell r="X974">
            <v>45</v>
          </cell>
          <cell r="Y974">
            <v>35</v>
          </cell>
          <cell r="Z974">
            <v>35</v>
          </cell>
          <cell r="AA974">
            <v>42</v>
          </cell>
          <cell r="AB974">
            <v>44</v>
          </cell>
          <cell r="AC974">
            <v>45</v>
          </cell>
          <cell r="AD974">
            <v>45</v>
          </cell>
        </row>
        <row r="975">
          <cell r="C975" t="str">
            <v>삼거 4</v>
          </cell>
          <cell r="D975" t="str">
            <v>계</v>
          </cell>
          <cell r="F975">
            <v>0</v>
          </cell>
          <cell r="H975">
            <v>0.75</v>
          </cell>
          <cell r="I975">
            <v>0.9</v>
          </cell>
          <cell r="J975">
            <v>0.95</v>
          </cell>
          <cell r="K975">
            <v>0.95</v>
          </cell>
          <cell r="L975">
            <v>0.95</v>
          </cell>
          <cell r="M975">
            <v>11</v>
          </cell>
          <cell r="N975">
            <v>11</v>
          </cell>
          <cell r="O975">
            <v>11</v>
          </cell>
          <cell r="P975">
            <v>10</v>
          </cell>
          <cell r="Q975">
            <v>11</v>
          </cell>
          <cell r="R975">
            <v>11</v>
          </cell>
          <cell r="S975">
            <v>8</v>
          </cell>
          <cell r="T975">
            <v>8</v>
          </cell>
          <cell r="U975">
            <v>10</v>
          </cell>
          <cell r="V975">
            <v>10</v>
          </cell>
          <cell r="W975">
            <v>10</v>
          </cell>
          <cell r="X975">
            <v>10</v>
          </cell>
          <cell r="Y975">
            <v>8</v>
          </cell>
          <cell r="Z975">
            <v>8</v>
          </cell>
          <cell r="AA975">
            <v>10</v>
          </cell>
          <cell r="AB975">
            <v>10</v>
          </cell>
          <cell r="AC975">
            <v>10</v>
          </cell>
          <cell r="AD975">
            <v>10</v>
          </cell>
        </row>
        <row r="976">
          <cell r="C976" t="str">
            <v>삼거 5</v>
          </cell>
          <cell r="D976" t="str">
            <v>계</v>
          </cell>
          <cell r="F976">
            <v>0</v>
          </cell>
          <cell r="H976">
            <v>0.75</v>
          </cell>
          <cell r="I976">
            <v>0.9</v>
          </cell>
          <cell r="J976">
            <v>0.95</v>
          </cell>
          <cell r="K976">
            <v>0.95</v>
          </cell>
          <cell r="L976">
            <v>0.95</v>
          </cell>
          <cell r="M976">
            <v>70</v>
          </cell>
          <cell r="N976">
            <v>70</v>
          </cell>
          <cell r="O976">
            <v>69</v>
          </cell>
          <cell r="P976">
            <v>68</v>
          </cell>
          <cell r="Q976">
            <v>70</v>
          </cell>
          <cell r="R976">
            <v>71</v>
          </cell>
          <cell r="S976">
            <v>53</v>
          </cell>
          <cell r="T976">
            <v>53</v>
          </cell>
          <cell r="U976">
            <v>62</v>
          </cell>
          <cell r="V976">
            <v>65</v>
          </cell>
          <cell r="W976">
            <v>67</v>
          </cell>
          <cell r="X976">
            <v>67</v>
          </cell>
          <cell r="Y976">
            <v>53</v>
          </cell>
          <cell r="Z976">
            <v>53</v>
          </cell>
          <cell r="AA976">
            <v>62</v>
          </cell>
          <cell r="AB976">
            <v>65</v>
          </cell>
          <cell r="AC976">
            <v>67</v>
          </cell>
          <cell r="AD976">
            <v>67</v>
          </cell>
        </row>
        <row r="977">
          <cell r="C977" t="str">
            <v>장화리</v>
          </cell>
          <cell r="D977" t="str">
            <v>소계</v>
          </cell>
          <cell r="M977">
            <v>151</v>
          </cell>
          <cell r="N977">
            <v>151</v>
          </cell>
          <cell r="O977">
            <v>149</v>
          </cell>
          <cell r="P977">
            <v>147</v>
          </cell>
          <cell r="Q977">
            <v>151</v>
          </cell>
          <cell r="R977">
            <v>154</v>
          </cell>
          <cell r="S977">
            <v>114</v>
          </cell>
          <cell r="T977">
            <v>114</v>
          </cell>
          <cell r="U977">
            <v>134</v>
          </cell>
          <cell r="V977">
            <v>140</v>
          </cell>
          <cell r="W977">
            <v>144</v>
          </cell>
          <cell r="X977">
            <v>146</v>
          </cell>
          <cell r="Y977">
            <v>114</v>
          </cell>
          <cell r="Z977">
            <v>114</v>
          </cell>
          <cell r="AA977">
            <v>134</v>
          </cell>
          <cell r="AB977">
            <v>140</v>
          </cell>
          <cell r="AC977">
            <v>144</v>
          </cell>
          <cell r="AD977">
            <v>146</v>
          </cell>
        </row>
        <row r="978">
          <cell r="C978" t="str">
            <v>장화 1</v>
          </cell>
          <cell r="D978" t="str">
            <v>계</v>
          </cell>
          <cell r="F978">
            <v>0</v>
          </cell>
          <cell r="H978">
            <v>0.75</v>
          </cell>
          <cell r="I978">
            <v>0.9</v>
          </cell>
          <cell r="J978">
            <v>0.95</v>
          </cell>
          <cell r="K978">
            <v>0.95</v>
          </cell>
          <cell r="L978">
            <v>0.95</v>
          </cell>
          <cell r="M978">
            <v>70</v>
          </cell>
          <cell r="N978">
            <v>70</v>
          </cell>
          <cell r="O978">
            <v>69</v>
          </cell>
          <cell r="P978">
            <v>68</v>
          </cell>
          <cell r="Q978">
            <v>70</v>
          </cell>
          <cell r="R978">
            <v>71</v>
          </cell>
          <cell r="S978">
            <v>53</v>
          </cell>
          <cell r="T978">
            <v>53</v>
          </cell>
          <cell r="U978">
            <v>62</v>
          </cell>
          <cell r="V978">
            <v>65</v>
          </cell>
          <cell r="W978">
            <v>67</v>
          </cell>
          <cell r="X978">
            <v>67</v>
          </cell>
          <cell r="Y978">
            <v>53</v>
          </cell>
          <cell r="Z978">
            <v>53</v>
          </cell>
          <cell r="AA978">
            <v>62</v>
          </cell>
          <cell r="AB978">
            <v>65</v>
          </cell>
          <cell r="AC978">
            <v>67</v>
          </cell>
          <cell r="AD978">
            <v>67</v>
          </cell>
        </row>
        <row r="979">
          <cell r="C979" t="str">
            <v>장화 2</v>
          </cell>
          <cell r="D979" t="str">
            <v>계</v>
          </cell>
          <cell r="F979">
            <v>0</v>
          </cell>
          <cell r="H979">
            <v>0.75</v>
          </cell>
          <cell r="I979">
            <v>0.9</v>
          </cell>
          <cell r="J979">
            <v>0.95</v>
          </cell>
          <cell r="K979">
            <v>0.95</v>
          </cell>
          <cell r="L979">
            <v>0.95</v>
          </cell>
          <cell r="M979">
            <v>75</v>
          </cell>
          <cell r="N979">
            <v>75</v>
          </cell>
          <cell r="O979">
            <v>74</v>
          </cell>
          <cell r="P979">
            <v>73</v>
          </cell>
          <cell r="Q979">
            <v>75</v>
          </cell>
          <cell r="R979">
            <v>77</v>
          </cell>
          <cell r="S979">
            <v>56</v>
          </cell>
          <cell r="T979">
            <v>56</v>
          </cell>
          <cell r="U979">
            <v>67</v>
          </cell>
          <cell r="V979">
            <v>69</v>
          </cell>
          <cell r="W979">
            <v>71</v>
          </cell>
          <cell r="X979">
            <v>73</v>
          </cell>
          <cell r="Y979">
            <v>56</v>
          </cell>
          <cell r="Z979">
            <v>56</v>
          </cell>
          <cell r="AA979">
            <v>67</v>
          </cell>
          <cell r="AB979">
            <v>69</v>
          </cell>
          <cell r="AC979">
            <v>71</v>
          </cell>
          <cell r="AD979">
            <v>73</v>
          </cell>
        </row>
        <row r="980">
          <cell r="C980" t="str">
            <v>장화 3</v>
          </cell>
          <cell r="D980" t="str">
            <v>계</v>
          </cell>
          <cell r="F980">
            <v>0</v>
          </cell>
          <cell r="H980">
            <v>0.75</v>
          </cell>
          <cell r="I980">
            <v>0.9</v>
          </cell>
          <cell r="J980">
            <v>0.95</v>
          </cell>
          <cell r="K980">
            <v>0.95</v>
          </cell>
          <cell r="L980">
            <v>0.95</v>
          </cell>
          <cell r="M980">
            <v>6</v>
          </cell>
          <cell r="N980">
            <v>6</v>
          </cell>
          <cell r="O980">
            <v>6</v>
          </cell>
          <cell r="P980">
            <v>6</v>
          </cell>
          <cell r="Q980">
            <v>6</v>
          </cell>
          <cell r="R980">
            <v>6</v>
          </cell>
          <cell r="S980">
            <v>5</v>
          </cell>
          <cell r="T980">
            <v>5</v>
          </cell>
          <cell r="U980">
            <v>5</v>
          </cell>
          <cell r="V980">
            <v>6</v>
          </cell>
          <cell r="W980">
            <v>6</v>
          </cell>
          <cell r="X980">
            <v>6</v>
          </cell>
          <cell r="Y980">
            <v>5</v>
          </cell>
          <cell r="Z980">
            <v>5</v>
          </cell>
          <cell r="AA980">
            <v>5</v>
          </cell>
          <cell r="AB980">
            <v>6</v>
          </cell>
          <cell r="AC980">
            <v>6</v>
          </cell>
          <cell r="AD980">
            <v>6</v>
          </cell>
        </row>
        <row r="981">
          <cell r="C981" t="str">
            <v>야화리</v>
          </cell>
          <cell r="D981" t="str">
            <v>소계</v>
          </cell>
          <cell r="M981">
            <v>331</v>
          </cell>
          <cell r="N981">
            <v>331</v>
          </cell>
          <cell r="O981">
            <v>326</v>
          </cell>
          <cell r="P981">
            <v>322</v>
          </cell>
          <cell r="Q981">
            <v>331</v>
          </cell>
          <cell r="R981">
            <v>337</v>
          </cell>
          <cell r="S981">
            <v>251</v>
          </cell>
          <cell r="T981">
            <v>251</v>
          </cell>
          <cell r="U981">
            <v>294</v>
          </cell>
          <cell r="V981">
            <v>305</v>
          </cell>
          <cell r="W981">
            <v>314</v>
          </cell>
          <cell r="X981">
            <v>320</v>
          </cell>
          <cell r="Y981">
            <v>251</v>
          </cell>
          <cell r="Z981">
            <v>251</v>
          </cell>
          <cell r="AA981">
            <v>294</v>
          </cell>
          <cell r="AB981">
            <v>305</v>
          </cell>
          <cell r="AC981">
            <v>314</v>
          </cell>
          <cell r="AD981">
            <v>320</v>
          </cell>
        </row>
        <row r="982">
          <cell r="C982" t="str">
            <v>야화 1</v>
          </cell>
          <cell r="D982" t="str">
            <v>계</v>
          </cell>
          <cell r="F982">
            <v>0</v>
          </cell>
          <cell r="H982">
            <v>0.76</v>
          </cell>
          <cell r="I982">
            <v>0.9</v>
          </cell>
          <cell r="J982">
            <v>0.95</v>
          </cell>
          <cell r="K982">
            <v>0.95</v>
          </cell>
          <cell r="L982">
            <v>0.95</v>
          </cell>
          <cell r="M982">
            <v>137</v>
          </cell>
          <cell r="N982">
            <v>137</v>
          </cell>
          <cell r="O982">
            <v>135</v>
          </cell>
          <cell r="P982">
            <v>133</v>
          </cell>
          <cell r="Q982">
            <v>137</v>
          </cell>
          <cell r="R982">
            <v>139</v>
          </cell>
          <cell r="S982">
            <v>104</v>
          </cell>
          <cell r="T982">
            <v>104</v>
          </cell>
          <cell r="U982">
            <v>122</v>
          </cell>
          <cell r="V982">
            <v>126</v>
          </cell>
          <cell r="W982">
            <v>130</v>
          </cell>
          <cell r="X982">
            <v>132</v>
          </cell>
          <cell r="Y982">
            <v>104</v>
          </cell>
          <cell r="Z982">
            <v>104</v>
          </cell>
          <cell r="AA982">
            <v>122</v>
          </cell>
          <cell r="AB982">
            <v>126</v>
          </cell>
          <cell r="AC982">
            <v>130</v>
          </cell>
          <cell r="AD982">
            <v>132</v>
          </cell>
        </row>
        <row r="983">
          <cell r="C983" t="str">
            <v>야화 2</v>
          </cell>
          <cell r="D983" t="str">
            <v>계</v>
          </cell>
          <cell r="F983">
            <v>0</v>
          </cell>
          <cell r="H983">
            <v>0.76</v>
          </cell>
          <cell r="I983">
            <v>0.9</v>
          </cell>
          <cell r="J983">
            <v>0.95</v>
          </cell>
          <cell r="K983">
            <v>0.95</v>
          </cell>
          <cell r="L983">
            <v>0.95</v>
          </cell>
          <cell r="M983">
            <v>120</v>
          </cell>
          <cell r="N983">
            <v>120</v>
          </cell>
          <cell r="O983">
            <v>118</v>
          </cell>
          <cell r="P983">
            <v>117</v>
          </cell>
          <cell r="Q983">
            <v>120</v>
          </cell>
          <cell r="R983">
            <v>122</v>
          </cell>
          <cell r="S983">
            <v>91</v>
          </cell>
          <cell r="T983">
            <v>91</v>
          </cell>
          <cell r="U983">
            <v>106</v>
          </cell>
          <cell r="V983">
            <v>111</v>
          </cell>
          <cell r="W983">
            <v>114</v>
          </cell>
          <cell r="X983">
            <v>116</v>
          </cell>
          <cell r="Y983">
            <v>91</v>
          </cell>
          <cell r="Z983">
            <v>91</v>
          </cell>
          <cell r="AA983">
            <v>106</v>
          </cell>
          <cell r="AB983">
            <v>111</v>
          </cell>
          <cell r="AC983">
            <v>114</v>
          </cell>
          <cell r="AD983">
            <v>116</v>
          </cell>
        </row>
        <row r="984">
          <cell r="C984" t="str">
            <v>야화 3</v>
          </cell>
          <cell r="D984" t="str">
            <v>계</v>
          </cell>
          <cell r="F984">
            <v>0</v>
          </cell>
          <cell r="H984">
            <v>0.76</v>
          </cell>
          <cell r="I984">
            <v>0.9</v>
          </cell>
          <cell r="J984">
            <v>0.95</v>
          </cell>
          <cell r="K984">
            <v>0.95</v>
          </cell>
          <cell r="L984">
            <v>0.95</v>
          </cell>
          <cell r="M984">
            <v>74</v>
          </cell>
          <cell r="N984">
            <v>74</v>
          </cell>
          <cell r="O984">
            <v>73</v>
          </cell>
          <cell r="P984">
            <v>72</v>
          </cell>
          <cell r="Q984">
            <v>74</v>
          </cell>
          <cell r="R984">
            <v>76</v>
          </cell>
          <cell r="S984">
            <v>56</v>
          </cell>
          <cell r="T984">
            <v>56</v>
          </cell>
          <cell r="U984">
            <v>66</v>
          </cell>
          <cell r="V984">
            <v>68</v>
          </cell>
          <cell r="W984">
            <v>70</v>
          </cell>
          <cell r="X984">
            <v>72</v>
          </cell>
          <cell r="Y984">
            <v>56</v>
          </cell>
          <cell r="Z984">
            <v>56</v>
          </cell>
          <cell r="AA984">
            <v>66</v>
          </cell>
          <cell r="AB984">
            <v>68</v>
          </cell>
          <cell r="AC984">
            <v>70</v>
          </cell>
          <cell r="AD984">
            <v>72</v>
          </cell>
        </row>
        <row r="985">
          <cell r="M985">
            <v>30861</v>
          </cell>
          <cell r="N985">
            <v>36275</v>
          </cell>
          <cell r="O985">
            <v>32207</v>
          </cell>
          <cell r="P985">
            <v>37207</v>
          </cell>
          <cell r="Q985">
            <v>37927</v>
          </cell>
          <cell r="R985">
            <v>38493</v>
          </cell>
          <cell r="S985">
            <v>29627</v>
          </cell>
          <cell r="T985">
            <v>34824</v>
          </cell>
          <cell r="U985">
            <v>31241</v>
          </cell>
          <cell r="V985">
            <v>36463</v>
          </cell>
          <cell r="W985">
            <v>37547</v>
          </cell>
          <cell r="X985">
            <v>38493</v>
          </cell>
          <cell r="Y985">
            <v>29627</v>
          </cell>
          <cell r="Z985">
            <v>34824</v>
          </cell>
          <cell r="AA985">
            <v>31241</v>
          </cell>
          <cell r="AB985">
            <v>36463</v>
          </cell>
          <cell r="AC985">
            <v>37547</v>
          </cell>
          <cell r="AD985">
            <v>38493</v>
          </cell>
        </row>
        <row r="986">
          <cell r="C986" t="str">
            <v>화지동</v>
          </cell>
          <cell r="D986" t="str">
            <v>소계</v>
          </cell>
          <cell r="F986">
            <v>0</v>
          </cell>
          <cell r="H986">
            <v>0.96</v>
          </cell>
          <cell r="I986">
            <v>0.97</v>
          </cell>
          <cell r="J986">
            <v>0.98</v>
          </cell>
          <cell r="K986">
            <v>0.99</v>
          </cell>
          <cell r="L986">
            <v>1</v>
          </cell>
          <cell r="M986">
            <v>2776</v>
          </cell>
          <cell r="N986">
            <v>2779</v>
          </cell>
          <cell r="O986">
            <v>2736</v>
          </cell>
          <cell r="P986">
            <v>2707</v>
          </cell>
          <cell r="Q986">
            <v>2772</v>
          </cell>
          <cell r="R986">
            <v>2824</v>
          </cell>
          <cell r="S986">
            <v>2665</v>
          </cell>
          <cell r="T986">
            <v>2668</v>
          </cell>
          <cell r="U986">
            <v>2654</v>
          </cell>
          <cell r="V986">
            <v>2653</v>
          </cell>
          <cell r="W986">
            <v>2744</v>
          </cell>
          <cell r="X986">
            <v>2824</v>
          </cell>
          <cell r="Y986">
            <v>2665</v>
          </cell>
          <cell r="Z986">
            <v>2668</v>
          </cell>
          <cell r="AA986">
            <v>2654</v>
          </cell>
          <cell r="AB986">
            <v>2653</v>
          </cell>
          <cell r="AC986">
            <v>2744</v>
          </cell>
          <cell r="AD986">
            <v>2824</v>
          </cell>
        </row>
        <row r="987">
          <cell r="C987" t="str">
            <v>반월동</v>
          </cell>
          <cell r="D987" t="str">
            <v>소계</v>
          </cell>
          <cell r="F987">
            <v>0</v>
          </cell>
          <cell r="H987">
            <v>0.96</v>
          </cell>
          <cell r="I987">
            <v>0.97</v>
          </cell>
          <cell r="J987">
            <v>0.98</v>
          </cell>
          <cell r="K987">
            <v>0.99</v>
          </cell>
          <cell r="L987">
            <v>1</v>
          </cell>
          <cell r="M987">
            <v>1744</v>
          </cell>
          <cell r="N987">
            <v>1747</v>
          </cell>
          <cell r="O987">
            <v>1720</v>
          </cell>
          <cell r="P987">
            <v>1702</v>
          </cell>
          <cell r="Q987">
            <v>1743</v>
          </cell>
          <cell r="R987">
            <v>1775</v>
          </cell>
          <cell r="S987">
            <v>1674</v>
          </cell>
          <cell r="T987">
            <v>1677</v>
          </cell>
          <cell r="U987">
            <v>1668</v>
          </cell>
          <cell r="V987">
            <v>1668</v>
          </cell>
          <cell r="W987">
            <v>1726</v>
          </cell>
          <cell r="X987">
            <v>1775</v>
          </cell>
          <cell r="Y987">
            <v>1674</v>
          </cell>
          <cell r="Z987">
            <v>1677</v>
          </cell>
          <cell r="AA987">
            <v>1668</v>
          </cell>
          <cell r="AB987">
            <v>1668</v>
          </cell>
          <cell r="AC987">
            <v>1726</v>
          </cell>
          <cell r="AD987">
            <v>1775</v>
          </cell>
        </row>
        <row r="988">
          <cell r="C988" t="str">
            <v>취암동</v>
          </cell>
          <cell r="D988" t="str">
            <v>소계</v>
          </cell>
          <cell r="F988">
            <v>0</v>
          </cell>
          <cell r="H988">
            <v>0.96</v>
          </cell>
          <cell r="I988">
            <v>0.97</v>
          </cell>
          <cell r="J988">
            <v>0.98</v>
          </cell>
          <cell r="K988">
            <v>0.99</v>
          </cell>
          <cell r="L988">
            <v>1</v>
          </cell>
          <cell r="M988">
            <v>12837</v>
          </cell>
          <cell r="N988">
            <v>13048</v>
          </cell>
          <cell r="O988">
            <v>12854</v>
          </cell>
          <cell r="P988">
            <v>13084</v>
          </cell>
          <cell r="Q988">
            <v>13384</v>
          </cell>
          <cell r="R988">
            <v>13618</v>
          </cell>
          <cell r="S988">
            <v>12324</v>
          </cell>
          <cell r="T988">
            <v>12526</v>
          </cell>
          <cell r="U988">
            <v>12468</v>
          </cell>
          <cell r="V988">
            <v>12822</v>
          </cell>
          <cell r="W988">
            <v>13250</v>
          </cell>
          <cell r="X988">
            <v>13618</v>
          </cell>
          <cell r="Y988">
            <v>12324</v>
          </cell>
          <cell r="Z988">
            <v>12526</v>
          </cell>
          <cell r="AA988">
            <v>12468</v>
          </cell>
          <cell r="AB988">
            <v>12822</v>
          </cell>
          <cell r="AC988">
            <v>13250</v>
          </cell>
          <cell r="AD988">
            <v>13618</v>
          </cell>
        </row>
        <row r="989">
          <cell r="C989" t="str">
            <v>지산동</v>
          </cell>
          <cell r="D989" t="str">
            <v>소계</v>
          </cell>
          <cell r="F989">
            <v>0</v>
          </cell>
          <cell r="H989">
            <v>0.96</v>
          </cell>
          <cell r="I989">
            <v>0.97</v>
          </cell>
          <cell r="J989">
            <v>0.98</v>
          </cell>
          <cell r="K989">
            <v>0.99</v>
          </cell>
          <cell r="L989">
            <v>1</v>
          </cell>
          <cell r="M989">
            <v>824</v>
          </cell>
          <cell r="N989">
            <v>826</v>
          </cell>
          <cell r="O989">
            <v>813</v>
          </cell>
          <cell r="P989">
            <v>803</v>
          </cell>
          <cell r="Q989">
            <v>822</v>
          </cell>
          <cell r="R989">
            <v>837</v>
          </cell>
          <cell r="S989">
            <v>791</v>
          </cell>
          <cell r="T989">
            <v>793</v>
          </cell>
          <cell r="U989">
            <v>789</v>
          </cell>
          <cell r="V989">
            <v>787</v>
          </cell>
          <cell r="W989">
            <v>814</v>
          </cell>
          <cell r="X989">
            <v>837</v>
          </cell>
          <cell r="Y989">
            <v>791</v>
          </cell>
          <cell r="Z989">
            <v>793</v>
          </cell>
          <cell r="AA989">
            <v>789</v>
          </cell>
          <cell r="AB989">
            <v>787</v>
          </cell>
          <cell r="AC989">
            <v>814</v>
          </cell>
          <cell r="AD989">
            <v>837</v>
          </cell>
        </row>
        <row r="990">
          <cell r="C990" t="str">
            <v>덕지동</v>
          </cell>
          <cell r="D990" t="str">
            <v>소계</v>
          </cell>
          <cell r="F990">
            <v>0</v>
          </cell>
          <cell r="H990">
            <v>0.96</v>
          </cell>
          <cell r="I990">
            <v>0.97</v>
          </cell>
          <cell r="J990">
            <v>0.98</v>
          </cell>
          <cell r="K990">
            <v>0.99</v>
          </cell>
          <cell r="L990">
            <v>1</v>
          </cell>
          <cell r="M990">
            <v>385</v>
          </cell>
          <cell r="N990">
            <v>385</v>
          </cell>
          <cell r="O990">
            <v>380</v>
          </cell>
          <cell r="P990">
            <v>375</v>
          </cell>
          <cell r="Q990">
            <v>384</v>
          </cell>
          <cell r="R990">
            <v>391</v>
          </cell>
          <cell r="S990">
            <v>370</v>
          </cell>
          <cell r="T990">
            <v>370</v>
          </cell>
          <cell r="U990">
            <v>369</v>
          </cell>
          <cell r="V990">
            <v>368</v>
          </cell>
          <cell r="W990">
            <v>380</v>
          </cell>
          <cell r="X990">
            <v>391</v>
          </cell>
          <cell r="Y990">
            <v>370</v>
          </cell>
          <cell r="Z990">
            <v>370</v>
          </cell>
          <cell r="AA990">
            <v>369</v>
          </cell>
          <cell r="AB990">
            <v>368</v>
          </cell>
          <cell r="AC990">
            <v>380</v>
          </cell>
          <cell r="AD990">
            <v>391</v>
          </cell>
        </row>
        <row r="991">
          <cell r="C991" t="str">
            <v>내동</v>
          </cell>
          <cell r="D991" t="str">
            <v>소계</v>
          </cell>
          <cell r="F991">
            <v>0</v>
          </cell>
          <cell r="H991">
            <v>0.96</v>
          </cell>
          <cell r="I991">
            <v>0.97</v>
          </cell>
          <cell r="J991">
            <v>0.98</v>
          </cell>
          <cell r="K991">
            <v>0.99</v>
          </cell>
          <cell r="L991">
            <v>1</v>
          </cell>
          <cell r="M991">
            <v>11729</v>
          </cell>
          <cell r="N991">
            <v>16924</v>
          </cell>
          <cell r="O991">
            <v>13146</v>
          </cell>
          <cell r="P991">
            <v>17984</v>
          </cell>
          <cell r="Q991">
            <v>18256</v>
          </cell>
          <cell r="R991">
            <v>18472</v>
          </cell>
          <cell r="S991">
            <v>11260</v>
          </cell>
          <cell r="T991">
            <v>16247</v>
          </cell>
          <cell r="U991">
            <v>12752</v>
          </cell>
          <cell r="V991">
            <v>17624</v>
          </cell>
          <cell r="W991">
            <v>18073</v>
          </cell>
          <cell r="X991">
            <v>18472</v>
          </cell>
          <cell r="Y991">
            <v>11260</v>
          </cell>
          <cell r="Z991">
            <v>16247</v>
          </cell>
          <cell r="AA991">
            <v>12752</v>
          </cell>
          <cell r="AB991">
            <v>17624</v>
          </cell>
          <cell r="AC991">
            <v>18073</v>
          </cell>
          <cell r="AD991">
            <v>18472</v>
          </cell>
        </row>
        <row r="992">
          <cell r="C992" t="str">
            <v>관촉동</v>
          </cell>
          <cell r="D992" t="str">
            <v>소계</v>
          </cell>
          <cell r="F992">
            <v>0</v>
          </cell>
          <cell r="H992">
            <v>0.96</v>
          </cell>
          <cell r="I992">
            <v>0.97</v>
          </cell>
          <cell r="J992">
            <v>0.98</v>
          </cell>
          <cell r="K992">
            <v>0.99</v>
          </cell>
          <cell r="L992">
            <v>1</v>
          </cell>
          <cell r="M992">
            <v>566</v>
          </cell>
          <cell r="N992">
            <v>566</v>
          </cell>
          <cell r="O992">
            <v>558</v>
          </cell>
          <cell r="P992">
            <v>552</v>
          </cell>
          <cell r="Q992">
            <v>566</v>
          </cell>
          <cell r="R992">
            <v>576</v>
          </cell>
          <cell r="S992">
            <v>543</v>
          </cell>
          <cell r="T992">
            <v>543</v>
          </cell>
          <cell r="U992">
            <v>541</v>
          </cell>
          <cell r="V992">
            <v>541</v>
          </cell>
          <cell r="W992">
            <v>560</v>
          </cell>
          <cell r="X992">
            <v>576</v>
          </cell>
          <cell r="Y992">
            <v>543</v>
          </cell>
          <cell r="Z992">
            <v>543</v>
          </cell>
          <cell r="AA992">
            <v>541</v>
          </cell>
          <cell r="AB992">
            <v>541</v>
          </cell>
          <cell r="AC992">
            <v>560</v>
          </cell>
          <cell r="AD992">
            <v>576</v>
          </cell>
        </row>
        <row r="993">
          <cell r="M993">
            <v>18943</v>
          </cell>
          <cell r="N993">
            <v>18971</v>
          </cell>
          <cell r="O993">
            <v>18677</v>
          </cell>
          <cell r="P993">
            <v>19896</v>
          </cell>
          <cell r="Q993">
            <v>20342</v>
          </cell>
          <cell r="R993">
            <v>20686</v>
          </cell>
          <cell r="S993">
            <v>18184</v>
          </cell>
          <cell r="T993">
            <v>18401</v>
          </cell>
          <cell r="U993">
            <v>18117</v>
          </cell>
          <cell r="V993">
            <v>19498</v>
          </cell>
          <cell r="W993">
            <v>20139</v>
          </cell>
          <cell r="X993">
            <v>20686</v>
          </cell>
          <cell r="Y993">
            <v>18184</v>
          </cell>
          <cell r="Z993">
            <v>18401</v>
          </cell>
          <cell r="AA993">
            <v>18117</v>
          </cell>
          <cell r="AB993">
            <v>19498</v>
          </cell>
          <cell r="AC993">
            <v>20139</v>
          </cell>
          <cell r="AD993">
            <v>20686</v>
          </cell>
        </row>
        <row r="994">
          <cell r="C994" t="str">
            <v>대교동</v>
          </cell>
          <cell r="D994" t="str">
            <v>소계</v>
          </cell>
          <cell r="F994">
            <v>0</v>
          </cell>
          <cell r="H994">
            <v>0.96</v>
          </cell>
          <cell r="I994">
            <v>0.97</v>
          </cell>
          <cell r="J994">
            <v>0.98</v>
          </cell>
          <cell r="K994">
            <v>0.99</v>
          </cell>
          <cell r="L994">
            <v>1</v>
          </cell>
          <cell r="M994">
            <v>4563</v>
          </cell>
          <cell r="N994">
            <v>4570</v>
          </cell>
          <cell r="O994">
            <v>4498</v>
          </cell>
          <cell r="P994">
            <v>5866</v>
          </cell>
          <cell r="Q994">
            <v>5973</v>
          </cell>
          <cell r="R994">
            <v>6056</v>
          </cell>
          <cell r="S994">
            <v>4380</v>
          </cell>
          <cell r="T994">
            <v>4433</v>
          </cell>
          <cell r="U994">
            <v>4363</v>
          </cell>
          <cell r="V994">
            <v>5749</v>
          </cell>
          <cell r="W994">
            <v>5913</v>
          </cell>
          <cell r="X994">
            <v>6056</v>
          </cell>
          <cell r="Y994">
            <v>4380</v>
          </cell>
          <cell r="Z994">
            <v>4433</v>
          </cell>
          <cell r="AA994">
            <v>4363</v>
          </cell>
          <cell r="AB994">
            <v>5749</v>
          </cell>
          <cell r="AC994">
            <v>5913</v>
          </cell>
          <cell r="AD994">
            <v>6056</v>
          </cell>
        </row>
        <row r="995">
          <cell r="C995" t="str">
            <v>부창동</v>
          </cell>
          <cell r="D995" t="str">
            <v>소계</v>
          </cell>
          <cell r="F995">
            <v>0</v>
          </cell>
          <cell r="H995">
            <v>0.96</v>
          </cell>
          <cell r="I995">
            <v>0.97</v>
          </cell>
          <cell r="J995">
            <v>0.98</v>
          </cell>
          <cell r="K995">
            <v>0.99</v>
          </cell>
          <cell r="L995">
            <v>1</v>
          </cell>
          <cell r="M995">
            <v>6845</v>
          </cell>
          <cell r="N995">
            <v>6854</v>
          </cell>
          <cell r="O995">
            <v>6750</v>
          </cell>
          <cell r="P995">
            <v>6680</v>
          </cell>
          <cell r="Q995">
            <v>6840</v>
          </cell>
          <cell r="R995">
            <v>6964</v>
          </cell>
          <cell r="S995">
            <v>6571</v>
          </cell>
          <cell r="T995">
            <v>6648</v>
          </cell>
          <cell r="U995">
            <v>6548</v>
          </cell>
          <cell r="V995">
            <v>6546</v>
          </cell>
          <cell r="W995">
            <v>6772</v>
          </cell>
          <cell r="X995">
            <v>6964</v>
          </cell>
          <cell r="Y995">
            <v>6571</v>
          </cell>
          <cell r="Z995">
            <v>6648</v>
          </cell>
          <cell r="AA995">
            <v>6548</v>
          </cell>
          <cell r="AB995">
            <v>6546</v>
          </cell>
          <cell r="AC995">
            <v>6772</v>
          </cell>
          <cell r="AD995">
            <v>6964</v>
          </cell>
        </row>
        <row r="996">
          <cell r="C996" t="str">
            <v>등화동</v>
          </cell>
          <cell r="D996" t="str">
            <v>소계</v>
          </cell>
          <cell r="F996">
            <v>0</v>
          </cell>
          <cell r="H996">
            <v>0.96</v>
          </cell>
          <cell r="I996">
            <v>0.97</v>
          </cell>
          <cell r="J996">
            <v>0.98</v>
          </cell>
          <cell r="K996">
            <v>0.99</v>
          </cell>
          <cell r="L996">
            <v>1</v>
          </cell>
          <cell r="M996">
            <v>715</v>
          </cell>
          <cell r="N996">
            <v>717</v>
          </cell>
          <cell r="O996">
            <v>705</v>
          </cell>
          <cell r="P996">
            <v>697</v>
          </cell>
          <cell r="Q996">
            <v>714</v>
          </cell>
          <cell r="R996">
            <v>727</v>
          </cell>
          <cell r="S996">
            <v>686</v>
          </cell>
          <cell r="T996">
            <v>695</v>
          </cell>
          <cell r="U996">
            <v>684</v>
          </cell>
          <cell r="V996">
            <v>683</v>
          </cell>
          <cell r="W996">
            <v>707</v>
          </cell>
          <cell r="X996">
            <v>727</v>
          </cell>
          <cell r="Y996">
            <v>686</v>
          </cell>
          <cell r="Z996">
            <v>695</v>
          </cell>
          <cell r="AA996">
            <v>684</v>
          </cell>
          <cell r="AB996">
            <v>683</v>
          </cell>
          <cell r="AC996">
            <v>707</v>
          </cell>
          <cell r="AD996">
            <v>727</v>
          </cell>
        </row>
        <row r="997">
          <cell r="C997" t="str">
            <v>강산동</v>
          </cell>
          <cell r="D997" t="str">
            <v>소계</v>
          </cell>
          <cell r="F997">
            <v>0</v>
          </cell>
          <cell r="H997">
            <v>0.96</v>
          </cell>
          <cell r="I997">
            <v>0.97</v>
          </cell>
          <cell r="J997">
            <v>0.98</v>
          </cell>
          <cell r="K997">
            <v>0.99</v>
          </cell>
          <cell r="L997">
            <v>1</v>
          </cell>
          <cell r="M997">
            <v>6820</v>
          </cell>
          <cell r="N997">
            <v>6830</v>
          </cell>
          <cell r="O997">
            <v>6724</v>
          </cell>
          <cell r="P997">
            <v>6653</v>
          </cell>
          <cell r="Q997">
            <v>6815</v>
          </cell>
          <cell r="R997">
            <v>6939</v>
          </cell>
          <cell r="S997">
            <v>6547</v>
          </cell>
          <cell r="T997">
            <v>6625</v>
          </cell>
          <cell r="U997">
            <v>6522</v>
          </cell>
          <cell r="V997">
            <v>6520</v>
          </cell>
          <cell r="W997">
            <v>6747</v>
          </cell>
          <cell r="X997">
            <v>6939</v>
          </cell>
          <cell r="Y997">
            <v>6547</v>
          </cell>
          <cell r="Z997">
            <v>6625</v>
          </cell>
          <cell r="AA997">
            <v>6522</v>
          </cell>
          <cell r="AB997">
            <v>6520</v>
          </cell>
          <cell r="AC997">
            <v>6747</v>
          </cell>
          <cell r="AD997">
            <v>6939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1.상수사용량"/>
      <sheetName val="2.상수원단위"/>
      <sheetName val="3.유수율"/>
      <sheetName val="3.영업용수율"/>
      <sheetName val="4.논산시추계(10년)"/>
      <sheetName val="4.동지역추계(10년)"/>
      <sheetName val="4.읍지역추계(10년)"/>
      <sheetName val="4.면지역추계(10년)"/>
      <sheetName val="논산시 추계"/>
      <sheetName val="논산시 추계(10년)"/>
      <sheetName val="논산시 추계(5년)"/>
      <sheetName val="논산시 용도별 추계 10년(군부대제외)"/>
      <sheetName val="논산시 용도별 추계 5년(군부대제외)"/>
      <sheetName val="강경읍 추계 10년"/>
      <sheetName val="연무읍 추계 10년"/>
      <sheetName val="성동면 추계 10년"/>
      <sheetName val="광석면 추계 10년"/>
      <sheetName val="노성면 추계 10년"/>
      <sheetName val="상월면 추계 10년"/>
      <sheetName val="부적면 추계 10년"/>
      <sheetName val="연산면 추계 10년"/>
      <sheetName val="별곡면 추계 10년"/>
      <sheetName val="양촌면 추계 10년"/>
      <sheetName val="가야곡면 추계 10년"/>
      <sheetName val="은진면 추계 10년"/>
      <sheetName val="채운면 추계 10년"/>
      <sheetName val="동지역 추계 10년"/>
      <sheetName val="5.급수원단위"/>
      <sheetName val="참고-&gt;"/>
      <sheetName val="Sheet1"/>
      <sheetName val="급수실적 "/>
      <sheetName val="표준(21)"/>
      <sheetName val="유수율계획"/>
      <sheetName val="유수율현황"/>
      <sheetName val="유수율적용 원단위"/>
      <sheetName val="첨두부하율 결정"/>
      <sheetName val="첨두부하율 결정원단위"/>
      <sheetName val="원단위결정"/>
    </sheetNames>
    <sheetDataSet>
      <sheetData sheetId="0"/>
      <sheetData sheetId="1"/>
      <sheetData sheetId="2">
        <row r="33">
          <cell r="C33">
            <v>0.85</v>
          </cell>
        </row>
      </sheetData>
      <sheetData sheetId="3">
        <row r="13">
          <cell r="G13">
            <v>0.67</v>
          </cell>
        </row>
        <row r="26">
          <cell r="G26">
            <v>0.65400000000000003</v>
          </cell>
        </row>
        <row r="39">
          <cell r="G39">
            <v>0.71199999999999997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7">
          <cell r="D27">
            <v>322</v>
          </cell>
          <cell r="E27">
            <v>330</v>
          </cell>
          <cell r="F27">
            <v>340</v>
          </cell>
          <cell r="G27">
            <v>355</v>
          </cell>
        </row>
        <row r="28">
          <cell r="D28">
            <v>297</v>
          </cell>
          <cell r="E28">
            <v>318</v>
          </cell>
          <cell r="F28">
            <v>335</v>
          </cell>
          <cell r="G28">
            <v>346</v>
          </cell>
        </row>
        <row r="29">
          <cell r="D29">
            <v>232</v>
          </cell>
          <cell r="E29">
            <v>235</v>
          </cell>
          <cell r="F29">
            <v>236</v>
          </cell>
          <cell r="G29">
            <v>236</v>
          </cell>
        </row>
        <row r="31">
          <cell r="B31" t="str">
            <v>논산시</v>
          </cell>
          <cell r="C31">
            <v>376</v>
          </cell>
          <cell r="D31">
            <v>387</v>
          </cell>
          <cell r="E31">
            <v>392</v>
          </cell>
          <cell r="F31">
            <v>397</v>
          </cell>
          <cell r="G31">
            <v>401</v>
          </cell>
        </row>
        <row r="32">
          <cell r="B32" t="str">
            <v>동지역</v>
          </cell>
          <cell r="C32">
            <v>420</v>
          </cell>
          <cell r="D32">
            <v>422</v>
          </cell>
          <cell r="E32">
            <v>433</v>
          </cell>
          <cell r="F32">
            <v>446</v>
          </cell>
          <cell r="G32">
            <v>466</v>
          </cell>
        </row>
        <row r="33">
          <cell r="B33" t="str">
            <v>읍지역</v>
          </cell>
          <cell r="C33">
            <v>365</v>
          </cell>
          <cell r="D33">
            <v>390</v>
          </cell>
          <cell r="E33">
            <v>417</v>
          </cell>
          <cell r="F33">
            <v>439</v>
          </cell>
          <cell r="G33">
            <v>454</v>
          </cell>
        </row>
        <row r="34">
          <cell r="B34" t="str">
            <v>면지역</v>
          </cell>
          <cell r="C34">
            <v>272</v>
          </cell>
          <cell r="D34">
            <v>304</v>
          </cell>
          <cell r="E34">
            <v>308</v>
          </cell>
          <cell r="F34">
            <v>310</v>
          </cell>
          <cell r="G34">
            <v>310</v>
          </cell>
        </row>
        <row r="35">
          <cell r="B35" t="str">
            <v>국방대</v>
          </cell>
          <cell r="E35">
            <v>555</v>
          </cell>
          <cell r="F35">
            <v>555</v>
          </cell>
          <cell r="G35">
            <v>555</v>
          </cell>
        </row>
        <row r="39">
          <cell r="D39">
            <v>419</v>
          </cell>
        </row>
        <row r="40">
          <cell r="D40">
            <v>381</v>
          </cell>
        </row>
        <row r="41">
          <cell r="D41">
            <v>304</v>
          </cell>
        </row>
      </sheetData>
      <sheetData sheetId="28"/>
      <sheetData sheetId="29"/>
      <sheetData sheetId="30"/>
      <sheetData sheetId="31"/>
      <sheetData sheetId="32"/>
      <sheetData sheetId="33"/>
      <sheetData sheetId="34">
        <row r="53">
          <cell r="C53">
            <v>336</v>
          </cell>
          <cell r="D53">
            <v>352</v>
          </cell>
          <cell r="E53">
            <v>373</v>
          </cell>
          <cell r="F53">
            <v>396</v>
          </cell>
        </row>
        <row r="54">
          <cell r="C54">
            <v>283.5</v>
          </cell>
          <cell r="D54">
            <v>306</v>
          </cell>
          <cell r="E54">
            <v>330.5</v>
          </cell>
          <cell r="F54">
            <v>356</v>
          </cell>
        </row>
        <row r="55">
          <cell r="C55">
            <v>248.5</v>
          </cell>
          <cell r="D55">
            <v>264.75</v>
          </cell>
          <cell r="E55">
            <v>278</v>
          </cell>
          <cell r="F55">
            <v>288.25</v>
          </cell>
        </row>
      </sheetData>
      <sheetData sheetId="35"/>
      <sheetData sheetId="36"/>
      <sheetData sheetId="37">
        <row r="19">
          <cell r="E19">
            <v>440.16</v>
          </cell>
          <cell r="F19">
            <v>461.12</v>
          </cell>
          <cell r="G19">
            <v>488.63</v>
          </cell>
          <cell r="H19">
            <v>518.76</v>
          </cell>
        </row>
        <row r="20">
          <cell r="E20">
            <v>371.38499999999999</v>
          </cell>
          <cell r="F20">
            <v>400.86</v>
          </cell>
          <cell r="G20">
            <v>432.95500000000004</v>
          </cell>
          <cell r="H20">
            <v>466.36</v>
          </cell>
        </row>
        <row r="21">
          <cell r="E21">
            <v>325.53500000000003</v>
          </cell>
          <cell r="F21">
            <v>346.82249999999999</v>
          </cell>
          <cell r="G21">
            <v>364.18</v>
          </cell>
          <cell r="H21">
            <v>377.60750000000002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일평균 수요량"/>
      <sheetName val="연 수요량"/>
      <sheetName val="2004~2011"/>
      <sheetName val="2012~2013"/>
      <sheetName val="Sheet1"/>
      <sheetName val="급수구역별 용수량정리"/>
    </sheetNames>
    <sheetDataSet>
      <sheetData sheetId="0">
        <row r="9">
          <cell r="L9">
            <v>2668</v>
          </cell>
        </row>
        <row r="14">
          <cell r="L14">
            <v>0</v>
          </cell>
        </row>
        <row r="18">
          <cell r="L18">
            <v>1036</v>
          </cell>
        </row>
        <row r="19">
          <cell r="L19">
            <v>4510</v>
          </cell>
        </row>
        <row r="24">
          <cell r="L24">
            <v>230</v>
          </cell>
        </row>
        <row r="29">
          <cell r="L29">
            <v>0</v>
          </cell>
        </row>
        <row r="34">
          <cell r="L34">
            <v>0</v>
          </cell>
        </row>
        <row r="39">
          <cell r="L39">
            <v>0</v>
          </cell>
        </row>
        <row r="44">
          <cell r="L44">
            <v>0</v>
          </cell>
        </row>
        <row r="49">
          <cell r="L49">
            <v>0</v>
          </cell>
        </row>
        <row r="54">
          <cell r="L54">
            <v>197</v>
          </cell>
        </row>
        <row r="59">
          <cell r="L59">
            <v>0</v>
          </cell>
        </row>
        <row r="64">
          <cell r="L64">
            <v>26</v>
          </cell>
        </row>
        <row r="69">
          <cell r="L69">
            <v>172</v>
          </cell>
        </row>
        <row r="79">
          <cell r="L79">
            <v>0</v>
          </cell>
        </row>
        <row r="84">
          <cell r="L84">
            <v>53</v>
          </cell>
        </row>
        <row r="89">
          <cell r="L89">
            <v>225</v>
          </cell>
        </row>
      </sheetData>
      <sheetData sheetId="1">
        <row r="114">
          <cell r="C114">
            <v>0</v>
          </cell>
          <cell r="D114">
            <v>0</v>
          </cell>
          <cell r="E114">
            <v>0</v>
          </cell>
          <cell r="F114">
            <v>5435</v>
          </cell>
          <cell r="G114">
            <v>6882</v>
          </cell>
          <cell r="H114">
            <v>7340</v>
          </cell>
          <cell r="I114">
            <v>12347</v>
          </cell>
          <cell r="J114">
            <v>16065</v>
          </cell>
          <cell r="K114">
            <v>22708</v>
          </cell>
          <cell r="L114">
            <v>22405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7593</v>
          </cell>
          <cell r="H115">
            <v>8090</v>
          </cell>
          <cell r="I115">
            <v>10931</v>
          </cell>
          <cell r="J115">
            <v>21194</v>
          </cell>
          <cell r="K115">
            <v>15926</v>
          </cell>
          <cell r="L115">
            <v>14802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447</v>
          </cell>
          <cell r="G116">
            <v>5830</v>
          </cell>
          <cell r="H116">
            <v>2770</v>
          </cell>
          <cell r="I116">
            <v>4048</v>
          </cell>
          <cell r="J116">
            <v>5672</v>
          </cell>
          <cell r="K116">
            <v>4506</v>
          </cell>
          <cell r="L116">
            <v>7544</v>
          </cell>
        </row>
        <row r="117">
          <cell r="C117">
            <v>9310</v>
          </cell>
          <cell r="D117">
            <v>569</v>
          </cell>
          <cell r="E117">
            <v>8998</v>
          </cell>
          <cell r="F117">
            <v>43440</v>
          </cell>
          <cell r="G117">
            <v>42391</v>
          </cell>
          <cell r="H117">
            <v>77179</v>
          </cell>
          <cell r="I117">
            <v>79804</v>
          </cell>
          <cell r="J117">
            <v>87959</v>
          </cell>
          <cell r="K117">
            <v>112899</v>
          </cell>
          <cell r="L117">
            <v>99316</v>
          </cell>
        </row>
        <row r="118">
          <cell r="C118">
            <v>32504</v>
          </cell>
          <cell r="D118">
            <v>28061</v>
          </cell>
          <cell r="E118">
            <v>29827</v>
          </cell>
          <cell r="F118">
            <v>27562</v>
          </cell>
          <cell r="G118">
            <v>27012</v>
          </cell>
          <cell r="H118">
            <v>25173</v>
          </cell>
          <cell r="I118">
            <v>28675</v>
          </cell>
          <cell r="J118">
            <v>32132</v>
          </cell>
          <cell r="K118">
            <v>25730</v>
          </cell>
          <cell r="L118">
            <v>26754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26</v>
          </cell>
          <cell r="J119">
            <v>11998</v>
          </cell>
          <cell r="K119">
            <v>11554</v>
          </cell>
          <cell r="L119">
            <v>17545</v>
          </cell>
        </row>
      </sheetData>
      <sheetData sheetId="2" refreshError="1"/>
      <sheetData sheetId="3" refreshError="1"/>
      <sheetData sheetId="4" refreshError="1"/>
      <sheetData sheetId="5">
        <row r="6">
          <cell r="H6">
            <v>287</v>
          </cell>
        </row>
        <row r="7">
          <cell r="E7">
            <v>64847</v>
          </cell>
          <cell r="F7">
            <v>177</v>
          </cell>
          <cell r="G7">
            <v>218</v>
          </cell>
          <cell r="H7">
            <v>287</v>
          </cell>
        </row>
        <row r="8">
          <cell r="D8" t="str">
            <v>신당리</v>
          </cell>
          <cell r="E8">
            <v>16780</v>
          </cell>
          <cell r="F8">
            <v>46</v>
          </cell>
          <cell r="G8">
            <v>57</v>
          </cell>
          <cell r="H8">
            <v>75</v>
          </cell>
        </row>
        <row r="9">
          <cell r="D9" t="str">
            <v>중리</v>
          </cell>
          <cell r="E9">
            <v>6719</v>
          </cell>
          <cell r="F9">
            <v>18</v>
          </cell>
          <cell r="G9">
            <v>22</v>
          </cell>
          <cell r="H9">
            <v>29</v>
          </cell>
        </row>
        <row r="10">
          <cell r="D10" t="str">
            <v>득윤리</v>
          </cell>
          <cell r="E10">
            <v>1383</v>
          </cell>
          <cell r="F10">
            <v>4</v>
          </cell>
          <cell r="G10">
            <v>5</v>
          </cell>
          <cell r="H10">
            <v>7</v>
          </cell>
        </row>
        <row r="11">
          <cell r="D11" t="str">
            <v>갈산리</v>
          </cell>
          <cell r="E11">
            <v>12081</v>
          </cell>
          <cell r="F11">
            <v>33</v>
          </cell>
          <cell r="G11">
            <v>41</v>
          </cell>
          <cell r="H11">
            <v>54</v>
          </cell>
        </row>
        <row r="12">
          <cell r="D12" t="str">
            <v>광리</v>
          </cell>
          <cell r="E12">
            <v>3752</v>
          </cell>
          <cell r="F12">
            <v>10</v>
          </cell>
          <cell r="G12">
            <v>12</v>
          </cell>
          <cell r="H12">
            <v>16</v>
          </cell>
        </row>
        <row r="13">
          <cell r="D13" t="str">
            <v>이사리</v>
          </cell>
          <cell r="E13">
            <v>20487</v>
          </cell>
          <cell r="F13">
            <v>56</v>
          </cell>
          <cell r="G13">
            <v>69</v>
          </cell>
          <cell r="H13">
            <v>90</v>
          </cell>
        </row>
        <row r="14">
          <cell r="D14" t="str">
            <v>산동리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D15" t="str">
            <v>천동리</v>
          </cell>
          <cell r="E15">
            <v>3645</v>
          </cell>
          <cell r="F15">
            <v>10</v>
          </cell>
          <cell r="G15">
            <v>12</v>
          </cell>
          <cell r="H15">
            <v>16</v>
          </cell>
        </row>
        <row r="16">
          <cell r="D16" t="str">
            <v>왕전리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D17" t="str">
            <v>항월리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D18" t="str">
            <v>사월리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D19" t="str">
            <v>율리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D20" t="str">
            <v>오강리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D22" t="str">
            <v>읍내리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D23" t="str">
            <v>두사리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D24" t="str">
            <v>송당리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D25" t="str">
            <v>교촌리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D26" t="str">
            <v>하도리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</row>
        <row r="27">
          <cell r="D27" t="str">
            <v>병사리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D28" t="str">
            <v>가곡리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D29" t="str">
            <v>장구리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</row>
        <row r="30">
          <cell r="D30" t="str">
            <v>효죽리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D31" t="str">
            <v>죽림리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D32" t="str">
            <v>호암리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D33" t="str">
            <v>노티리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</row>
        <row r="34">
          <cell r="D34" t="str">
            <v>구암리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D35" t="str">
            <v>화곡리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  <row r="36">
          <cell r="E36">
            <v>279794</v>
          </cell>
          <cell r="F36">
            <v>764</v>
          </cell>
          <cell r="G36">
            <v>1036</v>
          </cell>
          <cell r="H36">
            <v>1357</v>
          </cell>
        </row>
        <row r="37">
          <cell r="E37">
            <v>257306</v>
          </cell>
          <cell r="F37">
            <v>703</v>
          </cell>
          <cell r="G37">
            <v>953</v>
          </cell>
          <cell r="H37">
            <v>1248</v>
          </cell>
        </row>
        <row r="38">
          <cell r="D38" t="str">
            <v>삼산리</v>
          </cell>
          <cell r="E38">
            <v>17081</v>
          </cell>
          <cell r="F38">
            <v>47</v>
          </cell>
          <cell r="G38">
            <v>64</v>
          </cell>
          <cell r="H38">
            <v>84</v>
          </cell>
        </row>
        <row r="39">
          <cell r="D39" t="str">
            <v>월성리</v>
          </cell>
          <cell r="E39">
            <v>10010</v>
          </cell>
          <cell r="F39">
            <v>27</v>
          </cell>
          <cell r="G39">
            <v>37</v>
          </cell>
          <cell r="H39">
            <v>48</v>
          </cell>
        </row>
        <row r="40">
          <cell r="D40" t="str">
            <v>병촌리</v>
          </cell>
          <cell r="E40">
            <v>3989</v>
          </cell>
          <cell r="F40">
            <v>11</v>
          </cell>
          <cell r="G40">
            <v>15</v>
          </cell>
          <cell r="H40">
            <v>20</v>
          </cell>
        </row>
        <row r="41">
          <cell r="D41" t="str">
            <v>개척리</v>
          </cell>
          <cell r="E41">
            <v>34126</v>
          </cell>
          <cell r="F41">
            <v>93</v>
          </cell>
          <cell r="G41">
            <v>126</v>
          </cell>
          <cell r="H41">
            <v>165</v>
          </cell>
        </row>
        <row r="42">
          <cell r="D42" t="str">
            <v>우곤리</v>
          </cell>
          <cell r="E42">
            <v>81109</v>
          </cell>
          <cell r="F42">
            <v>222</v>
          </cell>
          <cell r="G42">
            <v>301</v>
          </cell>
          <cell r="H42">
            <v>394</v>
          </cell>
        </row>
        <row r="43">
          <cell r="D43" t="str">
            <v>원남리</v>
          </cell>
          <cell r="E43">
            <v>8942</v>
          </cell>
          <cell r="F43">
            <v>24</v>
          </cell>
          <cell r="G43">
            <v>33</v>
          </cell>
          <cell r="H43">
            <v>43</v>
          </cell>
        </row>
        <row r="44">
          <cell r="D44" t="str">
            <v>원북리</v>
          </cell>
          <cell r="E44">
            <v>27983</v>
          </cell>
          <cell r="F44">
            <v>77</v>
          </cell>
          <cell r="G44">
            <v>104</v>
          </cell>
          <cell r="H44">
            <v>136</v>
          </cell>
        </row>
        <row r="45">
          <cell r="D45" t="str">
            <v>정지리</v>
          </cell>
          <cell r="E45">
            <v>28605</v>
          </cell>
          <cell r="F45">
            <v>78</v>
          </cell>
          <cell r="G45">
            <v>106</v>
          </cell>
          <cell r="H45">
            <v>139</v>
          </cell>
        </row>
        <row r="46">
          <cell r="D46" t="str">
            <v>원봉리</v>
          </cell>
          <cell r="E46">
            <v>35386</v>
          </cell>
          <cell r="F46">
            <v>97</v>
          </cell>
          <cell r="G46">
            <v>131</v>
          </cell>
          <cell r="H46">
            <v>172</v>
          </cell>
        </row>
        <row r="47">
          <cell r="D47" t="str">
            <v>화정리</v>
          </cell>
          <cell r="E47">
            <v>2715</v>
          </cell>
          <cell r="F47">
            <v>7</v>
          </cell>
          <cell r="G47">
            <v>9</v>
          </cell>
          <cell r="H47">
            <v>12</v>
          </cell>
        </row>
        <row r="48">
          <cell r="D48" t="str">
            <v>삼호리</v>
          </cell>
          <cell r="E48">
            <v>7360</v>
          </cell>
          <cell r="F48">
            <v>20</v>
          </cell>
          <cell r="G48">
            <v>27</v>
          </cell>
          <cell r="H48">
            <v>35</v>
          </cell>
        </row>
        <row r="49">
          <cell r="E49">
            <v>22488</v>
          </cell>
          <cell r="F49">
            <v>61</v>
          </cell>
          <cell r="G49">
            <v>83</v>
          </cell>
          <cell r="H49">
            <v>109</v>
          </cell>
        </row>
        <row r="50">
          <cell r="D50" t="str">
            <v>신당리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D51" t="str">
            <v>중리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D52" t="str">
            <v>득윤리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D53" t="str">
            <v>갈산리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</row>
        <row r="54">
          <cell r="D54" t="str">
            <v>광리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D55" t="str">
            <v>이사리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</row>
        <row r="56">
          <cell r="D56" t="str">
            <v>산동리</v>
          </cell>
          <cell r="E56">
            <v>16476</v>
          </cell>
          <cell r="F56">
            <v>45</v>
          </cell>
          <cell r="G56">
            <v>61</v>
          </cell>
          <cell r="H56">
            <v>80</v>
          </cell>
        </row>
        <row r="57">
          <cell r="D57" t="str">
            <v>천동리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</row>
        <row r="58">
          <cell r="D58" t="str">
            <v>왕전리</v>
          </cell>
          <cell r="E58">
            <v>6012</v>
          </cell>
          <cell r="F58">
            <v>16</v>
          </cell>
          <cell r="G58">
            <v>22</v>
          </cell>
          <cell r="H58">
            <v>29</v>
          </cell>
        </row>
        <row r="59">
          <cell r="D59" t="str">
            <v>항월리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D60" t="str">
            <v>사월리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</row>
        <row r="61">
          <cell r="D61" t="str">
            <v>율리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D62" t="str">
            <v>오강리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</row>
        <row r="63">
          <cell r="E63">
            <v>417602</v>
          </cell>
          <cell r="F63">
            <v>1144</v>
          </cell>
          <cell r="G63">
            <v>1432</v>
          </cell>
          <cell r="H63">
            <v>1876</v>
          </cell>
        </row>
        <row r="64">
          <cell r="E64">
            <v>163879</v>
          </cell>
          <cell r="F64">
            <v>449</v>
          </cell>
          <cell r="G64">
            <v>562</v>
          </cell>
          <cell r="H64">
            <v>736</v>
          </cell>
        </row>
        <row r="65">
          <cell r="D65" t="str">
            <v>화지동</v>
          </cell>
          <cell r="E65">
            <v>72229</v>
          </cell>
          <cell r="F65">
            <v>198</v>
          </cell>
          <cell r="G65">
            <v>248</v>
          </cell>
          <cell r="H65">
            <v>325</v>
          </cell>
          <cell r="I65">
            <v>0.22</v>
          </cell>
        </row>
        <row r="66">
          <cell r="D66" t="str">
            <v>반월동</v>
          </cell>
          <cell r="E66">
            <v>91650</v>
          </cell>
          <cell r="F66">
            <v>251</v>
          </cell>
          <cell r="G66">
            <v>314</v>
          </cell>
          <cell r="H66">
            <v>411</v>
          </cell>
          <cell r="I66">
            <v>0.40400000000000003</v>
          </cell>
        </row>
        <row r="67">
          <cell r="D67" t="str">
            <v>취암동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</row>
        <row r="68">
          <cell r="D68" t="str">
            <v>지산동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</row>
        <row r="69">
          <cell r="D69" t="str">
            <v>덕지동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</row>
        <row r="70">
          <cell r="D70" t="str">
            <v>내동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</row>
        <row r="71">
          <cell r="D71" t="str">
            <v>관촉동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</row>
        <row r="72">
          <cell r="E72">
            <v>253723</v>
          </cell>
          <cell r="F72">
            <v>695</v>
          </cell>
          <cell r="G72">
            <v>870</v>
          </cell>
          <cell r="H72">
            <v>1140</v>
          </cell>
        </row>
        <row r="73">
          <cell r="D73" t="str">
            <v>대교동</v>
          </cell>
          <cell r="E73">
            <v>76267</v>
          </cell>
          <cell r="F73">
            <v>209</v>
          </cell>
          <cell r="G73">
            <v>262</v>
          </cell>
          <cell r="H73">
            <v>343</v>
          </cell>
          <cell r="I73">
            <v>0.215</v>
          </cell>
        </row>
        <row r="74">
          <cell r="D74" t="str">
            <v>부창동</v>
          </cell>
          <cell r="E74">
            <v>154046</v>
          </cell>
          <cell r="F74">
            <v>422</v>
          </cell>
          <cell r="G74">
            <v>528</v>
          </cell>
          <cell r="H74">
            <v>692</v>
          </cell>
          <cell r="I74">
            <v>0.30199999999999999</v>
          </cell>
        </row>
        <row r="75">
          <cell r="D75" t="str">
            <v>등화동</v>
          </cell>
          <cell r="E75">
            <v>19009</v>
          </cell>
          <cell r="F75">
            <v>52</v>
          </cell>
          <cell r="G75">
            <v>65</v>
          </cell>
          <cell r="H75">
            <v>85</v>
          </cell>
          <cell r="I75">
            <v>1</v>
          </cell>
        </row>
        <row r="76">
          <cell r="D76" t="str">
            <v>강산동</v>
          </cell>
          <cell r="E76">
            <v>4401</v>
          </cell>
          <cell r="F76">
            <v>12</v>
          </cell>
          <cell r="G76">
            <v>15</v>
          </cell>
          <cell r="H76">
            <v>20</v>
          </cell>
          <cell r="I76">
            <v>8.9999999999999993E-3</v>
          </cell>
        </row>
        <row r="77">
          <cell r="E77">
            <v>4147800</v>
          </cell>
          <cell r="F77">
            <v>11363</v>
          </cell>
          <cell r="G77">
            <v>12803</v>
          </cell>
          <cell r="H77">
            <v>16771</v>
          </cell>
        </row>
        <row r="78">
          <cell r="E78">
            <v>3037280</v>
          </cell>
          <cell r="F78">
            <v>8321</v>
          </cell>
          <cell r="G78">
            <v>9511</v>
          </cell>
          <cell r="H78">
            <v>12459</v>
          </cell>
        </row>
        <row r="79">
          <cell r="E79">
            <v>1898603</v>
          </cell>
          <cell r="F79">
            <v>5201</v>
          </cell>
          <cell r="G79">
            <v>5945</v>
          </cell>
          <cell r="H79">
            <v>7788</v>
          </cell>
        </row>
        <row r="80">
          <cell r="D80" t="str">
            <v>화지동</v>
          </cell>
          <cell r="E80">
            <v>256145</v>
          </cell>
          <cell r="F80">
            <v>702</v>
          </cell>
          <cell r="G80">
            <v>802</v>
          </cell>
          <cell r="H80">
            <v>1051</v>
          </cell>
          <cell r="I80">
            <v>0.78</v>
          </cell>
        </row>
        <row r="81">
          <cell r="D81" t="str">
            <v>반월동</v>
          </cell>
          <cell r="E81">
            <v>135230</v>
          </cell>
          <cell r="F81">
            <v>370</v>
          </cell>
          <cell r="G81">
            <v>423</v>
          </cell>
          <cell r="H81">
            <v>554</v>
          </cell>
          <cell r="I81">
            <v>0.59599999999999997</v>
          </cell>
        </row>
        <row r="82">
          <cell r="D82" t="str">
            <v>취암동</v>
          </cell>
          <cell r="E82">
            <v>1290391</v>
          </cell>
          <cell r="F82">
            <v>3535</v>
          </cell>
          <cell r="G82">
            <v>4040</v>
          </cell>
          <cell r="H82">
            <v>5292</v>
          </cell>
          <cell r="I82">
            <v>0.88700000000000001</v>
          </cell>
        </row>
        <row r="83">
          <cell r="D83" t="str">
            <v>지산동</v>
          </cell>
          <cell r="E83">
            <v>65556</v>
          </cell>
          <cell r="F83">
            <v>180</v>
          </cell>
          <cell r="G83">
            <v>206</v>
          </cell>
          <cell r="H83">
            <v>270</v>
          </cell>
          <cell r="I83">
            <v>1</v>
          </cell>
        </row>
        <row r="84">
          <cell r="D84" t="str">
            <v>덕지동</v>
          </cell>
          <cell r="E84">
            <v>35170</v>
          </cell>
          <cell r="F84">
            <v>96</v>
          </cell>
          <cell r="G84">
            <v>110</v>
          </cell>
          <cell r="H84">
            <v>144</v>
          </cell>
          <cell r="I84">
            <v>1</v>
          </cell>
        </row>
        <row r="85">
          <cell r="D85" t="str">
            <v>내동</v>
          </cell>
          <cell r="E85">
            <v>60990</v>
          </cell>
          <cell r="F85">
            <v>167</v>
          </cell>
          <cell r="G85">
            <v>191</v>
          </cell>
          <cell r="H85">
            <v>250</v>
          </cell>
          <cell r="I85">
            <v>5.1999999999999998E-2</v>
          </cell>
        </row>
        <row r="86">
          <cell r="D86" t="str">
            <v>관촉동</v>
          </cell>
          <cell r="E86">
            <v>55121</v>
          </cell>
          <cell r="F86">
            <v>151</v>
          </cell>
          <cell r="G86">
            <v>173</v>
          </cell>
          <cell r="H86">
            <v>227</v>
          </cell>
          <cell r="I86">
            <v>1</v>
          </cell>
        </row>
        <row r="87">
          <cell r="E87">
            <v>1131065</v>
          </cell>
          <cell r="F87">
            <v>3099</v>
          </cell>
          <cell r="G87">
            <v>3542</v>
          </cell>
          <cell r="H87">
            <v>4640</v>
          </cell>
        </row>
        <row r="88">
          <cell r="D88" t="str">
            <v>대교동</v>
          </cell>
          <cell r="E88">
            <v>278270</v>
          </cell>
          <cell r="F88">
            <v>762</v>
          </cell>
          <cell r="G88">
            <v>871</v>
          </cell>
          <cell r="H88">
            <v>1141</v>
          </cell>
          <cell r="I88">
            <v>0.78500000000000003</v>
          </cell>
        </row>
        <row r="89">
          <cell r="D89" t="str">
            <v>부창동</v>
          </cell>
          <cell r="E89">
            <v>356870</v>
          </cell>
          <cell r="F89">
            <v>978</v>
          </cell>
          <cell r="G89">
            <v>1118</v>
          </cell>
          <cell r="H89">
            <v>1465</v>
          </cell>
          <cell r="I89">
            <v>0.69799999999999995</v>
          </cell>
        </row>
        <row r="90">
          <cell r="D90" t="str">
            <v>등화동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</row>
        <row r="91">
          <cell r="D91" t="str">
            <v>강산동</v>
          </cell>
          <cell r="E91">
            <v>495925</v>
          </cell>
          <cell r="F91">
            <v>1359</v>
          </cell>
          <cell r="G91">
            <v>1553</v>
          </cell>
          <cell r="H91">
            <v>2034</v>
          </cell>
          <cell r="I91">
            <v>0.99099999999999999</v>
          </cell>
        </row>
        <row r="92">
          <cell r="E92">
            <v>7612</v>
          </cell>
          <cell r="F92">
            <v>21</v>
          </cell>
          <cell r="G92">
            <v>24</v>
          </cell>
          <cell r="H92">
            <v>31</v>
          </cell>
        </row>
        <row r="93">
          <cell r="D93" t="str">
            <v>연서리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</row>
        <row r="94">
          <cell r="D94" t="str">
            <v>방축리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</row>
        <row r="95">
          <cell r="D95" t="str">
            <v>토양리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D96" t="str">
            <v>시묘리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D97" t="str">
            <v>용산리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</row>
        <row r="98">
          <cell r="D98" t="str">
            <v>교촌리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</row>
        <row r="99">
          <cell r="D99" t="str">
            <v>와야리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</row>
        <row r="100">
          <cell r="D100" t="str">
            <v>남산리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</row>
        <row r="101">
          <cell r="D101" t="str">
            <v>성덕리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</row>
        <row r="102">
          <cell r="D102" t="str">
            <v>성평리</v>
          </cell>
          <cell r="E102">
            <v>7612</v>
          </cell>
          <cell r="F102">
            <v>21</v>
          </cell>
          <cell r="G102">
            <v>24</v>
          </cell>
          <cell r="H102">
            <v>31</v>
          </cell>
        </row>
        <row r="103">
          <cell r="E103">
            <v>1110520</v>
          </cell>
          <cell r="F103">
            <v>3042</v>
          </cell>
          <cell r="G103">
            <v>3292</v>
          </cell>
          <cell r="H103">
            <v>4312</v>
          </cell>
        </row>
        <row r="104">
          <cell r="E104">
            <v>1110520</v>
          </cell>
          <cell r="F104">
            <v>3042</v>
          </cell>
          <cell r="G104">
            <v>3292</v>
          </cell>
          <cell r="H104">
            <v>4312</v>
          </cell>
        </row>
        <row r="105">
          <cell r="D105" t="str">
            <v>화지동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</row>
        <row r="106">
          <cell r="D106" t="str">
            <v>반월동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</row>
        <row r="107">
          <cell r="D107" t="str">
            <v>취암동</v>
          </cell>
          <cell r="E107">
            <v>164697</v>
          </cell>
          <cell r="F107">
            <v>451</v>
          </cell>
          <cell r="G107">
            <v>488</v>
          </cell>
          <cell r="H107">
            <v>639</v>
          </cell>
          <cell r="I107">
            <v>0.113</v>
          </cell>
        </row>
        <row r="108">
          <cell r="D108" t="str">
            <v>지산동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</row>
        <row r="109">
          <cell r="D109" t="str">
            <v>덕지동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</row>
        <row r="110">
          <cell r="D110" t="str">
            <v>내동</v>
          </cell>
          <cell r="E110">
            <v>945823</v>
          </cell>
          <cell r="F110">
            <v>2591</v>
          </cell>
          <cell r="G110">
            <v>2804</v>
          </cell>
          <cell r="H110">
            <v>3673</v>
          </cell>
          <cell r="I110">
            <v>0.80100000000000005</v>
          </cell>
        </row>
        <row r="111">
          <cell r="D111" t="str">
            <v>관촉동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</row>
        <row r="121">
          <cell r="E121">
            <v>839218</v>
          </cell>
          <cell r="F121">
            <v>2298</v>
          </cell>
          <cell r="G121">
            <v>2709</v>
          </cell>
          <cell r="H121">
            <v>3549</v>
          </cell>
        </row>
        <row r="122">
          <cell r="E122">
            <v>155562</v>
          </cell>
          <cell r="F122">
            <v>425</v>
          </cell>
          <cell r="G122">
            <v>501</v>
          </cell>
          <cell r="H122">
            <v>656</v>
          </cell>
        </row>
        <row r="123">
          <cell r="D123" t="str">
            <v>연서리</v>
          </cell>
          <cell r="E123">
            <v>23111</v>
          </cell>
          <cell r="F123">
            <v>63</v>
          </cell>
          <cell r="G123">
            <v>74</v>
          </cell>
          <cell r="H123">
            <v>97</v>
          </cell>
        </row>
        <row r="124">
          <cell r="D124" t="str">
            <v>방축리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</row>
        <row r="125">
          <cell r="D125" t="str">
            <v>토양리</v>
          </cell>
          <cell r="E125">
            <v>5579</v>
          </cell>
          <cell r="F125">
            <v>15</v>
          </cell>
          <cell r="G125">
            <v>18</v>
          </cell>
          <cell r="H125">
            <v>24</v>
          </cell>
        </row>
        <row r="126">
          <cell r="D126" t="str">
            <v>시묘리</v>
          </cell>
          <cell r="E126">
            <v>24170</v>
          </cell>
          <cell r="F126">
            <v>66</v>
          </cell>
          <cell r="G126">
            <v>78</v>
          </cell>
          <cell r="H126">
            <v>102</v>
          </cell>
        </row>
        <row r="127">
          <cell r="D127" t="str">
            <v>용산리</v>
          </cell>
          <cell r="E127">
            <v>3026</v>
          </cell>
          <cell r="F127">
            <v>8</v>
          </cell>
          <cell r="G127">
            <v>9</v>
          </cell>
          <cell r="H127">
            <v>12</v>
          </cell>
        </row>
        <row r="128">
          <cell r="D128" t="str">
            <v>교촌리</v>
          </cell>
          <cell r="E128">
            <v>11171</v>
          </cell>
          <cell r="F128">
            <v>31</v>
          </cell>
          <cell r="G128">
            <v>37</v>
          </cell>
          <cell r="H128">
            <v>48</v>
          </cell>
        </row>
        <row r="129">
          <cell r="D129" t="str">
            <v>와야리</v>
          </cell>
          <cell r="E129">
            <v>88505</v>
          </cell>
          <cell r="F129">
            <v>242</v>
          </cell>
          <cell r="G129">
            <v>285</v>
          </cell>
          <cell r="H129">
            <v>373</v>
          </cell>
        </row>
        <row r="130">
          <cell r="D130" t="str">
            <v>남산리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</row>
        <row r="131">
          <cell r="D131" t="str">
            <v>성덕리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</row>
        <row r="132">
          <cell r="D132" t="str">
            <v>성평리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</row>
        <row r="133">
          <cell r="E133">
            <v>508782</v>
          </cell>
          <cell r="F133">
            <v>1394</v>
          </cell>
          <cell r="G133">
            <v>1643</v>
          </cell>
          <cell r="H133">
            <v>2152</v>
          </cell>
        </row>
        <row r="134">
          <cell r="D134" t="str">
            <v>마산리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</row>
        <row r="135">
          <cell r="D135" t="str">
            <v>죽평리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</row>
        <row r="136">
          <cell r="D136" t="str">
            <v>금곡리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D137" t="str">
            <v>동산리</v>
          </cell>
          <cell r="E137">
            <v>356883</v>
          </cell>
          <cell r="F137">
            <v>978</v>
          </cell>
          <cell r="G137">
            <v>1153</v>
          </cell>
          <cell r="H137">
            <v>1510</v>
          </cell>
        </row>
        <row r="138">
          <cell r="D138" t="str">
            <v>죽본리</v>
          </cell>
          <cell r="E138">
            <v>2254</v>
          </cell>
          <cell r="F138">
            <v>6</v>
          </cell>
          <cell r="G138">
            <v>7</v>
          </cell>
          <cell r="H138">
            <v>9</v>
          </cell>
        </row>
        <row r="139">
          <cell r="D139" t="str">
            <v>소룡리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</row>
        <row r="140">
          <cell r="D140" t="str">
            <v>양지리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</row>
        <row r="141">
          <cell r="D141" t="str">
            <v>마전리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</row>
        <row r="142">
          <cell r="D142" t="str">
            <v>고내리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</row>
        <row r="143">
          <cell r="D143" t="str">
            <v>황화정리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</row>
        <row r="144">
          <cell r="D144" t="str">
            <v>안심리</v>
          </cell>
          <cell r="E144">
            <v>149645</v>
          </cell>
          <cell r="F144">
            <v>410</v>
          </cell>
          <cell r="G144">
            <v>483</v>
          </cell>
          <cell r="H144">
            <v>633</v>
          </cell>
        </row>
        <row r="145">
          <cell r="D145" t="str">
            <v>신화리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</row>
        <row r="146">
          <cell r="D146" t="str">
            <v>봉동리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</row>
        <row r="147">
          <cell r="E147">
            <v>657</v>
          </cell>
          <cell r="F147">
            <v>2</v>
          </cell>
          <cell r="G147">
            <v>2</v>
          </cell>
          <cell r="H147">
            <v>3</v>
          </cell>
        </row>
        <row r="148">
          <cell r="D148" t="str">
            <v>육곡리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</row>
        <row r="149">
          <cell r="D149" t="str">
            <v>강청리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</row>
        <row r="150">
          <cell r="D150" t="str">
            <v>목곡리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</row>
        <row r="151">
          <cell r="D151" t="str">
            <v>함적리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</row>
        <row r="152">
          <cell r="D152" t="str">
            <v>산노리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</row>
        <row r="153">
          <cell r="D153" t="str">
            <v>병암리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</row>
        <row r="154">
          <cell r="D154" t="str">
            <v>조정리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</row>
        <row r="155">
          <cell r="D155" t="str">
            <v>등리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</row>
        <row r="156">
          <cell r="D156" t="str">
            <v>종연리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</row>
        <row r="157">
          <cell r="D157" t="str">
            <v>두월리</v>
          </cell>
          <cell r="E157">
            <v>657</v>
          </cell>
          <cell r="F157">
            <v>2</v>
          </cell>
          <cell r="G157">
            <v>2</v>
          </cell>
          <cell r="H157">
            <v>3</v>
          </cell>
        </row>
        <row r="158">
          <cell r="D158" t="str">
            <v>야촌리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</row>
        <row r="159">
          <cell r="D159" t="str">
            <v>왕암리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</row>
        <row r="160">
          <cell r="D160" t="str">
            <v>삼전리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</row>
        <row r="161">
          <cell r="D161" t="str">
            <v>양촌리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</row>
        <row r="162">
          <cell r="E162">
            <v>174217</v>
          </cell>
          <cell r="F162">
            <v>477</v>
          </cell>
          <cell r="G162">
            <v>563</v>
          </cell>
          <cell r="H162">
            <v>738</v>
          </cell>
        </row>
        <row r="163">
          <cell r="D163" t="str">
            <v>화지동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D164" t="str">
            <v>반월동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</row>
        <row r="165">
          <cell r="D165" t="str">
            <v>취암동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D166" t="str">
            <v>지산동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</row>
        <row r="167">
          <cell r="D167" t="str">
            <v>덕지동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</row>
        <row r="168">
          <cell r="D168" t="str">
            <v>내동</v>
          </cell>
          <cell r="E168">
            <v>174204</v>
          </cell>
          <cell r="F168">
            <v>477</v>
          </cell>
          <cell r="G168">
            <v>563</v>
          </cell>
          <cell r="H168">
            <v>738</v>
          </cell>
          <cell r="I168">
            <v>0.14799999999999999</v>
          </cell>
        </row>
        <row r="169">
          <cell r="D169" t="str">
            <v>관촉동</v>
          </cell>
          <cell r="E169">
            <v>13</v>
          </cell>
          <cell r="F169">
            <v>0</v>
          </cell>
          <cell r="G169">
            <v>0</v>
          </cell>
          <cell r="H169">
            <v>0</v>
          </cell>
        </row>
        <row r="170">
          <cell r="H170">
            <v>3062</v>
          </cell>
        </row>
        <row r="171">
          <cell r="E171">
            <v>2279492</v>
          </cell>
          <cell r="F171">
            <v>1727</v>
          </cell>
          <cell r="G171">
            <v>2338</v>
          </cell>
          <cell r="H171">
            <v>3062</v>
          </cell>
        </row>
        <row r="172">
          <cell r="E172">
            <v>2258856</v>
          </cell>
          <cell r="F172">
            <v>1676</v>
          </cell>
          <cell r="G172">
            <v>2269</v>
          </cell>
          <cell r="H172">
            <v>2972</v>
          </cell>
        </row>
        <row r="173">
          <cell r="D173" t="str">
            <v>마산리</v>
          </cell>
          <cell r="E173">
            <v>121604</v>
          </cell>
          <cell r="F173">
            <v>333</v>
          </cell>
          <cell r="G173">
            <v>451</v>
          </cell>
          <cell r="H173">
            <v>591</v>
          </cell>
        </row>
        <row r="174">
          <cell r="D174" t="str">
            <v>육군훈련소</v>
          </cell>
          <cell r="E174">
            <v>1646241</v>
          </cell>
          <cell r="F174">
            <v>4510</v>
          </cell>
          <cell r="G174">
            <v>6103</v>
          </cell>
          <cell r="H174">
            <v>7995</v>
          </cell>
        </row>
        <row r="175">
          <cell r="D175" t="str">
            <v>죽평리</v>
          </cell>
          <cell r="E175">
            <v>13302</v>
          </cell>
          <cell r="F175">
            <v>36</v>
          </cell>
          <cell r="G175">
            <v>49</v>
          </cell>
          <cell r="H175">
            <v>64</v>
          </cell>
        </row>
        <row r="176">
          <cell r="D176" t="str">
            <v>금곡리</v>
          </cell>
          <cell r="E176">
            <v>93160</v>
          </cell>
          <cell r="F176">
            <v>255</v>
          </cell>
          <cell r="G176">
            <v>345</v>
          </cell>
          <cell r="H176">
            <v>452</v>
          </cell>
        </row>
        <row r="177">
          <cell r="D177" t="str">
            <v>동산리</v>
          </cell>
          <cell r="E177">
            <v>12141</v>
          </cell>
          <cell r="F177">
            <v>33</v>
          </cell>
          <cell r="G177">
            <v>45</v>
          </cell>
          <cell r="H177">
            <v>59</v>
          </cell>
        </row>
        <row r="178">
          <cell r="D178" t="str">
            <v>죽본리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D179" t="str">
            <v>소룡리</v>
          </cell>
          <cell r="E179">
            <v>7309</v>
          </cell>
          <cell r="F179">
            <v>20</v>
          </cell>
          <cell r="G179">
            <v>27</v>
          </cell>
          <cell r="H179">
            <v>35</v>
          </cell>
        </row>
        <row r="180">
          <cell r="D180" t="str">
            <v>양지리</v>
          </cell>
          <cell r="E180">
            <v>14267</v>
          </cell>
          <cell r="F180">
            <v>39</v>
          </cell>
          <cell r="G180">
            <v>53</v>
          </cell>
          <cell r="H180">
            <v>69</v>
          </cell>
        </row>
        <row r="181">
          <cell r="D181" t="str">
            <v>마전리</v>
          </cell>
          <cell r="E181">
            <v>30015</v>
          </cell>
          <cell r="F181">
            <v>82</v>
          </cell>
          <cell r="G181">
            <v>111</v>
          </cell>
          <cell r="H181">
            <v>145</v>
          </cell>
        </row>
        <row r="182">
          <cell r="D182" t="str">
            <v>고내리</v>
          </cell>
          <cell r="E182">
            <v>23901</v>
          </cell>
          <cell r="F182">
            <v>65</v>
          </cell>
          <cell r="G182">
            <v>88</v>
          </cell>
          <cell r="H182">
            <v>115</v>
          </cell>
        </row>
        <row r="183">
          <cell r="D183" t="str">
            <v>황화정리</v>
          </cell>
          <cell r="E183">
            <v>24183</v>
          </cell>
          <cell r="F183">
            <v>66</v>
          </cell>
          <cell r="G183">
            <v>89</v>
          </cell>
          <cell r="H183">
            <v>117</v>
          </cell>
        </row>
        <row r="184">
          <cell r="D184" t="str">
            <v>안심리</v>
          </cell>
          <cell r="E184">
            <v>252974</v>
          </cell>
          <cell r="F184">
            <v>693</v>
          </cell>
          <cell r="G184">
            <v>938</v>
          </cell>
          <cell r="H184">
            <v>1229</v>
          </cell>
        </row>
        <row r="185">
          <cell r="D185" t="str">
            <v>신화리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</row>
        <row r="186">
          <cell r="D186" t="str">
            <v>봉동리</v>
          </cell>
          <cell r="E186">
            <v>19759</v>
          </cell>
          <cell r="F186">
            <v>54</v>
          </cell>
          <cell r="G186">
            <v>73</v>
          </cell>
          <cell r="H186">
            <v>96</v>
          </cell>
        </row>
        <row r="187">
          <cell r="E187">
            <v>20636</v>
          </cell>
          <cell r="F187">
            <v>51</v>
          </cell>
          <cell r="G187">
            <v>69</v>
          </cell>
          <cell r="H187">
            <v>90</v>
          </cell>
        </row>
        <row r="188">
          <cell r="D188" t="str">
            <v>육곡리</v>
          </cell>
          <cell r="E188">
            <v>18779</v>
          </cell>
          <cell r="F188">
            <v>51</v>
          </cell>
          <cell r="G188">
            <v>69</v>
          </cell>
          <cell r="H188">
            <v>90</v>
          </cell>
        </row>
        <row r="189">
          <cell r="D189" t="str">
            <v>강청리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D190" t="str">
            <v>목곡리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D191" t="str">
            <v>함적리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D192" t="str">
            <v>산노리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D193" t="str">
            <v>병암리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D194" t="str">
            <v>조정리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D195" t="str">
            <v>등리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D196" t="str">
            <v>종연리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</row>
        <row r="197">
          <cell r="D197" t="str">
            <v>두월리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D198" t="str">
            <v>야촌리</v>
          </cell>
          <cell r="E198">
            <v>645</v>
          </cell>
          <cell r="G198">
            <v>0</v>
          </cell>
          <cell r="H198">
            <v>0</v>
          </cell>
        </row>
        <row r="199">
          <cell r="D199" t="str">
            <v>왕암리</v>
          </cell>
          <cell r="E199">
            <v>1212</v>
          </cell>
          <cell r="G199">
            <v>0</v>
          </cell>
          <cell r="H199">
            <v>0</v>
          </cell>
        </row>
        <row r="200">
          <cell r="D200" t="str">
            <v>삼전리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D201" t="str">
            <v>양촌리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</row>
        <row r="204">
          <cell r="D204" t="str">
            <v>육곡리</v>
          </cell>
        </row>
        <row r="205">
          <cell r="D205" t="str">
            <v>강청리</v>
          </cell>
        </row>
        <row r="206">
          <cell r="D206" t="str">
            <v>목곡리</v>
          </cell>
        </row>
        <row r="207">
          <cell r="D207" t="str">
            <v>함적리</v>
          </cell>
        </row>
        <row r="208">
          <cell r="D208" t="str">
            <v>산노리</v>
          </cell>
        </row>
        <row r="209">
          <cell r="D209" t="str">
            <v>병암리</v>
          </cell>
        </row>
        <row r="210">
          <cell r="D210" t="str">
            <v>조정리</v>
          </cell>
        </row>
        <row r="211">
          <cell r="D211" t="str">
            <v>등리</v>
          </cell>
        </row>
        <row r="212">
          <cell r="D212" t="str">
            <v>종연리</v>
          </cell>
        </row>
        <row r="213">
          <cell r="D213" t="str">
            <v>두월리</v>
          </cell>
        </row>
        <row r="214">
          <cell r="D214" t="str">
            <v>야촌리</v>
          </cell>
        </row>
        <row r="215">
          <cell r="D215" t="str">
            <v>왕암리</v>
          </cell>
        </row>
        <row r="216">
          <cell r="D216" t="str">
            <v>삼전리</v>
          </cell>
        </row>
        <row r="217">
          <cell r="D217" t="str">
            <v>양촌리</v>
          </cell>
        </row>
        <row r="218">
          <cell r="E218">
            <v>174179</v>
          </cell>
          <cell r="F218">
            <v>477</v>
          </cell>
          <cell r="G218">
            <v>719</v>
          </cell>
          <cell r="H218">
            <v>941</v>
          </cell>
        </row>
        <row r="219">
          <cell r="E219">
            <v>174179</v>
          </cell>
          <cell r="F219">
            <v>477</v>
          </cell>
          <cell r="G219">
            <v>719</v>
          </cell>
          <cell r="H219">
            <v>941</v>
          </cell>
        </row>
        <row r="220">
          <cell r="D220" t="str">
            <v>마구평리</v>
          </cell>
          <cell r="E220">
            <v>41638</v>
          </cell>
          <cell r="F220">
            <v>114</v>
          </cell>
          <cell r="G220">
            <v>172</v>
          </cell>
          <cell r="H220">
            <v>225</v>
          </cell>
        </row>
        <row r="221">
          <cell r="D221" t="str">
            <v>덕평리</v>
          </cell>
          <cell r="E221">
            <v>15955</v>
          </cell>
          <cell r="F221">
            <v>44</v>
          </cell>
          <cell r="G221">
            <v>66</v>
          </cell>
          <cell r="H221">
            <v>86</v>
          </cell>
        </row>
        <row r="222">
          <cell r="D222" t="str">
            <v>부황리</v>
          </cell>
          <cell r="E222">
            <v>11847</v>
          </cell>
          <cell r="F222">
            <v>32</v>
          </cell>
          <cell r="G222">
            <v>48</v>
          </cell>
          <cell r="H222">
            <v>63</v>
          </cell>
        </row>
        <row r="223">
          <cell r="D223" t="str">
            <v>외성리</v>
          </cell>
          <cell r="E223">
            <v>16646</v>
          </cell>
          <cell r="F223">
            <v>46</v>
          </cell>
          <cell r="G223">
            <v>69</v>
          </cell>
          <cell r="H223">
            <v>90</v>
          </cell>
        </row>
        <row r="224">
          <cell r="D224" t="str">
            <v>감곡리</v>
          </cell>
          <cell r="E224">
            <v>14650</v>
          </cell>
          <cell r="F224">
            <v>40</v>
          </cell>
          <cell r="G224">
            <v>60</v>
          </cell>
          <cell r="H224">
            <v>79</v>
          </cell>
        </row>
        <row r="225">
          <cell r="D225" t="str">
            <v>충곡리</v>
          </cell>
          <cell r="E225">
            <v>12605</v>
          </cell>
          <cell r="F225">
            <v>35</v>
          </cell>
          <cell r="G225">
            <v>53</v>
          </cell>
          <cell r="H225">
            <v>69</v>
          </cell>
        </row>
        <row r="226">
          <cell r="D226" t="str">
            <v>신풍리</v>
          </cell>
          <cell r="E226">
            <v>658</v>
          </cell>
          <cell r="G226">
            <v>0</v>
          </cell>
          <cell r="H226">
            <v>0</v>
          </cell>
        </row>
        <row r="227">
          <cell r="D227" t="str">
            <v>탑정리</v>
          </cell>
          <cell r="E227">
            <v>10187</v>
          </cell>
          <cell r="F227">
            <v>28</v>
          </cell>
          <cell r="G227">
            <v>42</v>
          </cell>
          <cell r="H227">
            <v>55</v>
          </cell>
        </row>
        <row r="228">
          <cell r="D228" t="str">
            <v>신교리</v>
          </cell>
          <cell r="E228">
            <v>14786</v>
          </cell>
          <cell r="F228">
            <v>41</v>
          </cell>
          <cell r="G228">
            <v>62</v>
          </cell>
          <cell r="H228">
            <v>81</v>
          </cell>
        </row>
        <row r="229">
          <cell r="D229" t="str">
            <v>반송리</v>
          </cell>
          <cell r="E229">
            <v>22714</v>
          </cell>
          <cell r="F229">
            <v>62</v>
          </cell>
          <cell r="G229">
            <v>94</v>
          </cell>
          <cell r="H229">
            <v>123</v>
          </cell>
        </row>
        <row r="230">
          <cell r="D230" t="str">
            <v>아호리</v>
          </cell>
          <cell r="E230">
            <v>8994</v>
          </cell>
          <cell r="F230">
            <v>25</v>
          </cell>
          <cell r="G230">
            <v>38</v>
          </cell>
          <cell r="H230">
            <v>50</v>
          </cell>
        </row>
        <row r="231">
          <cell r="D231" t="str">
            <v>부인리</v>
          </cell>
          <cell r="E231">
            <v>3499</v>
          </cell>
          <cell r="F231">
            <v>10</v>
          </cell>
          <cell r="G231">
            <v>15</v>
          </cell>
          <cell r="H231">
            <v>20</v>
          </cell>
        </row>
        <row r="233">
          <cell r="E233">
            <v>185195</v>
          </cell>
          <cell r="F233">
            <v>510</v>
          </cell>
          <cell r="G233">
            <v>884</v>
          </cell>
          <cell r="H233">
            <v>1158</v>
          </cell>
        </row>
        <row r="234">
          <cell r="E234">
            <v>185195</v>
          </cell>
          <cell r="F234">
            <v>510</v>
          </cell>
          <cell r="G234">
            <v>884</v>
          </cell>
          <cell r="H234">
            <v>1158</v>
          </cell>
        </row>
        <row r="235">
          <cell r="D235" t="str">
            <v>화악리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</row>
        <row r="236">
          <cell r="D236" t="str">
            <v>천호리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</row>
        <row r="237">
          <cell r="D237" t="str">
            <v>송정리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</row>
        <row r="238">
          <cell r="D238" t="str">
            <v>신암리</v>
          </cell>
          <cell r="E238">
            <v>2178</v>
          </cell>
          <cell r="G238">
            <v>0</v>
          </cell>
          <cell r="H238">
            <v>0</v>
          </cell>
        </row>
        <row r="239">
          <cell r="D239" t="str">
            <v>연산리</v>
          </cell>
          <cell r="E239">
            <v>77586</v>
          </cell>
          <cell r="F239">
            <v>219</v>
          </cell>
          <cell r="G239">
            <v>380</v>
          </cell>
          <cell r="H239">
            <v>498</v>
          </cell>
        </row>
        <row r="240">
          <cell r="D240" t="str">
            <v>청동리</v>
          </cell>
          <cell r="E240">
            <v>47775</v>
          </cell>
          <cell r="F240">
            <v>131</v>
          </cell>
          <cell r="G240">
            <v>227</v>
          </cell>
          <cell r="H240">
            <v>297</v>
          </cell>
        </row>
        <row r="241">
          <cell r="D241" t="str">
            <v>고정리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</row>
        <row r="242">
          <cell r="D242" t="str">
            <v>한전리</v>
          </cell>
          <cell r="E242">
            <v>7798</v>
          </cell>
          <cell r="F242">
            <v>23</v>
          </cell>
          <cell r="G242">
            <v>40</v>
          </cell>
          <cell r="H242">
            <v>52</v>
          </cell>
        </row>
        <row r="243">
          <cell r="D243" t="str">
            <v>임리</v>
          </cell>
          <cell r="E243">
            <v>161</v>
          </cell>
          <cell r="G243">
            <v>0</v>
          </cell>
          <cell r="H243">
            <v>0</v>
          </cell>
        </row>
        <row r="244">
          <cell r="D244" t="str">
            <v>관동리</v>
          </cell>
          <cell r="E244">
            <v>75</v>
          </cell>
          <cell r="G244">
            <v>0</v>
          </cell>
          <cell r="H244">
            <v>0</v>
          </cell>
        </row>
        <row r="245">
          <cell r="D245" t="str">
            <v>고양리</v>
          </cell>
          <cell r="E245">
            <v>5134</v>
          </cell>
          <cell r="F245">
            <v>14</v>
          </cell>
          <cell r="G245">
            <v>24</v>
          </cell>
          <cell r="H245">
            <v>31</v>
          </cell>
        </row>
        <row r="246">
          <cell r="D246" t="str">
            <v>표정리</v>
          </cell>
          <cell r="E246">
            <v>2665</v>
          </cell>
          <cell r="G246">
            <v>0</v>
          </cell>
          <cell r="H246">
            <v>0</v>
          </cell>
        </row>
        <row r="247">
          <cell r="D247" t="str">
            <v>덕암리</v>
          </cell>
          <cell r="E247">
            <v>68</v>
          </cell>
          <cell r="G247">
            <v>0</v>
          </cell>
          <cell r="H247">
            <v>0</v>
          </cell>
        </row>
        <row r="248">
          <cell r="D248" t="str">
            <v>장전리</v>
          </cell>
          <cell r="E248">
            <v>10530</v>
          </cell>
          <cell r="F248">
            <v>37</v>
          </cell>
          <cell r="G248">
            <v>64</v>
          </cell>
          <cell r="H248">
            <v>84</v>
          </cell>
        </row>
        <row r="249">
          <cell r="D249" t="str">
            <v>백석리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0">
          <cell r="D250" t="str">
            <v>어은리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D251" t="str">
            <v>사포리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</row>
        <row r="252">
          <cell r="D252" t="str">
            <v>송산리</v>
          </cell>
          <cell r="E252">
            <v>19252</v>
          </cell>
          <cell r="F252">
            <v>53</v>
          </cell>
          <cell r="G252">
            <v>92</v>
          </cell>
          <cell r="H252">
            <v>121</v>
          </cell>
        </row>
        <row r="253">
          <cell r="D253" t="str">
            <v>오산리</v>
          </cell>
          <cell r="E253">
            <v>11973</v>
          </cell>
          <cell r="F253">
            <v>33</v>
          </cell>
          <cell r="G253">
            <v>57</v>
          </cell>
          <cell r="H253">
            <v>75</v>
          </cell>
        </row>
        <row r="254">
          <cell r="D254" t="str">
            <v>신양리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</row>
        <row r="258">
          <cell r="E258">
            <v>21061</v>
          </cell>
          <cell r="F258">
            <v>59</v>
          </cell>
          <cell r="G258">
            <v>103</v>
          </cell>
          <cell r="H258">
            <v>137</v>
          </cell>
        </row>
        <row r="259">
          <cell r="E259">
            <v>19255</v>
          </cell>
          <cell r="F259">
            <v>54</v>
          </cell>
          <cell r="G259">
            <v>94</v>
          </cell>
          <cell r="H259">
            <v>125</v>
          </cell>
        </row>
        <row r="260">
          <cell r="D260" t="str">
            <v>인천리</v>
          </cell>
          <cell r="E260">
            <v>9934</v>
          </cell>
          <cell r="F260">
            <v>27</v>
          </cell>
          <cell r="G260">
            <v>47</v>
          </cell>
          <cell r="H260">
            <v>62</v>
          </cell>
        </row>
        <row r="261">
          <cell r="D261" t="str">
            <v>도평리</v>
          </cell>
          <cell r="E261">
            <v>587</v>
          </cell>
          <cell r="F261">
            <v>2</v>
          </cell>
          <cell r="G261">
            <v>3</v>
          </cell>
          <cell r="H261">
            <v>4</v>
          </cell>
        </row>
        <row r="262">
          <cell r="D262" t="str">
            <v>임화리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D263" t="str">
            <v>양촌리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D264" t="str">
            <v>신기리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</row>
        <row r="265">
          <cell r="D265" t="str">
            <v>오산리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</row>
        <row r="266">
          <cell r="D266" t="str">
            <v>채광리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D267" t="str">
            <v>남산리</v>
          </cell>
          <cell r="E267">
            <v>3107</v>
          </cell>
          <cell r="F267">
            <v>9</v>
          </cell>
          <cell r="G267">
            <v>16</v>
          </cell>
          <cell r="H267">
            <v>21</v>
          </cell>
        </row>
        <row r="268">
          <cell r="D268" t="str">
            <v>반암리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D269" t="str">
            <v>산직리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D270" t="str">
            <v>모촌리</v>
          </cell>
          <cell r="E270">
            <v>2658</v>
          </cell>
          <cell r="F270">
            <v>7</v>
          </cell>
          <cell r="G270">
            <v>12</v>
          </cell>
          <cell r="H270">
            <v>16</v>
          </cell>
        </row>
        <row r="271">
          <cell r="D271" t="str">
            <v>신흥리</v>
          </cell>
          <cell r="E271">
            <v>270</v>
          </cell>
          <cell r="F271">
            <v>1</v>
          </cell>
          <cell r="G271">
            <v>2</v>
          </cell>
          <cell r="H271">
            <v>3</v>
          </cell>
        </row>
        <row r="272">
          <cell r="D272" t="str">
            <v>거사리</v>
          </cell>
          <cell r="E272">
            <v>324</v>
          </cell>
          <cell r="F272">
            <v>1</v>
          </cell>
          <cell r="G272">
            <v>2</v>
          </cell>
          <cell r="H272">
            <v>3</v>
          </cell>
        </row>
        <row r="273">
          <cell r="D273" t="str">
            <v>반곡리</v>
          </cell>
          <cell r="E273">
            <v>1457</v>
          </cell>
          <cell r="F273">
            <v>4</v>
          </cell>
          <cell r="G273">
            <v>7</v>
          </cell>
          <cell r="H273">
            <v>9</v>
          </cell>
        </row>
        <row r="274">
          <cell r="D274" t="str">
            <v>명암리</v>
          </cell>
          <cell r="E274">
            <v>918</v>
          </cell>
          <cell r="F274">
            <v>3</v>
          </cell>
          <cell r="G274">
            <v>5</v>
          </cell>
          <cell r="H274">
            <v>7</v>
          </cell>
        </row>
        <row r="275">
          <cell r="D275" t="str">
            <v>석서리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D276" t="str">
            <v>중산리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</row>
        <row r="277">
          <cell r="E277">
            <v>1806</v>
          </cell>
          <cell r="F277">
            <v>5</v>
          </cell>
          <cell r="G277">
            <v>9</v>
          </cell>
          <cell r="H277">
            <v>12</v>
          </cell>
        </row>
        <row r="278">
          <cell r="D278" t="str">
            <v>육곡리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</row>
        <row r="279">
          <cell r="D279" t="str">
            <v>강청리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</row>
        <row r="280">
          <cell r="D280" t="str">
            <v>목곡리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</row>
        <row r="281">
          <cell r="D281" t="str">
            <v>함적리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</row>
        <row r="282">
          <cell r="D282" t="str">
            <v>산노리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</row>
        <row r="283">
          <cell r="D283" t="str">
            <v>병암리</v>
          </cell>
          <cell r="E283">
            <v>1806</v>
          </cell>
          <cell r="F283">
            <v>5</v>
          </cell>
          <cell r="G283">
            <v>9</v>
          </cell>
          <cell r="H283">
            <v>12</v>
          </cell>
        </row>
        <row r="284">
          <cell r="D284" t="str">
            <v>조정리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D285" t="str">
            <v>등리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</row>
        <row r="286">
          <cell r="D286" t="str">
            <v>종연리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</row>
        <row r="287">
          <cell r="D287" t="str">
            <v>두월리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88">
          <cell r="D288" t="str">
            <v>야촌리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</row>
        <row r="289">
          <cell r="D289" t="str">
            <v>왕암리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</row>
        <row r="290">
          <cell r="D290" t="str">
            <v>삼전리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D291" t="str">
            <v>양촌리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</row>
        <row r="295">
          <cell r="E295">
            <v>152608</v>
          </cell>
          <cell r="F295">
            <v>418</v>
          </cell>
          <cell r="G295">
            <v>553</v>
          </cell>
          <cell r="H295">
            <v>724</v>
          </cell>
        </row>
        <row r="296">
          <cell r="E296">
            <v>97246</v>
          </cell>
          <cell r="F296">
            <v>267</v>
          </cell>
          <cell r="G296">
            <v>353</v>
          </cell>
          <cell r="H296">
            <v>462</v>
          </cell>
        </row>
        <row r="297">
          <cell r="D297" t="str">
            <v>화산리</v>
          </cell>
          <cell r="E297">
            <v>33573</v>
          </cell>
          <cell r="F297">
            <v>92</v>
          </cell>
          <cell r="G297">
            <v>122</v>
          </cell>
          <cell r="H297">
            <v>160</v>
          </cell>
        </row>
        <row r="298">
          <cell r="D298" t="str">
            <v>용화리</v>
          </cell>
          <cell r="E298">
            <v>18862</v>
          </cell>
          <cell r="F298">
            <v>52</v>
          </cell>
          <cell r="G298">
            <v>69</v>
          </cell>
          <cell r="H298">
            <v>90</v>
          </cell>
        </row>
        <row r="299">
          <cell r="D299" t="str">
            <v>우기리</v>
          </cell>
          <cell r="E299">
            <v>13680</v>
          </cell>
          <cell r="F299">
            <v>37</v>
          </cell>
          <cell r="G299">
            <v>49</v>
          </cell>
          <cell r="H299">
            <v>64</v>
          </cell>
        </row>
        <row r="300">
          <cell r="D300" t="str">
            <v>심암리</v>
          </cell>
          <cell r="E300">
            <v>5065</v>
          </cell>
          <cell r="F300">
            <v>14</v>
          </cell>
          <cell r="G300">
            <v>18</v>
          </cell>
          <cell r="H300">
            <v>24</v>
          </cell>
        </row>
        <row r="301">
          <cell r="D301" t="str">
            <v>화정리</v>
          </cell>
          <cell r="E301">
            <v>13439</v>
          </cell>
          <cell r="F301">
            <v>37</v>
          </cell>
          <cell r="G301">
            <v>49</v>
          </cell>
          <cell r="H301">
            <v>64</v>
          </cell>
        </row>
        <row r="302">
          <cell r="D302" t="str">
            <v>삼거리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</row>
        <row r="303">
          <cell r="D303" t="str">
            <v>장화리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</row>
        <row r="304">
          <cell r="D304" t="str">
            <v>야화리</v>
          </cell>
          <cell r="E304">
            <v>12627</v>
          </cell>
          <cell r="F304">
            <v>35</v>
          </cell>
          <cell r="G304">
            <v>46</v>
          </cell>
          <cell r="H304">
            <v>60</v>
          </cell>
        </row>
        <row r="305">
          <cell r="E305">
            <v>39571</v>
          </cell>
          <cell r="F305">
            <v>108</v>
          </cell>
          <cell r="G305">
            <v>143</v>
          </cell>
          <cell r="H305">
            <v>187</v>
          </cell>
        </row>
        <row r="306">
          <cell r="D306" t="str">
            <v>연서리</v>
          </cell>
          <cell r="E306">
            <v>0</v>
          </cell>
          <cell r="G306">
            <v>0</v>
          </cell>
          <cell r="H306">
            <v>0</v>
          </cell>
        </row>
        <row r="307">
          <cell r="D307" t="str">
            <v>방축리</v>
          </cell>
          <cell r="E307">
            <v>18365</v>
          </cell>
          <cell r="F307">
            <v>50</v>
          </cell>
          <cell r="G307">
            <v>66</v>
          </cell>
          <cell r="H307">
            <v>86</v>
          </cell>
        </row>
        <row r="308">
          <cell r="D308" t="str">
            <v>토양리</v>
          </cell>
          <cell r="E308">
            <v>1022</v>
          </cell>
          <cell r="F308">
            <v>3</v>
          </cell>
          <cell r="G308">
            <v>4</v>
          </cell>
          <cell r="H308">
            <v>5</v>
          </cell>
        </row>
        <row r="309">
          <cell r="D309" t="str">
            <v>시묘리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</row>
        <row r="310">
          <cell r="D310" t="str">
            <v>용산리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</row>
        <row r="311">
          <cell r="D311" t="str">
            <v>교촌리</v>
          </cell>
          <cell r="E311">
            <v>15658</v>
          </cell>
          <cell r="F311">
            <v>43</v>
          </cell>
          <cell r="G311">
            <v>57</v>
          </cell>
          <cell r="H311">
            <v>75</v>
          </cell>
        </row>
        <row r="312">
          <cell r="D312" t="str">
            <v>와야리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</row>
        <row r="313">
          <cell r="D313" t="str">
            <v>남산리</v>
          </cell>
          <cell r="E313">
            <v>4526</v>
          </cell>
          <cell r="F313">
            <v>12</v>
          </cell>
          <cell r="G313">
            <v>16</v>
          </cell>
          <cell r="H313">
            <v>21</v>
          </cell>
        </row>
        <row r="314">
          <cell r="D314" t="str">
            <v>성덕리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</row>
        <row r="315">
          <cell r="D315" t="str">
            <v>성평리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</row>
        <row r="316">
          <cell r="E316">
            <v>15791</v>
          </cell>
          <cell r="F316">
            <v>43</v>
          </cell>
          <cell r="G316">
            <v>57</v>
          </cell>
          <cell r="H316">
            <v>75</v>
          </cell>
        </row>
        <row r="317">
          <cell r="D317" t="str">
            <v>마산리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</row>
        <row r="318">
          <cell r="D318" t="str">
            <v>죽평리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</row>
        <row r="319">
          <cell r="D319" t="str">
            <v>금곡리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</row>
        <row r="320">
          <cell r="D320" t="str">
            <v>동산리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</row>
        <row r="321">
          <cell r="D321" t="str">
            <v>죽본리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</row>
        <row r="322">
          <cell r="D322" t="str">
            <v>소룡리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</row>
        <row r="323">
          <cell r="D323" t="str">
            <v>양지리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</row>
        <row r="324">
          <cell r="D324" t="str">
            <v>마전리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</row>
        <row r="325">
          <cell r="D325" t="str">
            <v>고내리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</row>
        <row r="326">
          <cell r="D326" t="str">
            <v>황화정리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</row>
        <row r="327">
          <cell r="D327" t="str">
            <v>안심리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</row>
        <row r="328">
          <cell r="D328" t="str">
            <v>신화리</v>
          </cell>
          <cell r="E328">
            <v>15791</v>
          </cell>
          <cell r="F328">
            <v>43</v>
          </cell>
          <cell r="G328">
            <v>57</v>
          </cell>
          <cell r="H328">
            <v>75</v>
          </cell>
        </row>
        <row r="329">
          <cell r="D329" t="str">
            <v>봉동리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</row>
        <row r="330">
          <cell r="E330">
            <v>1006299</v>
          </cell>
          <cell r="F330">
            <v>2755</v>
          </cell>
          <cell r="G330">
            <v>3414</v>
          </cell>
          <cell r="H330">
            <v>4473</v>
          </cell>
        </row>
        <row r="331">
          <cell r="E331">
            <v>974183</v>
          </cell>
          <cell r="F331">
            <v>2667</v>
          </cell>
          <cell r="G331">
            <v>3305</v>
          </cell>
          <cell r="H331">
            <v>4330</v>
          </cell>
        </row>
        <row r="332">
          <cell r="D332" t="str">
            <v>남교리</v>
          </cell>
          <cell r="E332">
            <v>57999</v>
          </cell>
          <cell r="F332">
            <v>159</v>
          </cell>
          <cell r="G332">
            <v>197</v>
          </cell>
          <cell r="H332">
            <v>258</v>
          </cell>
        </row>
        <row r="333">
          <cell r="D333" t="str">
            <v>동흥리</v>
          </cell>
          <cell r="E333">
            <v>44334</v>
          </cell>
          <cell r="F333">
            <v>121</v>
          </cell>
          <cell r="G333">
            <v>150</v>
          </cell>
          <cell r="H333">
            <v>197</v>
          </cell>
        </row>
        <row r="334">
          <cell r="D334" t="str">
            <v>북옥리</v>
          </cell>
          <cell r="E334">
            <v>15404</v>
          </cell>
          <cell r="F334">
            <v>42</v>
          </cell>
          <cell r="G334">
            <v>52</v>
          </cell>
          <cell r="H334">
            <v>68</v>
          </cell>
        </row>
        <row r="335">
          <cell r="D335" t="str">
            <v>서창리</v>
          </cell>
          <cell r="E335">
            <v>24039</v>
          </cell>
          <cell r="F335">
            <v>66</v>
          </cell>
          <cell r="G335">
            <v>82</v>
          </cell>
          <cell r="H335">
            <v>107</v>
          </cell>
        </row>
        <row r="336">
          <cell r="D336" t="str">
            <v>홍교리</v>
          </cell>
          <cell r="E336">
            <v>35544</v>
          </cell>
          <cell r="F336">
            <v>97</v>
          </cell>
          <cell r="G336">
            <v>120</v>
          </cell>
          <cell r="H336">
            <v>157</v>
          </cell>
        </row>
        <row r="337">
          <cell r="D337" t="str">
            <v>중앙리</v>
          </cell>
          <cell r="E337">
            <v>50305</v>
          </cell>
          <cell r="F337">
            <v>138</v>
          </cell>
          <cell r="G337">
            <v>171</v>
          </cell>
          <cell r="H337">
            <v>224</v>
          </cell>
        </row>
        <row r="338">
          <cell r="D338" t="str">
            <v>염천리</v>
          </cell>
          <cell r="E338">
            <v>20842</v>
          </cell>
          <cell r="F338">
            <v>57</v>
          </cell>
          <cell r="G338">
            <v>71</v>
          </cell>
          <cell r="H338">
            <v>93</v>
          </cell>
        </row>
        <row r="339">
          <cell r="D339" t="str">
            <v>태평리</v>
          </cell>
          <cell r="E339">
            <v>30469</v>
          </cell>
          <cell r="F339">
            <v>83</v>
          </cell>
          <cell r="G339">
            <v>103</v>
          </cell>
          <cell r="H339">
            <v>135</v>
          </cell>
        </row>
        <row r="340">
          <cell r="D340" t="str">
            <v>대흥리</v>
          </cell>
          <cell r="E340">
            <v>222793</v>
          </cell>
          <cell r="F340">
            <v>610</v>
          </cell>
          <cell r="G340">
            <v>756</v>
          </cell>
          <cell r="H340">
            <v>990</v>
          </cell>
        </row>
        <row r="341">
          <cell r="D341" t="str">
            <v>황산리</v>
          </cell>
          <cell r="E341">
            <v>195316</v>
          </cell>
          <cell r="F341">
            <v>535</v>
          </cell>
          <cell r="G341">
            <v>663</v>
          </cell>
          <cell r="H341">
            <v>869</v>
          </cell>
        </row>
        <row r="342">
          <cell r="D342" t="str">
            <v>채산리</v>
          </cell>
          <cell r="E342">
            <v>102262</v>
          </cell>
          <cell r="F342">
            <v>280</v>
          </cell>
          <cell r="G342">
            <v>347</v>
          </cell>
          <cell r="H342">
            <v>455</v>
          </cell>
        </row>
        <row r="343">
          <cell r="D343" t="str">
            <v>산양리</v>
          </cell>
          <cell r="E343">
            <v>160834</v>
          </cell>
          <cell r="F343">
            <v>441</v>
          </cell>
          <cell r="G343">
            <v>546</v>
          </cell>
          <cell r="H343">
            <v>715</v>
          </cell>
        </row>
        <row r="344">
          <cell r="D344" t="str">
            <v>채운리</v>
          </cell>
          <cell r="E344">
            <v>14042</v>
          </cell>
          <cell r="F344">
            <v>38</v>
          </cell>
          <cell r="G344">
            <v>47</v>
          </cell>
          <cell r="H344">
            <v>62</v>
          </cell>
        </row>
        <row r="345">
          <cell r="E345">
            <v>32116</v>
          </cell>
          <cell r="F345">
            <v>88</v>
          </cell>
          <cell r="G345">
            <v>109</v>
          </cell>
          <cell r="H345">
            <v>143</v>
          </cell>
        </row>
        <row r="346">
          <cell r="D346" t="str">
            <v>화산리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</row>
        <row r="347">
          <cell r="D347" t="str">
            <v>용화리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</row>
        <row r="348">
          <cell r="D348" t="str">
            <v>우기리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</row>
        <row r="349">
          <cell r="D349" t="str">
            <v>심암리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</row>
        <row r="350">
          <cell r="D350" t="str">
            <v>화정리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</row>
        <row r="351">
          <cell r="D351" t="str">
            <v>삼거리</v>
          </cell>
          <cell r="E351">
            <v>14279</v>
          </cell>
          <cell r="F351">
            <v>39</v>
          </cell>
          <cell r="G351">
            <v>48</v>
          </cell>
          <cell r="H351">
            <v>63</v>
          </cell>
        </row>
        <row r="352">
          <cell r="D352" t="str">
            <v>장화리</v>
          </cell>
          <cell r="E352">
            <v>12438</v>
          </cell>
          <cell r="F352">
            <v>34</v>
          </cell>
          <cell r="G352">
            <v>42</v>
          </cell>
          <cell r="H352">
            <v>55</v>
          </cell>
        </row>
        <row r="353">
          <cell r="D353" t="str">
            <v>야화리</v>
          </cell>
          <cell r="E353">
            <v>5399</v>
          </cell>
          <cell r="F353">
            <v>15</v>
          </cell>
          <cell r="G353">
            <v>19</v>
          </cell>
          <cell r="H353">
            <v>25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공업용수"/>
      <sheetName val="공업용수 분류"/>
      <sheetName val="Sheet3"/>
      <sheetName val="기존산단"/>
      <sheetName val="계획산단"/>
      <sheetName val="계획산단용수량"/>
    </sheetNames>
    <sheetDataSet>
      <sheetData sheetId="0"/>
      <sheetData sheetId="1">
        <row r="10">
          <cell r="I10">
            <v>45</v>
          </cell>
        </row>
        <row r="11">
          <cell r="I11">
            <v>27</v>
          </cell>
        </row>
        <row r="13">
          <cell r="I13">
            <v>4</v>
          </cell>
        </row>
        <row r="14">
          <cell r="I14">
            <v>21</v>
          </cell>
        </row>
        <row r="16">
          <cell r="I16">
            <v>320</v>
          </cell>
        </row>
        <row r="17">
          <cell r="I17">
            <v>0</v>
          </cell>
        </row>
        <row r="22">
          <cell r="I22">
            <v>86</v>
          </cell>
        </row>
        <row r="23">
          <cell r="I23">
            <v>0</v>
          </cell>
        </row>
        <row r="25">
          <cell r="I25">
            <v>7</v>
          </cell>
        </row>
        <row r="26">
          <cell r="I26">
            <v>41</v>
          </cell>
        </row>
        <row r="28">
          <cell r="I28">
            <v>239</v>
          </cell>
        </row>
        <row r="29">
          <cell r="I29">
            <v>256</v>
          </cell>
        </row>
        <row r="31">
          <cell r="I31">
            <v>236</v>
          </cell>
        </row>
        <row r="32">
          <cell r="I32">
            <v>802</v>
          </cell>
        </row>
        <row r="34">
          <cell r="I34">
            <v>1456</v>
          </cell>
        </row>
        <row r="35">
          <cell r="I35">
            <v>0</v>
          </cell>
        </row>
        <row r="37">
          <cell r="I37">
            <v>56</v>
          </cell>
        </row>
        <row r="38">
          <cell r="I38">
            <v>0</v>
          </cell>
        </row>
        <row r="40">
          <cell r="I40">
            <v>277</v>
          </cell>
        </row>
        <row r="41">
          <cell r="I41">
            <v>0</v>
          </cell>
        </row>
        <row r="46">
          <cell r="G46">
            <v>0</v>
          </cell>
        </row>
        <row r="47">
          <cell r="G47">
            <v>674</v>
          </cell>
        </row>
        <row r="49">
          <cell r="G49">
            <v>94</v>
          </cell>
        </row>
        <row r="50">
          <cell r="G50">
            <v>1922</v>
          </cell>
        </row>
        <row r="52">
          <cell r="G52">
            <v>1051</v>
          </cell>
        </row>
        <row r="53">
          <cell r="G53">
            <v>0</v>
          </cell>
        </row>
        <row r="55">
          <cell r="G55">
            <v>0</v>
          </cell>
        </row>
        <row r="56">
          <cell r="G56">
            <v>1079</v>
          </cell>
        </row>
        <row r="58">
          <cell r="G58">
            <v>1089</v>
          </cell>
        </row>
        <row r="59">
          <cell r="G59">
            <v>57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사용량"/>
      <sheetName val="강경읍"/>
      <sheetName val="연무읍"/>
      <sheetName val="성동면"/>
      <sheetName val="광석면"/>
      <sheetName val="노성면"/>
      <sheetName val="상월면"/>
      <sheetName val="부적면"/>
      <sheetName val="연산면"/>
      <sheetName val="벌곡면"/>
      <sheetName val="양촌면"/>
      <sheetName val="가야곡면"/>
      <sheetName val="은진면"/>
      <sheetName val="채운면"/>
      <sheetName val="취암동"/>
      <sheetName val="부창동"/>
    </sheetNames>
    <sheetDataSet>
      <sheetData sheetId="0" refreshError="1"/>
      <sheetData sheetId="1" refreshError="1"/>
      <sheetData sheetId="2">
        <row r="3229">
          <cell r="M3229">
            <v>132517</v>
          </cell>
          <cell r="N3229">
            <v>109776</v>
          </cell>
          <cell r="O3229">
            <v>132854</v>
          </cell>
          <cell r="P3229">
            <v>135840</v>
          </cell>
          <cell r="Q3229">
            <v>135739</v>
          </cell>
          <cell r="R3229">
            <v>131608</v>
          </cell>
          <cell r="S3229">
            <v>150696</v>
          </cell>
          <cell r="T3229">
            <v>157038</v>
          </cell>
          <cell r="U3229">
            <v>138557</v>
          </cell>
          <cell r="V3229">
            <v>151506</v>
          </cell>
          <cell r="W3229">
            <v>138452</v>
          </cell>
          <cell r="X3229">
            <v>131658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과거인구현황"/>
      <sheetName val="천곡동20년"/>
      <sheetName val="천곡동10"/>
      <sheetName val="송정동20년"/>
      <sheetName val="송정동10"/>
      <sheetName val="송정동5"/>
      <sheetName val="북삼동20년"/>
      <sheetName val="북삼동10"/>
      <sheetName val="북삼동5"/>
      <sheetName val="부곡동20년"/>
      <sheetName val="부곡동10"/>
      <sheetName val="부곡동5"/>
      <sheetName val="동호동20년"/>
      <sheetName val="동호동10"/>
      <sheetName val="동호동5"/>
      <sheetName val="발한동20년"/>
      <sheetName val="발한동10"/>
      <sheetName val="발한동5"/>
      <sheetName val="묵호동20년"/>
      <sheetName val="묵호동10"/>
      <sheetName val="묵호동5"/>
      <sheetName val="북평동20년"/>
      <sheetName val="북평동10"/>
      <sheetName val="북평동5"/>
      <sheetName val="망상동20년"/>
      <sheetName val="망상동10"/>
      <sheetName val="망상동5"/>
      <sheetName val="삼화동20년"/>
      <sheetName val="삼화동10"/>
      <sheetName val="삼화동5"/>
      <sheetName val="1.생잔모형법"/>
      <sheetName val="2.생잔모형인구"/>
      <sheetName val="급수계통별장래인구(출x)"/>
      <sheetName val="3.충청남도 인구(2013년)"/>
      <sheetName val="3.논산시 인구(2013년)"/>
      <sheetName val="생잔율"/>
      <sheetName val="2.출산률"/>
      <sheetName val="생명표"/>
      <sheetName val="1.3.4사회적유입인구산정(46.5외부)"/>
      <sheetName val="1.3.4사회적유입인구산정"/>
      <sheetName val="2.0계획인구결정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4">
          <cell r="B4">
            <v>10575</v>
          </cell>
          <cell r="E4">
            <v>10689</v>
          </cell>
          <cell r="F4">
            <v>10935</v>
          </cell>
          <cell r="G4">
            <v>11184</v>
          </cell>
          <cell r="H4">
            <v>11359</v>
          </cell>
        </row>
        <row r="5">
          <cell r="B5">
            <v>16342</v>
          </cell>
          <cell r="E5">
            <v>16535</v>
          </cell>
          <cell r="F5">
            <v>16879</v>
          </cell>
          <cell r="G5">
            <v>17263</v>
          </cell>
          <cell r="H5">
            <v>17559</v>
          </cell>
        </row>
        <row r="6">
          <cell r="B6">
            <v>5357</v>
          </cell>
          <cell r="E6">
            <v>5421</v>
          </cell>
          <cell r="F6">
            <v>5534</v>
          </cell>
          <cell r="G6">
            <v>5658</v>
          </cell>
          <cell r="H6">
            <v>5754</v>
          </cell>
        </row>
        <row r="7">
          <cell r="B7">
            <v>5303</v>
          </cell>
          <cell r="E7">
            <v>5364</v>
          </cell>
          <cell r="F7">
            <v>5477</v>
          </cell>
          <cell r="G7">
            <v>5601</v>
          </cell>
          <cell r="H7">
            <v>5699</v>
          </cell>
        </row>
        <row r="8">
          <cell r="B8">
            <v>3897</v>
          </cell>
          <cell r="E8">
            <v>3943</v>
          </cell>
          <cell r="F8">
            <v>4024</v>
          </cell>
          <cell r="G8">
            <v>4115</v>
          </cell>
          <cell r="H8">
            <v>4186</v>
          </cell>
        </row>
        <row r="9">
          <cell r="B9">
            <v>4131</v>
          </cell>
          <cell r="E9">
            <v>4179</v>
          </cell>
          <cell r="F9">
            <v>4266</v>
          </cell>
          <cell r="G9">
            <v>4362</v>
          </cell>
          <cell r="H9">
            <v>4439</v>
          </cell>
        </row>
        <row r="10">
          <cell r="B10">
            <v>4307</v>
          </cell>
          <cell r="E10">
            <v>4359</v>
          </cell>
          <cell r="F10">
            <v>4450</v>
          </cell>
          <cell r="G10">
            <v>4547</v>
          </cell>
          <cell r="H10">
            <v>4630</v>
          </cell>
        </row>
        <row r="11">
          <cell r="B11">
            <v>7175</v>
          </cell>
          <cell r="E11">
            <v>7258</v>
          </cell>
          <cell r="F11">
            <v>7407</v>
          </cell>
          <cell r="G11">
            <v>7578</v>
          </cell>
          <cell r="H11">
            <v>7708</v>
          </cell>
        </row>
        <row r="12">
          <cell r="B12">
            <v>2871</v>
          </cell>
          <cell r="E12">
            <v>2906</v>
          </cell>
          <cell r="F12">
            <v>2964</v>
          </cell>
          <cell r="G12">
            <v>3030</v>
          </cell>
          <cell r="H12">
            <v>3084</v>
          </cell>
        </row>
        <row r="13">
          <cell r="B13">
            <v>6598</v>
          </cell>
          <cell r="E13">
            <v>6676</v>
          </cell>
          <cell r="F13">
            <v>6813</v>
          </cell>
          <cell r="G13">
            <v>6970</v>
          </cell>
          <cell r="H13">
            <v>7090</v>
          </cell>
        </row>
        <row r="14">
          <cell r="B14">
            <v>4295</v>
          </cell>
          <cell r="E14">
            <v>4343</v>
          </cell>
          <cell r="F14">
            <v>4435</v>
          </cell>
          <cell r="G14">
            <v>4534</v>
          </cell>
          <cell r="H14">
            <v>4612</v>
          </cell>
        </row>
        <row r="15">
          <cell r="B15">
            <v>5431</v>
          </cell>
          <cell r="E15">
            <v>5494</v>
          </cell>
          <cell r="F15">
            <v>5609</v>
          </cell>
          <cell r="G15">
            <v>5735</v>
          </cell>
          <cell r="H15">
            <v>5834</v>
          </cell>
        </row>
        <row r="16">
          <cell r="B16">
            <v>2879</v>
          </cell>
          <cell r="E16">
            <v>2915</v>
          </cell>
          <cell r="F16">
            <v>2971</v>
          </cell>
          <cell r="G16">
            <v>3041</v>
          </cell>
          <cell r="H16">
            <v>3094</v>
          </cell>
        </row>
        <row r="17">
          <cell r="B17">
            <v>30861</v>
          </cell>
          <cell r="E17">
            <v>31223</v>
          </cell>
          <cell r="F17">
            <v>31873</v>
          </cell>
          <cell r="G17">
            <v>32593</v>
          </cell>
          <cell r="H17">
            <v>33159</v>
          </cell>
        </row>
        <row r="18">
          <cell r="B18">
            <v>18943</v>
          </cell>
          <cell r="E18">
            <v>19164</v>
          </cell>
          <cell r="F18">
            <v>19564</v>
          </cell>
          <cell r="G18">
            <v>20010</v>
          </cell>
          <cell r="H18">
            <v>20354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2">
          <cell r="D42">
            <v>0.79401468246843854</v>
          </cell>
          <cell r="E42">
            <v>0.85761291751172242</v>
          </cell>
          <cell r="F42">
            <v>0.89938384537355864</v>
          </cell>
          <cell r="G42">
            <v>0.9687340005669306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34"/>
  <sheetViews>
    <sheetView view="pageBreakPreview" zoomScaleSheetLayoutView="100" workbookViewId="0">
      <selection activeCell="L19" sqref="L19"/>
    </sheetView>
  </sheetViews>
  <sheetFormatPr defaultRowHeight="11.25" outlineLevelCol="1"/>
  <cols>
    <col min="1" max="3" width="7.77734375" style="222" customWidth="1"/>
    <col min="4" max="4" width="9.109375" style="222" customWidth="1"/>
    <col min="5" max="5" width="9.109375" style="222" hidden="1" customWidth="1" outlineLevel="1"/>
    <col min="6" max="6" width="9" style="222" customWidth="1" collapsed="1"/>
    <col min="7" max="10" width="9" style="222" customWidth="1"/>
    <col min="11" max="11" width="9.109375" style="222" customWidth="1"/>
    <col min="12" max="16384" width="8.88671875" style="222"/>
  </cols>
  <sheetData>
    <row r="1" spans="1:10" s="205" customFormat="1" ht="26.25" customHeight="1">
      <c r="A1" s="204" t="s">
        <v>1002</v>
      </c>
    </row>
    <row r="2" spans="1:10" ht="24.95" customHeight="1">
      <c r="A2" s="596" t="s">
        <v>1003</v>
      </c>
      <c r="B2" s="596"/>
      <c r="C2" s="596"/>
      <c r="D2" s="596"/>
      <c r="E2" s="597" t="s">
        <v>58</v>
      </c>
      <c r="F2" s="598"/>
      <c r="G2" s="598"/>
      <c r="H2" s="598"/>
      <c r="I2" s="599"/>
      <c r="J2" s="596" t="s">
        <v>1004</v>
      </c>
    </row>
    <row r="3" spans="1:10" ht="24.95" customHeight="1">
      <c r="A3" s="596"/>
      <c r="B3" s="596"/>
      <c r="C3" s="596"/>
      <c r="D3" s="596"/>
      <c r="E3" s="252" t="s">
        <v>359</v>
      </c>
      <c r="F3" s="221" t="s">
        <v>979</v>
      </c>
      <c r="G3" s="221" t="s">
        <v>980</v>
      </c>
      <c r="H3" s="221" t="s">
        <v>981</v>
      </c>
      <c r="I3" s="221" t="s">
        <v>982</v>
      </c>
      <c r="J3" s="596"/>
    </row>
    <row r="4" spans="1:10" ht="24.95" customHeight="1">
      <c r="A4" s="596" t="s">
        <v>1005</v>
      </c>
      <c r="B4" s="600" t="s">
        <v>1006</v>
      </c>
      <c r="C4" s="600" t="s">
        <v>59</v>
      </c>
      <c r="D4" s="600"/>
      <c r="E4" s="218">
        <f>SUM(E5:E6)</f>
        <v>134700</v>
      </c>
      <c r="F4" s="218">
        <f>'[1]1.계획인구(보고서)'!N208</f>
        <v>132700</v>
      </c>
      <c r="G4" s="218">
        <f>'[1]1.계획인구(보고서)'!O208</f>
        <v>141000</v>
      </c>
      <c r="H4" s="218">
        <f>'[1]1.계획인구(보고서)'!P208</f>
        <v>144000</v>
      </c>
      <c r="I4" s="218">
        <f>'[1]1.계획인구(보고서)'!Q208</f>
        <v>146400</v>
      </c>
      <c r="J4" s="217"/>
    </row>
    <row r="5" spans="1:10" ht="24.95" customHeight="1">
      <c r="A5" s="596"/>
      <c r="B5" s="596"/>
      <c r="C5" s="600" t="s">
        <v>60</v>
      </c>
      <c r="D5" s="600"/>
      <c r="E5" s="218">
        <f>ROUND('[1]1.계획인구(집계)'!$D$5,-2)</f>
        <v>132500</v>
      </c>
      <c r="F5" s="218">
        <f>'[1]1.계획인구(보고서)'!D208</f>
        <v>130500</v>
      </c>
      <c r="G5" s="218">
        <f>'[1]1.계획인구(보고서)'!E208</f>
        <v>133200</v>
      </c>
      <c r="H5" s="218">
        <f>'[1]1.계획인구(보고서)'!F208</f>
        <v>136200</v>
      </c>
      <c r="I5" s="218">
        <f>'[1]1.계획인구(보고서)'!G208</f>
        <v>138600</v>
      </c>
      <c r="J5" s="217"/>
    </row>
    <row r="6" spans="1:10" ht="24.95" customHeight="1">
      <c r="A6" s="596"/>
      <c r="B6" s="596"/>
      <c r="C6" s="600" t="s">
        <v>61</v>
      </c>
      <c r="D6" s="600"/>
      <c r="E6" s="218">
        <f>ROUND('[1]1.계획인구(집계)'!$J$5,-2)</f>
        <v>2200</v>
      </c>
      <c r="F6" s="218">
        <f>'[1]1.계획인구(보고서)'!I208</f>
        <v>2200</v>
      </c>
      <c r="G6" s="218">
        <f>'[1]1.계획인구(보고서)'!J208</f>
        <v>7800</v>
      </c>
      <c r="H6" s="218">
        <f>'[1]1.계획인구(보고서)'!K208</f>
        <v>7800</v>
      </c>
      <c r="I6" s="218">
        <f>'[1]1.계획인구(보고서)'!L208</f>
        <v>7800</v>
      </c>
      <c r="J6" s="217"/>
    </row>
    <row r="7" spans="1:10" ht="24.95" customHeight="1">
      <c r="A7" s="596"/>
      <c r="B7" s="596" t="s">
        <v>1007</v>
      </c>
      <c r="C7" s="596"/>
      <c r="D7" s="596"/>
      <c r="E7" s="244">
        <f>'[2]1.급수보급률'!$P$5</f>
        <v>0.73</v>
      </c>
      <c r="F7" s="244">
        <f>'[2]1.급수보급률'!Q5</f>
        <v>0.82199999999999995</v>
      </c>
      <c r="G7" s="244">
        <f>'[2]1.급수보급률'!R5</f>
        <v>0.94199999999999995</v>
      </c>
      <c r="H7" s="244">
        <f>'[2]1.급수보급률'!S5</f>
        <v>0.95599999999999996</v>
      </c>
      <c r="I7" s="244">
        <f>'[2]1.급수보급률'!T5</f>
        <v>0.96</v>
      </c>
      <c r="J7" s="217"/>
    </row>
    <row r="8" spans="1:10" ht="24.95" customHeight="1">
      <c r="A8" s="596"/>
      <c r="B8" s="596" t="s">
        <v>1008</v>
      </c>
      <c r="C8" s="596"/>
      <c r="D8" s="596"/>
      <c r="E8" s="218">
        <f>ROUND('[2]2.급수인구'!$P$5,-2)</f>
        <v>98300</v>
      </c>
      <c r="F8" s="218">
        <f>ROUND('[2]2.급수인구'!K5,-2)</f>
        <v>109100</v>
      </c>
      <c r="G8" s="218">
        <f>ROUND('[2]2.급수인구'!L5,-2)</f>
        <v>132800</v>
      </c>
      <c r="H8" s="218">
        <f>ROUND('[2]2.급수인구'!M5,-2)</f>
        <v>137700</v>
      </c>
      <c r="I8" s="218">
        <f>ROUND('[2]2.급수인구'!N5,-2)</f>
        <v>140500</v>
      </c>
      <c r="J8" s="217"/>
    </row>
    <row r="9" spans="1:10" ht="24.95" customHeight="1">
      <c r="A9" s="596"/>
      <c r="B9" s="600" t="s">
        <v>1009</v>
      </c>
      <c r="C9" s="600" t="s">
        <v>1010</v>
      </c>
      <c r="D9" s="217" t="s">
        <v>805</v>
      </c>
      <c r="E9" s="251">
        <f>ROUND(E12/1.31,0)</f>
        <v>320</v>
      </c>
      <c r="F9" s="216">
        <f>'[3]5.급수원단위'!D27</f>
        <v>322</v>
      </c>
      <c r="G9" s="216">
        <f>'[3]5.급수원단위'!E27</f>
        <v>330</v>
      </c>
      <c r="H9" s="216">
        <f>'[3]5.급수원단위'!F27</f>
        <v>340</v>
      </c>
      <c r="I9" s="216">
        <f>'[3]5.급수원단위'!G27</f>
        <v>355</v>
      </c>
      <c r="J9" s="217"/>
    </row>
    <row r="10" spans="1:10" ht="24.95" customHeight="1">
      <c r="A10" s="596"/>
      <c r="B10" s="600"/>
      <c r="C10" s="600"/>
      <c r="D10" s="217" t="s">
        <v>806</v>
      </c>
      <c r="E10" s="251">
        <f>ROUND(E13/1.31,0)</f>
        <v>291</v>
      </c>
      <c r="F10" s="216">
        <f>'[3]5.급수원단위'!D28</f>
        <v>297</v>
      </c>
      <c r="G10" s="216">
        <f>'[3]5.급수원단위'!E28</f>
        <v>318</v>
      </c>
      <c r="H10" s="216">
        <f>'[3]5.급수원단위'!F28</f>
        <v>335</v>
      </c>
      <c r="I10" s="216">
        <f>'[3]5.급수원단위'!G28</f>
        <v>346</v>
      </c>
      <c r="J10" s="217"/>
    </row>
    <row r="11" spans="1:10" ht="24.95" customHeight="1">
      <c r="A11" s="596"/>
      <c r="B11" s="600"/>
      <c r="C11" s="600"/>
      <c r="D11" s="217" t="s">
        <v>807</v>
      </c>
      <c r="E11" s="251">
        <f>ROUND(E14/1.31,0)</f>
        <v>232</v>
      </c>
      <c r="F11" s="216">
        <f>'[3]5.급수원단위'!D29</f>
        <v>232</v>
      </c>
      <c r="G11" s="216">
        <f>'[3]5.급수원단위'!E29</f>
        <v>235</v>
      </c>
      <c r="H11" s="216">
        <f>'[3]5.급수원단위'!F29</f>
        <v>236</v>
      </c>
      <c r="I11" s="216">
        <f>'[3]5.급수원단위'!G29</f>
        <v>236</v>
      </c>
      <c r="J11" s="217"/>
    </row>
    <row r="12" spans="1:10" ht="24.95" customHeight="1">
      <c r="A12" s="596"/>
      <c r="B12" s="600"/>
      <c r="C12" s="600" t="s">
        <v>1011</v>
      </c>
      <c r="D12" s="217" t="s">
        <v>805</v>
      </c>
      <c r="E12" s="251">
        <f>'[3]5.급수원단위'!$D$39</f>
        <v>419</v>
      </c>
      <c r="F12" s="216">
        <f>'[3]5.급수원단위'!D32</f>
        <v>422</v>
      </c>
      <c r="G12" s="216">
        <f>'[3]5.급수원단위'!E32</f>
        <v>433</v>
      </c>
      <c r="H12" s="216">
        <f>'[3]5.급수원단위'!F32</f>
        <v>446</v>
      </c>
      <c r="I12" s="216">
        <f>'[3]5.급수원단위'!G32</f>
        <v>466</v>
      </c>
      <c r="J12" s="217"/>
    </row>
    <row r="13" spans="1:10" ht="24.95" customHeight="1">
      <c r="A13" s="596"/>
      <c r="B13" s="600"/>
      <c r="C13" s="600"/>
      <c r="D13" s="217" t="s">
        <v>806</v>
      </c>
      <c r="E13" s="251">
        <f>'[3]5.급수원단위'!$D$40</f>
        <v>381</v>
      </c>
      <c r="F13" s="216">
        <f>'[3]5.급수원단위'!D33</f>
        <v>390</v>
      </c>
      <c r="G13" s="216">
        <f>'[3]5.급수원단위'!E33</f>
        <v>417</v>
      </c>
      <c r="H13" s="216">
        <f>'[3]5.급수원단위'!F33</f>
        <v>439</v>
      </c>
      <c r="I13" s="216">
        <f>'[3]5.급수원단위'!G33</f>
        <v>454</v>
      </c>
      <c r="J13" s="217"/>
    </row>
    <row r="14" spans="1:10" ht="24.95" customHeight="1">
      <c r="A14" s="596"/>
      <c r="B14" s="600"/>
      <c r="C14" s="600"/>
      <c r="D14" s="217" t="s">
        <v>807</v>
      </c>
      <c r="E14" s="251">
        <f>'[3]5.급수원단위'!$D$41</f>
        <v>304</v>
      </c>
      <c r="F14" s="216">
        <f>'[3]5.급수원단위'!D34</f>
        <v>304</v>
      </c>
      <c r="G14" s="216">
        <f>'[3]5.급수원단위'!E34</f>
        <v>308</v>
      </c>
      <c r="H14" s="216">
        <f>'[3]5.급수원단위'!F34</f>
        <v>310</v>
      </c>
      <c r="I14" s="216">
        <f>'[3]5.급수원단위'!G34</f>
        <v>310</v>
      </c>
      <c r="J14" s="217"/>
    </row>
    <row r="15" spans="1:10" ht="24.95" customHeight="1">
      <c r="A15" s="596"/>
      <c r="B15" s="596" t="s">
        <v>1012</v>
      </c>
      <c r="C15" s="600" t="s">
        <v>1010</v>
      </c>
      <c r="D15" s="600"/>
      <c r="E15" s="218">
        <f>ROUND(E16/1.31,-2)</f>
        <v>28500</v>
      </c>
      <c r="F15" s="218">
        <f>ROUND(F16/1.31,-2)</f>
        <v>31700</v>
      </c>
      <c r="G15" s="218">
        <f>ROUND(G16/1.31,-2)</f>
        <v>39600</v>
      </c>
      <c r="H15" s="218">
        <f>ROUND(H16/1.31,-2)</f>
        <v>42100</v>
      </c>
      <c r="I15" s="218">
        <f>ROUND(I16/1.31,-2)</f>
        <v>44200</v>
      </c>
      <c r="J15" s="217"/>
    </row>
    <row r="16" spans="1:10" ht="24.95" customHeight="1">
      <c r="A16" s="596"/>
      <c r="B16" s="596"/>
      <c r="C16" s="600" t="s">
        <v>1011</v>
      </c>
      <c r="D16" s="600"/>
      <c r="E16" s="218">
        <f>ROUND('1.행정구역별 수요량'!E6,-2)</f>
        <v>37300</v>
      </c>
      <c r="F16" s="218">
        <f>ROUND('1.행정구역별 수요량'!F6,-2)</f>
        <v>41500</v>
      </c>
      <c r="G16" s="218">
        <f>ROUND('1.행정구역별 수요량'!G6,-2)</f>
        <v>51900</v>
      </c>
      <c r="H16" s="218">
        <f>ROUND('1.행정구역별 수요량'!H6,-2)</f>
        <v>55200</v>
      </c>
      <c r="I16" s="218">
        <f>ROUND('1.행정구역별 수요량'!I6,-2)</f>
        <v>57900</v>
      </c>
      <c r="J16" s="217"/>
    </row>
    <row r="17" spans="1:10" ht="24.95" customHeight="1">
      <c r="A17" s="603" t="s">
        <v>1013</v>
      </c>
      <c r="B17" s="264" t="s">
        <v>1201</v>
      </c>
      <c r="C17" s="601" t="s">
        <v>76</v>
      </c>
      <c r="D17" s="602"/>
      <c r="E17" s="218">
        <f ca="1">ROUND('3.공업용수'!H58,-2)</f>
        <v>4300</v>
      </c>
      <c r="F17" s="218">
        <f ca="1">ROUND('3.공업용수'!I58,-2)</f>
        <v>6400</v>
      </c>
      <c r="G17" s="218">
        <f ca="1">ROUND('3.공업용수'!J58,-2)</f>
        <v>8400</v>
      </c>
      <c r="H17" s="218">
        <f ca="1">ROUND('3.공업용수'!K58,-2)</f>
        <v>6200</v>
      </c>
      <c r="I17" s="218">
        <f ca="1">ROUND('3.공업용수'!L58,-2)</f>
        <v>5100</v>
      </c>
      <c r="J17" s="217"/>
    </row>
    <row r="18" spans="1:10" ht="24.95" customHeight="1">
      <c r="A18" s="604"/>
      <c r="B18" s="264" t="s">
        <v>1202</v>
      </c>
      <c r="C18" s="601" t="s">
        <v>76</v>
      </c>
      <c r="D18" s="602"/>
      <c r="E18" s="218">
        <f ca="1">ROUND('3.공업용수'!H59,-2)</f>
        <v>0</v>
      </c>
      <c r="F18" s="218">
        <f ca="1">ROUND('3.공업용수'!I59,-2)</f>
        <v>0</v>
      </c>
      <c r="G18" s="218">
        <f ca="1">ROUND('3.공업용수'!J59,-2)</f>
        <v>0</v>
      </c>
      <c r="H18" s="218">
        <f ca="1">ROUND('3.공업용수'!K59,-2)</f>
        <v>3200</v>
      </c>
      <c r="I18" s="218">
        <f ca="1">ROUND('3.공업용수'!L59,-2)</f>
        <v>4700</v>
      </c>
      <c r="J18" s="264"/>
    </row>
    <row r="19" spans="1:10" ht="24.95" customHeight="1">
      <c r="A19" s="596" t="s">
        <v>1014</v>
      </c>
      <c r="B19" s="596" t="s">
        <v>1015</v>
      </c>
      <c r="C19" s="596"/>
      <c r="D19" s="596"/>
      <c r="E19" s="218">
        <f>ROUND('1.행정구역별 수요량'!E9,-2)</f>
        <v>0</v>
      </c>
      <c r="F19" s="218">
        <f>ROUND('1.행정구역별 수요량'!F9,-2)</f>
        <v>0</v>
      </c>
      <c r="G19" s="218">
        <f>ROUND('1.행정구역별 수요량'!G9,-2)</f>
        <v>100</v>
      </c>
      <c r="H19" s="218">
        <f>ROUND('1.행정구역별 수요량'!H9,-2)</f>
        <v>100</v>
      </c>
      <c r="I19" s="218">
        <f>ROUND('1.행정구역별 수요량'!I9,-2)</f>
        <v>100</v>
      </c>
      <c r="J19" s="305"/>
    </row>
    <row r="20" spans="1:10" ht="24.95" customHeight="1">
      <c r="A20" s="596"/>
      <c r="B20" s="596" t="s">
        <v>2644</v>
      </c>
      <c r="C20" s="596"/>
      <c r="D20" s="596"/>
      <c r="E20" s="218">
        <f>ROUND('1.행정구역별 수요량'!E10,-2)</f>
        <v>5200</v>
      </c>
      <c r="F20" s="218">
        <f>ROUND('1.행정구역별 수요량'!F10,-2)</f>
        <v>5700</v>
      </c>
      <c r="G20" s="218">
        <f>ROUND('1.행정구역별 수요량'!G10,-2)</f>
        <v>6500</v>
      </c>
      <c r="H20" s="218">
        <f>ROUND('1.행정구역별 수요량'!H10,-2)</f>
        <v>6500</v>
      </c>
      <c r="I20" s="218">
        <f>ROUND('1.행정구역별 수요량'!I10,-2)</f>
        <v>6500</v>
      </c>
      <c r="J20" s="305"/>
    </row>
    <row r="21" spans="1:10" ht="24.95" customHeight="1">
      <c r="A21" s="596" t="s">
        <v>1016</v>
      </c>
      <c r="B21" s="596"/>
      <c r="C21" s="596"/>
      <c r="D21" s="305" t="s">
        <v>1278</v>
      </c>
      <c r="E21" s="218">
        <f ca="1">SUM(E16:E20)</f>
        <v>46800</v>
      </c>
      <c r="F21" s="218">
        <f ca="1">SUM(F16:F20)</f>
        <v>53600</v>
      </c>
      <c r="G21" s="218">
        <f ca="1">SUM(G16:G20)</f>
        <v>66900</v>
      </c>
      <c r="H21" s="218">
        <f ca="1">SUM(H16:H20)</f>
        <v>71200</v>
      </c>
      <c r="I21" s="218">
        <f ca="1">SUM(I16:I20)</f>
        <v>74300</v>
      </c>
      <c r="J21" s="305"/>
    </row>
    <row r="22" spans="1:10" ht="24.95" customHeight="1">
      <c r="A22" s="596"/>
      <c r="B22" s="596"/>
      <c r="C22" s="596"/>
      <c r="D22" s="305" t="s">
        <v>1276</v>
      </c>
      <c r="E22" s="305"/>
      <c r="F22" s="310">
        <f ca="1">F21-F23</f>
        <v>53600</v>
      </c>
      <c r="G22" s="310">
        <f t="shared" ref="G22:I22" ca="1" si="0">G21-G23</f>
        <v>66900</v>
      </c>
      <c r="H22" s="310">
        <f t="shared" ca="1" si="0"/>
        <v>68000</v>
      </c>
      <c r="I22" s="310">
        <f t="shared" ca="1" si="0"/>
        <v>69600</v>
      </c>
      <c r="J22" s="305"/>
    </row>
    <row r="23" spans="1:10" ht="24.95" customHeight="1">
      <c r="A23" s="596"/>
      <c r="B23" s="596"/>
      <c r="C23" s="596"/>
      <c r="D23" s="305" t="s">
        <v>1277</v>
      </c>
      <c r="E23" s="310">
        <f>E19+E20</f>
        <v>5200</v>
      </c>
      <c r="F23" s="310">
        <f ca="1">F18</f>
        <v>0</v>
      </c>
      <c r="G23" s="310">
        <f t="shared" ref="G23:I23" ca="1" si="1">G18</f>
        <v>0</v>
      </c>
      <c r="H23" s="310">
        <f t="shared" ca="1" si="1"/>
        <v>3200</v>
      </c>
      <c r="I23" s="310">
        <f t="shared" ca="1" si="1"/>
        <v>4700</v>
      </c>
      <c r="J23" s="305"/>
    </row>
    <row r="24" spans="1:10" ht="24.95" customHeight="1"/>
    <row r="25" spans="1:10" ht="24.95" customHeight="1"/>
    <row r="26" spans="1:10" ht="24.95" customHeight="1"/>
    <row r="27" spans="1:10" ht="24.95" customHeight="1"/>
    <row r="28" spans="1:10" ht="24.95" customHeight="1"/>
    <row r="29" spans="1:10" ht="24.95" customHeight="1"/>
    <row r="30" spans="1:10" ht="24.95" customHeight="1"/>
    <row r="31" spans="1:10" ht="24.95" customHeight="1"/>
    <row r="32" spans="1:10" ht="24.95" customHeight="1"/>
    <row r="33" ht="24.95" customHeight="1"/>
    <row r="34" ht="24.95" customHeight="1"/>
  </sheetData>
  <mergeCells count="23">
    <mergeCell ref="B20:D20"/>
    <mergeCell ref="A4:A16"/>
    <mergeCell ref="B4:B6"/>
    <mergeCell ref="C4:D4"/>
    <mergeCell ref="C5:D5"/>
    <mergeCell ref="C18:D18"/>
    <mergeCell ref="A17:A18"/>
    <mergeCell ref="A21:C23"/>
    <mergeCell ref="J2:J3"/>
    <mergeCell ref="E2:I2"/>
    <mergeCell ref="B7:D7"/>
    <mergeCell ref="B8:D8"/>
    <mergeCell ref="B15:B16"/>
    <mergeCell ref="C15:D15"/>
    <mergeCell ref="B9:B14"/>
    <mergeCell ref="C9:C11"/>
    <mergeCell ref="C12:C14"/>
    <mergeCell ref="C16:D16"/>
    <mergeCell ref="C17:D17"/>
    <mergeCell ref="A19:A20"/>
    <mergeCell ref="B19:D19"/>
    <mergeCell ref="A2:D3"/>
    <mergeCell ref="C6:D6"/>
  </mergeCells>
  <phoneticPr fontId="3" type="noConversion"/>
  <printOptions horizontalCentered="1"/>
  <pageMargins left="0.62992125984251968" right="0.59055118110236227" top="0.59055118110236227" bottom="0.98425196850393704" header="0.51181102362204722" footer="0.51181102362204722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C000"/>
  </sheetPr>
  <dimension ref="A1:AS61"/>
  <sheetViews>
    <sheetView view="pageBreakPreview" topLeftCell="A46" zoomScale="60" zoomScaleNormal="100" workbookViewId="0">
      <selection activeCell="AF26" sqref="AF26"/>
    </sheetView>
  </sheetViews>
  <sheetFormatPr defaultColWidth="7.6640625" defaultRowHeight="20.100000000000001" customHeight="1" outlineLevelCol="1"/>
  <cols>
    <col min="1" max="2" width="1.77734375" style="327" customWidth="1"/>
    <col min="3" max="3" width="6.33203125" style="327" customWidth="1"/>
    <col min="4" max="4" width="2.33203125" style="327" customWidth="1"/>
    <col min="5" max="6" width="6.77734375" style="327" hidden="1" customWidth="1" outlineLevel="1"/>
    <col min="7" max="7" width="6.33203125" style="327" hidden="1" customWidth="1" outlineLevel="1"/>
    <col min="8" max="8" width="6.33203125" style="327" customWidth="1" collapsed="1"/>
    <col min="9" max="11" width="6.33203125" style="327" customWidth="1"/>
    <col min="12" max="12" width="4.33203125" style="327" hidden="1" customWidth="1" outlineLevel="1"/>
    <col min="13" max="13" width="4.33203125" style="327" customWidth="1" collapsed="1"/>
    <col min="14" max="16" width="4.33203125" style="327" customWidth="1"/>
    <col min="17" max="17" width="6.33203125" style="327" hidden="1" customWidth="1" outlineLevel="1"/>
    <col min="18" max="18" width="6.33203125" style="327" customWidth="1" collapsed="1"/>
    <col min="19" max="21" width="6.33203125" style="327" customWidth="1"/>
    <col min="22" max="22" width="8" style="327" bestFit="1" customWidth="1"/>
    <col min="23" max="25" width="7.6640625" style="327"/>
    <col min="46" max="16384" width="7.6640625" style="327"/>
  </cols>
  <sheetData>
    <row r="1" spans="1:26" s="204" customFormat="1" ht="20.100000000000001" customHeight="1">
      <c r="A1" s="204" t="s">
        <v>804</v>
      </c>
    </row>
    <row r="2" spans="1:26" s="208" customFormat="1" ht="19.5" customHeight="1">
      <c r="A2" s="207" t="s">
        <v>1639</v>
      </c>
      <c r="G2" s="209"/>
      <c r="H2" s="209"/>
      <c r="J2" s="209"/>
      <c r="K2" s="209"/>
      <c r="L2" s="209"/>
      <c r="V2" s="334"/>
      <c r="W2" s="692" t="s">
        <v>1919</v>
      </c>
      <c r="X2" s="692"/>
      <c r="Y2" s="692"/>
      <c r="Z2" s="440" t="s">
        <v>2405</v>
      </c>
    </row>
    <row r="3" spans="1:26" ht="20.100000000000001" customHeight="1">
      <c r="A3" s="693" t="s">
        <v>1246</v>
      </c>
      <c r="B3" s="693"/>
      <c r="C3" s="693"/>
      <c r="D3" s="693"/>
      <c r="E3" s="696" t="s">
        <v>1290</v>
      </c>
      <c r="F3" s="696" t="s">
        <v>1280</v>
      </c>
      <c r="G3" s="693" t="s">
        <v>1281</v>
      </c>
      <c r="H3" s="693"/>
      <c r="I3" s="693"/>
      <c r="J3" s="693"/>
      <c r="K3" s="693"/>
      <c r="L3" s="693" t="s">
        <v>1282</v>
      </c>
      <c r="M3" s="693"/>
      <c r="N3" s="693"/>
      <c r="O3" s="693"/>
      <c r="P3" s="693"/>
      <c r="Q3" s="693" t="s">
        <v>1283</v>
      </c>
      <c r="R3" s="693"/>
      <c r="S3" s="693"/>
      <c r="T3" s="693"/>
      <c r="U3" s="693"/>
      <c r="W3" s="434">
        <f>1248*1.5</f>
        <v>1872</v>
      </c>
      <c r="X3" s="439">
        <v>1774</v>
      </c>
      <c r="Y3" s="440">
        <f>X3/W3</f>
        <v>0.94764957264957261</v>
      </c>
      <c r="Z3" s="440">
        <f>ROUND(AVERAGE(W6:W60),2)</f>
        <v>1.39</v>
      </c>
    </row>
    <row r="4" spans="1:26" ht="20.100000000000001" customHeight="1">
      <c r="A4" s="693"/>
      <c r="B4" s="693"/>
      <c r="C4" s="693"/>
      <c r="D4" s="693"/>
      <c r="E4" s="693"/>
      <c r="F4" s="693"/>
      <c r="G4" s="527">
        <v>2013</v>
      </c>
      <c r="H4" s="527">
        <v>2015</v>
      </c>
      <c r="I4" s="527">
        <v>2020</v>
      </c>
      <c r="J4" s="527">
        <v>2025</v>
      </c>
      <c r="K4" s="527">
        <v>2030</v>
      </c>
      <c r="L4" s="527">
        <v>2013</v>
      </c>
      <c r="M4" s="527">
        <v>2015</v>
      </c>
      <c r="N4" s="527">
        <v>2020</v>
      </c>
      <c r="O4" s="527">
        <v>2025</v>
      </c>
      <c r="P4" s="527">
        <v>2030</v>
      </c>
      <c r="Q4" s="527">
        <v>2013</v>
      </c>
      <c r="R4" s="527">
        <v>2015</v>
      </c>
      <c r="S4" s="527">
        <v>2020</v>
      </c>
      <c r="T4" s="527">
        <v>2025</v>
      </c>
      <c r="U4" s="527">
        <v>2030</v>
      </c>
    </row>
    <row r="5" spans="1:26" ht="19.5" customHeight="1">
      <c r="A5" s="695" t="s">
        <v>1854</v>
      </c>
      <c r="B5" s="695"/>
      <c r="C5" s="695"/>
      <c r="D5" s="695"/>
      <c r="E5" s="407"/>
      <c r="F5" s="407"/>
      <c r="G5" s="408">
        <f>G6+G38</f>
        <v>3873</v>
      </c>
      <c r="H5" s="408">
        <f t="shared" ref="H5:K5" si="0">H6+H38</f>
        <v>4712</v>
      </c>
      <c r="I5" s="408">
        <f t="shared" si="0"/>
        <v>4940</v>
      </c>
      <c r="J5" s="408">
        <f t="shared" si="0"/>
        <v>5070</v>
      </c>
      <c r="K5" s="408">
        <f t="shared" si="0"/>
        <v>5161</v>
      </c>
      <c r="L5" s="408"/>
      <c r="M5" s="408"/>
      <c r="N5" s="408"/>
      <c r="O5" s="408"/>
      <c r="P5" s="408"/>
      <c r="Q5" s="408">
        <f t="shared" ref="Q5:U5" si="1">Q6+Q38</f>
        <v>1357</v>
      </c>
      <c r="R5" s="408">
        <f t="shared" si="1"/>
        <v>1432</v>
      </c>
      <c r="S5" s="408">
        <f t="shared" si="1"/>
        <v>1520</v>
      </c>
      <c r="T5" s="408">
        <f t="shared" si="1"/>
        <v>1574</v>
      </c>
      <c r="U5" s="408">
        <f t="shared" si="1"/>
        <v>1601</v>
      </c>
      <c r="V5" s="341"/>
      <c r="W5" s="335"/>
    </row>
    <row r="6" spans="1:26" ht="19.5" customHeight="1">
      <c r="A6" s="339"/>
      <c r="B6" s="694" t="s">
        <v>1217</v>
      </c>
      <c r="C6" s="694"/>
      <c r="D6" s="694"/>
      <c r="E6" s="331"/>
      <c r="F6" s="331"/>
      <c r="G6" s="336">
        <f>SUM(G7:G37)</f>
        <v>3680</v>
      </c>
      <c r="H6" s="336">
        <f t="shared" ref="H6:K6" si="2">SUM(H7:H37)</f>
        <v>4509</v>
      </c>
      <c r="I6" s="336">
        <f t="shared" si="2"/>
        <v>4726</v>
      </c>
      <c r="J6" s="336">
        <f t="shared" si="2"/>
        <v>4838</v>
      </c>
      <c r="K6" s="336">
        <f t="shared" si="2"/>
        <v>4925</v>
      </c>
      <c r="L6" s="336"/>
      <c r="M6" s="336"/>
      <c r="N6" s="336"/>
      <c r="O6" s="336"/>
      <c r="P6" s="336"/>
      <c r="Q6" s="336">
        <f t="shared" ref="Q6:U6" si="3">SUM(Q7:Q37)</f>
        <v>1248</v>
      </c>
      <c r="R6" s="336">
        <f t="shared" si="3"/>
        <v>1370</v>
      </c>
      <c r="S6" s="336">
        <f t="shared" si="3"/>
        <v>1454</v>
      </c>
      <c r="T6" s="336">
        <f t="shared" si="3"/>
        <v>1502</v>
      </c>
      <c r="U6" s="336">
        <f t="shared" si="3"/>
        <v>1528</v>
      </c>
      <c r="V6" s="343">
        <f>VLOOKUP(B6,'2013년도 용수량 비율'!$A$5:$F$20,6,FALSE)</f>
        <v>7.03</v>
      </c>
      <c r="W6" s="343"/>
    </row>
    <row r="7" spans="1:26" ht="19.5" customHeight="1">
      <c r="A7" s="340"/>
      <c r="B7" s="339"/>
      <c r="C7" s="406" t="s">
        <v>1640</v>
      </c>
      <c r="D7" s="330" t="s">
        <v>1807</v>
      </c>
      <c r="E7" s="527">
        <v>1</v>
      </c>
      <c r="F7" s="527" t="s">
        <v>1317</v>
      </c>
      <c r="G7" s="302">
        <f>IF($D7="A",ROUND(VLOOKUP($C7,'[2]2.행정구역별 급수인구'!$C$7:$AD$997,17,FALSE)*$E7,0),IF($D7="B",(ROUND(VLOOKUP($C7,'[2]2.행정구역별 급수인구'!$C$7:$AD$997,17,FALSE)-VLOOKUP($C7,'[2]2.행정구역별 급수인구'!$C$7:$AD$997,17,FALSE)*(1-$E7),0)),VLOOKUP($C7,'[2]2.행정구역별 급수인구'!$C$7:$AD$997,17,FALSE)))</f>
        <v>178</v>
      </c>
      <c r="H7" s="302">
        <f>IF($D7="A",ROUND(VLOOKUP($C7,'[2]2.행정구역별 급수인구'!$C$7:$AD$997,25,FALSE)*$E7,0),IF($D7="B",(ROUND(VLOOKUP($C7,'[2]2.행정구역별 급수인구'!$C$7:$AD$997,25,FALSE)-VLOOKUP($C7,'[2]2.행정구역별 급수인구'!$C$7:$AD$997,25,FALSE)*(1-$E7),0)),VLOOKUP($C7,'[2]2.행정구역별 급수인구'!$C$7:$AD$997,25,FALSE)))</f>
        <v>198</v>
      </c>
      <c r="I7" s="302">
        <f>IF($D7="A",ROUND(VLOOKUP($C7,'[2]2.행정구역별 급수인구'!$C$7:$AD$997,26,FALSE)*$E7,0),IF($D7="B",(ROUND(VLOOKUP($C7,'[2]2.행정구역별 급수인구'!$C$7:$AD$997,26,FALSE)-VLOOKUP($C7,'[2]2.행정구역별 급수인구'!$C$7:$AD$997,26,FALSE)*(1-$E7),0)),VLOOKUP($C7,'[2]2.행정구역별 급수인구'!$C$7:$AD$997,26,FALSE)))</f>
        <v>206</v>
      </c>
      <c r="J7" s="302">
        <f>IF($D7="A",ROUND(VLOOKUP($C7,'[2]2.행정구역별 급수인구'!$C$7:$AD$997,27,FALSE)*$E7,0),IF($D7="B",(ROUND(VLOOKUP($C7,'[2]2.행정구역별 급수인구'!$C$7:$AD$997,27,FALSE)-VLOOKUP($C7,'[2]2.행정구역별 급수인구'!$C$7:$AD$997,27,FALSE)*(1-$E7),0)),VLOOKUP($C7,'[2]2.행정구역별 급수인구'!$C$7:$AD$997,27,FALSE)))</f>
        <v>212</v>
      </c>
      <c r="K7" s="302">
        <f>IF($D7="A",ROUND(VLOOKUP($C7,'[2]2.행정구역별 급수인구'!$C$7:$AD$997,28,FALSE)*$E7,0),IF($D7="B",(ROUND(VLOOKUP($C7,'[2]2.행정구역별 급수인구'!$C$7:$AD$997,28,FALSE)-VLOOKUP($C7,'[2]2.행정구역별 급수인구'!$C$7:$AD$997,28,FALSE)*(1-$E7),0)),VLOOKUP($C7,'[2]2.행정구역별 급수인구'!$C$7:$AD$997,28,FALSE)))</f>
        <v>216</v>
      </c>
      <c r="L7" s="302">
        <f>VLOOKUP($F7,'[3]5.급수원단위'!$B$31:$G$35,2,FALSE)</f>
        <v>272</v>
      </c>
      <c r="M7" s="302">
        <f>VLOOKUP($F7,'[3]5.급수원단위'!$B$31:$G$35,3,FALSE)</f>
        <v>304</v>
      </c>
      <c r="N7" s="302">
        <f>VLOOKUP($F7,'[3]5.급수원단위'!$B$31:$G$35,4,FALSE)</f>
        <v>308</v>
      </c>
      <c r="O7" s="302">
        <f>VLOOKUP($F7,'[3]5.급수원단위'!$B$31:$G$35,5,FALSE)</f>
        <v>310</v>
      </c>
      <c r="P7" s="302">
        <f>VLOOKUP($F7,'[3]5.급수원단위'!$B$31:$G$35,6,FALSE)</f>
        <v>310</v>
      </c>
      <c r="Q7" s="302">
        <f>ROUND(IF(G7=0,0,VLOOKUP(C7,'2013실사용량 정리'!$D$6:$F$381,3,FALSE)),0)</f>
        <v>52</v>
      </c>
      <c r="R7" s="302">
        <f t="shared" ref="R7:U22" si="4">ROUND(H7*M7/1000,0)</f>
        <v>60</v>
      </c>
      <c r="S7" s="302">
        <f t="shared" si="4"/>
        <v>63</v>
      </c>
      <c r="T7" s="302">
        <f t="shared" si="4"/>
        <v>66</v>
      </c>
      <c r="U7" s="302">
        <f t="shared" si="4"/>
        <v>67</v>
      </c>
      <c r="W7" s="343">
        <f t="shared" ref="W7:W60" si="5">IF(ISERROR(U7/Q7),"",U7/Q7)</f>
        <v>1.2884615384615385</v>
      </c>
    </row>
    <row r="8" spans="1:26" ht="19.5" customHeight="1">
      <c r="A8" s="340"/>
      <c r="B8" s="340"/>
      <c r="C8" s="406" t="s">
        <v>1641</v>
      </c>
      <c r="D8" s="330" t="s">
        <v>1807</v>
      </c>
      <c r="E8" s="527">
        <v>1</v>
      </c>
      <c r="F8" s="527" t="s">
        <v>1317</v>
      </c>
      <c r="G8" s="302">
        <f>IF($D8="A",ROUND(VLOOKUP($C8,'[2]2.행정구역별 급수인구'!$C$7:$AD$997,17,FALSE)*$E8,0),IF($D8="B",(ROUND(VLOOKUP($C8,'[2]2.행정구역별 급수인구'!$C$7:$AD$997,17,FALSE)-VLOOKUP($C8,'[2]2.행정구역별 급수인구'!$C$7:$AD$997,17,FALSE)*(1-$E8),0)),VLOOKUP($C8,'[2]2.행정구역별 급수인구'!$C$7:$AD$997,17,FALSE)))</f>
        <v>112</v>
      </c>
      <c r="H8" s="302">
        <f>IF($D8="A",ROUND(VLOOKUP($C8,'[2]2.행정구역별 급수인구'!$C$7:$AD$997,25,FALSE)*$E8,0),IF($D8="B",(ROUND(VLOOKUP($C8,'[2]2.행정구역별 급수인구'!$C$7:$AD$997,25,FALSE)-VLOOKUP($C8,'[2]2.행정구역별 급수인구'!$C$7:$AD$997,25,FALSE)*(1-$E8),0)),VLOOKUP($C8,'[2]2.행정구역별 급수인구'!$C$7:$AD$997,25,FALSE)))</f>
        <v>124</v>
      </c>
      <c r="I8" s="302">
        <f>IF($D8="A",ROUND(VLOOKUP($C8,'[2]2.행정구역별 급수인구'!$C$7:$AD$997,26,FALSE)*$E8,0),IF($D8="B",(ROUND(VLOOKUP($C8,'[2]2.행정구역별 급수인구'!$C$7:$AD$997,26,FALSE)-VLOOKUP($C8,'[2]2.행정구역별 급수인구'!$C$7:$AD$997,26,FALSE)*(1-$E8),0)),VLOOKUP($C8,'[2]2.행정구역별 급수인구'!$C$7:$AD$997,26,FALSE)))</f>
        <v>130</v>
      </c>
      <c r="J8" s="302">
        <f>IF($D8="A",ROUND(VLOOKUP($C8,'[2]2.행정구역별 급수인구'!$C$7:$AD$997,27,FALSE)*$E8,0),IF($D8="B",(ROUND(VLOOKUP($C8,'[2]2.행정구역별 급수인구'!$C$7:$AD$997,27,FALSE)-VLOOKUP($C8,'[2]2.행정구역별 급수인구'!$C$7:$AD$997,27,FALSE)*(1-$E8),0)),VLOOKUP($C8,'[2]2.행정구역별 급수인구'!$C$7:$AD$997,27,FALSE)))</f>
        <v>133</v>
      </c>
      <c r="K8" s="302">
        <f>IF($D8="A",ROUND(VLOOKUP($C8,'[2]2.행정구역별 급수인구'!$C$7:$AD$997,28,FALSE)*$E8,0),IF($D8="B",(ROUND(VLOOKUP($C8,'[2]2.행정구역별 급수인구'!$C$7:$AD$997,28,FALSE)-VLOOKUP($C8,'[2]2.행정구역별 급수인구'!$C$7:$AD$997,28,FALSE)*(1-$E8),0)),VLOOKUP($C8,'[2]2.행정구역별 급수인구'!$C$7:$AD$997,28,FALSE)))</f>
        <v>135</v>
      </c>
      <c r="L8" s="302">
        <f>VLOOKUP($F8,'[3]5.급수원단위'!$B$31:$G$35,2,FALSE)</f>
        <v>272</v>
      </c>
      <c r="M8" s="302">
        <f>VLOOKUP($F8,'[3]5.급수원단위'!$B$31:$G$35,3,FALSE)</f>
        <v>304</v>
      </c>
      <c r="N8" s="302">
        <f>VLOOKUP($F8,'[3]5.급수원단위'!$B$31:$G$35,4,FALSE)</f>
        <v>308</v>
      </c>
      <c r="O8" s="302">
        <f>VLOOKUP($F8,'[3]5.급수원단위'!$B$31:$G$35,5,FALSE)</f>
        <v>310</v>
      </c>
      <c r="P8" s="302">
        <f>VLOOKUP($F8,'[3]5.급수원단위'!$B$31:$G$35,6,FALSE)</f>
        <v>310</v>
      </c>
      <c r="Q8" s="302">
        <f>ROUND(IF(G8=0,0,VLOOKUP(C8,'2013실사용량 정리'!$D$6:$F$381,3,FALSE)),0)</f>
        <v>32</v>
      </c>
      <c r="R8" s="302">
        <f t="shared" si="4"/>
        <v>38</v>
      </c>
      <c r="S8" s="302">
        <f t="shared" si="4"/>
        <v>40</v>
      </c>
      <c r="T8" s="302">
        <f t="shared" si="4"/>
        <v>41</v>
      </c>
      <c r="U8" s="302">
        <f t="shared" si="4"/>
        <v>42</v>
      </c>
      <c r="W8" s="343">
        <f t="shared" si="5"/>
        <v>1.3125</v>
      </c>
    </row>
    <row r="9" spans="1:26" ht="19.5" customHeight="1">
      <c r="A9" s="340"/>
      <c r="B9" s="340"/>
      <c r="C9" s="406" t="s">
        <v>1642</v>
      </c>
      <c r="D9" s="330" t="s">
        <v>1807</v>
      </c>
      <c r="E9" s="527">
        <v>1</v>
      </c>
      <c r="F9" s="527" t="s">
        <v>1317</v>
      </c>
      <c r="G9" s="302">
        <f>IF($D9="A",ROUND(VLOOKUP($C9,'[2]2.행정구역별 급수인구'!$C$7:$AD$997,17,FALSE)*$E9,0),IF($D9="B",(ROUND(VLOOKUP($C9,'[2]2.행정구역별 급수인구'!$C$7:$AD$997,17,FALSE)-VLOOKUP($C9,'[2]2.행정구역별 급수인구'!$C$7:$AD$997,17,FALSE)*(1-$E9),0)),VLOOKUP($C9,'[2]2.행정구역별 급수인구'!$C$7:$AD$997,17,FALSE)))</f>
        <v>0</v>
      </c>
      <c r="H9" s="302">
        <f>IF($D9="A",ROUND(VLOOKUP($C9,'[2]2.행정구역별 급수인구'!$C$7:$AD$997,25,FALSE)*$E9,0),IF($D9="B",(ROUND(VLOOKUP($C9,'[2]2.행정구역별 급수인구'!$C$7:$AD$997,25,FALSE)-VLOOKUP($C9,'[2]2.행정구역별 급수인구'!$C$7:$AD$997,25,FALSE)*(1-$E9),0)),VLOOKUP($C9,'[2]2.행정구역별 급수인구'!$C$7:$AD$997,25,FALSE)))</f>
        <v>112</v>
      </c>
      <c r="I9" s="302">
        <f>IF($D9="A",ROUND(VLOOKUP($C9,'[2]2.행정구역별 급수인구'!$C$7:$AD$997,26,FALSE)*$E9,0),IF($D9="B",(ROUND(VLOOKUP($C9,'[2]2.행정구역별 급수인구'!$C$7:$AD$997,26,FALSE)-VLOOKUP($C9,'[2]2.행정구역별 급수인구'!$C$7:$AD$997,26,FALSE)*(1-$E9),0)),VLOOKUP($C9,'[2]2.행정구역별 급수인구'!$C$7:$AD$997,26,FALSE)))</f>
        <v>116</v>
      </c>
      <c r="J9" s="302">
        <f>IF($D9="A",ROUND(VLOOKUP($C9,'[2]2.행정구역별 급수인구'!$C$7:$AD$997,27,FALSE)*$E9,0),IF($D9="B",(ROUND(VLOOKUP($C9,'[2]2.행정구역별 급수인구'!$C$7:$AD$997,27,FALSE)-VLOOKUP($C9,'[2]2.행정구역별 급수인구'!$C$7:$AD$997,27,FALSE)*(1-$E9),0)),VLOOKUP($C9,'[2]2.행정구역별 급수인구'!$C$7:$AD$997,27,FALSE)))</f>
        <v>119</v>
      </c>
      <c r="K9" s="302">
        <f>IF($D9="A",ROUND(VLOOKUP($C9,'[2]2.행정구역별 급수인구'!$C$7:$AD$997,28,FALSE)*$E9,0),IF($D9="B",(ROUND(VLOOKUP($C9,'[2]2.행정구역별 급수인구'!$C$7:$AD$997,28,FALSE)-VLOOKUP($C9,'[2]2.행정구역별 급수인구'!$C$7:$AD$997,28,FALSE)*(1-$E9),0)),VLOOKUP($C9,'[2]2.행정구역별 급수인구'!$C$7:$AD$997,28,FALSE)))</f>
        <v>122</v>
      </c>
      <c r="L9" s="302">
        <f>VLOOKUP($F9,'[3]5.급수원단위'!$B$31:$G$35,2,FALSE)</f>
        <v>272</v>
      </c>
      <c r="M9" s="302">
        <f>VLOOKUP($F9,'[3]5.급수원단위'!$B$31:$G$35,3,FALSE)</f>
        <v>304</v>
      </c>
      <c r="N9" s="302">
        <f>VLOOKUP($F9,'[3]5.급수원단위'!$B$31:$G$35,4,FALSE)</f>
        <v>308</v>
      </c>
      <c r="O9" s="302">
        <f>VLOOKUP($F9,'[3]5.급수원단위'!$B$31:$G$35,5,FALSE)</f>
        <v>310</v>
      </c>
      <c r="P9" s="302">
        <f>VLOOKUP($F9,'[3]5.급수원단위'!$B$31:$G$35,6,FALSE)</f>
        <v>310</v>
      </c>
      <c r="Q9" s="302">
        <f>ROUND(IF(G9=0,0,VLOOKUP(C9,'2013실사용량 정리'!$D$6:$F$381,3,FALSE)),0)</f>
        <v>0</v>
      </c>
      <c r="R9" s="302">
        <f t="shared" si="4"/>
        <v>34</v>
      </c>
      <c r="S9" s="302">
        <f t="shared" si="4"/>
        <v>36</v>
      </c>
      <c r="T9" s="302">
        <f t="shared" si="4"/>
        <v>37</v>
      </c>
      <c r="U9" s="302">
        <f t="shared" si="4"/>
        <v>38</v>
      </c>
      <c r="W9" s="343" t="str">
        <f t="shared" si="5"/>
        <v/>
      </c>
    </row>
    <row r="10" spans="1:26" ht="19.5" customHeight="1">
      <c r="A10" s="340"/>
      <c r="B10" s="340"/>
      <c r="C10" s="406" t="s">
        <v>1643</v>
      </c>
      <c r="D10" s="330" t="s">
        <v>1807</v>
      </c>
      <c r="E10" s="527">
        <v>1</v>
      </c>
      <c r="F10" s="527" t="s">
        <v>1317</v>
      </c>
      <c r="G10" s="302">
        <f>IF($D10="A",ROUND(VLOOKUP($C10,'[2]2.행정구역별 급수인구'!$C$7:$AD$997,17,FALSE)*$E10,0),IF($D10="B",(ROUND(VLOOKUP($C10,'[2]2.행정구역별 급수인구'!$C$7:$AD$997,17,FALSE)-VLOOKUP($C10,'[2]2.행정구역별 급수인구'!$C$7:$AD$997,17,FALSE)*(1-$E10),0)),VLOOKUP($C10,'[2]2.행정구역별 급수인구'!$C$7:$AD$997,17,FALSE)))</f>
        <v>0</v>
      </c>
      <c r="H10" s="302">
        <f>IF($D10="A",ROUND(VLOOKUP($C10,'[2]2.행정구역별 급수인구'!$C$7:$AD$997,25,FALSE)*$E10,0),IF($D10="B",(ROUND(VLOOKUP($C10,'[2]2.행정구역별 급수인구'!$C$7:$AD$997,25,FALSE)-VLOOKUP($C10,'[2]2.행정구역별 급수인구'!$C$7:$AD$997,25,FALSE)*(1-$E10),0)),VLOOKUP($C10,'[2]2.행정구역별 급수인구'!$C$7:$AD$997,25,FALSE)))</f>
        <v>159</v>
      </c>
      <c r="I10" s="302">
        <f>IF($D10="A",ROUND(VLOOKUP($C10,'[2]2.행정구역별 급수인구'!$C$7:$AD$997,26,FALSE)*$E10,0),IF($D10="B",(ROUND(VLOOKUP($C10,'[2]2.행정구역별 급수인구'!$C$7:$AD$997,26,FALSE)-VLOOKUP($C10,'[2]2.행정구역별 급수인구'!$C$7:$AD$997,26,FALSE)*(1-$E10),0)),VLOOKUP($C10,'[2]2.행정구역별 급수인구'!$C$7:$AD$997,26,FALSE)))</f>
        <v>167</v>
      </c>
      <c r="J10" s="302">
        <f>IF($D10="A",ROUND(VLOOKUP($C10,'[2]2.행정구역별 급수인구'!$C$7:$AD$997,27,FALSE)*$E10,0),IF($D10="B",(ROUND(VLOOKUP($C10,'[2]2.행정구역별 급수인구'!$C$7:$AD$997,27,FALSE)-VLOOKUP($C10,'[2]2.행정구역별 급수인구'!$C$7:$AD$997,27,FALSE)*(1-$E10),0)),VLOOKUP($C10,'[2]2.행정구역별 급수인구'!$C$7:$AD$997,27,FALSE)))</f>
        <v>171</v>
      </c>
      <c r="K10" s="302">
        <f>IF($D10="A",ROUND(VLOOKUP($C10,'[2]2.행정구역별 급수인구'!$C$7:$AD$997,28,FALSE)*$E10,0),IF($D10="B",(ROUND(VLOOKUP($C10,'[2]2.행정구역별 급수인구'!$C$7:$AD$997,28,FALSE)-VLOOKUP($C10,'[2]2.행정구역별 급수인구'!$C$7:$AD$997,28,FALSE)*(1-$E10),0)),VLOOKUP($C10,'[2]2.행정구역별 급수인구'!$C$7:$AD$997,28,FALSE)))</f>
        <v>174</v>
      </c>
      <c r="L10" s="302">
        <f>VLOOKUP($F10,'[3]5.급수원단위'!$B$31:$G$35,2,FALSE)</f>
        <v>272</v>
      </c>
      <c r="M10" s="302">
        <f>VLOOKUP($F10,'[3]5.급수원단위'!$B$31:$G$35,3,FALSE)</f>
        <v>304</v>
      </c>
      <c r="N10" s="302">
        <f>VLOOKUP($F10,'[3]5.급수원단위'!$B$31:$G$35,4,FALSE)</f>
        <v>308</v>
      </c>
      <c r="O10" s="302">
        <f>VLOOKUP($F10,'[3]5.급수원단위'!$B$31:$G$35,5,FALSE)</f>
        <v>310</v>
      </c>
      <c r="P10" s="302">
        <f>VLOOKUP($F10,'[3]5.급수원단위'!$B$31:$G$35,6,FALSE)</f>
        <v>310</v>
      </c>
      <c r="Q10" s="302">
        <f>ROUND(IF(G10=0,0,VLOOKUP(C10,'2013실사용량 정리'!$D$6:$F$381,3,FALSE)),0)</f>
        <v>0</v>
      </c>
      <c r="R10" s="302">
        <f t="shared" si="4"/>
        <v>48</v>
      </c>
      <c r="S10" s="302">
        <f t="shared" si="4"/>
        <v>51</v>
      </c>
      <c r="T10" s="302">
        <f t="shared" si="4"/>
        <v>53</v>
      </c>
      <c r="U10" s="302">
        <f t="shared" si="4"/>
        <v>54</v>
      </c>
      <c r="W10" s="343" t="str">
        <f t="shared" si="5"/>
        <v/>
      </c>
    </row>
    <row r="11" spans="1:26" ht="19.5" customHeight="1">
      <c r="A11" s="340"/>
      <c r="B11" s="340"/>
      <c r="C11" s="406" t="s">
        <v>1644</v>
      </c>
      <c r="D11" s="330" t="s">
        <v>1807</v>
      </c>
      <c r="E11" s="527">
        <v>1</v>
      </c>
      <c r="F11" s="527" t="s">
        <v>1317</v>
      </c>
      <c r="G11" s="302">
        <f>IF($D11="A",ROUND(VLOOKUP($C11,'[2]2.행정구역별 급수인구'!$C$7:$AD$997,17,FALSE)*$E11,0),IF($D11="B",(ROUND(VLOOKUP($C11,'[2]2.행정구역별 급수인구'!$C$7:$AD$997,17,FALSE)-VLOOKUP($C11,'[2]2.행정구역별 급수인구'!$C$7:$AD$997,17,FALSE)*(1-$E11),0)),VLOOKUP($C11,'[2]2.행정구역별 급수인구'!$C$7:$AD$997,17,FALSE)))</f>
        <v>118</v>
      </c>
      <c r="H11" s="302">
        <f>IF($D11="A",ROUND(VLOOKUP($C11,'[2]2.행정구역별 급수인구'!$C$7:$AD$997,25,FALSE)*$E11,0),IF($D11="B",(ROUND(VLOOKUP($C11,'[2]2.행정구역별 급수인구'!$C$7:$AD$997,25,FALSE)-VLOOKUP($C11,'[2]2.행정구역별 급수인구'!$C$7:$AD$997,25,FALSE)*(1-$E11),0)),VLOOKUP($C11,'[2]2.행정구역별 급수인구'!$C$7:$AD$997,25,FALSE)))</f>
        <v>123</v>
      </c>
      <c r="I11" s="302">
        <f>IF($D11="A",ROUND(VLOOKUP($C11,'[2]2.행정구역별 급수인구'!$C$7:$AD$997,26,FALSE)*$E11,0),IF($D11="B",(ROUND(VLOOKUP($C11,'[2]2.행정구역별 급수인구'!$C$7:$AD$997,26,FALSE)-VLOOKUP($C11,'[2]2.행정구역별 급수인구'!$C$7:$AD$997,26,FALSE)*(1-$E11),0)),VLOOKUP($C11,'[2]2.행정구역별 급수인구'!$C$7:$AD$997,26,FALSE)))</f>
        <v>130</v>
      </c>
      <c r="J11" s="302">
        <f>IF($D11="A",ROUND(VLOOKUP($C11,'[2]2.행정구역별 급수인구'!$C$7:$AD$997,27,FALSE)*$E11,0),IF($D11="B",(ROUND(VLOOKUP($C11,'[2]2.행정구역별 급수인구'!$C$7:$AD$997,27,FALSE)-VLOOKUP($C11,'[2]2.행정구역별 급수인구'!$C$7:$AD$997,27,FALSE)*(1-$E11),0)),VLOOKUP($C11,'[2]2.행정구역별 급수인구'!$C$7:$AD$997,27,FALSE)))</f>
        <v>132</v>
      </c>
      <c r="K11" s="302">
        <f>IF($D11="A",ROUND(VLOOKUP($C11,'[2]2.행정구역별 급수인구'!$C$7:$AD$997,28,FALSE)*$E11,0),IF($D11="B",(ROUND(VLOOKUP($C11,'[2]2.행정구역별 급수인구'!$C$7:$AD$997,28,FALSE)-VLOOKUP($C11,'[2]2.행정구역별 급수인구'!$C$7:$AD$997,28,FALSE)*(1-$E11),0)),VLOOKUP($C11,'[2]2.행정구역별 급수인구'!$C$7:$AD$997,28,FALSE)))</f>
        <v>135</v>
      </c>
      <c r="L11" s="302">
        <f>VLOOKUP($F11,'[3]5.급수원단위'!$B$31:$G$35,2,FALSE)</f>
        <v>272</v>
      </c>
      <c r="M11" s="302">
        <f>VLOOKUP($F11,'[3]5.급수원단위'!$B$31:$G$35,3,FALSE)</f>
        <v>304</v>
      </c>
      <c r="N11" s="302">
        <f>VLOOKUP($F11,'[3]5.급수원단위'!$B$31:$G$35,4,FALSE)</f>
        <v>308</v>
      </c>
      <c r="O11" s="302">
        <f>VLOOKUP($F11,'[3]5.급수원단위'!$B$31:$G$35,5,FALSE)</f>
        <v>310</v>
      </c>
      <c r="P11" s="302">
        <f>VLOOKUP($F11,'[3]5.급수원단위'!$B$31:$G$35,6,FALSE)</f>
        <v>310</v>
      </c>
      <c r="Q11" s="302">
        <f>ROUND(IF(G11=0,0,VLOOKUP(C11,'2013실사용량 정리'!$D$6:$F$381,3,FALSE)),0)</f>
        <v>48</v>
      </c>
      <c r="R11" s="302">
        <f t="shared" si="4"/>
        <v>37</v>
      </c>
      <c r="S11" s="302">
        <f t="shared" si="4"/>
        <v>40</v>
      </c>
      <c r="T11" s="302">
        <f t="shared" si="4"/>
        <v>41</v>
      </c>
      <c r="U11" s="302">
        <f t="shared" si="4"/>
        <v>42</v>
      </c>
      <c r="W11" s="343">
        <f t="shared" si="5"/>
        <v>0.875</v>
      </c>
    </row>
    <row r="12" spans="1:26" ht="19.5" customHeight="1">
      <c r="A12" s="340"/>
      <c r="B12" s="340"/>
      <c r="C12" s="406" t="s">
        <v>1645</v>
      </c>
      <c r="D12" s="330" t="s">
        <v>1807</v>
      </c>
      <c r="E12" s="527">
        <v>1</v>
      </c>
      <c r="F12" s="527" t="s">
        <v>1317</v>
      </c>
      <c r="G12" s="302">
        <f>IF($D12="A",ROUND(VLOOKUP($C12,'[2]2.행정구역별 급수인구'!$C$7:$AD$997,17,FALSE)*$E12,0),IF($D12="B",(ROUND(VLOOKUP($C12,'[2]2.행정구역별 급수인구'!$C$7:$AD$997,17,FALSE)-VLOOKUP($C12,'[2]2.행정구역별 급수인구'!$C$7:$AD$997,17,FALSE)*(1-$E12),0)),VLOOKUP($C12,'[2]2.행정구역별 급수인구'!$C$7:$AD$997,17,FALSE)))</f>
        <v>0</v>
      </c>
      <c r="H12" s="302">
        <f>IF($D12="A",ROUND(VLOOKUP($C12,'[2]2.행정구역별 급수인구'!$C$7:$AD$997,25,FALSE)*$E12,0),IF($D12="B",(ROUND(VLOOKUP($C12,'[2]2.행정구역별 급수인구'!$C$7:$AD$997,25,FALSE)-VLOOKUP($C12,'[2]2.행정구역별 급수인구'!$C$7:$AD$997,25,FALSE)*(1-$E12),0)),VLOOKUP($C12,'[2]2.행정구역별 급수인구'!$C$7:$AD$997,25,FALSE)))</f>
        <v>103</v>
      </c>
      <c r="I12" s="302">
        <f>IF($D12="A",ROUND(VLOOKUP($C12,'[2]2.행정구역별 급수인구'!$C$7:$AD$997,26,FALSE)*$E12,0),IF($D12="B",(ROUND(VLOOKUP($C12,'[2]2.행정구역별 급수인구'!$C$7:$AD$997,26,FALSE)-VLOOKUP($C12,'[2]2.행정구역별 급수인구'!$C$7:$AD$997,26,FALSE)*(1-$E12),0)),VLOOKUP($C12,'[2]2.행정구역별 급수인구'!$C$7:$AD$997,26,FALSE)))</f>
        <v>108</v>
      </c>
      <c r="J12" s="302">
        <f>IF($D12="A",ROUND(VLOOKUP($C12,'[2]2.행정구역별 급수인구'!$C$7:$AD$997,27,FALSE)*$E12,0),IF($D12="B",(ROUND(VLOOKUP($C12,'[2]2.행정구역별 급수인구'!$C$7:$AD$997,27,FALSE)-VLOOKUP($C12,'[2]2.행정구역별 급수인구'!$C$7:$AD$997,27,FALSE)*(1-$E12),0)),VLOOKUP($C12,'[2]2.행정구역별 급수인구'!$C$7:$AD$997,27,FALSE)))</f>
        <v>111</v>
      </c>
      <c r="K12" s="302">
        <f>IF($D12="A",ROUND(VLOOKUP($C12,'[2]2.행정구역별 급수인구'!$C$7:$AD$997,28,FALSE)*$E12,0),IF($D12="B",(ROUND(VLOOKUP($C12,'[2]2.행정구역별 급수인구'!$C$7:$AD$997,28,FALSE)-VLOOKUP($C12,'[2]2.행정구역별 급수인구'!$C$7:$AD$997,28,FALSE)*(1-$E12),0)),VLOOKUP($C12,'[2]2.행정구역별 급수인구'!$C$7:$AD$997,28,FALSE)))</f>
        <v>113</v>
      </c>
      <c r="L12" s="302">
        <f>VLOOKUP($F12,'[3]5.급수원단위'!$B$31:$G$35,2,FALSE)</f>
        <v>272</v>
      </c>
      <c r="M12" s="302">
        <f>VLOOKUP($F12,'[3]5.급수원단위'!$B$31:$G$35,3,FALSE)</f>
        <v>304</v>
      </c>
      <c r="N12" s="302">
        <f>VLOOKUP($F12,'[3]5.급수원단위'!$B$31:$G$35,4,FALSE)</f>
        <v>308</v>
      </c>
      <c r="O12" s="302">
        <f>VLOOKUP($F12,'[3]5.급수원단위'!$B$31:$G$35,5,FALSE)</f>
        <v>310</v>
      </c>
      <c r="P12" s="302">
        <f>VLOOKUP($F12,'[3]5.급수원단위'!$B$31:$G$35,6,FALSE)</f>
        <v>310</v>
      </c>
      <c r="Q12" s="302">
        <f>ROUND(IF(G12=0,0,VLOOKUP(C12,'2013실사용량 정리'!$D$6:$F$381,3,FALSE)),0)</f>
        <v>0</v>
      </c>
      <c r="R12" s="302">
        <f t="shared" si="4"/>
        <v>31</v>
      </c>
      <c r="S12" s="302">
        <f t="shared" si="4"/>
        <v>33</v>
      </c>
      <c r="T12" s="302">
        <f t="shared" si="4"/>
        <v>34</v>
      </c>
      <c r="U12" s="302">
        <f t="shared" si="4"/>
        <v>35</v>
      </c>
      <c r="W12" s="343" t="str">
        <f t="shared" si="5"/>
        <v/>
      </c>
    </row>
    <row r="13" spans="1:26" ht="19.5" customHeight="1">
      <c r="A13" s="340"/>
      <c r="B13" s="340"/>
      <c r="C13" s="406" t="s">
        <v>1646</v>
      </c>
      <c r="D13" s="330" t="s">
        <v>1807</v>
      </c>
      <c r="E13" s="527">
        <v>1</v>
      </c>
      <c r="F13" s="527" t="s">
        <v>1317</v>
      </c>
      <c r="G13" s="302">
        <f>IF($D13="A",ROUND(VLOOKUP($C13,'[2]2.행정구역별 급수인구'!$C$7:$AD$997,17,FALSE)*$E13,0),IF($D13="B",(ROUND(VLOOKUP($C13,'[2]2.행정구역별 급수인구'!$C$7:$AD$997,17,FALSE)-VLOOKUP($C13,'[2]2.행정구역별 급수인구'!$C$7:$AD$997,17,FALSE)*(1-$E13),0)),VLOOKUP($C13,'[2]2.행정구역별 급수인구'!$C$7:$AD$997,17,FALSE)))</f>
        <v>44</v>
      </c>
      <c r="H13" s="302">
        <f>IF($D13="A",ROUND(VLOOKUP($C13,'[2]2.행정구역별 급수인구'!$C$7:$AD$997,25,FALSE)*$E13,0),IF($D13="B",(ROUND(VLOOKUP($C13,'[2]2.행정구역별 급수인구'!$C$7:$AD$997,25,FALSE)-VLOOKUP($C13,'[2]2.행정구역별 급수인구'!$C$7:$AD$997,25,FALSE)*(1-$E13),0)),VLOOKUP($C13,'[2]2.행정구역별 급수인구'!$C$7:$AD$997,25,FALSE)))</f>
        <v>148</v>
      </c>
      <c r="I13" s="302">
        <f>IF($D13="A",ROUND(VLOOKUP($C13,'[2]2.행정구역별 급수인구'!$C$7:$AD$997,26,FALSE)*$E13,0),IF($D13="B",(ROUND(VLOOKUP($C13,'[2]2.행정구역별 급수인구'!$C$7:$AD$997,26,FALSE)-VLOOKUP($C13,'[2]2.행정구역별 급수인구'!$C$7:$AD$997,26,FALSE)*(1-$E13),0)),VLOOKUP($C13,'[2]2.행정구역별 급수인구'!$C$7:$AD$997,26,FALSE)))</f>
        <v>156</v>
      </c>
      <c r="J13" s="302">
        <f>IF($D13="A",ROUND(VLOOKUP($C13,'[2]2.행정구역별 급수인구'!$C$7:$AD$997,27,FALSE)*$E13,0),IF($D13="B",(ROUND(VLOOKUP($C13,'[2]2.행정구역별 급수인구'!$C$7:$AD$997,27,FALSE)-VLOOKUP($C13,'[2]2.행정구역별 급수인구'!$C$7:$AD$997,27,FALSE)*(1-$E13),0)),VLOOKUP($C13,'[2]2.행정구역별 급수인구'!$C$7:$AD$997,27,FALSE)))</f>
        <v>159</v>
      </c>
      <c r="K13" s="302">
        <f>IF($D13="A",ROUND(VLOOKUP($C13,'[2]2.행정구역별 급수인구'!$C$7:$AD$997,28,FALSE)*$E13,0),IF($D13="B",(ROUND(VLOOKUP($C13,'[2]2.행정구역별 급수인구'!$C$7:$AD$997,28,FALSE)-VLOOKUP($C13,'[2]2.행정구역별 급수인구'!$C$7:$AD$997,28,FALSE)*(1-$E13),0)),VLOOKUP($C13,'[2]2.행정구역별 급수인구'!$C$7:$AD$997,28,FALSE)))</f>
        <v>161</v>
      </c>
      <c r="L13" s="302">
        <f>VLOOKUP($F13,'[3]5.급수원단위'!$B$31:$G$35,2,FALSE)</f>
        <v>272</v>
      </c>
      <c r="M13" s="302">
        <f>VLOOKUP($F13,'[3]5.급수원단위'!$B$31:$G$35,3,FALSE)</f>
        <v>304</v>
      </c>
      <c r="N13" s="302">
        <f>VLOOKUP($F13,'[3]5.급수원단위'!$B$31:$G$35,4,FALSE)</f>
        <v>308</v>
      </c>
      <c r="O13" s="302">
        <f>VLOOKUP($F13,'[3]5.급수원단위'!$B$31:$G$35,5,FALSE)</f>
        <v>310</v>
      </c>
      <c r="P13" s="302">
        <f>VLOOKUP($F13,'[3]5.급수원단위'!$B$31:$G$35,6,FALSE)</f>
        <v>310</v>
      </c>
      <c r="Q13" s="302">
        <f>ROUND(IF(G13=0,0,VLOOKUP(C13,'2013실사용량 정리'!$D$6:$F$381,3,FALSE)),0)</f>
        <v>20</v>
      </c>
      <c r="R13" s="302">
        <f t="shared" si="4"/>
        <v>45</v>
      </c>
      <c r="S13" s="302">
        <f t="shared" si="4"/>
        <v>48</v>
      </c>
      <c r="T13" s="302">
        <f t="shared" si="4"/>
        <v>49</v>
      </c>
      <c r="U13" s="302">
        <f t="shared" si="4"/>
        <v>50</v>
      </c>
      <c r="W13" s="343">
        <f t="shared" si="5"/>
        <v>2.5</v>
      </c>
    </row>
    <row r="14" spans="1:26" ht="19.5" customHeight="1">
      <c r="A14" s="340"/>
      <c r="B14" s="340"/>
      <c r="C14" s="406" t="s">
        <v>1647</v>
      </c>
      <c r="D14" s="330" t="s">
        <v>1807</v>
      </c>
      <c r="E14" s="527">
        <v>1</v>
      </c>
      <c r="F14" s="527" t="s">
        <v>1317</v>
      </c>
      <c r="G14" s="302">
        <f>IF($D14="A",ROUND(VLOOKUP($C14,'[2]2.행정구역별 급수인구'!$C$7:$AD$997,17,FALSE)*$E14,0),IF($D14="B",(ROUND(VLOOKUP($C14,'[2]2.행정구역별 급수인구'!$C$7:$AD$997,17,FALSE)-VLOOKUP($C14,'[2]2.행정구역별 급수인구'!$C$7:$AD$997,17,FALSE)*(1-$E14),0)),VLOOKUP($C14,'[2]2.행정구역별 급수인구'!$C$7:$AD$997,17,FALSE)))</f>
        <v>196</v>
      </c>
      <c r="H14" s="302">
        <f>IF($D14="A",ROUND(VLOOKUP($C14,'[2]2.행정구역별 급수인구'!$C$7:$AD$997,25,FALSE)*$E14,0),IF($D14="B",(ROUND(VLOOKUP($C14,'[2]2.행정구역별 급수인구'!$C$7:$AD$997,25,FALSE)-VLOOKUP($C14,'[2]2.행정구역별 급수인구'!$C$7:$AD$997,25,FALSE)*(1-$E14),0)),VLOOKUP($C14,'[2]2.행정구역별 급수인구'!$C$7:$AD$997,25,FALSE)))</f>
        <v>206</v>
      </c>
      <c r="I14" s="302">
        <f>IF($D14="A",ROUND(VLOOKUP($C14,'[2]2.행정구역별 급수인구'!$C$7:$AD$997,26,FALSE)*$E14,0),IF($D14="B",(ROUND(VLOOKUP($C14,'[2]2.행정구역별 급수인구'!$C$7:$AD$997,26,FALSE)-VLOOKUP($C14,'[2]2.행정구역별 급수인구'!$C$7:$AD$997,26,FALSE)*(1-$E14),0)),VLOOKUP($C14,'[2]2.행정구역별 급수인구'!$C$7:$AD$997,26,FALSE)))</f>
        <v>215</v>
      </c>
      <c r="J14" s="302">
        <f>IF($D14="A",ROUND(VLOOKUP($C14,'[2]2.행정구역별 급수인구'!$C$7:$AD$997,27,FALSE)*$E14,0),IF($D14="B",(ROUND(VLOOKUP($C14,'[2]2.행정구역별 급수인구'!$C$7:$AD$997,27,FALSE)-VLOOKUP($C14,'[2]2.행정구역별 급수인구'!$C$7:$AD$997,27,FALSE)*(1-$E14),0)),VLOOKUP($C14,'[2]2.행정구역별 급수인구'!$C$7:$AD$997,27,FALSE)))</f>
        <v>221</v>
      </c>
      <c r="K14" s="302">
        <f>IF($D14="A",ROUND(VLOOKUP($C14,'[2]2.행정구역별 급수인구'!$C$7:$AD$997,28,FALSE)*$E14,0),IF($D14="B",(ROUND(VLOOKUP($C14,'[2]2.행정구역별 급수인구'!$C$7:$AD$997,28,FALSE)-VLOOKUP($C14,'[2]2.행정구역별 급수인구'!$C$7:$AD$997,28,FALSE)*(1-$E14),0)),VLOOKUP($C14,'[2]2.행정구역별 급수인구'!$C$7:$AD$997,28,FALSE)))</f>
        <v>224</v>
      </c>
      <c r="L14" s="302">
        <f>VLOOKUP($F14,'[3]5.급수원단위'!$B$31:$G$35,2,FALSE)</f>
        <v>272</v>
      </c>
      <c r="M14" s="302">
        <f>VLOOKUP($F14,'[3]5.급수원단위'!$B$31:$G$35,3,FALSE)</f>
        <v>304</v>
      </c>
      <c r="N14" s="302">
        <f>VLOOKUP($F14,'[3]5.급수원단위'!$B$31:$G$35,4,FALSE)</f>
        <v>308</v>
      </c>
      <c r="O14" s="302">
        <f>VLOOKUP($F14,'[3]5.급수원단위'!$B$31:$G$35,5,FALSE)</f>
        <v>310</v>
      </c>
      <c r="P14" s="302">
        <f>VLOOKUP($F14,'[3]5.급수원단위'!$B$31:$G$35,6,FALSE)</f>
        <v>310</v>
      </c>
      <c r="Q14" s="302">
        <f>ROUND(IF(G14=0,0,VLOOKUP(C14,'2013실사용량 정리'!$D$6:$F$381,3,FALSE)),0)</f>
        <v>71</v>
      </c>
      <c r="R14" s="302">
        <f t="shared" si="4"/>
        <v>63</v>
      </c>
      <c r="S14" s="302">
        <f t="shared" si="4"/>
        <v>66</v>
      </c>
      <c r="T14" s="302">
        <f t="shared" si="4"/>
        <v>69</v>
      </c>
      <c r="U14" s="302">
        <f t="shared" si="4"/>
        <v>69</v>
      </c>
      <c r="W14" s="343">
        <f t="shared" si="5"/>
        <v>0.971830985915493</v>
      </c>
    </row>
    <row r="15" spans="1:26" ht="19.5" customHeight="1">
      <c r="A15" s="340"/>
      <c r="B15" s="340"/>
      <c r="C15" s="406" t="s">
        <v>1648</v>
      </c>
      <c r="D15" s="330" t="s">
        <v>1807</v>
      </c>
      <c r="E15" s="527">
        <v>1</v>
      </c>
      <c r="F15" s="527" t="s">
        <v>1317</v>
      </c>
      <c r="G15" s="302">
        <f>IF($D15="A",ROUND(VLOOKUP($C15,'[2]2.행정구역별 급수인구'!$C$7:$AD$997,17,FALSE)*$E15,0),IF($D15="B",(ROUND(VLOOKUP($C15,'[2]2.행정구역별 급수인구'!$C$7:$AD$997,17,FALSE)-VLOOKUP($C15,'[2]2.행정구역별 급수인구'!$C$7:$AD$997,17,FALSE)*(1-$E15),0)),VLOOKUP($C15,'[2]2.행정구역별 급수인구'!$C$7:$AD$997,17,FALSE)))</f>
        <v>107</v>
      </c>
      <c r="H15" s="302">
        <f>IF($D15="A",ROUND(VLOOKUP($C15,'[2]2.행정구역별 급수인구'!$C$7:$AD$997,25,FALSE)*$E15,0),IF($D15="B",(ROUND(VLOOKUP($C15,'[2]2.행정구역별 급수인구'!$C$7:$AD$997,25,FALSE)-VLOOKUP($C15,'[2]2.행정구역별 급수인구'!$C$7:$AD$997,25,FALSE)*(1-$E15),0)),VLOOKUP($C15,'[2]2.행정구역별 급수인구'!$C$7:$AD$997,25,FALSE)))</f>
        <v>113</v>
      </c>
      <c r="I15" s="302">
        <f>IF($D15="A",ROUND(VLOOKUP($C15,'[2]2.행정구역별 급수인구'!$C$7:$AD$997,26,FALSE)*$E15,0),IF($D15="B",(ROUND(VLOOKUP($C15,'[2]2.행정구역별 급수인구'!$C$7:$AD$997,26,FALSE)-VLOOKUP($C15,'[2]2.행정구역별 급수인구'!$C$7:$AD$997,26,FALSE)*(1-$E15),0)),VLOOKUP($C15,'[2]2.행정구역별 급수인구'!$C$7:$AD$997,26,FALSE)))</f>
        <v>117</v>
      </c>
      <c r="J15" s="302">
        <f>IF($D15="A",ROUND(VLOOKUP($C15,'[2]2.행정구역별 급수인구'!$C$7:$AD$997,27,FALSE)*$E15,0),IF($D15="B",(ROUND(VLOOKUP($C15,'[2]2.행정구역별 급수인구'!$C$7:$AD$997,27,FALSE)-VLOOKUP($C15,'[2]2.행정구역별 급수인구'!$C$7:$AD$997,27,FALSE)*(1-$E15),0)),VLOOKUP($C15,'[2]2.행정구역별 급수인구'!$C$7:$AD$997,27,FALSE)))</f>
        <v>121</v>
      </c>
      <c r="K15" s="302">
        <f>IF($D15="A",ROUND(VLOOKUP($C15,'[2]2.행정구역별 급수인구'!$C$7:$AD$997,28,FALSE)*$E15,0),IF($D15="B",(ROUND(VLOOKUP($C15,'[2]2.행정구역별 급수인구'!$C$7:$AD$997,28,FALSE)-VLOOKUP($C15,'[2]2.행정구역별 급수인구'!$C$7:$AD$997,28,FALSE)*(1-$E15),0)),VLOOKUP($C15,'[2]2.행정구역별 급수인구'!$C$7:$AD$997,28,FALSE)))</f>
        <v>122</v>
      </c>
      <c r="L15" s="302">
        <f>VLOOKUP($F15,'[3]5.급수원단위'!$B$31:$G$35,2,FALSE)</f>
        <v>272</v>
      </c>
      <c r="M15" s="302">
        <f>VLOOKUP($F15,'[3]5.급수원단위'!$B$31:$G$35,3,FALSE)</f>
        <v>304</v>
      </c>
      <c r="N15" s="302">
        <f>VLOOKUP($F15,'[3]5.급수원단위'!$B$31:$G$35,4,FALSE)</f>
        <v>308</v>
      </c>
      <c r="O15" s="302">
        <f>VLOOKUP($F15,'[3]5.급수원단위'!$B$31:$G$35,5,FALSE)</f>
        <v>310</v>
      </c>
      <c r="P15" s="302">
        <f>VLOOKUP($F15,'[3]5.급수원단위'!$B$31:$G$35,6,FALSE)</f>
        <v>310</v>
      </c>
      <c r="Q15" s="302">
        <f>ROUND(IF(G15=0,0,VLOOKUP(C15,'2013실사용량 정리'!$D$6:$F$381,3,FALSE)),0)</f>
        <v>39</v>
      </c>
      <c r="R15" s="302">
        <f t="shared" si="4"/>
        <v>34</v>
      </c>
      <c r="S15" s="302">
        <f t="shared" si="4"/>
        <v>36</v>
      </c>
      <c r="T15" s="302">
        <f t="shared" si="4"/>
        <v>38</v>
      </c>
      <c r="U15" s="302">
        <f t="shared" si="4"/>
        <v>38</v>
      </c>
      <c r="W15" s="343">
        <f t="shared" si="5"/>
        <v>0.97435897435897434</v>
      </c>
    </row>
    <row r="16" spans="1:26" ht="19.5" customHeight="1">
      <c r="A16" s="340"/>
      <c r="B16" s="340"/>
      <c r="C16" s="406" t="s">
        <v>1649</v>
      </c>
      <c r="D16" s="330" t="s">
        <v>1807</v>
      </c>
      <c r="E16" s="527">
        <v>1</v>
      </c>
      <c r="F16" s="527" t="s">
        <v>1317</v>
      </c>
      <c r="G16" s="302">
        <f>IF($D16="A",ROUND(VLOOKUP($C16,'[2]2.행정구역별 급수인구'!$C$7:$AD$997,17,FALSE)*$E16,0),IF($D16="B",(ROUND(VLOOKUP($C16,'[2]2.행정구역별 급수인구'!$C$7:$AD$997,17,FALSE)-VLOOKUP($C16,'[2]2.행정구역별 급수인구'!$C$7:$AD$997,17,FALSE)*(1-$E16),0)),VLOOKUP($C16,'[2]2.행정구역별 급수인구'!$C$7:$AD$997,17,FALSE)))</f>
        <v>154</v>
      </c>
      <c r="H16" s="302">
        <f>IF($D16="A",ROUND(VLOOKUP($C16,'[2]2.행정구역별 급수인구'!$C$7:$AD$997,25,FALSE)*$E16,0),IF($D16="B",(ROUND(VLOOKUP($C16,'[2]2.행정구역별 급수인구'!$C$7:$AD$997,25,FALSE)-VLOOKUP($C16,'[2]2.행정구역별 급수인구'!$C$7:$AD$997,25,FALSE)*(1-$E16),0)),VLOOKUP($C16,'[2]2.행정구역별 급수인구'!$C$7:$AD$997,25,FALSE)))</f>
        <v>161</v>
      </c>
      <c r="I16" s="302">
        <f>IF($D16="A",ROUND(VLOOKUP($C16,'[2]2.행정구역별 급수인구'!$C$7:$AD$997,26,FALSE)*$E16,0),IF($D16="B",(ROUND(VLOOKUP($C16,'[2]2.행정구역별 급수인구'!$C$7:$AD$997,26,FALSE)-VLOOKUP($C16,'[2]2.행정구역별 급수인구'!$C$7:$AD$997,26,FALSE)*(1-$E16),0)),VLOOKUP($C16,'[2]2.행정구역별 급수인구'!$C$7:$AD$997,26,FALSE)))</f>
        <v>168</v>
      </c>
      <c r="J16" s="302">
        <f>IF($D16="A",ROUND(VLOOKUP($C16,'[2]2.행정구역별 급수인구'!$C$7:$AD$997,27,FALSE)*$E16,0),IF($D16="B",(ROUND(VLOOKUP($C16,'[2]2.행정구역별 급수인구'!$C$7:$AD$997,27,FALSE)-VLOOKUP($C16,'[2]2.행정구역별 급수인구'!$C$7:$AD$997,27,FALSE)*(1-$E16),0)),VLOOKUP($C16,'[2]2.행정구역별 급수인구'!$C$7:$AD$997,27,FALSE)))</f>
        <v>173</v>
      </c>
      <c r="K16" s="302">
        <f>IF($D16="A",ROUND(VLOOKUP($C16,'[2]2.행정구역별 급수인구'!$C$7:$AD$997,28,FALSE)*$E16,0),IF($D16="B",(ROUND(VLOOKUP($C16,'[2]2.행정구역별 급수인구'!$C$7:$AD$997,28,FALSE)-VLOOKUP($C16,'[2]2.행정구역별 급수인구'!$C$7:$AD$997,28,FALSE)*(1-$E16),0)),VLOOKUP($C16,'[2]2.행정구역별 급수인구'!$C$7:$AD$997,28,FALSE)))</f>
        <v>176</v>
      </c>
      <c r="L16" s="302">
        <f>VLOOKUP($F16,'[3]5.급수원단위'!$B$31:$G$35,2,FALSE)</f>
        <v>272</v>
      </c>
      <c r="M16" s="302">
        <f>VLOOKUP($F16,'[3]5.급수원단위'!$B$31:$G$35,3,FALSE)</f>
        <v>304</v>
      </c>
      <c r="N16" s="302">
        <f>VLOOKUP($F16,'[3]5.급수원단위'!$B$31:$G$35,4,FALSE)</f>
        <v>308</v>
      </c>
      <c r="O16" s="302">
        <f>VLOOKUP($F16,'[3]5.급수원단위'!$B$31:$G$35,5,FALSE)</f>
        <v>310</v>
      </c>
      <c r="P16" s="302">
        <f>VLOOKUP($F16,'[3]5.급수원단위'!$B$31:$G$35,6,FALSE)</f>
        <v>310</v>
      </c>
      <c r="Q16" s="302">
        <f>ROUND(IF(G16=0,0,VLOOKUP(C16,'2013실사용량 정리'!$D$6:$F$381,3,FALSE)),0)</f>
        <v>55</v>
      </c>
      <c r="R16" s="302">
        <f t="shared" si="4"/>
        <v>49</v>
      </c>
      <c r="S16" s="302">
        <f t="shared" si="4"/>
        <v>52</v>
      </c>
      <c r="T16" s="302">
        <f t="shared" si="4"/>
        <v>54</v>
      </c>
      <c r="U16" s="302">
        <f t="shared" si="4"/>
        <v>55</v>
      </c>
      <c r="W16" s="343">
        <f t="shared" si="5"/>
        <v>1</v>
      </c>
    </row>
    <row r="17" spans="1:23" ht="19.5" customHeight="1">
      <c r="A17" s="340"/>
      <c r="B17" s="340"/>
      <c r="C17" s="406" t="s">
        <v>1650</v>
      </c>
      <c r="D17" s="330" t="s">
        <v>1807</v>
      </c>
      <c r="E17" s="527">
        <v>1</v>
      </c>
      <c r="F17" s="527" t="s">
        <v>1317</v>
      </c>
      <c r="G17" s="302">
        <f>IF($D17="A",ROUND(VLOOKUP($C17,'[2]2.행정구역별 급수인구'!$C$7:$AD$997,17,FALSE)*$E17,0),IF($D17="B",(ROUND(VLOOKUP($C17,'[2]2.행정구역별 급수인구'!$C$7:$AD$997,17,FALSE)-VLOOKUP($C17,'[2]2.행정구역별 급수인구'!$C$7:$AD$997,17,FALSE)*(1-$E17),0)),VLOOKUP($C17,'[2]2.행정구역별 급수인구'!$C$7:$AD$997,17,FALSE)))</f>
        <v>170</v>
      </c>
      <c r="H17" s="302">
        <f>IF($D17="A",ROUND(VLOOKUP($C17,'[2]2.행정구역별 급수인구'!$C$7:$AD$997,25,FALSE)*$E17,0),IF($D17="B",(ROUND(VLOOKUP($C17,'[2]2.행정구역별 급수인구'!$C$7:$AD$997,25,FALSE)-VLOOKUP($C17,'[2]2.행정구역별 급수인구'!$C$7:$AD$997,25,FALSE)*(1-$E17),0)),VLOOKUP($C17,'[2]2.행정구역별 급수인구'!$C$7:$AD$997,25,FALSE)))</f>
        <v>179</v>
      </c>
      <c r="I17" s="302">
        <f>IF($D17="A",ROUND(VLOOKUP($C17,'[2]2.행정구역별 급수인구'!$C$7:$AD$997,26,FALSE)*$E17,0),IF($D17="B",(ROUND(VLOOKUP($C17,'[2]2.행정구역별 급수인구'!$C$7:$AD$997,26,FALSE)-VLOOKUP($C17,'[2]2.행정구역별 급수인구'!$C$7:$AD$997,26,FALSE)*(1-$E17),0)),VLOOKUP($C17,'[2]2.행정구역별 급수인구'!$C$7:$AD$997,26,FALSE)))</f>
        <v>187</v>
      </c>
      <c r="J17" s="302">
        <f>IF($D17="A",ROUND(VLOOKUP($C17,'[2]2.행정구역별 급수인구'!$C$7:$AD$997,27,FALSE)*$E17,0),IF($D17="B",(ROUND(VLOOKUP($C17,'[2]2.행정구역별 급수인구'!$C$7:$AD$997,27,FALSE)-VLOOKUP($C17,'[2]2.행정구역별 급수인구'!$C$7:$AD$997,27,FALSE)*(1-$E17),0)),VLOOKUP($C17,'[2]2.행정구역별 급수인구'!$C$7:$AD$997,27,FALSE)))</f>
        <v>192</v>
      </c>
      <c r="K17" s="302">
        <f>IF($D17="A",ROUND(VLOOKUP($C17,'[2]2.행정구역별 급수인구'!$C$7:$AD$997,28,FALSE)*$E17,0),IF($D17="B",(ROUND(VLOOKUP($C17,'[2]2.행정구역별 급수인구'!$C$7:$AD$997,28,FALSE)-VLOOKUP($C17,'[2]2.행정구역별 급수인구'!$C$7:$AD$997,28,FALSE)*(1-$E17),0)),VLOOKUP($C17,'[2]2.행정구역별 급수인구'!$C$7:$AD$997,28,FALSE)))</f>
        <v>195</v>
      </c>
      <c r="L17" s="302">
        <f>VLOOKUP($F17,'[3]5.급수원단위'!$B$31:$G$35,2,FALSE)</f>
        <v>272</v>
      </c>
      <c r="M17" s="302">
        <f>VLOOKUP($F17,'[3]5.급수원단위'!$B$31:$G$35,3,FALSE)</f>
        <v>304</v>
      </c>
      <c r="N17" s="302">
        <f>VLOOKUP($F17,'[3]5.급수원단위'!$B$31:$G$35,4,FALSE)</f>
        <v>308</v>
      </c>
      <c r="O17" s="302">
        <f>VLOOKUP($F17,'[3]5.급수원단위'!$B$31:$G$35,5,FALSE)</f>
        <v>310</v>
      </c>
      <c r="P17" s="302">
        <f>VLOOKUP($F17,'[3]5.급수원단위'!$B$31:$G$35,6,FALSE)</f>
        <v>310</v>
      </c>
      <c r="Q17" s="302">
        <f>ROUND(IF(G17=0,0,VLOOKUP(C17,'2013실사용량 정리'!$D$6:$F$381,3,FALSE)),0)</f>
        <v>120</v>
      </c>
      <c r="R17" s="302">
        <f t="shared" si="4"/>
        <v>54</v>
      </c>
      <c r="S17" s="302">
        <f t="shared" si="4"/>
        <v>58</v>
      </c>
      <c r="T17" s="302">
        <f t="shared" si="4"/>
        <v>60</v>
      </c>
      <c r="U17" s="302">
        <f t="shared" si="4"/>
        <v>60</v>
      </c>
      <c r="W17" s="343">
        <f t="shared" si="5"/>
        <v>0.5</v>
      </c>
    </row>
    <row r="18" spans="1:23" ht="19.5" customHeight="1">
      <c r="A18" s="340"/>
      <c r="B18" s="340"/>
      <c r="C18" s="406" t="s">
        <v>1651</v>
      </c>
      <c r="D18" s="330" t="s">
        <v>1807</v>
      </c>
      <c r="E18" s="527">
        <v>1</v>
      </c>
      <c r="F18" s="527" t="s">
        <v>1317</v>
      </c>
      <c r="G18" s="302">
        <f>IF($D18="A",ROUND(VLOOKUP($C18,'[2]2.행정구역별 급수인구'!$C$7:$AD$997,17,FALSE)*$E18,0),IF($D18="B",(ROUND(VLOOKUP($C18,'[2]2.행정구역별 급수인구'!$C$7:$AD$997,17,FALSE)-VLOOKUP($C18,'[2]2.행정구역별 급수인구'!$C$7:$AD$997,17,FALSE)*(1-$E18),0)),VLOOKUP($C18,'[2]2.행정구역별 급수인구'!$C$7:$AD$997,17,FALSE)))</f>
        <v>123</v>
      </c>
      <c r="H18" s="302">
        <f>IF($D18="A",ROUND(VLOOKUP($C18,'[2]2.행정구역별 급수인구'!$C$7:$AD$997,25,FALSE)*$E18,0),IF($D18="B",(ROUND(VLOOKUP($C18,'[2]2.행정구역별 급수인구'!$C$7:$AD$997,25,FALSE)-VLOOKUP($C18,'[2]2.행정구역별 급수인구'!$C$7:$AD$997,25,FALSE)*(1-$E18),0)),VLOOKUP($C18,'[2]2.행정구역별 급수인구'!$C$7:$AD$997,25,FALSE)))</f>
        <v>129</v>
      </c>
      <c r="I18" s="302">
        <f>IF($D18="A",ROUND(VLOOKUP($C18,'[2]2.행정구역별 급수인구'!$C$7:$AD$997,26,FALSE)*$E18,0),IF($D18="B",(ROUND(VLOOKUP($C18,'[2]2.행정구역별 급수인구'!$C$7:$AD$997,26,FALSE)-VLOOKUP($C18,'[2]2.행정구역별 급수인구'!$C$7:$AD$997,26,FALSE)*(1-$E18),0)),VLOOKUP($C18,'[2]2.행정구역별 급수인구'!$C$7:$AD$997,26,FALSE)))</f>
        <v>135</v>
      </c>
      <c r="J18" s="302">
        <f>IF($D18="A",ROUND(VLOOKUP($C18,'[2]2.행정구역별 급수인구'!$C$7:$AD$997,27,FALSE)*$E18,0),IF($D18="B",(ROUND(VLOOKUP($C18,'[2]2.행정구역별 급수인구'!$C$7:$AD$997,27,FALSE)-VLOOKUP($C18,'[2]2.행정구역별 급수인구'!$C$7:$AD$997,27,FALSE)*(1-$E18),0)),VLOOKUP($C18,'[2]2.행정구역별 급수인구'!$C$7:$AD$997,27,FALSE)))</f>
        <v>139</v>
      </c>
      <c r="K18" s="302">
        <f>IF($D18="A",ROUND(VLOOKUP($C18,'[2]2.행정구역별 급수인구'!$C$7:$AD$997,28,FALSE)*$E18,0),IF($D18="B",(ROUND(VLOOKUP($C18,'[2]2.행정구역별 급수인구'!$C$7:$AD$997,28,FALSE)-VLOOKUP($C18,'[2]2.행정구역별 급수인구'!$C$7:$AD$997,28,FALSE)*(1-$E18),0)),VLOOKUP($C18,'[2]2.행정구역별 급수인구'!$C$7:$AD$997,28,FALSE)))</f>
        <v>140</v>
      </c>
      <c r="L18" s="302">
        <f>VLOOKUP($F18,'[3]5.급수원단위'!$B$31:$G$35,2,FALSE)</f>
        <v>272</v>
      </c>
      <c r="M18" s="302">
        <f>VLOOKUP($F18,'[3]5.급수원단위'!$B$31:$G$35,3,FALSE)</f>
        <v>304</v>
      </c>
      <c r="N18" s="302">
        <f>VLOOKUP($F18,'[3]5.급수원단위'!$B$31:$G$35,4,FALSE)</f>
        <v>308</v>
      </c>
      <c r="O18" s="302">
        <f>VLOOKUP($F18,'[3]5.급수원단위'!$B$31:$G$35,5,FALSE)</f>
        <v>310</v>
      </c>
      <c r="P18" s="302">
        <f>VLOOKUP($F18,'[3]5.급수원단위'!$B$31:$G$35,6,FALSE)</f>
        <v>310</v>
      </c>
      <c r="Q18" s="302">
        <f>ROUND(IF(G18=0,0,VLOOKUP(C18,'2013실사용량 정리'!$D$6:$F$381,3,FALSE)),0)</f>
        <v>87</v>
      </c>
      <c r="R18" s="302">
        <f t="shared" si="4"/>
        <v>39</v>
      </c>
      <c r="S18" s="302">
        <f t="shared" si="4"/>
        <v>42</v>
      </c>
      <c r="T18" s="302">
        <f t="shared" si="4"/>
        <v>43</v>
      </c>
      <c r="U18" s="302">
        <f t="shared" si="4"/>
        <v>43</v>
      </c>
      <c r="W18" s="343">
        <f t="shared" si="5"/>
        <v>0.4942528735632184</v>
      </c>
    </row>
    <row r="19" spans="1:23" ht="19.5" customHeight="1">
      <c r="A19" s="340"/>
      <c r="B19" s="340"/>
      <c r="C19" s="406" t="s">
        <v>1652</v>
      </c>
      <c r="D19" s="330" t="s">
        <v>1807</v>
      </c>
      <c r="E19" s="527">
        <v>1</v>
      </c>
      <c r="F19" s="527" t="s">
        <v>1317</v>
      </c>
      <c r="G19" s="302">
        <f>IF($D19="A",ROUND(VLOOKUP($C19,'[2]2.행정구역별 급수인구'!$C$7:$AD$997,17,FALSE)*$E19,0),IF($D19="B",(ROUND(VLOOKUP($C19,'[2]2.행정구역별 급수인구'!$C$7:$AD$997,17,FALSE)-VLOOKUP($C19,'[2]2.행정구역별 급수인구'!$C$7:$AD$997,17,FALSE)*(1-$E19),0)),VLOOKUP($C19,'[2]2.행정구역별 급수인구'!$C$7:$AD$997,17,FALSE)))</f>
        <v>92</v>
      </c>
      <c r="H19" s="302">
        <f>IF($D19="A",ROUND(VLOOKUP($C19,'[2]2.행정구역별 급수인구'!$C$7:$AD$997,25,FALSE)*$E19,0),IF($D19="B",(ROUND(VLOOKUP($C19,'[2]2.행정구역별 급수인구'!$C$7:$AD$997,25,FALSE)-VLOOKUP($C19,'[2]2.행정구역별 급수인구'!$C$7:$AD$997,25,FALSE)*(1-$E19),0)),VLOOKUP($C19,'[2]2.행정구역별 급수인구'!$C$7:$AD$997,25,FALSE)))</f>
        <v>96</v>
      </c>
      <c r="I19" s="302">
        <f>IF($D19="A",ROUND(VLOOKUP($C19,'[2]2.행정구역별 급수인구'!$C$7:$AD$997,26,FALSE)*$E19,0),IF($D19="B",(ROUND(VLOOKUP($C19,'[2]2.행정구역별 급수인구'!$C$7:$AD$997,26,FALSE)-VLOOKUP($C19,'[2]2.행정구역별 급수인구'!$C$7:$AD$997,26,FALSE)*(1-$E19),0)),VLOOKUP($C19,'[2]2.행정구역별 급수인구'!$C$7:$AD$997,26,FALSE)))</f>
        <v>101</v>
      </c>
      <c r="J19" s="302">
        <f>IF($D19="A",ROUND(VLOOKUP($C19,'[2]2.행정구역별 급수인구'!$C$7:$AD$997,27,FALSE)*$E19,0),IF($D19="B",(ROUND(VLOOKUP($C19,'[2]2.행정구역별 급수인구'!$C$7:$AD$997,27,FALSE)-VLOOKUP($C19,'[2]2.행정구역별 급수인구'!$C$7:$AD$997,27,FALSE)*(1-$E19),0)),VLOOKUP($C19,'[2]2.행정구역별 급수인구'!$C$7:$AD$997,27,FALSE)))</f>
        <v>103</v>
      </c>
      <c r="K19" s="302">
        <f>IF($D19="A",ROUND(VLOOKUP($C19,'[2]2.행정구역별 급수인구'!$C$7:$AD$997,28,FALSE)*$E19,0),IF($D19="B",(ROUND(VLOOKUP($C19,'[2]2.행정구역별 급수인구'!$C$7:$AD$997,28,FALSE)-VLOOKUP($C19,'[2]2.행정구역별 급수인구'!$C$7:$AD$997,28,FALSE)*(1-$E19),0)),VLOOKUP($C19,'[2]2.행정구역별 급수인구'!$C$7:$AD$997,28,FALSE)))</f>
        <v>105</v>
      </c>
      <c r="L19" s="302">
        <f>VLOOKUP($F19,'[3]5.급수원단위'!$B$31:$G$35,2,FALSE)</f>
        <v>272</v>
      </c>
      <c r="M19" s="302">
        <f>VLOOKUP($F19,'[3]5.급수원단위'!$B$31:$G$35,3,FALSE)</f>
        <v>304</v>
      </c>
      <c r="N19" s="302">
        <f>VLOOKUP($F19,'[3]5.급수원단위'!$B$31:$G$35,4,FALSE)</f>
        <v>308</v>
      </c>
      <c r="O19" s="302">
        <f>VLOOKUP($F19,'[3]5.급수원단위'!$B$31:$G$35,5,FALSE)</f>
        <v>310</v>
      </c>
      <c r="P19" s="302">
        <f>VLOOKUP($F19,'[3]5.급수원단위'!$B$31:$G$35,6,FALSE)</f>
        <v>310</v>
      </c>
      <c r="Q19" s="302">
        <f>ROUND(IF(G19=0,0,VLOOKUP(C19,'2013실사용량 정리'!$D$6:$F$381,3,FALSE)),0)</f>
        <v>65</v>
      </c>
      <c r="R19" s="302">
        <f t="shared" si="4"/>
        <v>29</v>
      </c>
      <c r="S19" s="302">
        <f t="shared" si="4"/>
        <v>31</v>
      </c>
      <c r="T19" s="302">
        <f t="shared" si="4"/>
        <v>32</v>
      </c>
      <c r="U19" s="302">
        <f t="shared" si="4"/>
        <v>33</v>
      </c>
      <c r="W19" s="343">
        <f t="shared" si="5"/>
        <v>0.50769230769230766</v>
      </c>
    </row>
    <row r="20" spans="1:23" ht="19.5" customHeight="1">
      <c r="A20" s="340"/>
      <c r="B20" s="340"/>
      <c r="C20" s="406" t="s">
        <v>1653</v>
      </c>
      <c r="D20" s="330" t="s">
        <v>1807</v>
      </c>
      <c r="E20" s="527">
        <v>1</v>
      </c>
      <c r="F20" s="527" t="s">
        <v>1317</v>
      </c>
      <c r="G20" s="302">
        <f>IF($D20="A",ROUND(VLOOKUP($C20,'[2]2.행정구역별 급수인구'!$C$7:$AD$997,17,FALSE)*$E20,0),IF($D20="B",(ROUND(VLOOKUP($C20,'[2]2.행정구역별 급수인구'!$C$7:$AD$997,17,FALSE)-VLOOKUP($C20,'[2]2.행정구역별 급수인구'!$C$7:$AD$997,17,FALSE)*(1-$E20),0)),VLOOKUP($C20,'[2]2.행정구역별 급수인구'!$C$7:$AD$997,17,FALSE)))</f>
        <v>172</v>
      </c>
      <c r="H20" s="302">
        <f>IF($D20="A",ROUND(VLOOKUP($C20,'[2]2.행정구역별 급수인구'!$C$7:$AD$997,25,FALSE)*$E20,0),IF($D20="B",(ROUND(VLOOKUP($C20,'[2]2.행정구역별 급수인구'!$C$7:$AD$997,25,FALSE)-VLOOKUP($C20,'[2]2.행정구역별 급수인구'!$C$7:$AD$997,25,FALSE)*(1-$E20),0)),VLOOKUP($C20,'[2]2.행정구역별 급수인구'!$C$7:$AD$997,25,FALSE)))</f>
        <v>180</v>
      </c>
      <c r="I20" s="302">
        <f>IF($D20="A",ROUND(VLOOKUP($C20,'[2]2.행정구역별 급수인구'!$C$7:$AD$997,26,FALSE)*$E20,0),IF($D20="B",(ROUND(VLOOKUP($C20,'[2]2.행정구역별 급수인구'!$C$7:$AD$997,26,FALSE)-VLOOKUP($C20,'[2]2.행정구역별 급수인구'!$C$7:$AD$997,26,FALSE)*(1-$E20),0)),VLOOKUP($C20,'[2]2.행정구역별 급수인구'!$C$7:$AD$997,26,FALSE)))</f>
        <v>189</v>
      </c>
      <c r="J20" s="302">
        <f>IF($D20="A",ROUND(VLOOKUP($C20,'[2]2.행정구역별 급수인구'!$C$7:$AD$997,27,FALSE)*$E20,0),IF($D20="B",(ROUND(VLOOKUP($C20,'[2]2.행정구역별 급수인구'!$C$7:$AD$997,27,FALSE)-VLOOKUP($C20,'[2]2.행정구역별 급수인구'!$C$7:$AD$997,27,FALSE)*(1-$E20),0)),VLOOKUP($C20,'[2]2.행정구역별 급수인구'!$C$7:$AD$997,27,FALSE)))</f>
        <v>194</v>
      </c>
      <c r="K20" s="302">
        <f>IF($D20="A",ROUND(VLOOKUP($C20,'[2]2.행정구역별 급수인구'!$C$7:$AD$997,28,FALSE)*$E20,0),IF($D20="B",(ROUND(VLOOKUP($C20,'[2]2.행정구역별 급수인구'!$C$7:$AD$997,28,FALSE)-VLOOKUP($C20,'[2]2.행정구역별 급수인구'!$C$7:$AD$997,28,FALSE)*(1-$E20),0)),VLOOKUP($C20,'[2]2.행정구역별 급수인구'!$C$7:$AD$997,28,FALSE)))</f>
        <v>197</v>
      </c>
      <c r="L20" s="302">
        <f>VLOOKUP($F20,'[3]5.급수원단위'!$B$31:$G$35,2,FALSE)</f>
        <v>272</v>
      </c>
      <c r="M20" s="302">
        <f>VLOOKUP($F20,'[3]5.급수원단위'!$B$31:$G$35,3,FALSE)</f>
        <v>304</v>
      </c>
      <c r="N20" s="302">
        <f>VLOOKUP($F20,'[3]5.급수원단위'!$B$31:$G$35,4,FALSE)</f>
        <v>308</v>
      </c>
      <c r="O20" s="302">
        <f>VLOOKUP($F20,'[3]5.급수원단위'!$B$31:$G$35,5,FALSE)</f>
        <v>310</v>
      </c>
      <c r="P20" s="302">
        <f>VLOOKUP($F20,'[3]5.급수원단위'!$B$31:$G$35,6,FALSE)</f>
        <v>310</v>
      </c>
      <c r="Q20" s="302">
        <f>ROUND(IF(G20=0,0,VLOOKUP(C20,'2013실사용량 정리'!$D$6:$F$381,3,FALSE)),0)</f>
        <v>122</v>
      </c>
      <c r="R20" s="302">
        <f t="shared" si="4"/>
        <v>55</v>
      </c>
      <c r="S20" s="302">
        <f t="shared" si="4"/>
        <v>58</v>
      </c>
      <c r="T20" s="302">
        <f t="shared" si="4"/>
        <v>60</v>
      </c>
      <c r="U20" s="302">
        <f t="shared" si="4"/>
        <v>61</v>
      </c>
      <c r="W20" s="343">
        <f t="shared" si="5"/>
        <v>0.5</v>
      </c>
    </row>
    <row r="21" spans="1:23" ht="19.5" customHeight="1">
      <c r="A21" s="340"/>
      <c r="B21" s="340"/>
      <c r="C21" s="406" t="s">
        <v>1654</v>
      </c>
      <c r="D21" s="330" t="s">
        <v>1807</v>
      </c>
      <c r="E21" s="527">
        <v>1</v>
      </c>
      <c r="F21" s="527" t="s">
        <v>1317</v>
      </c>
      <c r="G21" s="302">
        <f>IF($D21="A",ROUND(VLOOKUP($C21,'[2]2.행정구역별 급수인구'!$C$7:$AD$997,17,FALSE)*$E21,0),IF($D21="B",(ROUND(VLOOKUP($C21,'[2]2.행정구역별 급수인구'!$C$7:$AD$997,17,FALSE)-VLOOKUP($C21,'[2]2.행정구역별 급수인구'!$C$7:$AD$997,17,FALSE)*(1-$E21),0)),VLOOKUP($C21,'[2]2.행정구역별 급수인구'!$C$7:$AD$997,17,FALSE)))</f>
        <v>220</v>
      </c>
      <c r="H21" s="302">
        <f>IF($D21="A",ROUND(VLOOKUP($C21,'[2]2.행정구역별 급수인구'!$C$7:$AD$997,25,FALSE)*$E21,0),IF($D21="B",(ROUND(VLOOKUP($C21,'[2]2.행정구역별 급수인구'!$C$7:$AD$997,25,FALSE)-VLOOKUP($C21,'[2]2.행정구역별 급수인구'!$C$7:$AD$997,25,FALSE)*(1-$E21),0)),VLOOKUP($C21,'[2]2.행정구역별 급수인구'!$C$7:$AD$997,25,FALSE)))</f>
        <v>230</v>
      </c>
      <c r="I21" s="302">
        <f>IF($D21="A",ROUND(VLOOKUP($C21,'[2]2.행정구역별 급수인구'!$C$7:$AD$997,26,FALSE)*$E21,0),IF($D21="B",(ROUND(VLOOKUP($C21,'[2]2.행정구역별 급수인구'!$C$7:$AD$997,26,FALSE)-VLOOKUP($C21,'[2]2.행정구역별 급수인구'!$C$7:$AD$997,26,FALSE)*(1-$E21),0)),VLOOKUP($C21,'[2]2.행정구역별 급수인구'!$C$7:$AD$997,26,FALSE)))</f>
        <v>241</v>
      </c>
      <c r="J21" s="302">
        <f>IF($D21="A",ROUND(VLOOKUP($C21,'[2]2.행정구역별 급수인구'!$C$7:$AD$997,27,FALSE)*$E21,0),IF($D21="B",(ROUND(VLOOKUP($C21,'[2]2.행정구역별 급수인구'!$C$7:$AD$997,27,FALSE)-VLOOKUP($C21,'[2]2.행정구역별 급수인구'!$C$7:$AD$997,27,FALSE)*(1-$E21),0)),VLOOKUP($C21,'[2]2.행정구역별 급수인구'!$C$7:$AD$997,27,FALSE)))</f>
        <v>247</v>
      </c>
      <c r="K21" s="302">
        <f>IF($D21="A",ROUND(VLOOKUP($C21,'[2]2.행정구역별 급수인구'!$C$7:$AD$997,28,FALSE)*$E21,0),IF($D21="B",(ROUND(VLOOKUP($C21,'[2]2.행정구역별 급수인구'!$C$7:$AD$997,28,FALSE)-VLOOKUP($C21,'[2]2.행정구역별 급수인구'!$C$7:$AD$997,28,FALSE)*(1-$E21),0)),VLOOKUP($C21,'[2]2.행정구역별 급수인구'!$C$7:$AD$997,28,FALSE)))</f>
        <v>251</v>
      </c>
      <c r="L21" s="302">
        <f>VLOOKUP($F21,'[3]5.급수원단위'!$B$31:$G$35,2,FALSE)</f>
        <v>272</v>
      </c>
      <c r="M21" s="302">
        <f>VLOOKUP($F21,'[3]5.급수원단위'!$B$31:$G$35,3,FALSE)</f>
        <v>304</v>
      </c>
      <c r="N21" s="302">
        <f>VLOOKUP($F21,'[3]5.급수원단위'!$B$31:$G$35,4,FALSE)</f>
        <v>308</v>
      </c>
      <c r="O21" s="302">
        <f>VLOOKUP($F21,'[3]5.급수원단위'!$B$31:$G$35,5,FALSE)</f>
        <v>310</v>
      </c>
      <c r="P21" s="302">
        <f>VLOOKUP($F21,'[3]5.급수원단위'!$B$31:$G$35,6,FALSE)</f>
        <v>310</v>
      </c>
      <c r="Q21" s="302">
        <f>ROUND(IF(G21=0,0,VLOOKUP(C21,'2013실사용량 정리'!$D$6:$F$381,3,FALSE)),0)</f>
        <v>25</v>
      </c>
      <c r="R21" s="302">
        <f t="shared" si="4"/>
        <v>70</v>
      </c>
      <c r="S21" s="302">
        <f t="shared" si="4"/>
        <v>74</v>
      </c>
      <c r="T21" s="302">
        <f t="shared" si="4"/>
        <v>77</v>
      </c>
      <c r="U21" s="302">
        <f t="shared" si="4"/>
        <v>78</v>
      </c>
      <c r="W21" s="343">
        <f t="shared" si="5"/>
        <v>3.12</v>
      </c>
    </row>
    <row r="22" spans="1:23" ht="19.5" customHeight="1">
      <c r="A22" s="340"/>
      <c r="B22" s="340"/>
      <c r="C22" s="406" t="s">
        <v>1655</v>
      </c>
      <c r="D22" s="330" t="s">
        <v>1807</v>
      </c>
      <c r="E22" s="527">
        <v>1</v>
      </c>
      <c r="F22" s="527" t="s">
        <v>1317</v>
      </c>
      <c r="G22" s="302">
        <f>IF($D22="A",ROUND(VLOOKUP($C22,'[2]2.행정구역별 급수인구'!$C$7:$AD$997,17,FALSE)*$E22,0),IF($D22="B",(ROUND(VLOOKUP($C22,'[2]2.행정구역별 급수인구'!$C$7:$AD$997,17,FALSE)-VLOOKUP($C22,'[2]2.행정구역별 급수인구'!$C$7:$AD$997,17,FALSE)*(1-$E22),0)),VLOOKUP($C22,'[2]2.행정구역별 급수인구'!$C$7:$AD$997,17,FALSE)))</f>
        <v>69</v>
      </c>
      <c r="H22" s="302">
        <f>IF($D22="A",ROUND(VLOOKUP($C22,'[2]2.행정구역별 급수인구'!$C$7:$AD$997,25,FALSE)*$E22,0),IF($D22="B",(ROUND(VLOOKUP($C22,'[2]2.행정구역별 급수인구'!$C$7:$AD$997,25,FALSE)-VLOOKUP($C22,'[2]2.행정구역별 급수인구'!$C$7:$AD$997,25,FALSE)*(1-$E22),0)),VLOOKUP($C22,'[2]2.행정구역별 급수인구'!$C$7:$AD$997,25,FALSE)))</f>
        <v>72</v>
      </c>
      <c r="I22" s="302">
        <f>IF($D22="A",ROUND(VLOOKUP($C22,'[2]2.행정구역별 급수인구'!$C$7:$AD$997,26,FALSE)*$E22,0),IF($D22="B",(ROUND(VLOOKUP($C22,'[2]2.행정구역별 급수인구'!$C$7:$AD$997,26,FALSE)-VLOOKUP($C22,'[2]2.행정구역별 급수인구'!$C$7:$AD$997,26,FALSE)*(1-$E22),0)),VLOOKUP($C22,'[2]2.행정구역별 급수인구'!$C$7:$AD$997,26,FALSE)))</f>
        <v>76</v>
      </c>
      <c r="J22" s="302">
        <f>IF($D22="A",ROUND(VLOOKUP($C22,'[2]2.행정구역별 급수인구'!$C$7:$AD$997,27,FALSE)*$E22,0),IF($D22="B",(ROUND(VLOOKUP($C22,'[2]2.행정구역별 급수인구'!$C$7:$AD$997,27,FALSE)-VLOOKUP($C22,'[2]2.행정구역별 급수인구'!$C$7:$AD$997,27,FALSE)*(1-$E22),0)),VLOOKUP($C22,'[2]2.행정구역별 급수인구'!$C$7:$AD$997,27,FALSE)))</f>
        <v>77</v>
      </c>
      <c r="K22" s="302">
        <f>IF($D22="A",ROUND(VLOOKUP($C22,'[2]2.행정구역별 급수인구'!$C$7:$AD$997,28,FALSE)*$E22,0),IF($D22="B",(ROUND(VLOOKUP($C22,'[2]2.행정구역별 급수인구'!$C$7:$AD$997,28,FALSE)-VLOOKUP($C22,'[2]2.행정구역별 급수인구'!$C$7:$AD$997,28,FALSE)*(1-$E22),0)),VLOOKUP($C22,'[2]2.행정구역별 급수인구'!$C$7:$AD$997,28,FALSE)))</f>
        <v>78</v>
      </c>
      <c r="L22" s="302">
        <f>VLOOKUP($F22,'[3]5.급수원단위'!$B$31:$G$35,2,FALSE)</f>
        <v>272</v>
      </c>
      <c r="M22" s="302">
        <f>VLOOKUP($F22,'[3]5.급수원단위'!$B$31:$G$35,3,FALSE)</f>
        <v>304</v>
      </c>
      <c r="N22" s="302">
        <f>VLOOKUP($F22,'[3]5.급수원단위'!$B$31:$G$35,4,FALSE)</f>
        <v>308</v>
      </c>
      <c r="O22" s="302">
        <f>VLOOKUP($F22,'[3]5.급수원단위'!$B$31:$G$35,5,FALSE)</f>
        <v>310</v>
      </c>
      <c r="P22" s="302">
        <f>VLOOKUP($F22,'[3]5.급수원단위'!$B$31:$G$35,6,FALSE)</f>
        <v>310</v>
      </c>
      <c r="Q22" s="302">
        <f>ROUND(IF(G22=0,0,VLOOKUP(C22,'2013실사용량 정리'!$D$6:$F$381,3,FALSE)),0)</f>
        <v>8</v>
      </c>
      <c r="R22" s="302">
        <f t="shared" si="4"/>
        <v>22</v>
      </c>
      <c r="S22" s="302">
        <f t="shared" si="4"/>
        <v>23</v>
      </c>
      <c r="T22" s="302">
        <f t="shared" si="4"/>
        <v>24</v>
      </c>
      <c r="U22" s="302">
        <f t="shared" si="4"/>
        <v>24</v>
      </c>
      <c r="W22" s="343">
        <f t="shared" si="5"/>
        <v>3</v>
      </c>
    </row>
    <row r="23" spans="1:23" ht="19.5" customHeight="1">
      <c r="A23" s="340"/>
      <c r="B23" s="340"/>
      <c r="C23" s="406" t="s">
        <v>1656</v>
      </c>
      <c r="D23" s="330" t="s">
        <v>1807</v>
      </c>
      <c r="E23" s="527">
        <v>1</v>
      </c>
      <c r="F23" s="527" t="s">
        <v>1317</v>
      </c>
      <c r="G23" s="302">
        <f>IF($D23="A",ROUND(VLOOKUP($C23,'[2]2.행정구역별 급수인구'!$C$7:$AD$997,17,FALSE)*$E23,0),IF($D23="B",(ROUND(VLOOKUP($C23,'[2]2.행정구역별 급수인구'!$C$7:$AD$997,17,FALSE)-VLOOKUP($C23,'[2]2.행정구역별 급수인구'!$C$7:$AD$997,17,FALSE)*(1-$E23),0)),VLOOKUP($C23,'[2]2.행정구역별 급수인구'!$C$7:$AD$997,17,FALSE)))</f>
        <v>88</v>
      </c>
      <c r="H23" s="302">
        <f>IF($D23="A",ROUND(VLOOKUP($C23,'[2]2.행정구역별 급수인구'!$C$7:$AD$997,25,FALSE)*$E23,0),IF($D23="B",(ROUND(VLOOKUP($C23,'[2]2.행정구역별 급수인구'!$C$7:$AD$997,25,FALSE)-VLOOKUP($C23,'[2]2.행정구역별 급수인구'!$C$7:$AD$997,25,FALSE)*(1-$E23),0)),VLOOKUP($C23,'[2]2.행정구역별 급수인구'!$C$7:$AD$997,25,FALSE)))</f>
        <v>92</v>
      </c>
      <c r="I23" s="302">
        <f>IF($D23="A",ROUND(VLOOKUP($C23,'[2]2.행정구역별 급수인구'!$C$7:$AD$997,26,FALSE)*$E23,0),IF($D23="B",(ROUND(VLOOKUP($C23,'[2]2.행정구역별 급수인구'!$C$7:$AD$997,26,FALSE)-VLOOKUP($C23,'[2]2.행정구역별 급수인구'!$C$7:$AD$997,26,FALSE)*(1-$E23),0)),VLOOKUP($C23,'[2]2.행정구역별 급수인구'!$C$7:$AD$997,26,FALSE)))</f>
        <v>97</v>
      </c>
      <c r="J23" s="302">
        <f>IF($D23="A",ROUND(VLOOKUP($C23,'[2]2.행정구역별 급수인구'!$C$7:$AD$997,27,FALSE)*$E23,0),IF($D23="B",(ROUND(VLOOKUP($C23,'[2]2.행정구역별 급수인구'!$C$7:$AD$997,27,FALSE)-VLOOKUP($C23,'[2]2.행정구역별 급수인구'!$C$7:$AD$997,27,FALSE)*(1-$E23),0)),VLOOKUP($C23,'[2]2.행정구역별 급수인구'!$C$7:$AD$997,27,FALSE)))</f>
        <v>99</v>
      </c>
      <c r="K23" s="302">
        <f>IF($D23="A",ROUND(VLOOKUP($C23,'[2]2.행정구역별 급수인구'!$C$7:$AD$997,28,FALSE)*$E23,0),IF($D23="B",(ROUND(VLOOKUP($C23,'[2]2.행정구역별 급수인구'!$C$7:$AD$997,28,FALSE)-VLOOKUP($C23,'[2]2.행정구역별 급수인구'!$C$7:$AD$997,28,FALSE)*(1-$E23),0)),VLOOKUP($C23,'[2]2.행정구역별 급수인구'!$C$7:$AD$997,28,FALSE)))</f>
        <v>101</v>
      </c>
      <c r="L23" s="302">
        <f>VLOOKUP($F23,'[3]5.급수원단위'!$B$31:$G$35,2,FALSE)</f>
        <v>272</v>
      </c>
      <c r="M23" s="302">
        <f>VLOOKUP($F23,'[3]5.급수원단위'!$B$31:$G$35,3,FALSE)</f>
        <v>304</v>
      </c>
      <c r="N23" s="302">
        <f>VLOOKUP($F23,'[3]5.급수원단위'!$B$31:$G$35,4,FALSE)</f>
        <v>308</v>
      </c>
      <c r="O23" s="302">
        <f>VLOOKUP($F23,'[3]5.급수원단위'!$B$31:$G$35,5,FALSE)</f>
        <v>310</v>
      </c>
      <c r="P23" s="302">
        <f>VLOOKUP($F23,'[3]5.급수원단위'!$B$31:$G$35,6,FALSE)</f>
        <v>310</v>
      </c>
      <c r="Q23" s="302">
        <f>ROUND(IF(G23=0,0,VLOOKUP(C23,'2013실사용량 정리'!$D$6:$F$381,3,FALSE)),0)</f>
        <v>10</v>
      </c>
      <c r="R23" s="302">
        <f t="shared" ref="R23:U37" si="6">ROUND(H23*M23/1000,0)</f>
        <v>28</v>
      </c>
      <c r="S23" s="302">
        <f t="shared" si="6"/>
        <v>30</v>
      </c>
      <c r="T23" s="302">
        <f t="shared" si="6"/>
        <v>31</v>
      </c>
      <c r="U23" s="302">
        <f t="shared" si="6"/>
        <v>31</v>
      </c>
      <c r="W23" s="343">
        <f t="shared" si="5"/>
        <v>3.1</v>
      </c>
    </row>
    <row r="24" spans="1:23" ht="19.5" customHeight="1">
      <c r="A24" s="340"/>
      <c r="B24" s="340"/>
      <c r="C24" s="406" t="s">
        <v>1657</v>
      </c>
      <c r="D24" s="330" t="s">
        <v>1807</v>
      </c>
      <c r="E24" s="527">
        <v>1</v>
      </c>
      <c r="F24" s="527" t="s">
        <v>1317</v>
      </c>
      <c r="G24" s="302">
        <f>IF($D24="A",ROUND(VLOOKUP($C24,'[2]2.행정구역별 급수인구'!$C$7:$AD$997,17,FALSE)*$E24,0),IF($D24="B",(ROUND(VLOOKUP($C24,'[2]2.행정구역별 급수인구'!$C$7:$AD$997,17,FALSE)-VLOOKUP($C24,'[2]2.행정구역별 급수인구'!$C$7:$AD$997,17,FALSE)*(1-$E24),0)),VLOOKUP($C24,'[2]2.행정구역별 급수인구'!$C$7:$AD$997,17,FALSE)))</f>
        <v>185</v>
      </c>
      <c r="H24" s="302">
        <f>IF($D24="A",ROUND(VLOOKUP($C24,'[2]2.행정구역별 급수인구'!$C$7:$AD$997,25,FALSE)*$E24,0),IF($D24="B",(ROUND(VLOOKUP($C24,'[2]2.행정구역별 급수인구'!$C$7:$AD$997,25,FALSE)-VLOOKUP($C24,'[2]2.행정구역별 급수인구'!$C$7:$AD$997,25,FALSE)*(1-$E24),0)),VLOOKUP($C24,'[2]2.행정구역별 급수인구'!$C$7:$AD$997,25,FALSE)))</f>
        <v>194</v>
      </c>
      <c r="I24" s="302">
        <f>IF($D24="A",ROUND(VLOOKUP($C24,'[2]2.행정구역별 급수인구'!$C$7:$AD$997,26,FALSE)*$E24,0),IF($D24="B",(ROUND(VLOOKUP($C24,'[2]2.행정구역별 급수인구'!$C$7:$AD$997,26,FALSE)-VLOOKUP($C24,'[2]2.행정구역별 급수인구'!$C$7:$AD$997,26,FALSE)*(1-$E24),0)),VLOOKUP($C24,'[2]2.행정구역별 급수인구'!$C$7:$AD$997,26,FALSE)))</f>
        <v>203</v>
      </c>
      <c r="J24" s="302">
        <f>IF($D24="A",ROUND(VLOOKUP($C24,'[2]2.행정구역별 급수인구'!$C$7:$AD$997,27,FALSE)*$E24,0),IF($D24="B",(ROUND(VLOOKUP($C24,'[2]2.행정구역별 급수인구'!$C$7:$AD$997,27,FALSE)-VLOOKUP($C24,'[2]2.행정구역별 급수인구'!$C$7:$AD$997,27,FALSE)*(1-$E24),0)),VLOOKUP($C24,'[2]2.행정구역별 급수인구'!$C$7:$AD$997,27,FALSE)))</f>
        <v>208</v>
      </c>
      <c r="K24" s="302">
        <f>IF($D24="A",ROUND(VLOOKUP($C24,'[2]2.행정구역별 급수인구'!$C$7:$AD$997,28,FALSE)*$E24,0),IF($D24="B",(ROUND(VLOOKUP($C24,'[2]2.행정구역별 급수인구'!$C$7:$AD$997,28,FALSE)-VLOOKUP($C24,'[2]2.행정구역별 급수인구'!$C$7:$AD$997,28,FALSE)*(1-$E24),0)),VLOOKUP($C24,'[2]2.행정구역별 급수인구'!$C$7:$AD$997,28,FALSE)))</f>
        <v>212</v>
      </c>
      <c r="L24" s="302">
        <f>VLOOKUP($F24,'[3]5.급수원단위'!$B$31:$G$35,2,FALSE)</f>
        <v>272</v>
      </c>
      <c r="M24" s="302">
        <f>VLOOKUP($F24,'[3]5.급수원단위'!$B$31:$G$35,3,FALSE)</f>
        <v>304</v>
      </c>
      <c r="N24" s="302">
        <f>VLOOKUP($F24,'[3]5.급수원단위'!$B$31:$G$35,4,FALSE)</f>
        <v>308</v>
      </c>
      <c r="O24" s="302">
        <f>VLOOKUP($F24,'[3]5.급수원단위'!$B$31:$G$35,5,FALSE)</f>
        <v>310</v>
      </c>
      <c r="P24" s="302">
        <f>VLOOKUP($F24,'[3]5.급수원단위'!$B$31:$G$35,6,FALSE)</f>
        <v>310</v>
      </c>
      <c r="Q24" s="302">
        <f>ROUND(IF(G24=0,0,VLOOKUP(C24,'2013실사용량 정리'!$D$6:$F$381,3,FALSE)),0)</f>
        <v>55</v>
      </c>
      <c r="R24" s="302">
        <f t="shared" si="6"/>
        <v>59</v>
      </c>
      <c r="S24" s="302">
        <f t="shared" si="6"/>
        <v>63</v>
      </c>
      <c r="T24" s="302">
        <f t="shared" si="6"/>
        <v>64</v>
      </c>
      <c r="U24" s="302">
        <f t="shared" si="6"/>
        <v>66</v>
      </c>
      <c r="W24" s="343">
        <f t="shared" si="5"/>
        <v>1.2</v>
      </c>
    </row>
    <row r="25" spans="1:23" ht="19.5" customHeight="1">
      <c r="A25" s="340"/>
      <c r="B25" s="340"/>
      <c r="C25" s="406" t="s">
        <v>1658</v>
      </c>
      <c r="D25" s="330" t="s">
        <v>1807</v>
      </c>
      <c r="E25" s="527">
        <v>1</v>
      </c>
      <c r="F25" s="527" t="s">
        <v>1317</v>
      </c>
      <c r="G25" s="302">
        <f>IF($D25="A",ROUND(VLOOKUP($C25,'[2]2.행정구역별 급수인구'!$C$7:$AD$997,17,FALSE)*$E25,0),IF($D25="B",(ROUND(VLOOKUP($C25,'[2]2.행정구역별 급수인구'!$C$7:$AD$997,17,FALSE)-VLOOKUP($C25,'[2]2.행정구역별 급수인구'!$C$7:$AD$997,17,FALSE)*(1-$E25),0)),VLOOKUP($C25,'[2]2.행정구역별 급수인구'!$C$7:$AD$997,17,FALSE)))</f>
        <v>141</v>
      </c>
      <c r="H25" s="302">
        <f>IF($D25="A",ROUND(VLOOKUP($C25,'[2]2.행정구역별 급수인구'!$C$7:$AD$997,25,FALSE)*$E25,0),IF($D25="B",(ROUND(VLOOKUP($C25,'[2]2.행정구역별 급수인구'!$C$7:$AD$997,25,FALSE)-VLOOKUP($C25,'[2]2.행정구역별 급수인구'!$C$7:$AD$997,25,FALSE)*(1-$E25),0)),VLOOKUP($C25,'[2]2.행정구역별 급수인구'!$C$7:$AD$997,25,FALSE)))</f>
        <v>147</v>
      </c>
      <c r="I25" s="302">
        <f>IF($D25="A",ROUND(VLOOKUP($C25,'[2]2.행정구역별 급수인구'!$C$7:$AD$997,26,FALSE)*$E25,0),IF($D25="B",(ROUND(VLOOKUP($C25,'[2]2.행정구역별 급수인구'!$C$7:$AD$997,26,FALSE)-VLOOKUP($C25,'[2]2.행정구역별 급수인구'!$C$7:$AD$997,26,FALSE)*(1-$E25),0)),VLOOKUP($C25,'[2]2.행정구역별 급수인구'!$C$7:$AD$997,26,FALSE)))</f>
        <v>155</v>
      </c>
      <c r="J25" s="302">
        <f>IF($D25="A",ROUND(VLOOKUP($C25,'[2]2.행정구역별 급수인구'!$C$7:$AD$997,27,FALSE)*$E25,0),IF($D25="B",(ROUND(VLOOKUP($C25,'[2]2.행정구역별 급수인구'!$C$7:$AD$997,27,FALSE)-VLOOKUP($C25,'[2]2.행정구역별 급수인구'!$C$7:$AD$997,27,FALSE)*(1-$E25),0)),VLOOKUP($C25,'[2]2.행정구역별 급수인구'!$C$7:$AD$997,27,FALSE)))</f>
        <v>158</v>
      </c>
      <c r="K25" s="302">
        <f>IF($D25="A",ROUND(VLOOKUP($C25,'[2]2.행정구역별 급수인구'!$C$7:$AD$997,28,FALSE)*$E25,0),IF($D25="B",(ROUND(VLOOKUP($C25,'[2]2.행정구역별 급수인구'!$C$7:$AD$997,28,FALSE)-VLOOKUP($C25,'[2]2.행정구역별 급수인구'!$C$7:$AD$997,28,FALSE)*(1-$E25),0)),VLOOKUP($C25,'[2]2.행정구역별 급수인구'!$C$7:$AD$997,28,FALSE)))</f>
        <v>161</v>
      </c>
      <c r="L25" s="302">
        <f>VLOOKUP($F25,'[3]5.급수원단위'!$B$31:$G$35,2,FALSE)</f>
        <v>272</v>
      </c>
      <c r="M25" s="302">
        <f>VLOOKUP($F25,'[3]5.급수원단위'!$B$31:$G$35,3,FALSE)</f>
        <v>304</v>
      </c>
      <c r="N25" s="302">
        <f>VLOOKUP($F25,'[3]5.급수원단위'!$B$31:$G$35,4,FALSE)</f>
        <v>308</v>
      </c>
      <c r="O25" s="302">
        <f>VLOOKUP($F25,'[3]5.급수원단위'!$B$31:$G$35,5,FALSE)</f>
        <v>310</v>
      </c>
      <c r="P25" s="302">
        <f>VLOOKUP($F25,'[3]5.급수원단위'!$B$31:$G$35,6,FALSE)</f>
        <v>310</v>
      </c>
      <c r="Q25" s="302">
        <f>ROUND(IF(G25=0,0,VLOOKUP(C25,'2013실사용량 정리'!$D$6:$F$381,3,FALSE)),0)</f>
        <v>42</v>
      </c>
      <c r="R25" s="302">
        <f t="shared" si="6"/>
        <v>45</v>
      </c>
      <c r="S25" s="302">
        <f t="shared" si="6"/>
        <v>48</v>
      </c>
      <c r="T25" s="302">
        <f t="shared" si="6"/>
        <v>49</v>
      </c>
      <c r="U25" s="302">
        <f t="shared" si="6"/>
        <v>50</v>
      </c>
      <c r="W25" s="343">
        <f t="shared" si="5"/>
        <v>1.1904761904761905</v>
      </c>
    </row>
    <row r="26" spans="1:23" ht="19.5" customHeight="1">
      <c r="A26" s="340"/>
      <c r="B26" s="340"/>
      <c r="C26" s="406" t="s">
        <v>1659</v>
      </c>
      <c r="D26" s="330" t="s">
        <v>1807</v>
      </c>
      <c r="E26" s="527">
        <v>1</v>
      </c>
      <c r="F26" s="527" t="s">
        <v>1317</v>
      </c>
      <c r="G26" s="302">
        <f>IF($D26="A",ROUND(VLOOKUP($C26,'[2]2.행정구역별 급수인구'!$C$7:$AD$997,17,FALSE)*$E26,0),IF($D26="B",(ROUND(VLOOKUP($C26,'[2]2.행정구역별 급수인구'!$C$7:$AD$997,17,FALSE)-VLOOKUP($C26,'[2]2.행정구역별 급수인구'!$C$7:$AD$997,17,FALSE)*(1-$E26),0)),VLOOKUP($C26,'[2]2.행정구역별 급수인구'!$C$7:$AD$997,17,FALSE)))</f>
        <v>129</v>
      </c>
      <c r="H26" s="302">
        <f>IF($D26="A",ROUND(VLOOKUP($C26,'[2]2.행정구역별 급수인구'!$C$7:$AD$997,25,FALSE)*$E26,0),IF($D26="B",(ROUND(VLOOKUP($C26,'[2]2.행정구역별 급수인구'!$C$7:$AD$997,25,FALSE)-VLOOKUP($C26,'[2]2.행정구역별 급수인구'!$C$7:$AD$997,25,FALSE)*(1-$E26),0)),VLOOKUP($C26,'[2]2.행정구역별 급수인구'!$C$7:$AD$997,25,FALSE)))</f>
        <v>135</v>
      </c>
      <c r="I26" s="302">
        <f>IF($D26="A",ROUND(VLOOKUP($C26,'[2]2.행정구역별 급수인구'!$C$7:$AD$997,26,FALSE)*$E26,0),IF($D26="B",(ROUND(VLOOKUP($C26,'[2]2.행정구역별 급수인구'!$C$7:$AD$997,26,FALSE)-VLOOKUP($C26,'[2]2.행정구역별 급수인구'!$C$7:$AD$997,26,FALSE)*(1-$E26),0)),VLOOKUP($C26,'[2]2.행정구역별 급수인구'!$C$7:$AD$997,26,FALSE)))</f>
        <v>142</v>
      </c>
      <c r="J26" s="302">
        <f>IF($D26="A",ROUND(VLOOKUP($C26,'[2]2.행정구역별 급수인구'!$C$7:$AD$997,27,FALSE)*$E26,0),IF($D26="B",(ROUND(VLOOKUP($C26,'[2]2.행정구역별 급수인구'!$C$7:$AD$997,27,FALSE)-VLOOKUP($C26,'[2]2.행정구역별 급수인구'!$C$7:$AD$997,27,FALSE)*(1-$E26),0)),VLOOKUP($C26,'[2]2.행정구역별 급수인구'!$C$7:$AD$997,27,FALSE)))</f>
        <v>145</v>
      </c>
      <c r="K26" s="302">
        <f>IF($D26="A",ROUND(VLOOKUP($C26,'[2]2.행정구역별 급수인구'!$C$7:$AD$997,28,FALSE)*$E26,0),IF($D26="B",(ROUND(VLOOKUP($C26,'[2]2.행정구역별 급수인구'!$C$7:$AD$997,28,FALSE)-VLOOKUP($C26,'[2]2.행정구역별 급수인구'!$C$7:$AD$997,28,FALSE)*(1-$E26),0)),VLOOKUP($C26,'[2]2.행정구역별 급수인구'!$C$7:$AD$997,28,FALSE)))</f>
        <v>148</v>
      </c>
      <c r="L26" s="302">
        <f>VLOOKUP($F26,'[3]5.급수원단위'!$B$31:$G$35,2,FALSE)</f>
        <v>272</v>
      </c>
      <c r="M26" s="302">
        <f>VLOOKUP($F26,'[3]5.급수원단위'!$B$31:$G$35,3,FALSE)</f>
        <v>304</v>
      </c>
      <c r="N26" s="302">
        <f>VLOOKUP($F26,'[3]5.급수원단위'!$B$31:$G$35,4,FALSE)</f>
        <v>308</v>
      </c>
      <c r="O26" s="302">
        <f>VLOOKUP($F26,'[3]5.급수원단위'!$B$31:$G$35,5,FALSE)</f>
        <v>310</v>
      </c>
      <c r="P26" s="302">
        <f>VLOOKUP($F26,'[3]5.급수원단위'!$B$31:$G$35,6,FALSE)</f>
        <v>310</v>
      </c>
      <c r="Q26" s="302">
        <f>ROUND(IF(G26=0,0,VLOOKUP(C26,'2013실사용량 정리'!$D$6:$F$381,3,FALSE)),0)</f>
        <v>39</v>
      </c>
      <c r="R26" s="302">
        <f t="shared" si="6"/>
        <v>41</v>
      </c>
      <c r="S26" s="302">
        <f t="shared" si="6"/>
        <v>44</v>
      </c>
      <c r="T26" s="302">
        <f t="shared" si="6"/>
        <v>45</v>
      </c>
      <c r="U26" s="302">
        <f t="shared" si="6"/>
        <v>46</v>
      </c>
      <c r="W26" s="343">
        <f t="shared" si="5"/>
        <v>1.1794871794871795</v>
      </c>
    </row>
    <row r="27" spans="1:23" ht="19.5" customHeight="1">
      <c r="A27" s="340"/>
      <c r="B27" s="340"/>
      <c r="C27" s="406" t="s">
        <v>1660</v>
      </c>
      <c r="D27" s="330" t="s">
        <v>1807</v>
      </c>
      <c r="E27" s="527">
        <v>1</v>
      </c>
      <c r="F27" s="527" t="s">
        <v>1317</v>
      </c>
      <c r="G27" s="302">
        <f>IF($D27="A",ROUND(VLOOKUP($C27,'[2]2.행정구역별 급수인구'!$C$7:$AD$997,17,FALSE)*$E27,0),IF($D27="B",(ROUND(VLOOKUP($C27,'[2]2.행정구역별 급수인구'!$C$7:$AD$997,17,FALSE)-VLOOKUP($C27,'[2]2.행정구역별 급수인구'!$C$7:$AD$997,17,FALSE)*(1-$E27),0)),VLOOKUP($C27,'[2]2.행정구역별 급수인구'!$C$7:$AD$997,17,FALSE)))</f>
        <v>207</v>
      </c>
      <c r="H27" s="302">
        <f>IF($D27="A",ROUND(VLOOKUP($C27,'[2]2.행정구역별 급수인구'!$C$7:$AD$997,25,FALSE)*$E27,0),IF($D27="B",(ROUND(VLOOKUP($C27,'[2]2.행정구역별 급수인구'!$C$7:$AD$997,25,FALSE)-VLOOKUP($C27,'[2]2.행정구역별 급수인구'!$C$7:$AD$997,25,FALSE)*(1-$E27),0)),VLOOKUP($C27,'[2]2.행정구역별 급수인구'!$C$7:$AD$997,25,FALSE)))</f>
        <v>217</v>
      </c>
      <c r="I27" s="302">
        <f>IF($D27="A",ROUND(VLOOKUP($C27,'[2]2.행정구역별 급수인구'!$C$7:$AD$997,26,FALSE)*$E27,0),IF($D27="B",(ROUND(VLOOKUP($C27,'[2]2.행정구역별 급수인구'!$C$7:$AD$997,26,FALSE)-VLOOKUP($C27,'[2]2.행정구역별 급수인구'!$C$7:$AD$997,26,FALSE)*(1-$E27),0)),VLOOKUP($C27,'[2]2.행정구역별 급수인구'!$C$7:$AD$997,26,FALSE)))</f>
        <v>228</v>
      </c>
      <c r="J27" s="302">
        <f>IF($D27="A",ROUND(VLOOKUP($C27,'[2]2.행정구역별 급수인구'!$C$7:$AD$997,27,FALSE)*$E27,0),IF($D27="B",(ROUND(VLOOKUP($C27,'[2]2.행정구역별 급수인구'!$C$7:$AD$997,27,FALSE)-VLOOKUP($C27,'[2]2.행정구역별 급수인구'!$C$7:$AD$997,27,FALSE)*(1-$E27),0)),VLOOKUP($C27,'[2]2.행정구역별 급수인구'!$C$7:$AD$997,27,FALSE)))</f>
        <v>233</v>
      </c>
      <c r="K27" s="302">
        <f>IF($D27="A",ROUND(VLOOKUP($C27,'[2]2.행정구역별 급수인구'!$C$7:$AD$997,28,FALSE)*$E27,0),IF($D27="B",(ROUND(VLOOKUP($C27,'[2]2.행정구역별 급수인구'!$C$7:$AD$997,28,FALSE)-VLOOKUP($C27,'[2]2.행정구역별 급수인구'!$C$7:$AD$997,28,FALSE)*(1-$E27),0)),VLOOKUP($C27,'[2]2.행정구역별 급수인구'!$C$7:$AD$997,28,FALSE)))</f>
        <v>237</v>
      </c>
      <c r="L27" s="302">
        <f>VLOOKUP($F27,'[3]5.급수원단위'!$B$31:$G$35,2,FALSE)</f>
        <v>272</v>
      </c>
      <c r="M27" s="302">
        <f>VLOOKUP($F27,'[3]5.급수원단위'!$B$31:$G$35,3,FALSE)</f>
        <v>304</v>
      </c>
      <c r="N27" s="302">
        <f>VLOOKUP($F27,'[3]5.급수원단위'!$B$31:$G$35,4,FALSE)</f>
        <v>308</v>
      </c>
      <c r="O27" s="302">
        <f>VLOOKUP($F27,'[3]5.급수원단위'!$B$31:$G$35,5,FALSE)</f>
        <v>310</v>
      </c>
      <c r="P27" s="302">
        <f>VLOOKUP($F27,'[3]5.급수원단위'!$B$31:$G$35,6,FALSE)</f>
        <v>310</v>
      </c>
      <c r="Q27" s="302">
        <f>ROUND(IF(G27=0,0,VLOOKUP(C27,'2013실사용량 정리'!$D$6:$F$381,3,FALSE)),0)</f>
        <v>48</v>
      </c>
      <c r="R27" s="302">
        <f t="shared" si="6"/>
        <v>66</v>
      </c>
      <c r="S27" s="302">
        <f t="shared" si="6"/>
        <v>70</v>
      </c>
      <c r="T27" s="302">
        <f t="shared" si="6"/>
        <v>72</v>
      </c>
      <c r="U27" s="302">
        <f t="shared" si="6"/>
        <v>73</v>
      </c>
      <c r="W27" s="343">
        <f t="shared" si="5"/>
        <v>1.5208333333333333</v>
      </c>
    </row>
    <row r="28" spans="1:23" ht="19.5" customHeight="1">
      <c r="A28" s="340"/>
      <c r="B28" s="340"/>
      <c r="C28" s="406" t="s">
        <v>1661</v>
      </c>
      <c r="D28" s="330" t="s">
        <v>1807</v>
      </c>
      <c r="E28" s="527">
        <v>1</v>
      </c>
      <c r="F28" s="527" t="s">
        <v>1317</v>
      </c>
      <c r="G28" s="302">
        <f>IF($D28="A",ROUND(VLOOKUP($C28,'[2]2.행정구역별 급수인구'!$C$7:$AD$997,17,FALSE)*$E28,0),IF($D28="B",(ROUND(VLOOKUP($C28,'[2]2.행정구역별 급수인구'!$C$7:$AD$997,17,FALSE)-VLOOKUP($C28,'[2]2.행정구역별 급수인구'!$C$7:$AD$997,17,FALSE)*(1-$E28),0)),VLOOKUP($C28,'[2]2.행정구역별 급수인구'!$C$7:$AD$997,17,FALSE)))</f>
        <v>128</v>
      </c>
      <c r="H28" s="302">
        <f>IF($D28="A",ROUND(VLOOKUP($C28,'[2]2.행정구역별 급수인구'!$C$7:$AD$997,25,FALSE)*$E28,0),IF($D28="B",(ROUND(VLOOKUP($C28,'[2]2.행정구역별 급수인구'!$C$7:$AD$997,25,FALSE)-VLOOKUP($C28,'[2]2.행정구역별 급수인구'!$C$7:$AD$997,25,FALSE)*(1-$E28),0)),VLOOKUP($C28,'[2]2.행정구역별 급수인구'!$C$7:$AD$997,25,FALSE)))</f>
        <v>134</v>
      </c>
      <c r="I28" s="302">
        <f>IF($D28="A",ROUND(VLOOKUP($C28,'[2]2.행정구역별 급수인구'!$C$7:$AD$997,26,FALSE)*$E28,0),IF($D28="B",(ROUND(VLOOKUP($C28,'[2]2.행정구역별 급수인구'!$C$7:$AD$997,26,FALSE)-VLOOKUP($C28,'[2]2.행정구역별 급수인구'!$C$7:$AD$997,26,FALSE)*(1-$E28),0)),VLOOKUP($C28,'[2]2.행정구역별 급수인구'!$C$7:$AD$997,26,FALSE)))</f>
        <v>140</v>
      </c>
      <c r="J28" s="302">
        <f>IF($D28="A",ROUND(VLOOKUP($C28,'[2]2.행정구역별 급수인구'!$C$7:$AD$997,27,FALSE)*$E28,0),IF($D28="B",(ROUND(VLOOKUP($C28,'[2]2.행정구역별 급수인구'!$C$7:$AD$997,27,FALSE)-VLOOKUP($C28,'[2]2.행정구역별 급수인구'!$C$7:$AD$997,27,FALSE)*(1-$E28),0)),VLOOKUP($C28,'[2]2.행정구역별 급수인구'!$C$7:$AD$997,27,FALSE)))</f>
        <v>144</v>
      </c>
      <c r="K28" s="302">
        <f>IF($D28="A",ROUND(VLOOKUP($C28,'[2]2.행정구역별 급수인구'!$C$7:$AD$997,28,FALSE)*$E28,0),IF($D28="B",(ROUND(VLOOKUP($C28,'[2]2.행정구역별 급수인구'!$C$7:$AD$997,28,FALSE)-VLOOKUP($C28,'[2]2.행정구역별 급수인구'!$C$7:$AD$997,28,FALSE)*(1-$E28),0)),VLOOKUP($C28,'[2]2.행정구역별 급수인구'!$C$7:$AD$997,28,FALSE)))</f>
        <v>147</v>
      </c>
      <c r="L28" s="302">
        <f>VLOOKUP($F28,'[3]5.급수원단위'!$B$31:$G$35,2,FALSE)</f>
        <v>272</v>
      </c>
      <c r="M28" s="302">
        <f>VLOOKUP($F28,'[3]5.급수원단위'!$B$31:$G$35,3,FALSE)</f>
        <v>304</v>
      </c>
      <c r="N28" s="302">
        <f>VLOOKUP($F28,'[3]5.급수원단위'!$B$31:$G$35,4,FALSE)</f>
        <v>308</v>
      </c>
      <c r="O28" s="302">
        <f>VLOOKUP($F28,'[3]5.급수원단위'!$B$31:$G$35,5,FALSE)</f>
        <v>310</v>
      </c>
      <c r="P28" s="302">
        <f>VLOOKUP($F28,'[3]5.급수원단위'!$B$31:$G$35,6,FALSE)</f>
        <v>310</v>
      </c>
      <c r="Q28" s="302">
        <f>ROUND(IF(G28=0,0,VLOOKUP(C28,'2013실사용량 정리'!$D$6:$F$381,3,FALSE)),0)</f>
        <v>30</v>
      </c>
      <c r="R28" s="302">
        <f t="shared" si="6"/>
        <v>41</v>
      </c>
      <c r="S28" s="302">
        <f t="shared" si="6"/>
        <v>43</v>
      </c>
      <c r="T28" s="302">
        <f t="shared" si="6"/>
        <v>45</v>
      </c>
      <c r="U28" s="302">
        <f t="shared" si="6"/>
        <v>46</v>
      </c>
      <c r="W28" s="343">
        <f t="shared" si="5"/>
        <v>1.5333333333333334</v>
      </c>
    </row>
    <row r="29" spans="1:23" ht="19.5" customHeight="1">
      <c r="A29" s="340"/>
      <c r="B29" s="340"/>
      <c r="C29" s="406" t="s">
        <v>1662</v>
      </c>
      <c r="D29" s="330" t="s">
        <v>1807</v>
      </c>
      <c r="E29" s="527">
        <v>1</v>
      </c>
      <c r="F29" s="527" t="s">
        <v>1317</v>
      </c>
      <c r="G29" s="302">
        <f>IF($D29="A",ROUND(VLOOKUP($C29,'[2]2.행정구역별 급수인구'!$C$7:$AD$997,17,FALSE)*$E29,0),IF($D29="B",(ROUND(VLOOKUP($C29,'[2]2.행정구역별 급수인구'!$C$7:$AD$997,17,FALSE)-VLOOKUP($C29,'[2]2.행정구역별 급수인구'!$C$7:$AD$997,17,FALSE)*(1-$E29),0)),VLOOKUP($C29,'[2]2.행정구역별 급수인구'!$C$7:$AD$997,17,FALSE)))</f>
        <v>159</v>
      </c>
      <c r="H29" s="302">
        <f>IF($D29="A",ROUND(VLOOKUP($C29,'[2]2.행정구역별 급수인구'!$C$7:$AD$997,25,FALSE)*$E29,0),IF($D29="B",(ROUND(VLOOKUP($C29,'[2]2.행정구역별 급수인구'!$C$7:$AD$997,25,FALSE)-VLOOKUP($C29,'[2]2.행정구역별 급수인구'!$C$7:$AD$997,25,FALSE)*(1-$E29),0)),VLOOKUP($C29,'[2]2.행정구역별 급수인구'!$C$7:$AD$997,25,FALSE)))</f>
        <v>167</v>
      </c>
      <c r="I29" s="302">
        <f>IF($D29="A",ROUND(VLOOKUP($C29,'[2]2.행정구역별 급수인구'!$C$7:$AD$997,26,FALSE)*$E29,0),IF($D29="B",(ROUND(VLOOKUP($C29,'[2]2.행정구역별 급수인구'!$C$7:$AD$997,26,FALSE)-VLOOKUP($C29,'[2]2.행정구역별 급수인구'!$C$7:$AD$997,26,FALSE)*(1-$E29),0)),VLOOKUP($C29,'[2]2.행정구역별 급수인구'!$C$7:$AD$997,26,FALSE)))</f>
        <v>176</v>
      </c>
      <c r="J29" s="302">
        <f>IF($D29="A",ROUND(VLOOKUP($C29,'[2]2.행정구역별 급수인구'!$C$7:$AD$997,27,FALSE)*$E29,0),IF($D29="B",(ROUND(VLOOKUP($C29,'[2]2.행정구역별 급수인구'!$C$7:$AD$997,27,FALSE)-VLOOKUP($C29,'[2]2.행정구역별 급수인구'!$C$7:$AD$997,27,FALSE)*(1-$E29),0)),VLOOKUP($C29,'[2]2.행정구역별 급수인구'!$C$7:$AD$997,27,FALSE)))</f>
        <v>179</v>
      </c>
      <c r="K29" s="302">
        <f>IF($D29="A",ROUND(VLOOKUP($C29,'[2]2.행정구역별 급수인구'!$C$7:$AD$997,28,FALSE)*$E29,0),IF($D29="B",(ROUND(VLOOKUP($C29,'[2]2.행정구역별 급수인구'!$C$7:$AD$997,28,FALSE)-VLOOKUP($C29,'[2]2.행정구역별 급수인구'!$C$7:$AD$997,28,FALSE)*(1-$E29),0)),VLOOKUP($C29,'[2]2.행정구역별 급수인구'!$C$7:$AD$997,28,FALSE)))</f>
        <v>183</v>
      </c>
      <c r="L29" s="302">
        <f>VLOOKUP($F29,'[3]5.급수원단위'!$B$31:$G$35,2,FALSE)</f>
        <v>272</v>
      </c>
      <c r="M29" s="302">
        <f>VLOOKUP($F29,'[3]5.급수원단위'!$B$31:$G$35,3,FALSE)</f>
        <v>304</v>
      </c>
      <c r="N29" s="302">
        <f>VLOOKUP($F29,'[3]5.급수원단위'!$B$31:$G$35,4,FALSE)</f>
        <v>308</v>
      </c>
      <c r="O29" s="302">
        <f>VLOOKUP($F29,'[3]5.급수원단위'!$B$31:$G$35,5,FALSE)</f>
        <v>310</v>
      </c>
      <c r="P29" s="302">
        <f>VLOOKUP($F29,'[3]5.급수원단위'!$B$31:$G$35,6,FALSE)</f>
        <v>310</v>
      </c>
      <c r="Q29" s="302">
        <f>ROUND(IF(G29=0,0,VLOOKUP(C29,'2013실사용량 정리'!$D$6:$F$381,3,FALSE)),0)</f>
        <v>37</v>
      </c>
      <c r="R29" s="302">
        <f t="shared" si="6"/>
        <v>51</v>
      </c>
      <c r="S29" s="302">
        <f t="shared" si="6"/>
        <v>54</v>
      </c>
      <c r="T29" s="302">
        <f t="shared" si="6"/>
        <v>55</v>
      </c>
      <c r="U29" s="302">
        <f t="shared" si="6"/>
        <v>57</v>
      </c>
      <c r="W29" s="343">
        <f t="shared" si="5"/>
        <v>1.5405405405405406</v>
      </c>
    </row>
    <row r="30" spans="1:23" ht="19.5" customHeight="1">
      <c r="A30" s="340"/>
      <c r="B30" s="340"/>
      <c r="C30" s="406" t="s">
        <v>1663</v>
      </c>
      <c r="D30" s="330" t="s">
        <v>1807</v>
      </c>
      <c r="E30" s="527">
        <v>1</v>
      </c>
      <c r="F30" s="527" t="s">
        <v>1317</v>
      </c>
      <c r="G30" s="302">
        <f>IF($D30="A",ROUND(VLOOKUP($C30,'[2]2.행정구역별 급수인구'!$C$7:$AD$997,17,FALSE)*$E30,0),IF($D30="B",(ROUND(VLOOKUP($C30,'[2]2.행정구역별 급수인구'!$C$7:$AD$997,17,FALSE)-VLOOKUP($C30,'[2]2.행정구역별 급수인구'!$C$7:$AD$997,17,FALSE)*(1-$E30),0)),VLOOKUP($C30,'[2]2.행정구역별 급수인구'!$C$7:$AD$997,17,FALSE)))</f>
        <v>106</v>
      </c>
      <c r="H30" s="302">
        <f>IF($D30="A",ROUND(VLOOKUP($C30,'[2]2.행정구역별 급수인구'!$C$7:$AD$997,25,FALSE)*$E30,0),IF($D30="B",(ROUND(VLOOKUP($C30,'[2]2.행정구역별 급수인구'!$C$7:$AD$997,25,FALSE)-VLOOKUP($C30,'[2]2.행정구역별 급수인구'!$C$7:$AD$997,25,FALSE)*(1-$E30),0)),VLOOKUP($C30,'[2]2.행정구역별 급수인구'!$C$7:$AD$997,25,FALSE)))</f>
        <v>112</v>
      </c>
      <c r="I30" s="302">
        <f>IF($D30="A",ROUND(VLOOKUP($C30,'[2]2.행정구역별 급수인구'!$C$7:$AD$997,26,FALSE)*$E30,0),IF($D30="B",(ROUND(VLOOKUP($C30,'[2]2.행정구역별 급수인구'!$C$7:$AD$997,26,FALSE)-VLOOKUP($C30,'[2]2.행정구역별 급수인구'!$C$7:$AD$997,26,FALSE)*(1-$E30),0)),VLOOKUP($C30,'[2]2.행정구역별 급수인구'!$C$7:$AD$997,26,FALSE)))</f>
        <v>116</v>
      </c>
      <c r="J30" s="302">
        <f>IF($D30="A",ROUND(VLOOKUP($C30,'[2]2.행정구역별 급수인구'!$C$7:$AD$997,27,FALSE)*$E30,0),IF($D30="B",(ROUND(VLOOKUP($C30,'[2]2.행정구역별 급수인구'!$C$7:$AD$997,27,FALSE)-VLOOKUP($C30,'[2]2.행정구역별 급수인구'!$C$7:$AD$997,27,FALSE)*(1-$E30),0)),VLOOKUP($C30,'[2]2.행정구역별 급수인구'!$C$7:$AD$997,27,FALSE)))</f>
        <v>119</v>
      </c>
      <c r="K30" s="302">
        <f>IF($D30="A",ROUND(VLOOKUP($C30,'[2]2.행정구역별 급수인구'!$C$7:$AD$997,28,FALSE)*$E30,0),IF($D30="B",(ROUND(VLOOKUP($C30,'[2]2.행정구역별 급수인구'!$C$7:$AD$997,28,FALSE)-VLOOKUP($C30,'[2]2.행정구역별 급수인구'!$C$7:$AD$997,28,FALSE)*(1-$E30),0)),VLOOKUP($C30,'[2]2.행정구역별 급수인구'!$C$7:$AD$997,28,FALSE)))</f>
        <v>122</v>
      </c>
      <c r="L30" s="302">
        <f>VLOOKUP($F30,'[3]5.급수원단위'!$B$31:$G$35,2,FALSE)</f>
        <v>272</v>
      </c>
      <c r="M30" s="302">
        <f>VLOOKUP($F30,'[3]5.급수원단위'!$B$31:$G$35,3,FALSE)</f>
        <v>304</v>
      </c>
      <c r="N30" s="302">
        <f>VLOOKUP($F30,'[3]5.급수원단위'!$B$31:$G$35,4,FALSE)</f>
        <v>308</v>
      </c>
      <c r="O30" s="302">
        <f>VLOOKUP($F30,'[3]5.급수원단위'!$B$31:$G$35,5,FALSE)</f>
        <v>310</v>
      </c>
      <c r="P30" s="302">
        <f>VLOOKUP($F30,'[3]5.급수원단위'!$B$31:$G$35,6,FALSE)</f>
        <v>310</v>
      </c>
      <c r="Q30" s="302">
        <f>ROUND(IF(G30=0,0,VLOOKUP(C30,'2013실사용량 정리'!$D$6:$F$381,3,FALSE)),0)</f>
        <v>24</v>
      </c>
      <c r="R30" s="302">
        <f t="shared" si="6"/>
        <v>34</v>
      </c>
      <c r="S30" s="302">
        <f t="shared" si="6"/>
        <v>36</v>
      </c>
      <c r="T30" s="302">
        <f t="shared" si="6"/>
        <v>37</v>
      </c>
      <c r="U30" s="302">
        <f t="shared" si="6"/>
        <v>38</v>
      </c>
      <c r="W30" s="343">
        <f t="shared" si="5"/>
        <v>1.5833333333333333</v>
      </c>
    </row>
    <row r="31" spans="1:23" ht="19.5" customHeight="1">
      <c r="A31" s="340"/>
      <c r="B31" s="340"/>
      <c r="C31" s="406" t="s">
        <v>1664</v>
      </c>
      <c r="D31" s="330" t="s">
        <v>1807</v>
      </c>
      <c r="E31" s="527">
        <v>1</v>
      </c>
      <c r="F31" s="527" t="s">
        <v>1317</v>
      </c>
      <c r="G31" s="302">
        <f>IF($D31="A",ROUND(VLOOKUP($C31,'[2]2.행정구역별 급수인구'!$C$7:$AD$997,17,FALSE)*$E31,0),IF($D31="B",(ROUND(VLOOKUP($C31,'[2]2.행정구역별 급수인구'!$C$7:$AD$997,17,FALSE)-VLOOKUP($C31,'[2]2.행정구역별 급수인구'!$C$7:$AD$997,17,FALSE)*(1-$E31),0)),VLOOKUP($C31,'[2]2.행정구역별 급수인구'!$C$7:$AD$997,17,FALSE)))</f>
        <v>122</v>
      </c>
      <c r="H31" s="302">
        <f>IF($D31="A",ROUND(VLOOKUP($C31,'[2]2.행정구역별 급수인구'!$C$7:$AD$997,25,FALSE)*$E31,0),IF($D31="B",(ROUND(VLOOKUP($C31,'[2]2.행정구역별 급수인구'!$C$7:$AD$997,25,FALSE)-VLOOKUP($C31,'[2]2.행정구역별 급수인구'!$C$7:$AD$997,25,FALSE)*(1-$E31),0)),VLOOKUP($C31,'[2]2.행정구역별 급수인구'!$C$7:$AD$997,25,FALSE)))</f>
        <v>128</v>
      </c>
      <c r="I31" s="302">
        <f>IF($D31="A",ROUND(VLOOKUP($C31,'[2]2.행정구역별 급수인구'!$C$7:$AD$997,26,FALSE)*$E31,0),IF($D31="B",(ROUND(VLOOKUP($C31,'[2]2.행정구역별 급수인구'!$C$7:$AD$997,26,FALSE)-VLOOKUP($C31,'[2]2.행정구역별 급수인구'!$C$7:$AD$997,26,FALSE)*(1-$E31),0)),VLOOKUP($C31,'[2]2.행정구역별 급수인구'!$C$7:$AD$997,26,FALSE)))</f>
        <v>134</v>
      </c>
      <c r="J31" s="302">
        <f>IF($D31="A",ROUND(VLOOKUP($C31,'[2]2.행정구역별 급수인구'!$C$7:$AD$997,27,FALSE)*$E31,0),IF($D31="B",(ROUND(VLOOKUP($C31,'[2]2.행정구역별 급수인구'!$C$7:$AD$997,27,FALSE)-VLOOKUP($C31,'[2]2.행정구역별 급수인구'!$C$7:$AD$997,27,FALSE)*(1-$E31),0)),VLOOKUP($C31,'[2]2.행정구역별 급수인구'!$C$7:$AD$997,27,FALSE)))</f>
        <v>138</v>
      </c>
      <c r="K31" s="302">
        <f>IF($D31="A",ROUND(VLOOKUP($C31,'[2]2.행정구역별 급수인구'!$C$7:$AD$997,28,FALSE)*$E31,0),IF($D31="B",(ROUND(VLOOKUP($C31,'[2]2.행정구역별 급수인구'!$C$7:$AD$997,28,FALSE)-VLOOKUP($C31,'[2]2.행정구역별 급수인구'!$C$7:$AD$997,28,FALSE)*(1-$E31),0)),VLOOKUP($C31,'[2]2.행정구역별 급수인구'!$C$7:$AD$997,28,FALSE)))</f>
        <v>140</v>
      </c>
      <c r="L31" s="302">
        <f>VLOOKUP($F31,'[3]5.급수원단위'!$B$31:$G$35,2,FALSE)</f>
        <v>272</v>
      </c>
      <c r="M31" s="302">
        <f>VLOOKUP($F31,'[3]5.급수원단위'!$B$31:$G$35,3,FALSE)</f>
        <v>304</v>
      </c>
      <c r="N31" s="302">
        <f>VLOOKUP($F31,'[3]5.급수원단위'!$B$31:$G$35,4,FALSE)</f>
        <v>308</v>
      </c>
      <c r="O31" s="302">
        <f>VLOOKUP($F31,'[3]5.급수원단위'!$B$31:$G$35,5,FALSE)</f>
        <v>310</v>
      </c>
      <c r="P31" s="302">
        <f>VLOOKUP($F31,'[3]5.급수원단위'!$B$31:$G$35,6,FALSE)</f>
        <v>310</v>
      </c>
      <c r="Q31" s="302">
        <f>ROUND(IF(G31=0,0,VLOOKUP(C31,'2013실사용량 정리'!$D$6:$F$381,3,FALSE)),0)</f>
        <v>38</v>
      </c>
      <c r="R31" s="302">
        <f t="shared" si="6"/>
        <v>39</v>
      </c>
      <c r="S31" s="302">
        <f t="shared" si="6"/>
        <v>41</v>
      </c>
      <c r="T31" s="302">
        <f t="shared" si="6"/>
        <v>43</v>
      </c>
      <c r="U31" s="302">
        <f t="shared" si="6"/>
        <v>43</v>
      </c>
      <c r="W31" s="343">
        <f t="shared" si="5"/>
        <v>1.131578947368421</v>
      </c>
    </row>
    <row r="32" spans="1:23" ht="19.5" customHeight="1">
      <c r="A32" s="340"/>
      <c r="B32" s="340"/>
      <c r="C32" s="406" t="s">
        <v>1665</v>
      </c>
      <c r="D32" s="330" t="s">
        <v>1807</v>
      </c>
      <c r="E32" s="527">
        <v>1</v>
      </c>
      <c r="F32" s="527" t="s">
        <v>1317</v>
      </c>
      <c r="G32" s="302">
        <f>IF($D32="A",ROUND(VLOOKUP($C32,'[2]2.행정구역별 급수인구'!$C$7:$AD$997,17,FALSE)*$E32,0),IF($D32="B",(ROUND(VLOOKUP($C32,'[2]2.행정구역별 급수인구'!$C$7:$AD$997,17,FALSE)-VLOOKUP($C32,'[2]2.행정구역별 급수인구'!$C$7:$AD$997,17,FALSE)*(1-$E32),0)),VLOOKUP($C32,'[2]2.행정구역별 급수인구'!$C$7:$AD$997,17,FALSE)))</f>
        <v>134</v>
      </c>
      <c r="H32" s="302">
        <f>IF($D32="A",ROUND(VLOOKUP($C32,'[2]2.행정구역별 급수인구'!$C$7:$AD$997,25,FALSE)*$E32,0),IF($D32="B",(ROUND(VLOOKUP($C32,'[2]2.행정구역별 급수인구'!$C$7:$AD$997,25,FALSE)-VLOOKUP($C32,'[2]2.행정구역별 급수인구'!$C$7:$AD$997,25,FALSE)*(1-$E32),0)),VLOOKUP($C32,'[2]2.행정구역별 급수인구'!$C$7:$AD$997,25,FALSE)))</f>
        <v>141</v>
      </c>
      <c r="I32" s="302">
        <f>IF($D32="A",ROUND(VLOOKUP($C32,'[2]2.행정구역별 급수인구'!$C$7:$AD$997,26,FALSE)*$E32,0),IF($D32="B",(ROUND(VLOOKUP($C32,'[2]2.행정구역별 급수인구'!$C$7:$AD$997,26,FALSE)-VLOOKUP($C32,'[2]2.행정구역별 급수인구'!$C$7:$AD$997,26,FALSE)*(1-$E32),0)),VLOOKUP($C32,'[2]2.행정구역별 급수인구'!$C$7:$AD$997,26,FALSE)))</f>
        <v>148</v>
      </c>
      <c r="J32" s="302">
        <f>IF($D32="A",ROUND(VLOOKUP($C32,'[2]2.행정구역별 급수인구'!$C$7:$AD$997,27,FALSE)*$E32,0),IF($D32="B",(ROUND(VLOOKUP($C32,'[2]2.행정구역별 급수인구'!$C$7:$AD$997,27,FALSE)-VLOOKUP($C32,'[2]2.행정구역별 급수인구'!$C$7:$AD$997,27,FALSE)*(1-$E32),0)),VLOOKUP($C32,'[2]2.행정구역별 급수인구'!$C$7:$AD$997,27,FALSE)))</f>
        <v>150</v>
      </c>
      <c r="K32" s="302">
        <f>IF($D32="A",ROUND(VLOOKUP($C32,'[2]2.행정구역별 급수인구'!$C$7:$AD$997,28,FALSE)*$E32,0),IF($D32="B",(ROUND(VLOOKUP($C32,'[2]2.행정구역별 급수인구'!$C$7:$AD$997,28,FALSE)-VLOOKUP($C32,'[2]2.행정구역별 급수인구'!$C$7:$AD$997,28,FALSE)*(1-$E32),0)),VLOOKUP($C32,'[2]2.행정구역별 급수인구'!$C$7:$AD$997,28,FALSE)))</f>
        <v>154</v>
      </c>
      <c r="L32" s="302">
        <f>VLOOKUP($F32,'[3]5.급수원단위'!$B$31:$G$35,2,FALSE)</f>
        <v>272</v>
      </c>
      <c r="M32" s="302">
        <f>VLOOKUP($F32,'[3]5.급수원단위'!$B$31:$G$35,3,FALSE)</f>
        <v>304</v>
      </c>
      <c r="N32" s="302">
        <f>VLOOKUP($F32,'[3]5.급수원단위'!$B$31:$G$35,4,FALSE)</f>
        <v>308</v>
      </c>
      <c r="O32" s="302">
        <f>VLOOKUP($F32,'[3]5.급수원단위'!$B$31:$G$35,5,FALSE)</f>
        <v>310</v>
      </c>
      <c r="P32" s="302">
        <f>VLOOKUP($F32,'[3]5.급수원단위'!$B$31:$G$35,6,FALSE)</f>
        <v>310</v>
      </c>
      <c r="Q32" s="302">
        <f>ROUND(IF(G32=0,0,VLOOKUP(C32,'2013실사용량 정리'!$D$6:$F$381,3,FALSE)),0)</f>
        <v>41</v>
      </c>
      <c r="R32" s="302">
        <f t="shared" si="6"/>
        <v>43</v>
      </c>
      <c r="S32" s="302">
        <f t="shared" si="6"/>
        <v>46</v>
      </c>
      <c r="T32" s="302">
        <f t="shared" si="6"/>
        <v>47</v>
      </c>
      <c r="U32" s="302">
        <f t="shared" si="6"/>
        <v>48</v>
      </c>
      <c r="W32" s="343">
        <f t="shared" si="5"/>
        <v>1.1707317073170731</v>
      </c>
    </row>
    <row r="33" spans="1:23" ht="19.5" customHeight="1">
      <c r="A33" s="340"/>
      <c r="B33" s="340"/>
      <c r="C33" s="406" t="s">
        <v>1666</v>
      </c>
      <c r="D33" s="330" t="s">
        <v>1807</v>
      </c>
      <c r="E33" s="527">
        <v>1</v>
      </c>
      <c r="F33" s="527" t="s">
        <v>1317</v>
      </c>
      <c r="G33" s="302">
        <f>IF($D33="A",ROUND(VLOOKUP($C33,'[2]2.행정구역별 급수인구'!$C$7:$AD$997,17,FALSE)*$E33,0),IF($D33="B",(ROUND(VLOOKUP($C33,'[2]2.행정구역별 급수인구'!$C$7:$AD$997,17,FALSE)-VLOOKUP($C33,'[2]2.행정구역별 급수인구'!$C$7:$AD$997,17,FALSE)*(1-$E33),0)),VLOOKUP($C33,'[2]2.행정구역별 급수인구'!$C$7:$AD$997,17,FALSE)))</f>
        <v>159</v>
      </c>
      <c r="H33" s="302">
        <f>IF($D33="A",ROUND(VLOOKUP($C33,'[2]2.행정구역별 급수인구'!$C$7:$AD$997,25,FALSE)*$E33,0),IF($D33="B",(ROUND(VLOOKUP($C33,'[2]2.행정구역별 급수인구'!$C$7:$AD$997,25,FALSE)-VLOOKUP($C33,'[2]2.행정구역별 급수인구'!$C$7:$AD$997,25,FALSE)*(1-$E33),0)),VLOOKUP($C33,'[2]2.행정구역별 급수인구'!$C$7:$AD$997,25,FALSE)))</f>
        <v>167</v>
      </c>
      <c r="I33" s="302">
        <f>IF($D33="A",ROUND(VLOOKUP($C33,'[2]2.행정구역별 급수인구'!$C$7:$AD$997,26,FALSE)*$E33,0),IF($D33="B",(ROUND(VLOOKUP($C33,'[2]2.행정구역별 급수인구'!$C$7:$AD$997,26,FALSE)-VLOOKUP($C33,'[2]2.행정구역별 급수인구'!$C$7:$AD$997,26,FALSE)*(1-$E33),0)),VLOOKUP($C33,'[2]2.행정구역별 급수인구'!$C$7:$AD$997,26,FALSE)))</f>
        <v>176</v>
      </c>
      <c r="J33" s="302">
        <f>IF($D33="A",ROUND(VLOOKUP($C33,'[2]2.행정구역별 급수인구'!$C$7:$AD$997,27,FALSE)*$E33,0),IF($D33="B",(ROUND(VLOOKUP($C33,'[2]2.행정구역별 급수인구'!$C$7:$AD$997,27,FALSE)-VLOOKUP($C33,'[2]2.행정구역별 급수인구'!$C$7:$AD$997,27,FALSE)*(1-$E33),0)),VLOOKUP($C33,'[2]2.행정구역별 급수인구'!$C$7:$AD$997,27,FALSE)))</f>
        <v>179</v>
      </c>
      <c r="K33" s="302">
        <f>IF($D33="A",ROUND(VLOOKUP($C33,'[2]2.행정구역별 급수인구'!$C$7:$AD$997,28,FALSE)*$E33,0),IF($D33="B",(ROUND(VLOOKUP($C33,'[2]2.행정구역별 급수인구'!$C$7:$AD$997,28,FALSE)-VLOOKUP($C33,'[2]2.행정구역별 급수인구'!$C$7:$AD$997,28,FALSE)*(1-$E33),0)),VLOOKUP($C33,'[2]2.행정구역별 급수인구'!$C$7:$AD$997,28,FALSE)))</f>
        <v>183</v>
      </c>
      <c r="L33" s="302">
        <f>VLOOKUP($F33,'[3]5.급수원단위'!$B$31:$G$35,2,FALSE)</f>
        <v>272</v>
      </c>
      <c r="M33" s="302">
        <f>VLOOKUP($F33,'[3]5.급수원단위'!$B$31:$G$35,3,FALSE)</f>
        <v>304</v>
      </c>
      <c r="N33" s="302">
        <f>VLOOKUP($F33,'[3]5.급수원단위'!$B$31:$G$35,4,FALSE)</f>
        <v>308</v>
      </c>
      <c r="O33" s="302">
        <f>VLOOKUP($F33,'[3]5.급수원단위'!$B$31:$G$35,5,FALSE)</f>
        <v>310</v>
      </c>
      <c r="P33" s="302">
        <f>VLOOKUP($F33,'[3]5.급수원단위'!$B$31:$G$35,6,FALSE)</f>
        <v>310</v>
      </c>
      <c r="Q33" s="302">
        <f>ROUND(IF(G33=0,0,VLOOKUP(C33,'2013실사용량 정리'!$D$6:$F$381,3,FALSE)),0)</f>
        <v>49</v>
      </c>
      <c r="R33" s="302">
        <f t="shared" si="6"/>
        <v>51</v>
      </c>
      <c r="S33" s="302">
        <f t="shared" si="6"/>
        <v>54</v>
      </c>
      <c r="T33" s="302">
        <f t="shared" si="6"/>
        <v>55</v>
      </c>
      <c r="U33" s="302">
        <f t="shared" si="6"/>
        <v>57</v>
      </c>
      <c r="W33" s="343">
        <f t="shared" si="5"/>
        <v>1.1632653061224489</v>
      </c>
    </row>
    <row r="34" spans="1:23" ht="19.5" customHeight="1">
      <c r="A34" s="340"/>
      <c r="B34" s="340"/>
      <c r="C34" s="406" t="s">
        <v>1667</v>
      </c>
      <c r="D34" s="330" t="s">
        <v>1807</v>
      </c>
      <c r="E34" s="527">
        <v>1</v>
      </c>
      <c r="F34" s="527" t="s">
        <v>1317</v>
      </c>
      <c r="G34" s="302">
        <f>IF($D34="A",ROUND(VLOOKUP($C34,'[2]2.행정구역별 급수인구'!$C$7:$AD$997,17,FALSE)*$E34,0),IF($D34="B",(ROUND(VLOOKUP($C34,'[2]2.행정구역별 급수인구'!$C$7:$AD$997,17,FALSE)-VLOOKUP($C34,'[2]2.행정구역별 급수인구'!$C$7:$AD$997,17,FALSE)*(1-$E34),0)),VLOOKUP($C34,'[2]2.행정구역별 급수인구'!$C$7:$AD$997,17,FALSE)))</f>
        <v>142</v>
      </c>
      <c r="H34" s="302">
        <f>IF($D34="A",ROUND(VLOOKUP($C34,'[2]2.행정구역별 급수인구'!$C$7:$AD$997,25,FALSE)*$E34,0),IF($D34="B",(ROUND(VLOOKUP($C34,'[2]2.행정구역별 급수인구'!$C$7:$AD$997,25,FALSE)-VLOOKUP($C34,'[2]2.행정구역별 급수인구'!$C$7:$AD$997,25,FALSE)*(1-$E34),0)),VLOOKUP($C34,'[2]2.행정구역별 급수인구'!$C$7:$AD$997,25,FALSE)))</f>
        <v>149</v>
      </c>
      <c r="I34" s="302">
        <f>IF($D34="A",ROUND(VLOOKUP($C34,'[2]2.행정구역별 급수인구'!$C$7:$AD$997,26,FALSE)*$E34,0),IF($D34="B",(ROUND(VLOOKUP($C34,'[2]2.행정구역별 급수인구'!$C$7:$AD$997,26,FALSE)-VLOOKUP($C34,'[2]2.행정구역별 급수인구'!$C$7:$AD$997,26,FALSE)*(1-$E34),0)),VLOOKUP($C34,'[2]2.행정구역별 급수인구'!$C$7:$AD$997,26,FALSE)))</f>
        <v>157</v>
      </c>
      <c r="J34" s="302">
        <f>IF($D34="A",ROUND(VLOOKUP($C34,'[2]2.행정구역별 급수인구'!$C$7:$AD$997,27,FALSE)*$E34,0),IF($D34="B",(ROUND(VLOOKUP($C34,'[2]2.행정구역별 급수인구'!$C$7:$AD$997,27,FALSE)-VLOOKUP($C34,'[2]2.행정구역별 급수인구'!$C$7:$AD$997,27,FALSE)*(1-$E34),0)),VLOOKUP($C34,'[2]2.행정구역별 급수인구'!$C$7:$AD$997,27,FALSE)))</f>
        <v>160</v>
      </c>
      <c r="K34" s="302">
        <f>IF($D34="A",ROUND(VLOOKUP($C34,'[2]2.행정구역별 급수인구'!$C$7:$AD$997,28,FALSE)*$E34,0),IF($D34="B",(ROUND(VLOOKUP($C34,'[2]2.행정구역별 급수인구'!$C$7:$AD$997,28,FALSE)-VLOOKUP($C34,'[2]2.행정구역별 급수인구'!$C$7:$AD$997,28,FALSE)*(1-$E34),0)),VLOOKUP($C34,'[2]2.행정구역별 급수인구'!$C$7:$AD$997,28,FALSE)))</f>
        <v>163</v>
      </c>
      <c r="L34" s="302">
        <f>VLOOKUP($F34,'[3]5.급수원단위'!$B$31:$G$35,2,FALSE)</f>
        <v>272</v>
      </c>
      <c r="M34" s="302">
        <f>VLOOKUP($F34,'[3]5.급수원단위'!$B$31:$G$35,3,FALSE)</f>
        <v>304</v>
      </c>
      <c r="N34" s="302">
        <f>VLOOKUP($F34,'[3]5.급수원단위'!$B$31:$G$35,4,FALSE)</f>
        <v>308</v>
      </c>
      <c r="O34" s="302">
        <f>VLOOKUP($F34,'[3]5.급수원단위'!$B$31:$G$35,5,FALSE)</f>
        <v>310</v>
      </c>
      <c r="P34" s="302">
        <f>VLOOKUP($F34,'[3]5.급수원단위'!$B$31:$G$35,6,FALSE)</f>
        <v>310</v>
      </c>
      <c r="Q34" s="302">
        <f>ROUND(IF(G34=0,0,VLOOKUP(C34,'2013실사용량 정리'!$D$6:$F$381,3,FALSE)),0)</f>
        <v>44</v>
      </c>
      <c r="R34" s="302">
        <f t="shared" si="6"/>
        <v>45</v>
      </c>
      <c r="S34" s="302">
        <f t="shared" si="6"/>
        <v>48</v>
      </c>
      <c r="T34" s="302">
        <f t="shared" si="6"/>
        <v>50</v>
      </c>
      <c r="U34" s="302">
        <f t="shared" si="6"/>
        <v>51</v>
      </c>
      <c r="W34" s="343">
        <f t="shared" si="5"/>
        <v>1.1590909090909092</v>
      </c>
    </row>
    <row r="35" spans="1:23" ht="19.5" customHeight="1">
      <c r="A35" s="340"/>
      <c r="B35" s="340"/>
      <c r="C35" s="406" t="s">
        <v>1668</v>
      </c>
      <c r="D35" s="330" t="s">
        <v>1807</v>
      </c>
      <c r="E35" s="527">
        <v>1</v>
      </c>
      <c r="F35" s="527" t="s">
        <v>1317</v>
      </c>
      <c r="G35" s="302">
        <f>IF($D35="A",ROUND(VLOOKUP($C35,'[2]2.행정구역별 급수인구'!$C$7:$AD$997,17,FALSE)*$E35,0),IF($D35="B",(ROUND(VLOOKUP($C35,'[2]2.행정구역별 급수인구'!$C$7:$AD$997,17,FALSE)-VLOOKUP($C35,'[2]2.행정구역별 급수인구'!$C$7:$AD$997,17,FALSE)*(1-$E35),0)),VLOOKUP($C35,'[2]2.행정구역별 급수인구'!$C$7:$AD$997,17,FALSE)))</f>
        <v>0</v>
      </c>
      <c r="H35" s="302">
        <f>IF($D35="A",ROUND(VLOOKUP($C35,'[2]2.행정구역별 급수인구'!$C$7:$AD$997,25,FALSE)*$E35,0),IF($D35="B",(ROUND(VLOOKUP($C35,'[2]2.행정구역별 급수인구'!$C$7:$AD$997,25,FALSE)-VLOOKUP($C35,'[2]2.행정구역별 급수인구'!$C$7:$AD$997,25,FALSE)*(1-$E35),0)),VLOOKUP($C35,'[2]2.행정구역별 급수인구'!$C$7:$AD$997,25,FALSE)))</f>
        <v>156</v>
      </c>
      <c r="I35" s="302">
        <f>IF($D35="A",ROUND(VLOOKUP($C35,'[2]2.행정구역별 급수인구'!$C$7:$AD$997,26,FALSE)*$E35,0),IF($D35="B",(ROUND(VLOOKUP($C35,'[2]2.행정구역별 급수인구'!$C$7:$AD$997,26,FALSE)-VLOOKUP($C35,'[2]2.행정구역별 급수인구'!$C$7:$AD$997,26,FALSE)*(1-$E35),0)),VLOOKUP($C35,'[2]2.행정구역별 급수인구'!$C$7:$AD$997,26,FALSE)))</f>
        <v>163</v>
      </c>
      <c r="J35" s="302">
        <f>IF($D35="A",ROUND(VLOOKUP($C35,'[2]2.행정구역별 급수인구'!$C$7:$AD$997,27,FALSE)*$E35,0),IF($D35="B",(ROUND(VLOOKUP($C35,'[2]2.행정구역별 급수인구'!$C$7:$AD$997,27,FALSE)-VLOOKUP($C35,'[2]2.행정구역별 급수인구'!$C$7:$AD$997,27,FALSE)*(1-$E35),0)),VLOOKUP($C35,'[2]2.행정구역별 급수인구'!$C$7:$AD$997,27,FALSE)))</f>
        <v>167</v>
      </c>
      <c r="K35" s="302">
        <f>IF($D35="A",ROUND(VLOOKUP($C35,'[2]2.행정구역별 급수인구'!$C$7:$AD$997,28,FALSE)*$E35,0),IF($D35="B",(ROUND(VLOOKUP($C35,'[2]2.행정구역별 급수인구'!$C$7:$AD$997,28,FALSE)-VLOOKUP($C35,'[2]2.행정구역별 급수인구'!$C$7:$AD$997,28,FALSE)*(1-$E35),0)),VLOOKUP($C35,'[2]2.행정구역별 급수인구'!$C$7:$AD$997,28,FALSE)))</f>
        <v>170</v>
      </c>
      <c r="L35" s="302">
        <f>VLOOKUP($F35,'[3]5.급수원단위'!$B$31:$G$35,2,FALSE)</f>
        <v>272</v>
      </c>
      <c r="M35" s="302">
        <f>VLOOKUP($F35,'[3]5.급수원단위'!$B$31:$G$35,3,FALSE)</f>
        <v>304</v>
      </c>
      <c r="N35" s="302">
        <f>VLOOKUP($F35,'[3]5.급수원단위'!$B$31:$G$35,4,FALSE)</f>
        <v>308</v>
      </c>
      <c r="O35" s="302">
        <f>VLOOKUP($F35,'[3]5.급수원단위'!$B$31:$G$35,5,FALSE)</f>
        <v>310</v>
      </c>
      <c r="P35" s="302">
        <f>VLOOKUP($F35,'[3]5.급수원단위'!$B$31:$G$35,6,FALSE)</f>
        <v>310</v>
      </c>
      <c r="Q35" s="302">
        <f>ROUND(IF(G35=0,0,VLOOKUP(C35,'2013실사용량 정리'!$D$6:$F$381,3,FALSE)),0)</f>
        <v>0</v>
      </c>
      <c r="R35" s="302">
        <f t="shared" si="6"/>
        <v>47</v>
      </c>
      <c r="S35" s="302">
        <f t="shared" si="6"/>
        <v>50</v>
      </c>
      <c r="T35" s="302">
        <f t="shared" si="6"/>
        <v>52</v>
      </c>
      <c r="U35" s="302">
        <f t="shared" si="6"/>
        <v>53</v>
      </c>
      <c r="W35" s="343" t="str">
        <f t="shared" si="5"/>
        <v/>
      </c>
    </row>
    <row r="36" spans="1:23" ht="19.5" customHeight="1">
      <c r="A36" s="340"/>
      <c r="B36" s="340"/>
      <c r="C36" s="406" t="s">
        <v>1669</v>
      </c>
      <c r="D36" s="330" t="s">
        <v>1807</v>
      </c>
      <c r="E36" s="527">
        <v>1</v>
      </c>
      <c r="F36" s="527" t="s">
        <v>1317</v>
      </c>
      <c r="G36" s="302">
        <f>IF($D36="A",ROUND(VLOOKUP($C36,'[2]2.행정구역별 급수인구'!$C$7:$AD$997,17,FALSE)*$E36,0),IF($D36="B",(ROUND(VLOOKUP($C36,'[2]2.행정구역별 급수인구'!$C$7:$AD$997,17,FALSE)-VLOOKUP($C36,'[2]2.행정구역별 급수인구'!$C$7:$AD$997,17,FALSE)*(1-$E36),0)),VLOOKUP($C36,'[2]2.행정구역별 급수인구'!$C$7:$AD$997,17,FALSE)))</f>
        <v>118</v>
      </c>
      <c r="H36" s="302">
        <f>IF($D36="A",ROUND(VLOOKUP($C36,'[2]2.행정구역별 급수인구'!$C$7:$AD$997,25,FALSE)*$E36,0),IF($D36="B",(ROUND(VLOOKUP($C36,'[2]2.행정구역별 급수인구'!$C$7:$AD$997,25,FALSE)-VLOOKUP($C36,'[2]2.행정구역별 급수인구'!$C$7:$AD$997,25,FALSE)*(1-$E36),0)),VLOOKUP($C36,'[2]2.행정구역별 급수인구'!$C$7:$AD$997,25,FALSE)))</f>
        <v>124</v>
      </c>
      <c r="I36" s="302">
        <f>IF($D36="A",ROUND(VLOOKUP($C36,'[2]2.행정구역별 급수인구'!$C$7:$AD$997,26,FALSE)*$E36,0),IF($D36="B",(ROUND(VLOOKUP($C36,'[2]2.행정구역별 급수인구'!$C$7:$AD$997,26,FALSE)-VLOOKUP($C36,'[2]2.행정구역별 급수인구'!$C$7:$AD$997,26,FALSE)*(1-$E36),0)),VLOOKUP($C36,'[2]2.행정구역별 급수인구'!$C$7:$AD$997,26,FALSE)))</f>
        <v>131</v>
      </c>
      <c r="J36" s="302">
        <f>IF($D36="A",ROUND(VLOOKUP($C36,'[2]2.행정구역별 급수인구'!$C$7:$AD$997,27,FALSE)*$E36,0),IF($D36="B",(ROUND(VLOOKUP($C36,'[2]2.행정구역별 급수인구'!$C$7:$AD$997,27,FALSE)-VLOOKUP($C36,'[2]2.행정구역별 급수인구'!$C$7:$AD$997,27,FALSE)*(1-$E36),0)),VLOOKUP($C36,'[2]2.행정구역별 급수인구'!$C$7:$AD$997,27,FALSE)))</f>
        <v>133</v>
      </c>
      <c r="K36" s="302">
        <f>IF($D36="A",ROUND(VLOOKUP($C36,'[2]2.행정구역별 급수인구'!$C$7:$AD$997,28,FALSE)*$E36,0),IF($D36="B",(ROUND(VLOOKUP($C36,'[2]2.행정구역별 급수인구'!$C$7:$AD$997,28,FALSE)-VLOOKUP($C36,'[2]2.행정구역별 급수인구'!$C$7:$AD$997,28,FALSE)*(1-$E36),0)),VLOOKUP($C36,'[2]2.행정구역별 급수인구'!$C$7:$AD$997,28,FALSE)))</f>
        <v>136</v>
      </c>
      <c r="L36" s="302">
        <f>VLOOKUP($F36,'[3]5.급수원단위'!$B$31:$G$35,2,FALSE)</f>
        <v>272</v>
      </c>
      <c r="M36" s="302">
        <f>VLOOKUP($F36,'[3]5.급수원단위'!$B$31:$G$35,3,FALSE)</f>
        <v>304</v>
      </c>
      <c r="N36" s="302">
        <f>VLOOKUP($F36,'[3]5.급수원단위'!$B$31:$G$35,4,FALSE)</f>
        <v>308</v>
      </c>
      <c r="O36" s="302">
        <f>VLOOKUP($F36,'[3]5.급수원단위'!$B$31:$G$35,5,FALSE)</f>
        <v>310</v>
      </c>
      <c r="P36" s="302">
        <f>VLOOKUP($F36,'[3]5.급수원단위'!$B$31:$G$35,6,FALSE)</f>
        <v>310</v>
      </c>
      <c r="Q36" s="302">
        <f>ROUND(IF(G36=0,0,VLOOKUP(C36,'2013실사용량 정리'!$D$6:$F$381,3,FALSE)),0)</f>
        <v>12</v>
      </c>
      <c r="R36" s="302">
        <f t="shared" si="6"/>
        <v>38</v>
      </c>
      <c r="S36" s="302">
        <f t="shared" si="6"/>
        <v>40</v>
      </c>
      <c r="T36" s="302">
        <f t="shared" si="6"/>
        <v>41</v>
      </c>
      <c r="U36" s="302">
        <f t="shared" si="6"/>
        <v>42</v>
      </c>
      <c r="W36" s="343">
        <f t="shared" si="5"/>
        <v>3.5</v>
      </c>
    </row>
    <row r="37" spans="1:23" ht="19.5" customHeight="1">
      <c r="A37" s="340"/>
      <c r="B37" s="386"/>
      <c r="C37" s="406" t="s">
        <v>1670</v>
      </c>
      <c r="D37" s="330" t="s">
        <v>1807</v>
      </c>
      <c r="E37" s="527">
        <v>1</v>
      </c>
      <c r="F37" s="527" t="s">
        <v>1317</v>
      </c>
      <c r="G37" s="302">
        <f>IF($D37="A",ROUND(VLOOKUP($C37,'[2]2.행정구역별 급수인구'!$C$7:$AD$997,17,FALSE)*$E37,0),IF($D37="B",(ROUND(VLOOKUP($C37,'[2]2.행정구역별 급수인구'!$C$7:$AD$997,17,FALSE)-VLOOKUP($C37,'[2]2.행정구역별 급수인구'!$C$7:$AD$997,17,FALSE)*(1-$E37),0)),VLOOKUP($C37,'[2]2.행정구역별 급수인구'!$C$7:$AD$997,17,FALSE)))</f>
        <v>107</v>
      </c>
      <c r="H37" s="302">
        <f>IF($D37="A",ROUND(VLOOKUP($C37,'[2]2.행정구역별 급수인구'!$C$7:$AD$997,25,FALSE)*$E37,0),IF($D37="B",(ROUND(VLOOKUP($C37,'[2]2.행정구역별 급수인구'!$C$7:$AD$997,25,FALSE)-VLOOKUP($C37,'[2]2.행정구역별 급수인구'!$C$7:$AD$997,25,FALSE)*(1-$E37),0)),VLOOKUP($C37,'[2]2.행정구역별 급수인구'!$C$7:$AD$997,25,FALSE)))</f>
        <v>113</v>
      </c>
      <c r="I37" s="302">
        <f>IF($D37="A",ROUND(VLOOKUP($C37,'[2]2.행정구역별 급수인구'!$C$7:$AD$997,26,FALSE)*$E37,0),IF($D37="B",(ROUND(VLOOKUP($C37,'[2]2.행정구역별 급수인구'!$C$7:$AD$997,26,FALSE)-VLOOKUP($C37,'[2]2.행정구역별 급수인구'!$C$7:$AD$997,26,FALSE)*(1-$E37),0)),VLOOKUP($C37,'[2]2.행정구역별 급수인구'!$C$7:$AD$997,26,FALSE)))</f>
        <v>118</v>
      </c>
      <c r="J37" s="302">
        <f>IF($D37="A",ROUND(VLOOKUP($C37,'[2]2.행정구역별 급수인구'!$C$7:$AD$997,27,FALSE)*$E37,0),IF($D37="B",(ROUND(VLOOKUP($C37,'[2]2.행정구역별 급수인구'!$C$7:$AD$997,27,FALSE)-VLOOKUP($C37,'[2]2.행정구역별 급수인구'!$C$7:$AD$997,27,FALSE)*(1-$E37),0)),VLOOKUP($C37,'[2]2.행정구역별 급수인구'!$C$7:$AD$997,27,FALSE)))</f>
        <v>122</v>
      </c>
      <c r="K37" s="302">
        <f>IF($D37="A",ROUND(VLOOKUP($C37,'[2]2.행정구역별 급수인구'!$C$7:$AD$997,28,FALSE)*$E37,0),IF($D37="B",(ROUND(VLOOKUP($C37,'[2]2.행정구역별 급수인구'!$C$7:$AD$997,28,FALSE)-VLOOKUP($C37,'[2]2.행정구역별 급수인구'!$C$7:$AD$997,28,FALSE)*(1-$E37),0)),VLOOKUP($C37,'[2]2.행정구역별 급수인구'!$C$7:$AD$997,28,FALSE)))</f>
        <v>124</v>
      </c>
      <c r="L37" s="302">
        <f>VLOOKUP($F37,'[3]5.급수원단위'!$B$31:$G$35,2,FALSE)</f>
        <v>272</v>
      </c>
      <c r="M37" s="302">
        <f>VLOOKUP($F37,'[3]5.급수원단위'!$B$31:$G$35,3,FALSE)</f>
        <v>304</v>
      </c>
      <c r="N37" s="302">
        <f>VLOOKUP($F37,'[3]5.급수원단위'!$B$31:$G$35,4,FALSE)</f>
        <v>308</v>
      </c>
      <c r="O37" s="302">
        <f>VLOOKUP($F37,'[3]5.급수원단위'!$B$31:$G$35,5,FALSE)</f>
        <v>310</v>
      </c>
      <c r="P37" s="302">
        <f>VLOOKUP($F37,'[3]5.급수원단위'!$B$31:$G$35,6,FALSE)</f>
        <v>310</v>
      </c>
      <c r="Q37" s="302">
        <f>ROUND(IF(G37=0,0,VLOOKUP(C37,'2013실사용량 정리'!$D$6:$F$381,3,FALSE)),0)</f>
        <v>35</v>
      </c>
      <c r="R37" s="302">
        <f t="shared" si="6"/>
        <v>34</v>
      </c>
      <c r="S37" s="302">
        <f t="shared" si="6"/>
        <v>36</v>
      </c>
      <c r="T37" s="302">
        <f t="shared" si="6"/>
        <v>38</v>
      </c>
      <c r="U37" s="302">
        <f t="shared" si="6"/>
        <v>38</v>
      </c>
      <c r="W37" s="343">
        <f t="shared" si="5"/>
        <v>1.0857142857142856</v>
      </c>
    </row>
    <row r="38" spans="1:23" ht="19.5" customHeight="1">
      <c r="A38" s="340"/>
      <c r="B38" s="694" t="s">
        <v>1220</v>
      </c>
      <c r="C38" s="694"/>
      <c r="D38" s="694"/>
      <c r="E38" s="331"/>
      <c r="F38" s="331"/>
      <c r="G38" s="336">
        <f>SUM(G39:G60)</f>
        <v>193</v>
      </c>
      <c r="H38" s="336">
        <f>SUM(H39:H60)</f>
        <v>203</v>
      </c>
      <c r="I38" s="336">
        <f>SUM(I39:I60)</f>
        <v>214</v>
      </c>
      <c r="J38" s="336">
        <f>SUM(J39:J60)</f>
        <v>232</v>
      </c>
      <c r="K38" s="336">
        <f>SUM(K39:K60)</f>
        <v>236</v>
      </c>
      <c r="L38" s="336"/>
      <c r="M38" s="336"/>
      <c r="N38" s="336"/>
      <c r="O38" s="336"/>
      <c r="P38" s="336"/>
      <c r="Q38" s="336">
        <f>SUM(Q39:Q60)</f>
        <v>109</v>
      </c>
      <c r="R38" s="336">
        <f>SUM(R39:R60)</f>
        <v>62</v>
      </c>
      <c r="S38" s="336">
        <f>SUM(S39:S60)</f>
        <v>66</v>
      </c>
      <c r="T38" s="336">
        <f>SUM(T39:T60)</f>
        <v>72</v>
      </c>
      <c r="U38" s="336">
        <f>SUM(U39:U60)</f>
        <v>73</v>
      </c>
      <c r="V38" s="343">
        <f>VLOOKUP(B38,'2013년도 용수량 비율'!$A$5:$F$20,6,FALSE)</f>
        <v>0.72</v>
      </c>
      <c r="W38" s="343"/>
    </row>
    <row r="39" spans="1:23" ht="19.5" customHeight="1">
      <c r="A39" s="340"/>
      <c r="B39" s="339"/>
      <c r="C39" s="406" t="s">
        <v>1671</v>
      </c>
      <c r="D39" s="330" t="s">
        <v>1808</v>
      </c>
      <c r="E39" s="527">
        <f>1-'2.생활용수(광석)'!E7</f>
        <v>0</v>
      </c>
      <c r="F39" s="527" t="s">
        <v>1317</v>
      </c>
      <c r="G39" s="302">
        <f>IF($D39="A",ROUND(VLOOKUP($C39,'[2]2.행정구역별 급수인구'!$C$7:$AD$997,17,FALSE)*$E39,0),IF($D39="B",(ROUND(VLOOKUP($C39,'[2]2.행정구역별 급수인구'!$C$7:$AD$997,17,FALSE)-VLOOKUP($C39,'[2]2.행정구역별 급수인구'!$C$7:$AD$997,17,FALSE)*(1-$E39),0)),VLOOKUP($C39,'[2]2.행정구역별 급수인구'!$C$7:$AD$997,17,FALSE)))</f>
        <v>0</v>
      </c>
      <c r="H39" s="302">
        <f>IF($D39="A",ROUND(VLOOKUP($C39,'[2]2.행정구역별 급수인구'!$C$7:$AD$997,25,FALSE)*$E39,0),IF($D39="B",(ROUND(VLOOKUP($C39,'[2]2.행정구역별 급수인구'!$C$7:$AD$997,25,FALSE)-VLOOKUP($C39,'[2]2.행정구역별 급수인구'!$C$7:$AD$997,25,FALSE)*(1-$E39),0)),VLOOKUP($C39,'[2]2.행정구역별 급수인구'!$C$7:$AD$997,25,FALSE)))</f>
        <v>0</v>
      </c>
      <c r="I39" s="302">
        <f>IF($D39="A",ROUND(VLOOKUP($C39,'[2]2.행정구역별 급수인구'!$C$7:$AD$997,26,FALSE)*$E39,0),IF($D39="B",(ROUND(VLOOKUP($C39,'[2]2.행정구역별 급수인구'!$C$7:$AD$997,26,FALSE)-VLOOKUP($C39,'[2]2.행정구역별 급수인구'!$C$7:$AD$997,26,FALSE)*(1-$E39),0)),VLOOKUP($C39,'[2]2.행정구역별 급수인구'!$C$7:$AD$997,26,FALSE)))</f>
        <v>0</v>
      </c>
      <c r="J39" s="302">
        <f>IF($D39="A",ROUND(VLOOKUP($C39,'[2]2.행정구역별 급수인구'!$C$7:$AD$997,27,FALSE)*$E39,0),IF($D39="B",(ROUND(VLOOKUP($C39,'[2]2.행정구역별 급수인구'!$C$7:$AD$997,27,FALSE)-VLOOKUP($C39,'[2]2.행정구역별 급수인구'!$C$7:$AD$997,27,FALSE)*(1-$E39),0)),VLOOKUP($C39,'[2]2.행정구역별 급수인구'!$C$7:$AD$997,27,FALSE)))</f>
        <v>0</v>
      </c>
      <c r="K39" s="302">
        <f>IF($D39="A",ROUND(VLOOKUP($C39,'[2]2.행정구역별 급수인구'!$C$7:$AD$997,28,FALSE)*$E39,0),IF($D39="B",(ROUND(VLOOKUP($C39,'[2]2.행정구역별 급수인구'!$C$7:$AD$997,28,FALSE)-VLOOKUP($C39,'[2]2.행정구역별 급수인구'!$C$7:$AD$997,28,FALSE)*(1-$E39),0)),VLOOKUP($C39,'[2]2.행정구역별 급수인구'!$C$7:$AD$997,28,FALSE)))</f>
        <v>0</v>
      </c>
      <c r="L39" s="302">
        <f>VLOOKUP($F39,'[3]5.급수원단위'!$B$31:$G$35,2,FALSE)</f>
        <v>272</v>
      </c>
      <c r="M39" s="302">
        <f>VLOOKUP($F39,'[3]5.급수원단위'!$B$31:$G$35,3,FALSE)</f>
        <v>304</v>
      </c>
      <c r="N39" s="302">
        <f>VLOOKUP($F39,'[3]5.급수원단위'!$B$31:$G$35,4,FALSE)</f>
        <v>308</v>
      </c>
      <c r="O39" s="302">
        <f>VLOOKUP($F39,'[3]5.급수원단위'!$B$31:$G$35,5,FALSE)</f>
        <v>310</v>
      </c>
      <c r="P39" s="302">
        <f>VLOOKUP($F39,'[3]5.급수원단위'!$B$31:$G$35,6,FALSE)</f>
        <v>310</v>
      </c>
      <c r="Q39" s="302">
        <f>ROUND(IF(G39=0,0,VLOOKUP(C39,'2013실사용량 정리'!$D$6:$F$381,3,FALSE)),0)</f>
        <v>0</v>
      </c>
      <c r="R39" s="302">
        <f t="shared" ref="R39:U54" si="7">ROUND(H39*M39/1000,0)</f>
        <v>0</v>
      </c>
      <c r="S39" s="302">
        <f t="shared" si="7"/>
        <v>0</v>
      </c>
      <c r="T39" s="302">
        <f t="shared" si="7"/>
        <v>0</v>
      </c>
      <c r="U39" s="302">
        <f t="shared" si="7"/>
        <v>0</v>
      </c>
      <c r="V39" s="327" t="s">
        <v>1828</v>
      </c>
      <c r="W39" s="343" t="str">
        <f t="shared" si="5"/>
        <v/>
      </c>
    </row>
    <row r="40" spans="1:23" ht="19.5" customHeight="1">
      <c r="A40" s="386"/>
      <c r="B40" s="386"/>
      <c r="C40" s="406" t="s">
        <v>1672</v>
      </c>
      <c r="D40" s="330" t="s">
        <v>1808</v>
      </c>
      <c r="E40" s="527">
        <f>1-'2.생활용수(광석)'!E8</f>
        <v>0</v>
      </c>
      <c r="F40" s="527" t="s">
        <v>1317</v>
      </c>
      <c r="G40" s="302">
        <f>IF($D40="A",ROUND(VLOOKUP($C40,'[2]2.행정구역별 급수인구'!$C$7:$AD$997,17,FALSE)*$E40,0),IF($D40="B",(ROUND(VLOOKUP($C40,'[2]2.행정구역별 급수인구'!$C$7:$AD$997,17,FALSE)-VLOOKUP($C40,'[2]2.행정구역별 급수인구'!$C$7:$AD$997,17,FALSE)*(1-$E40),0)),VLOOKUP($C40,'[2]2.행정구역별 급수인구'!$C$7:$AD$997,17,FALSE)))</f>
        <v>0</v>
      </c>
      <c r="H40" s="302">
        <f>IF($D40="A",ROUND(VLOOKUP($C40,'[2]2.행정구역별 급수인구'!$C$7:$AD$997,25,FALSE)*$E40,0),IF($D40="B",(ROUND(VLOOKUP($C40,'[2]2.행정구역별 급수인구'!$C$7:$AD$997,25,FALSE)-VLOOKUP($C40,'[2]2.행정구역별 급수인구'!$C$7:$AD$997,25,FALSE)*(1-$E40),0)),VLOOKUP($C40,'[2]2.행정구역별 급수인구'!$C$7:$AD$997,25,FALSE)))</f>
        <v>0</v>
      </c>
      <c r="I40" s="302">
        <f>IF($D40="A",ROUND(VLOOKUP($C40,'[2]2.행정구역별 급수인구'!$C$7:$AD$997,26,FALSE)*$E40,0),IF($D40="B",(ROUND(VLOOKUP($C40,'[2]2.행정구역별 급수인구'!$C$7:$AD$997,26,FALSE)-VLOOKUP($C40,'[2]2.행정구역별 급수인구'!$C$7:$AD$997,26,FALSE)*(1-$E40),0)),VLOOKUP($C40,'[2]2.행정구역별 급수인구'!$C$7:$AD$997,26,FALSE)))</f>
        <v>0</v>
      </c>
      <c r="J40" s="302">
        <f>IF($D40="A",ROUND(VLOOKUP($C40,'[2]2.행정구역별 급수인구'!$C$7:$AD$997,27,FALSE)*$E40,0),IF($D40="B",(ROUND(VLOOKUP($C40,'[2]2.행정구역별 급수인구'!$C$7:$AD$997,27,FALSE)-VLOOKUP($C40,'[2]2.행정구역별 급수인구'!$C$7:$AD$997,27,FALSE)*(1-$E40),0)),VLOOKUP($C40,'[2]2.행정구역별 급수인구'!$C$7:$AD$997,27,FALSE)))</f>
        <v>0</v>
      </c>
      <c r="K40" s="302">
        <f>IF($D40="A",ROUND(VLOOKUP($C40,'[2]2.행정구역별 급수인구'!$C$7:$AD$997,28,FALSE)*$E40,0),IF($D40="B",(ROUND(VLOOKUP($C40,'[2]2.행정구역별 급수인구'!$C$7:$AD$997,28,FALSE)-VLOOKUP($C40,'[2]2.행정구역별 급수인구'!$C$7:$AD$997,28,FALSE)*(1-$E40),0)),VLOOKUP($C40,'[2]2.행정구역별 급수인구'!$C$7:$AD$997,28,FALSE)))</f>
        <v>0</v>
      </c>
      <c r="L40" s="302">
        <f>VLOOKUP($F40,'[3]5.급수원단위'!$B$31:$G$35,2,FALSE)</f>
        <v>272</v>
      </c>
      <c r="M40" s="302">
        <f>VLOOKUP($F40,'[3]5.급수원단위'!$B$31:$G$35,3,FALSE)</f>
        <v>304</v>
      </c>
      <c r="N40" s="302">
        <f>VLOOKUP($F40,'[3]5.급수원단위'!$B$31:$G$35,4,FALSE)</f>
        <v>308</v>
      </c>
      <c r="O40" s="302">
        <f>VLOOKUP($F40,'[3]5.급수원단위'!$B$31:$G$35,5,FALSE)</f>
        <v>310</v>
      </c>
      <c r="P40" s="302">
        <f>VLOOKUP($F40,'[3]5.급수원단위'!$B$31:$G$35,6,FALSE)</f>
        <v>310</v>
      </c>
      <c r="Q40" s="302">
        <f>ROUND(IF(G40=0,0,VLOOKUP(C40,'2013실사용량 정리'!$D$6:$F$381,3,FALSE)),0)</f>
        <v>0</v>
      </c>
      <c r="R40" s="302">
        <f t="shared" si="7"/>
        <v>0</v>
      </c>
      <c r="S40" s="302">
        <f t="shared" si="7"/>
        <v>0</v>
      </c>
      <c r="T40" s="302">
        <f t="shared" si="7"/>
        <v>0</v>
      </c>
      <c r="U40" s="302">
        <f t="shared" si="7"/>
        <v>0</v>
      </c>
      <c r="V40" s="327" t="s">
        <v>1828</v>
      </c>
      <c r="W40" s="343" t="str">
        <f t="shared" si="5"/>
        <v/>
      </c>
    </row>
    <row r="41" spans="1:23" ht="19.5" customHeight="1">
      <c r="A41" s="339"/>
      <c r="B41" s="339"/>
      <c r="C41" s="406" t="s">
        <v>1673</v>
      </c>
      <c r="D41" s="330" t="s">
        <v>1808</v>
      </c>
      <c r="E41" s="527">
        <f>1-'2.생활용수(광석)'!E9</f>
        <v>0</v>
      </c>
      <c r="F41" s="527" t="s">
        <v>1317</v>
      </c>
      <c r="G41" s="302">
        <f>IF($D41="A",ROUND(VLOOKUP($C41,'[2]2.행정구역별 급수인구'!$C$7:$AD$997,17,FALSE)*$E41,0),IF($D41="B",(ROUND(VLOOKUP($C41,'[2]2.행정구역별 급수인구'!$C$7:$AD$997,17,FALSE)-VLOOKUP($C41,'[2]2.행정구역별 급수인구'!$C$7:$AD$997,17,FALSE)*(1-$E41),0)),VLOOKUP($C41,'[2]2.행정구역별 급수인구'!$C$7:$AD$997,17,FALSE)))</f>
        <v>0</v>
      </c>
      <c r="H41" s="302">
        <f>IF($D41="A",ROUND(VLOOKUP($C41,'[2]2.행정구역별 급수인구'!$C$7:$AD$997,25,FALSE)*$E41,0),IF($D41="B",(ROUND(VLOOKUP($C41,'[2]2.행정구역별 급수인구'!$C$7:$AD$997,25,FALSE)-VLOOKUP($C41,'[2]2.행정구역별 급수인구'!$C$7:$AD$997,25,FALSE)*(1-$E41),0)),VLOOKUP($C41,'[2]2.행정구역별 급수인구'!$C$7:$AD$997,25,FALSE)))</f>
        <v>0</v>
      </c>
      <c r="I41" s="302">
        <f>IF($D41="A",ROUND(VLOOKUP($C41,'[2]2.행정구역별 급수인구'!$C$7:$AD$997,26,FALSE)*$E41,0),IF($D41="B",(ROUND(VLOOKUP($C41,'[2]2.행정구역별 급수인구'!$C$7:$AD$997,26,FALSE)-VLOOKUP($C41,'[2]2.행정구역별 급수인구'!$C$7:$AD$997,26,FALSE)*(1-$E41),0)),VLOOKUP($C41,'[2]2.행정구역별 급수인구'!$C$7:$AD$997,26,FALSE)))</f>
        <v>0</v>
      </c>
      <c r="J41" s="302">
        <f>IF($D41="A",ROUND(VLOOKUP($C41,'[2]2.행정구역별 급수인구'!$C$7:$AD$997,27,FALSE)*$E41,0),IF($D41="B",(ROUND(VLOOKUP($C41,'[2]2.행정구역별 급수인구'!$C$7:$AD$997,27,FALSE)-VLOOKUP($C41,'[2]2.행정구역별 급수인구'!$C$7:$AD$997,27,FALSE)*(1-$E41),0)),VLOOKUP($C41,'[2]2.행정구역별 급수인구'!$C$7:$AD$997,27,FALSE)))</f>
        <v>0</v>
      </c>
      <c r="K41" s="302">
        <f>IF($D41="A",ROUND(VLOOKUP($C41,'[2]2.행정구역별 급수인구'!$C$7:$AD$997,28,FALSE)*$E41,0),IF($D41="B",(ROUND(VLOOKUP($C41,'[2]2.행정구역별 급수인구'!$C$7:$AD$997,28,FALSE)-VLOOKUP($C41,'[2]2.행정구역별 급수인구'!$C$7:$AD$997,28,FALSE)*(1-$E41),0)),VLOOKUP($C41,'[2]2.행정구역별 급수인구'!$C$7:$AD$997,28,FALSE)))</f>
        <v>0</v>
      </c>
      <c r="L41" s="302">
        <f>VLOOKUP($F41,'[3]5.급수원단위'!$B$31:$G$35,2,FALSE)</f>
        <v>272</v>
      </c>
      <c r="M41" s="302">
        <f>VLOOKUP($F41,'[3]5.급수원단위'!$B$31:$G$35,3,FALSE)</f>
        <v>304</v>
      </c>
      <c r="N41" s="302">
        <f>VLOOKUP($F41,'[3]5.급수원단위'!$B$31:$G$35,4,FALSE)</f>
        <v>308</v>
      </c>
      <c r="O41" s="302">
        <f>VLOOKUP($F41,'[3]5.급수원단위'!$B$31:$G$35,5,FALSE)</f>
        <v>310</v>
      </c>
      <c r="P41" s="302">
        <f>VLOOKUP($F41,'[3]5.급수원단위'!$B$31:$G$35,6,FALSE)</f>
        <v>310</v>
      </c>
      <c r="Q41" s="302">
        <f>ROUND(IF(G41=0,0,VLOOKUP(C41,'2013실사용량 정리'!$D$6:$F$381,3,FALSE)),0)</f>
        <v>0</v>
      </c>
      <c r="R41" s="302">
        <f t="shared" si="7"/>
        <v>0</v>
      </c>
      <c r="S41" s="302">
        <f t="shared" si="7"/>
        <v>0</v>
      </c>
      <c r="T41" s="302">
        <f t="shared" si="7"/>
        <v>0</v>
      </c>
      <c r="U41" s="302">
        <f t="shared" si="7"/>
        <v>0</v>
      </c>
      <c r="V41" s="327" t="s">
        <v>1828</v>
      </c>
      <c r="W41" s="343" t="str">
        <f t="shared" si="5"/>
        <v/>
      </c>
    </row>
    <row r="42" spans="1:23" ht="19.5" customHeight="1">
      <c r="A42" s="340"/>
      <c r="B42" s="340"/>
      <c r="C42" s="406" t="s">
        <v>1674</v>
      </c>
      <c r="D42" s="330" t="s">
        <v>1808</v>
      </c>
      <c r="E42" s="527">
        <f>1-'2.생활용수(광석)'!E10</f>
        <v>0</v>
      </c>
      <c r="F42" s="527" t="s">
        <v>1317</v>
      </c>
      <c r="G42" s="302">
        <f>IF($D42="A",ROUND(VLOOKUP($C42,'[2]2.행정구역별 급수인구'!$C$7:$AD$997,17,FALSE)*$E42,0),IF($D42="B",(ROUND(VLOOKUP($C42,'[2]2.행정구역별 급수인구'!$C$7:$AD$997,17,FALSE)-VLOOKUP($C42,'[2]2.행정구역별 급수인구'!$C$7:$AD$997,17,FALSE)*(1-$E42),0)),VLOOKUP($C42,'[2]2.행정구역별 급수인구'!$C$7:$AD$997,17,FALSE)))</f>
        <v>0</v>
      </c>
      <c r="H42" s="302">
        <f>IF($D42="A",ROUND(VLOOKUP($C42,'[2]2.행정구역별 급수인구'!$C$7:$AD$997,25,FALSE)*$E42,0),IF($D42="B",(ROUND(VLOOKUP($C42,'[2]2.행정구역별 급수인구'!$C$7:$AD$997,25,FALSE)-VLOOKUP($C42,'[2]2.행정구역별 급수인구'!$C$7:$AD$997,25,FALSE)*(1-$E42),0)),VLOOKUP($C42,'[2]2.행정구역별 급수인구'!$C$7:$AD$997,25,FALSE)))</f>
        <v>0</v>
      </c>
      <c r="I42" s="302">
        <f>IF($D42="A",ROUND(VLOOKUP($C42,'[2]2.행정구역별 급수인구'!$C$7:$AD$997,26,FALSE)*$E42,0),IF($D42="B",(ROUND(VLOOKUP($C42,'[2]2.행정구역별 급수인구'!$C$7:$AD$997,26,FALSE)-VLOOKUP($C42,'[2]2.행정구역별 급수인구'!$C$7:$AD$997,26,FALSE)*(1-$E42),0)),VLOOKUP($C42,'[2]2.행정구역별 급수인구'!$C$7:$AD$997,26,FALSE)))</f>
        <v>0</v>
      </c>
      <c r="J42" s="302">
        <f>IF($D42="A",ROUND(VLOOKUP($C42,'[2]2.행정구역별 급수인구'!$C$7:$AD$997,27,FALSE)*$E42,0),IF($D42="B",(ROUND(VLOOKUP($C42,'[2]2.행정구역별 급수인구'!$C$7:$AD$997,27,FALSE)-VLOOKUP($C42,'[2]2.행정구역별 급수인구'!$C$7:$AD$997,27,FALSE)*(1-$E42),0)),VLOOKUP($C42,'[2]2.행정구역별 급수인구'!$C$7:$AD$997,27,FALSE)))</f>
        <v>0</v>
      </c>
      <c r="K42" s="302">
        <f>IF($D42="A",ROUND(VLOOKUP($C42,'[2]2.행정구역별 급수인구'!$C$7:$AD$997,28,FALSE)*$E42,0),IF($D42="B",(ROUND(VLOOKUP($C42,'[2]2.행정구역별 급수인구'!$C$7:$AD$997,28,FALSE)-VLOOKUP($C42,'[2]2.행정구역별 급수인구'!$C$7:$AD$997,28,FALSE)*(1-$E42),0)),VLOOKUP($C42,'[2]2.행정구역별 급수인구'!$C$7:$AD$997,28,FALSE)))</f>
        <v>0</v>
      </c>
      <c r="L42" s="302">
        <f>VLOOKUP($F42,'[3]5.급수원단위'!$B$31:$G$35,2,FALSE)</f>
        <v>272</v>
      </c>
      <c r="M42" s="302">
        <f>VLOOKUP($F42,'[3]5.급수원단위'!$B$31:$G$35,3,FALSE)</f>
        <v>304</v>
      </c>
      <c r="N42" s="302">
        <f>VLOOKUP($F42,'[3]5.급수원단위'!$B$31:$G$35,4,FALSE)</f>
        <v>308</v>
      </c>
      <c r="O42" s="302">
        <f>VLOOKUP($F42,'[3]5.급수원단위'!$B$31:$G$35,5,FALSE)</f>
        <v>310</v>
      </c>
      <c r="P42" s="302">
        <f>VLOOKUP($F42,'[3]5.급수원단위'!$B$31:$G$35,6,FALSE)</f>
        <v>310</v>
      </c>
      <c r="Q42" s="302">
        <f>ROUND(IF(G42=0,0,VLOOKUP(C42,'2013실사용량 정리'!$D$6:$F$381,3,FALSE)),0)</f>
        <v>0</v>
      </c>
      <c r="R42" s="302">
        <f t="shared" si="7"/>
        <v>0</v>
      </c>
      <c r="S42" s="302">
        <f t="shared" si="7"/>
        <v>0</v>
      </c>
      <c r="T42" s="302">
        <f t="shared" si="7"/>
        <v>0</v>
      </c>
      <c r="U42" s="302">
        <f t="shared" si="7"/>
        <v>0</v>
      </c>
      <c r="V42" s="327" t="s">
        <v>1828</v>
      </c>
      <c r="W42" s="343" t="str">
        <f t="shared" si="5"/>
        <v/>
      </c>
    </row>
    <row r="43" spans="1:23" ht="19.5" customHeight="1">
      <c r="A43" s="340"/>
      <c r="B43" s="340"/>
      <c r="C43" s="406" t="s">
        <v>1675</v>
      </c>
      <c r="D43" s="330" t="s">
        <v>1808</v>
      </c>
      <c r="E43" s="527">
        <f>1-'2.생활용수(광석)'!E11</f>
        <v>0</v>
      </c>
      <c r="F43" s="527" t="s">
        <v>1317</v>
      </c>
      <c r="G43" s="302">
        <f>IF($D43="A",ROUND(VLOOKUP($C43,'[2]2.행정구역별 급수인구'!$C$7:$AD$997,17,FALSE)*$E43,0),IF($D43="B",(ROUND(VLOOKUP($C43,'[2]2.행정구역별 급수인구'!$C$7:$AD$997,17,FALSE)-VLOOKUP($C43,'[2]2.행정구역별 급수인구'!$C$7:$AD$997,17,FALSE)*(1-$E43),0)),VLOOKUP($C43,'[2]2.행정구역별 급수인구'!$C$7:$AD$997,17,FALSE)))</f>
        <v>0</v>
      </c>
      <c r="H43" s="302">
        <f>IF($D43="A",ROUND(VLOOKUP($C43,'[2]2.행정구역별 급수인구'!$C$7:$AD$997,25,FALSE)*$E43,0),IF($D43="B",(ROUND(VLOOKUP($C43,'[2]2.행정구역별 급수인구'!$C$7:$AD$997,25,FALSE)-VLOOKUP($C43,'[2]2.행정구역별 급수인구'!$C$7:$AD$997,25,FALSE)*(1-$E43),0)),VLOOKUP($C43,'[2]2.행정구역별 급수인구'!$C$7:$AD$997,25,FALSE)))</f>
        <v>0</v>
      </c>
      <c r="I43" s="302">
        <f>IF($D43="A",ROUND(VLOOKUP($C43,'[2]2.행정구역별 급수인구'!$C$7:$AD$997,26,FALSE)*$E43,0),IF($D43="B",(ROUND(VLOOKUP($C43,'[2]2.행정구역별 급수인구'!$C$7:$AD$997,26,FALSE)-VLOOKUP($C43,'[2]2.행정구역별 급수인구'!$C$7:$AD$997,26,FALSE)*(1-$E43),0)),VLOOKUP($C43,'[2]2.행정구역별 급수인구'!$C$7:$AD$997,26,FALSE)))</f>
        <v>0</v>
      </c>
      <c r="J43" s="302">
        <f>IF($D43="A",ROUND(VLOOKUP($C43,'[2]2.행정구역별 급수인구'!$C$7:$AD$997,27,FALSE)*$E43,0),IF($D43="B",(ROUND(VLOOKUP($C43,'[2]2.행정구역별 급수인구'!$C$7:$AD$997,27,FALSE)-VLOOKUP($C43,'[2]2.행정구역별 급수인구'!$C$7:$AD$997,27,FALSE)*(1-$E43),0)),VLOOKUP($C43,'[2]2.행정구역별 급수인구'!$C$7:$AD$997,27,FALSE)))</f>
        <v>0</v>
      </c>
      <c r="K43" s="302">
        <f>IF($D43="A",ROUND(VLOOKUP($C43,'[2]2.행정구역별 급수인구'!$C$7:$AD$997,28,FALSE)*$E43,0),IF($D43="B",(ROUND(VLOOKUP($C43,'[2]2.행정구역별 급수인구'!$C$7:$AD$997,28,FALSE)-VLOOKUP($C43,'[2]2.행정구역별 급수인구'!$C$7:$AD$997,28,FALSE)*(1-$E43),0)),VLOOKUP($C43,'[2]2.행정구역별 급수인구'!$C$7:$AD$997,28,FALSE)))</f>
        <v>0</v>
      </c>
      <c r="L43" s="302">
        <f>VLOOKUP($F43,'[3]5.급수원단위'!$B$31:$G$35,2,FALSE)</f>
        <v>272</v>
      </c>
      <c r="M43" s="302">
        <f>VLOOKUP($F43,'[3]5.급수원단위'!$B$31:$G$35,3,FALSE)</f>
        <v>304</v>
      </c>
      <c r="N43" s="302">
        <f>VLOOKUP($F43,'[3]5.급수원단위'!$B$31:$G$35,4,FALSE)</f>
        <v>308</v>
      </c>
      <c r="O43" s="302">
        <f>VLOOKUP($F43,'[3]5.급수원단위'!$B$31:$G$35,5,FALSE)</f>
        <v>310</v>
      </c>
      <c r="P43" s="302">
        <f>VLOOKUP($F43,'[3]5.급수원단위'!$B$31:$G$35,6,FALSE)</f>
        <v>310</v>
      </c>
      <c r="Q43" s="302">
        <f>ROUND(IF(G43=0,0,VLOOKUP(C43,'2013실사용량 정리'!$D$6:$F$381,3,FALSE)),0)</f>
        <v>0</v>
      </c>
      <c r="R43" s="302">
        <f t="shared" si="7"/>
        <v>0</v>
      </c>
      <c r="S43" s="302">
        <f t="shared" si="7"/>
        <v>0</v>
      </c>
      <c r="T43" s="302">
        <f t="shared" si="7"/>
        <v>0</v>
      </c>
      <c r="U43" s="302">
        <f t="shared" si="7"/>
        <v>0</v>
      </c>
      <c r="V43" s="327" t="s">
        <v>1828</v>
      </c>
      <c r="W43" s="343" t="str">
        <f t="shared" si="5"/>
        <v/>
      </c>
    </row>
    <row r="44" spans="1:23" ht="19.5" customHeight="1">
      <c r="A44" s="340"/>
      <c r="B44" s="340"/>
      <c r="C44" s="406" t="s">
        <v>1676</v>
      </c>
      <c r="D44" s="330" t="s">
        <v>1808</v>
      </c>
      <c r="E44" s="527">
        <f>1-'2.생활용수(광석)'!E12</f>
        <v>0</v>
      </c>
      <c r="F44" s="527" t="s">
        <v>1317</v>
      </c>
      <c r="G44" s="302">
        <f>IF($D44="A",ROUND(VLOOKUP($C44,'[2]2.행정구역별 급수인구'!$C$7:$AD$997,17,FALSE)*$E44,0),IF($D44="B",(ROUND(VLOOKUP($C44,'[2]2.행정구역별 급수인구'!$C$7:$AD$997,17,FALSE)-VLOOKUP($C44,'[2]2.행정구역별 급수인구'!$C$7:$AD$997,17,FALSE)*(1-$E44),0)),VLOOKUP($C44,'[2]2.행정구역별 급수인구'!$C$7:$AD$997,17,FALSE)))</f>
        <v>0</v>
      </c>
      <c r="H44" s="302">
        <f>IF($D44="A",ROUND(VLOOKUP($C44,'[2]2.행정구역별 급수인구'!$C$7:$AD$997,25,FALSE)*$E44,0),IF($D44="B",(ROUND(VLOOKUP($C44,'[2]2.행정구역별 급수인구'!$C$7:$AD$997,25,FALSE)-VLOOKUP($C44,'[2]2.행정구역별 급수인구'!$C$7:$AD$997,25,FALSE)*(1-$E44),0)),VLOOKUP($C44,'[2]2.행정구역별 급수인구'!$C$7:$AD$997,25,FALSE)))</f>
        <v>0</v>
      </c>
      <c r="I44" s="302">
        <f>IF($D44="A",ROUND(VLOOKUP($C44,'[2]2.행정구역별 급수인구'!$C$7:$AD$997,26,FALSE)*$E44,0),IF($D44="B",(ROUND(VLOOKUP($C44,'[2]2.행정구역별 급수인구'!$C$7:$AD$997,26,FALSE)-VLOOKUP($C44,'[2]2.행정구역별 급수인구'!$C$7:$AD$997,26,FALSE)*(1-$E44),0)),VLOOKUP($C44,'[2]2.행정구역별 급수인구'!$C$7:$AD$997,26,FALSE)))</f>
        <v>0</v>
      </c>
      <c r="J44" s="302">
        <f>IF($D44="A",ROUND(VLOOKUP($C44,'[2]2.행정구역별 급수인구'!$C$7:$AD$997,27,FALSE)*$E44,0),IF($D44="B",(ROUND(VLOOKUP($C44,'[2]2.행정구역별 급수인구'!$C$7:$AD$997,27,FALSE)-VLOOKUP($C44,'[2]2.행정구역별 급수인구'!$C$7:$AD$997,27,FALSE)*(1-$E44),0)),VLOOKUP($C44,'[2]2.행정구역별 급수인구'!$C$7:$AD$997,27,FALSE)))</f>
        <v>0</v>
      </c>
      <c r="K44" s="302">
        <f>IF($D44="A",ROUND(VLOOKUP($C44,'[2]2.행정구역별 급수인구'!$C$7:$AD$997,28,FALSE)*$E44,0),IF($D44="B",(ROUND(VLOOKUP($C44,'[2]2.행정구역별 급수인구'!$C$7:$AD$997,28,FALSE)-VLOOKUP($C44,'[2]2.행정구역별 급수인구'!$C$7:$AD$997,28,FALSE)*(1-$E44),0)),VLOOKUP($C44,'[2]2.행정구역별 급수인구'!$C$7:$AD$997,28,FALSE)))</f>
        <v>0</v>
      </c>
      <c r="L44" s="302">
        <f>VLOOKUP($F44,'[3]5.급수원단위'!$B$31:$G$35,2,FALSE)</f>
        <v>272</v>
      </c>
      <c r="M44" s="302">
        <f>VLOOKUP($F44,'[3]5.급수원단위'!$B$31:$G$35,3,FALSE)</f>
        <v>304</v>
      </c>
      <c r="N44" s="302">
        <f>VLOOKUP($F44,'[3]5.급수원단위'!$B$31:$G$35,4,FALSE)</f>
        <v>308</v>
      </c>
      <c r="O44" s="302">
        <f>VLOOKUP($F44,'[3]5.급수원단위'!$B$31:$G$35,5,FALSE)</f>
        <v>310</v>
      </c>
      <c r="P44" s="302">
        <f>VLOOKUP($F44,'[3]5.급수원단위'!$B$31:$G$35,6,FALSE)</f>
        <v>310</v>
      </c>
      <c r="Q44" s="302">
        <f>ROUND(IF(G44=0,0,VLOOKUP(C44,'2013실사용량 정리'!$D$6:$F$381,3,FALSE)),0)</f>
        <v>0</v>
      </c>
      <c r="R44" s="302">
        <f t="shared" si="7"/>
        <v>0</v>
      </c>
      <c r="S44" s="302">
        <f t="shared" si="7"/>
        <v>0</v>
      </c>
      <c r="T44" s="302">
        <f t="shared" si="7"/>
        <v>0</v>
      </c>
      <c r="U44" s="302">
        <f t="shared" si="7"/>
        <v>0</v>
      </c>
      <c r="V44" s="327" t="s">
        <v>1828</v>
      </c>
      <c r="W44" s="343" t="str">
        <f t="shared" si="5"/>
        <v/>
      </c>
    </row>
    <row r="45" spans="1:23" ht="19.5" customHeight="1">
      <c r="A45" s="340"/>
      <c r="B45" s="340"/>
      <c r="C45" s="406" t="s">
        <v>1677</v>
      </c>
      <c r="D45" s="330" t="s">
        <v>1808</v>
      </c>
      <c r="E45" s="527">
        <f>1-'2.생활용수(광석)'!E13</f>
        <v>0</v>
      </c>
      <c r="F45" s="527" t="s">
        <v>1317</v>
      </c>
      <c r="G45" s="302">
        <f>IF($D45="A",ROUND(VLOOKUP($C45,'[2]2.행정구역별 급수인구'!$C$7:$AD$997,17,FALSE)*$E45,0),IF($D45="B",(ROUND(VLOOKUP($C45,'[2]2.행정구역별 급수인구'!$C$7:$AD$997,17,FALSE)-VLOOKUP($C45,'[2]2.행정구역별 급수인구'!$C$7:$AD$997,17,FALSE)*(1-$E45),0)),VLOOKUP($C45,'[2]2.행정구역별 급수인구'!$C$7:$AD$997,17,FALSE)))</f>
        <v>0</v>
      </c>
      <c r="H45" s="302">
        <f>IF($D45="A",ROUND(VLOOKUP($C45,'[2]2.행정구역별 급수인구'!$C$7:$AD$997,25,FALSE)*$E45,0),IF($D45="B",(ROUND(VLOOKUP($C45,'[2]2.행정구역별 급수인구'!$C$7:$AD$997,25,FALSE)-VLOOKUP($C45,'[2]2.행정구역별 급수인구'!$C$7:$AD$997,25,FALSE)*(1-$E45),0)),VLOOKUP($C45,'[2]2.행정구역별 급수인구'!$C$7:$AD$997,25,FALSE)))</f>
        <v>0</v>
      </c>
      <c r="I45" s="302">
        <f>IF($D45="A",ROUND(VLOOKUP($C45,'[2]2.행정구역별 급수인구'!$C$7:$AD$997,26,FALSE)*$E45,0),IF($D45="B",(ROUND(VLOOKUP($C45,'[2]2.행정구역별 급수인구'!$C$7:$AD$997,26,FALSE)-VLOOKUP($C45,'[2]2.행정구역별 급수인구'!$C$7:$AD$997,26,FALSE)*(1-$E45),0)),VLOOKUP($C45,'[2]2.행정구역별 급수인구'!$C$7:$AD$997,26,FALSE)))</f>
        <v>0</v>
      </c>
      <c r="J45" s="302">
        <f>IF($D45="A",ROUND(VLOOKUP($C45,'[2]2.행정구역별 급수인구'!$C$7:$AD$997,27,FALSE)*$E45,0),IF($D45="B",(ROUND(VLOOKUP($C45,'[2]2.행정구역별 급수인구'!$C$7:$AD$997,27,FALSE)-VLOOKUP($C45,'[2]2.행정구역별 급수인구'!$C$7:$AD$997,27,FALSE)*(1-$E45),0)),VLOOKUP($C45,'[2]2.행정구역별 급수인구'!$C$7:$AD$997,27,FALSE)))</f>
        <v>0</v>
      </c>
      <c r="K45" s="302">
        <f>IF($D45="A",ROUND(VLOOKUP($C45,'[2]2.행정구역별 급수인구'!$C$7:$AD$997,28,FALSE)*$E45,0),IF($D45="B",(ROUND(VLOOKUP($C45,'[2]2.행정구역별 급수인구'!$C$7:$AD$997,28,FALSE)-VLOOKUP($C45,'[2]2.행정구역별 급수인구'!$C$7:$AD$997,28,FALSE)*(1-$E45),0)),VLOOKUP($C45,'[2]2.행정구역별 급수인구'!$C$7:$AD$997,28,FALSE)))</f>
        <v>0</v>
      </c>
      <c r="L45" s="302">
        <f>VLOOKUP($F45,'[3]5.급수원단위'!$B$31:$G$35,2,FALSE)</f>
        <v>272</v>
      </c>
      <c r="M45" s="302">
        <f>VLOOKUP($F45,'[3]5.급수원단위'!$B$31:$G$35,3,FALSE)</f>
        <v>304</v>
      </c>
      <c r="N45" s="302">
        <f>VLOOKUP($F45,'[3]5.급수원단위'!$B$31:$G$35,4,FALSE)</f>
        <v>308</v>
      </c>
      <c r="O45" s="302">
        <f>VLOOKUP($F45,'[3]5.급수원단위'!$B$31:$G$35,5,FALSE)</f>
        <v>310</v>
      </c>
      <c r="P45" s="302">
        <f>VLOOKUP($F45,'[3]5.급수원단위'!$B$31:$G$35,6,FALSE)</f>
        <v>310</v>
      </c>
      <c r="Q45" s="302">
        <f>ROUND(IF(G45=0,0,VLOOKUP(C45,'2013실사용량 정리'!$D$6:$F$381,3,FALSE)),0)</f>
        <v>0</v>
      </c>
      <c r="R45" s="302">
        <f t="shared" si="7"/>
        <v>0</v>
      </c>
      <c r="S45" s="302">
        <f t="shared" si="7"/>
        <v>0</v>
      </c>
      <c r="T45" s="302">
        <f t="shared" si="7"/>
        <v>0</v>
      </c>
      <c r="U45" s="302">
        <f t="shared" si="7"/>
        <v>0</v>
      </c>
      <c r="V45" s="327" t="s">
        <v>1828</v>
      </c>
      <c r="W45" s="343" t="str">
        <f t="shared" si="5"/>
        <v/>
      </c>
    </row>
    <row r="46" spans="1:23" ht="19.5" customHeight="1">
      <c r="A46" s="340"/>
      <c r="B46" s="340"/>
      <c r="C46" s="406" t="s">
        <v>1678</v>
      </c>
      <c r="D46" s="330" t="s">
        <v>1808</v>
      </c>
      <c r="E46" s="527">
        <f>1-'2.생활용수(광석)'!E14</f>
        <v>0</v>
      </c>
      <c r="F46" s="527" t="s">
        <v>1317</v>
      </c>
      <c r="G46" s="302">
        <f>IF($D46="A",ROUND(VLOOKUP($C46,'[2]2.행정구역별 급수인구'!$C$7:$AD$997,17,FALSE)*$E46,0),IF($D46="B",(ROUND(VLOOKUP($C46,'[2]2.행정구역별 급수인구'!$C$7:$AD$997,17,FALSE)-VLOOKUP($C46,'[2]2.행정구역별 급수인구'!$C$7:$AD$997,17,FALSE)*(1-$E46),0)),VLOOKUP($C46,'[2]2.행정구역별 급수인구'!$C$7:$AD$997,17,FALSE)))</f>
        <v>0</v>
      </c>
      <c r="H46" s="302">
        <f>IF($D46="A",ROUND(VLOOKUP($C46,'[2]2.행정구역별 급수인구'!$C$7:$AD$997,25,FALSE)*$E46,0),IF($D46="B",(ROUND(VLOOKUP($C46,'[2]2.행정구역별 급수인구'!$C$7:$AD$997,25,FALSE)-VLOOKUP($C46,'[2]2.행정구역별 급수인구'!$C$7:$AD$997,25,FALSE)*(1-$E46),0)),VLOOKUP($C46,'[2]2.행정구역별 급수인구'!$C$7:$AD$997,25,FALSE)))</f>
        <v>0</v>
      </c>
      <c r="I46" s="302">
        <f>IF($D46="A",ROUND(VLOOKUP($C46,'[2]2.행정구역별 급수인구'!$C$7:$AD$997,26,FALSE)*$E46,0),IF($D46="B",(ROUND(VLOOKUP($C46,'[2]2.행정구역별 급수인구'!$C$7:$AD$997,26,FALSE)-VLOOKUP($C46,'[2]2.행정구역별 급수인구'!$C$7:$AD$997,26,FALSE)*(1-$E46),0)),VLOOKUP($C46,'[2]2.행정구역별 급수인구'!$C$7:$AD$997,26,FALSE)))</f>
        <v>0</v>
      </c>
      <c r="J46" s="302">
        <f>IF($D46="A",ROUND(VLOOKUP($C46,'[2]2.행정구역별 급수인구'!$C$7:$AD$997,27,FALSE)*$E46,0),IF($D46="B",(ROUND(VLOOKUP($C46,'[2]2.행정구역별 급수인구'!$C$7:$AD$997,27,FALSE)-VLOOKUP($C46,'[2]2.행정구역별 급수인구'!$C$7:$AD$997,27,FALSE)*(1-$E46),0)),VLOOKUP($C46,'[2]2.행정구역별 급수인구'!$C$7:$AD$997,27,FALSE)))</f>
        <v>0</v>
      </c>
      <c r="K46" s="302">
        <f>IF($D46="A",ROUND(VLOOKUP($C46,'[2]2.행정구역별 급수인구'!$C$7:$AD$997,28,FALSE)*$E46,0),IF($D46="B",(ROUND(VLOOKUP($C46,'[2]2.행정구역별 급수인구'!$C$7:$AD$997,28,FALSE)-VLOOKUP($C46,'[2]2.행정구역별 급수인구'!$C$7:$AD$997,28,FALSE)*(1-$E46),0)),VLOOKUP($C46,'[2]2.행정구역별 급수인구'!$C$7:$AD$997,28,FALSE)))</f>
        <v>0</v>
      </c>
      <c r="L46" s="302">
        <f>VLOOKUP($F46,'[3]5.급수원단위'!$B$31:$G$35,2,FALSE)</f>
        <v>272</v>
      </c>
      <c r="M46" s="302">
        <f>VLOOKUP($F46,'[3]5.급수원단위'!$B$31:$G$35,3,FALSE)</f>
        <v>304</v>
      </c>
      <c r="N46" s="302">
        <f>VLOOKUP($F46,'[3]5.급수원단위'!$B$31:$G$35,4,FALSE)</f>
        <v>308</v>
      </c>
      <c r="O46" s="302">
        <f>VLOOKUP($F46,'[3]5.급수원단위'!$B$31:$G$35,5,FALSE)</f>
        <v>310</v>
      </c>
      <c r="P46" s="302">
        <f>VLOOKUP($F46,'[3]5.급수원단위'!$B$31:$G$35,6,FALSE)</f>
        <v>310</v>
      </c>
      <c r="Q46" s="302">
        <f>ROUND(IF(G46=0,0,VLOOKUP(C46,'2013실사용량 정리'!$D$6:$F$381,3,FALSE)),0)</f>
        <v>0</v>
      </c>
      <c r="R46" s="302">
        <f t="shared" si="7"/>
        <v>0</v>
      </c>
      <c r="S46" s="302">
        <f t="shared" si="7"/>
        <v>0</v>
      </c>
      <c r="T46" s="302">
        <f t="shared" si="7"/>
        <v>0</v>
      </c>
      <c r="U46" s="302">
        <f t="shared" si="7"/>
        <v>0</v>
      </c>
      <c r="V46" s="327" t="s">
        <v>1828</v>
      </c>
      <c r="W46" s="343" t="str">
        <f t="shared" si="5"/>
        <v/>
      </c>
    </row>
    <row r="47" spans="1:23" ht="19.5" customHeight="1">
      <c r="A47" s="340"/>
      <c r="B47" s="340"/>
      <c r="C47" s="406" t="s">
        <v>1679</v>
      </c>
      <c r="D47" s="330" t="s">
        <v>1808</v>
      </c>
      <c r="E47" s="527">
        <f>1-'2.생활용수(광석)'!E15</f>
        <v>0</v>
      </c>
      <c r="F47" s="527" t="s">
        <v>1317</v>
      </c>
      <c r="G47" s="302">
        <f>IF($D47="A",ROUND(VLOOKUP($C47,'[2]2.행정구역별 급수인구'!$C$7:$AD$997,17,FALSE)*$E47,0),IF($D47="B",(ROUND(VLOOKUP($C47,'[2]2.행정구역별 급수인구'!$C$7:$AD$997,17,FALSE)-VLOOKUP($C47,'[2]2.행정구역별 급수인구'!$C$7:$AD$997,17,FALSE)*(1-$E47),0)),VLOOKUP($C47,'[2]2.행정구역별 급수인구'!$C$7:$AD$997,17,FALSE)))</f>
        <v>0</v>
      </c>
      <c r="H47" s="302">
        <f>IF($D47="A",ROUND(VLOOKUP($C47,'[2]2.행정구역별 급수인구'!$C$7:$AD$997,25,FALSE)*$E47,0),IF($D47="B",(ROUND(VLOOKUP($C47,'[2]2.행정구역별 급수인구'!$C$7:$AD$997,25,FALSE)-VLOOKUP($C47,'[2]2.행정구역별 급수인구'!$C$7:$AD$997,25,FALSE)*(1-$E47),0)),VLOOKUP($C47,'[2]2.행정구역별 급수인구'!$C$7:$AD$997,25,FALSE)))</f>
        <v>0</v>
      </c>
      <c r="I47" s="302">
        <f>IF($D47="A",ROUND(VLOOKUP($C47,'[2]2.행정구역별 급수인구'!$C$7:$AD$997,26,FALSE)*$E47,0),IF($D47="B",(ROUND(VLOOKUP($C47,'[2]2.행정구역별 급수인구'!$C$7:$AD$997,26,FALSE)-VLOOKUP($C47,'[2]2.행정구역별 급수인구'!$C$7:$AD$997,26,FALSE)*(1-$E47),0)),VLOOKUP($C47,'[2]2.행정구역별 급수인구'!$C$7:$AD$997,26,FALSE)))</f>
        <v>0</v>
      </c>
      <c r="J47" s="302">
        <f>IF($D47="A",ROUND(VLOOKUP($C47,'[2]2.행정구역별 급수인구'!$C$7:$AD$997,27,FALSE)*$E47,0),IF($D47="B",(ROUND(VLOOKUP($C47,'[2]2.행정구역별 급수인구'!$C$7:$AD$997,27,FALSE)-VLOOKUP($C47,'[2]2.행정구역별 급수인구'!$C$7:$AD$997,27,FALSE)*(1-$E47),0)),VLOOKUP($C47,'[2]2.행정구역별 급수인구'!$C$7:$AD$997,27,FALSE)))</f>
        <v>0</v>
      </c>
      <c r="K47" s="302">
        <f>IF($D47="A",ROUND(VLOOKUP($C47,'[2]2.행정구역별 급수인구'!$C$7:$AD$997,28,FALSE)*$E47,0),IF($D47="B",(ROUND(VLOOKUP($C47,'[2]2.행정구역별 급수인구'!$C$7:$AD$997,28,FALSE)-VLOOKUP($C47,'[2]2.행정구역별 급수인구'!$C$7:$AD$997,28,FALSE)*(1-$E47),0)),VLOOKUP($C47,'[2]2.행정구역별 급수인구'!$C$7:$AD$997,28,FALSE)))</f>
        <v>0</v>
      </c>
      <c r="L47" s="302">
        <f>VLOOKUP($F47,'[3]5.급수원단위'!$B$31:$G$35,2,FALSE)</f>
        <v>272</v>
      </c>
      <c r="M47" s="302">
        <f>VLOOKUP($F47,'[3]5.급수원단위'!$B$31:$G$35,3,FALSE)</f>
        <v>304</v>
      </c>
      <c r="N47" s="302">
        <f>VLOOKUP($F47,'[3]5.급수원단위'!$B$31:$G$35,4,FALSE)</f>
        <v>308</v>
      </c>
      <c r="O47" s="302">
        <f>VLOOKUP($F47,'[3]5.급수원단위'!$B$31:$G$35,5,FALSE)</f>
        <v>310</v>
      </c>
      <c r="P47" s="302">
        <f>VLOOKUP($F47,'[3]5.급수원단위'!$B$31:$G$35,6,FALSE)</f>
        <v>310</v>
      </c>
      <c r="Q47" s="302">
        <f>ROUND(IF(G47=0,0,VLOOKUP(C47,'2013실사용량 정리'!$D$6:$F$381,3,FALSE)),0)</f>
        <v>0</v>
      </c>
      <c r="R47" s="302">
        <f t="shared" si="7"/>
        <v>0</v>
      </c>
      <c r="S47" s="302">
        <f t="shared" si="7"/>
        <v>0</v>
      </c>
      <c r="T47" s="302">
        <f t="shared" si="7"/>
        <v>0</v>
      </c>
      <c r="U47" s="302">
        <f t="shared" si="7"/>
        <v>0</v>
      </c>
      <c r="V47" s="327" t="s">
        <v>1828</v>
      </c>
      <c r="W47" s="343" t="str">
        <f t="shared" si="5"/>
        <v/>
      </c>
    </row>
    <row r="48" spans="1:23" ht="19.5" customHeight="1">
      <c r="A48" s="340"/>
      <c r="B48" s="340"/>
      <c r="C48" s="406" t="s">
        <v>1680</v>
      </c>
      <c r="D48" s="330" t="s">
        <v>1808</v>
      </c>
      <c r="E48" s="527">
        <f>1-'2.생활용수(광석)'!E16</f>
        <v>0</v>
      </c>
      <c r="F48" s="527" t="s">
        <v>1317</v>
      </c>
      <c r="G48" s="302">
        <f>IF($D48="A",ROUND(VLOOKUP($C48,'[2]2.행정구역별 급수인구'!$C$7:$AD$997,17,FALSE)*$E48,0),IF($D48="B",(ROUND(VLOOKUP($C48,'[2]2.행정구역별 급수인구'!$C$7:$AD$997,17,FALSE)-VLOOKUP($C48,'[2]2.행정구역별 급수인구'!$C$7:$AD$997,17,FALSE)*(1-$E48),0)),VLOOKUP($C48,'[2]2.행정구역별 급수인구'!$C$7:$AD$997,17,FALSE)))</f>
        <v>0</v>
      </c>
      <c r="H48" s="302">
        <f>IF($D48="A",ROUND(VLOOKUP($C48,'[2]2.행정구역별 급수인구'!$C$7:$AD$997,25,FALSE)*$E48,0),IF($D48="B",(ROUND(VLOOKUP($C48,'[2]2.행정구역별 급수인구'!$C$7:$AD$997,25,FALSE)-VLOOKUP($C48,'[2]2.행정구역별 급수인구'!$C$7:$AD$997,25,FALSE)*(1-$E48),0)),VLOOKUP($C48,'[2]2.행정구역별 급수인구'!$C$7:$AD$997,25,FALSE)))</f>
        <v>0</v>
      </c>
      <c r="I48" s="302">
        <f>IF($D48="A",ROUND(VLOOKUP($C48,'[2]2.행정구역별 급수인구'!$C$7:$AD$997,26,FALSE)*$E48,0),IF($D48="B",(ROUND(VLOOKUP($C48,'[2]2.행정구역별 급수인구'!$C$7:$AD$997,26,FALSE)-VLOOKUP($C48,'[2]2.행정구역별 급수인구'!$C$7:$AD$997,26,FALSE)*(1-$E48),0)),VLOOKUP($C48,'[2]2.행정구역별 급수인구'!$C$7:$AD$997,26,FALSE)))</f>
        <v>0</v>
      </c>
      <c r="J48" s="302">
        <f>IF($D48="A",ROUND(VLOOKUP($C48,'[2]2.행정구역별 급수인구'!$C$7:$AD$997,27,FALSE)*$E48,0),IF($D48="B",(ROUND(VLOOKUP($C48,'[2]2.행정구역별 급수인구'!$C$7:$AD$997,27,FALSE)-VLOOKUP($C48,'[2]2.행정구역별 급수인구'!$C$7:$AD$997,27,FALSE)*(1-$E48),0)),VLOOKUP($C48,'[2]2.행정구역별 급수인구'!$C$7:$AD$997,27,FALSE)))</f>
        <v>0</v>
      </c>
      <c r="K48" s="302">
        <f>IF($D48="A",ROUND(VLOOKUP($C48,'[2]2.행정구역별 급수인구'!$C$7:$AD$997,28,FALSE)*$E48,0),IF($D48="B",(ROUND(VLOOKUP($C48,'[2]2.행정구역별 급수인구'!$C$7:$AD$997,28,FALSE)-VLOOKUP($C48,'[2]2.행정구역별 급수인구'!$C$7:$AD$997,28,FALSE)*(1-$E48),0)),VLOOKUP($C48,'[2]2.행정구역별 급수인구'!$C$7:$AD$997,28,FALSE)))</f>
        <v>0</v>
      </c>
      <c r="L48" s="302">
        <f>VLOOKUP($F48,'[3]5.급수원단위'!$B$31:$G$35,2,FALSE)</f>
        <v>272</v>
      </c>
      <c r="M48" s="302">
        <f>VLOOKUP($F48,'[3]5.급수원단위'!$B$31:$G$35,3,FALSE)</f>
        <v>304</v>
      </c>
      <c r="N48" s="302">
        <f>VLOOKUP($F48,'[3]5.급수원단위'!$B$31:$G$35,4,FALSE)</f>
        <v>308</v>
      </c>
      <c r="O48" s="302">
        <f>VLOOKUP($F48,'[3]5.급수원단위'!$B$31:$G$35,5,FALSE)</f>
        <v>310</v>
      </c>
      <c r="P48" s="302">
        <f>VLOOKUP($F48,'[3]5.급수원단위'!$B$31:$G$35,6,FALSE)</f>
        <v>310</v>
      </c>
      <c r="Q48" s="302">
        <f>ROUND(IF(G48=0,0,VLOOKUP(C48,'2013실사용량 정리'!$D$6:$F$381,3,FALSE)),0)</f>
        <v>0</v>
      </c>
      <c r="R48" s="302">
        <f t="shared" si="7"/>
        <v>0</v>
      </c>
      <c r="S48" s="302">
        <f t="shared" si="7"/>
        <v>0</v>
      </c>
      <c r="T48" s="302">
        <f t="shared" si="7"/>
        <v>0</v>
      </c>
      <c r="U48" s="302">
        <f t="shared" si="7"/>
        <v>0</v>
      </c>
      <c r="V48" s="327" t="s">
        <v>1828</v>
      </c>
      <c r="W48" s="343" t="str">
        <f t="shared" si="5"/>
        <v/>
      </c>
    </row>
    <row r="49" spans="1:23" ht="19.5" customHeight="1">
      <c r="A49" s="340"/>
      <c r="B49" s="340"/>
      <c r="C49" s="406" t="s">
        <v>1681</v>
      </c>
      <c r="D49" s="330" t="s">
        <v>1808</v>
      </c>
      <c r="E49" s="527">
        <f>1-'2.생활용수(광석)'!E17</f>
        <v>0</v>
      </c>
      <c r="F49" s="527" t="s">
        <v>1317</v>
      </c>
      <c r="G49" s="302">
        <f>IF($D49="A",ROUND(VLOOKUP($C49,'[2]2.행정구역별 급수인구'!$C$7:$AD$997,17,FALSE)*$E49,0),IF($D49="B",(ROUND(VLOOKUP($C49,'[2]2.행정구역별 급수인구'!$C$7:$AD$997,17,FALSE)-VLOOKUP($C49,'[2]2.행정구역별 급수인구'!$C$7:$AD$997,17,FALSE)*(1-$E49),0)),VLOOKUP($C49,'[2]2.행정구역별 급수인구'!$C$7:$AD$997,17,FALSE)))</f>
        <v>0</v>
      </c>
      <c r="H49" s="302">
        <f>IF($D49="A",ROUND(VLOOKUP($C49,'[2]2.행정구역별 급수인구'!$C$7:$AD$997,25,FALSE)*$E49,0),IF($D49="B",(ROUND(VLOOKUP($C49,'[2]2.행정구역별 급수인구'!$C$7:$AD$997,25,FALSE)-VLOOKUP($C49,'[2]2.행정구역별 급수인구'!$C$7:$AD$997,25,FALSE)*(1-$E49),0)),VLOOKUP($C49,'[2]2.행정구역별 급수인구'!$C$7:$AD$997,25,FALSE)))</f>
        <v>0</v>
      </c>
      <c r="I49" s="302">
        <f>IF($D49="A",ROUND(VLOOKUP($C49,'[2]2.행정구역별 급수인구'!$C$7:$AD$997,26,FALSE)*$E49,0),IF($D49="B",(ROUND(VLOOKUP($C49,'[2]2.행정구역별 급수인구'!$C$7:$AD$997,26,FALSE)-VLOOKUP($C49,'[2]2.행정구역별 급수인구'!$C$7:$AD$997,26,FALSE)*(1-$E49),0)),VLOOKUP($C49,'[2]2.행정구역별 급수인구'!$C$7:$AD$997,26,FALSE)))</f>
        <v>0</v>
      </c>
      <c r="J49" s="302">
        <f>IF($D49="A",ROUND(VLOOKUP($C49,'[2]2.행정구역별 급수인구'!$C$7:$AD$997,27,FALSE)*$E49,0),IF($D49="B",(ROUND(VLOOKUP($C49,'[2]2.행정구역별 급수인구'!$C$7:$AD$997,27,FALSE)-VLOOKUP($C49,'[2]2.행정구역별 급수인구'!$C$7:$AD$997,27,FALSE)*(1-$E49),0)),VLOOKUP($C49,'[2]2.행정구역별 급수인구'!$C$7:$AD$997,27,FALSE)))</f>
        <v>0</v>
      </c>
      <c r="K49" s="302">
        <f>IF($D49="A",ROUND(VLOOKUP($C49,'[2]2.행정구역별 급수인구'!$C$7:$AD$997,28,FALSE)*$E49,0),IF($D49="B",(ROUND(VLOOKUP($C49,'[2]2.행정구역별 급수인구'!$C$7:$AD$997,28,FALSE)-VLOOKUP($C49,'[2]2.행정구역별 급수인구'!$C$7:$AD$997,28,FALSE)*(1-$E49),0)),VLOOKUP($C49,'[2]2.행정구역별 급수인구'!$C$7:$AD$997,28,FALSE)))</f>
        <v>0</v>
      </c>
      <c r="L49" s="302">
        <f>VLOOKUP($F49,'[3]5.급수원단위'!$B$31:$G$35,2,FALSE)</f>
        <v>272</v>
      </c>
      <c r="M49" s="302">
        <f>VLOOKUP($F49,'[3]5.급수원단위'!$B$31:$G$35,3,FALSE)</f>
        <v>304</v>
      </c>
      <c r="N49" s="302">
        <f>VLOOKUP($F49,'[3]5.급수원단위'!$B$31:$G$35,4,FALSE)</f>
        <v>308</v>
      </c>
      <c r="O49" s="302">
        <f>VLOOKUP($F49,'[3]5.급수원단위'!$B$31:$G$35,5,FALSE)</f>
        <v>310</v>
      </c>
      <c r="P49" s="302">
        <f>VLOOKUP($F49,'[3]5.급수원단위'!$B$31:$G$35,6,FALSE)</f>
        <v>310</v>
      </c>
      <c r="Q49" s="302">
        <f>ROUND(IF(G49=0,0,VLOOKUP(C49,'2013실사용량 정리'!$D$6:$F$381,3,FALSE)),0)</f>
        <v>0</v>
      </c>
      <c r="R49" s="302">
        <f t="shared" si="7"/>
        <v>0</v>
      </c>
      <c r="S49" s="302">
        <f t="shared" si="7"/>
        <v>0</v>
      </c>
      <c r="T49" s="302">
        <f t="shared" si="7"/>
        <v>0</v>
      </c>
      <c r="U49" s="302">
        <f t="shared" si="7"/>
        <v>0</v>
      </c>
      <c r="V49" s="327" t="s">
        <v>1828</v>
      </c>
      <c r="W49" s="343" t="str">
        <f t="shared" si="5"/>
        <v/>
      </c>
    </row>
    <row r="50" spans="1:23" ht="19.5" customHeight="1">
      <c r="A50" s="340"/>
      <c r="B50" s="340"/>
      <c r="C50" s="406" t="s">
        <v>1682</v>
      </c>
      <c r="D50" s="330" t="s">
        <v>1808</v>
      </c>
      <c r="E50" s="527">
        <f>1-'2.생활용수(광석)'!E18</f>
        <v>0</v>
      </c>
      <c r="F50" s="527" t="s">
        <v>1317</v>
      </c>
      <c r="G50" s="302">
        <f>IF($D50="A",ROUND(VLOOKUP($C50,'[2]2.행정구역별 급수인구'!$C$7:$AD$997,17,FALSE)*$E50,0),IF($D50="B",(ROUND(VLOOKUP($C50,'[2]2.행정구역별 급수인구'!$C$7:$AD$997,17,FALSE)-VLOOKUP($C50,'[2]2.행정구역별 급수인구'!$C$7:$AD$997,17,FALSE)*(1-$E50),0)),VLOOKUP($C50,'[2]2.행정구역별 급수인구'!$C$7:$AD$997,17,FALSE)))</f>
        <v>0</v>
      </c>
      <c r="H50" s="302">
        <f>IF($D50="A",ROUND(VLOOKUP($C50,'[2]2.행정구역별 급수인구'!$C$7:$AD$997,25,FALSE)*$E50,0),IF($D50="B",(ROUND(VLOOKUP($C50,'[2]2.행정구역별 급수인구'!$C$7:$AD$997,25,FALSE)-VLOOKUP($C50,'[2]2.행정구역별 급수인구'!$C$7:$AD$997,25,FALSE)*(1-$E50),0)),VLOOKUP($C50,'[2]2.행정구역별 급수인구'!$C$7:$AD$997,25,FALSE)))</f>
        <v>0</v>
      </c>
      <c r="I50" s="302">
        <f>IF($D50="A",ROUND(VLOOKUP($C50,'[2]2.행정구역별 급수인구'!$C$7:$AD$997,26,FALSE)*$E50,0),IF($D50="B",(ROUND(VLOOKUP($C50,'[2]2.행정구역별 급수인구'!$C$7:$AD$997,26,FALSE)-VLOOKUP($C50,'[2]2.행정구역별 급수인구'!$C$7:$AD$997,26,FALSE)*(1-$E50),0)),VLOOKUP($C50,'[2]2.행정구역별 급수인구'!$C$7:$AD$997,26,FALSE)))</f>
        <v>0</v>
      </c>
      <c r="J50" s="302">
        <f>IF($D50="A",ROUND(VLOOKUP($C50,'[2]2.행정구역별 급수인구'!$C$7:$AD$997,27,FALSE)*$E50,0),IF($D50="B",(ROUND(VLOOKUP($C50,'[2]2.행정구역별 급수인구'!$C$7:$AD$997,27,FALSE)-VLOOKUP($C50,'[2]2.행정구역별 급수인구'!$C$7:$AD$997,27,FALSE)*(1-$E50),0)),VLOOKUP($C50,'[2]2.행정구역별 급수인구'!$C$7:$AD$997,27,FALSE)))</f>
        <v>0</v>
      </c>
      <c r="K50" s="302">
        <f>IF($D50="A",ROUND(VLOOKUP($C50,'[2]2.행정구역별 급수인구'!$C$7:$AD$997,28,FALSE)*$E50,0),IF($D50="B",(ROUND(VLOOKUP($C50,'[2]2.행정구역별 급수인구'!$C$7:$AD$997,28,FALSE)-VLOOKUP($C50,'[2]2.행정구역별 급수인구'!$C$7:$AD$997,28,FALSE)*(1-$E50),0)),VLOOKUP($C50,'[2]2.행정구역별 급수인구'!$C$7:$AD$997,28,FALSE)))</f>
        <v>0</v>
      </c>
      <c r="L50" s="302">
        <f>VLOOKUP($F50,'[3]5.급수원단위'!$B$31:$G$35,2,FALSE)</f>
        <v>272</v>
      </c>
      <c r="M50" s="302">
        <f>VLOOKUP($F50,'[3]5.급수원단위'!$B$31:$G$35,3,FALSE)</f>
        <v>304</v>
      </c>
      <c r="N50" s="302">
        <f>VLOOKUP($F50,'[3]5.급수원단위'!$B$31:$G$35,4,FALSE)</f>
        <v>308</v>
      </c>
      <c r="O50" s="302">
        <f>VLOOKUP($F50,'[3]5.급수원단위'!$B$31:$G$35,5,FALSE)</f>
        <v>310</v>
      </c>
      <c r="P50" s="302">
        <f>VLOOKUP($F50,'[3]5.급수원단위'!$B$31:$G$35,6,FALSE)</f>
        <v>310</v>
      </c>
      <c r="Q50" s="302">
        <f>ROUND(IF(G50=0,0,VLOOKUP(C50,'2013실사용량 정리'!$D$6:$F$381,3,FALSE)),0)</f>
        <v>0</v>
      </c>
      <c r="R50" s="302">
        <f t="shared" si="7"/>
        <v>0</v>
      </c>
      <c r="S50" s="302">
        <f t="shared" si="7"/>
        <v>0</v>
      </c>
      <c r="T50" s="302">
        <f t="shared" si="7"/>
        <v>0</v>
      </c>
      <c r="U50" s="302">
        <f t="shared" si="7"/>
        <v>0</v>
      </c>
      <c r="V50" s="327" t="s">
        <v>1828</v>
      </c>
      <c r="W50" s="343" t="str">
        <f t="shared" si="5"/>
        <v/>
      </c>
    </row>
    <row r="51" spans="1:23" ht="19.5" customHeight="1">
      <c r="A51" s="340"/>
      <c r="B51" s="340"/>
      <c r="C51" s="406" t="s">
        <v>1683</v>
      </c>
      <c r="D51" s="330" t="s">
        <v>1808</v>
      </c>
      <c r="E51" s="527">
        <f>1-'2.생활용수(광석)'!E19</f>
        <v>0</v>
      </c>
      <c r="F51" s="527" t="s">
        <v>1317</v>
      </c>
      <c r="G51" s="302">
        <f>IF($D51="A",ROUND(VLOOKUP($C51,'[2]2.행정구역별 급수인구'!$C$7:$AD$997,17,FALSE)*$E51,0),IF($D51="B",(ROUND(VLOOKUP($C51,'[2]2.행정구역별 급수인구'!$C$7:$AD$997,17,FALSE)-VLOOKUP($C51,'[2]2.행정구역별 급수인구'!$C$7:$AD$997,17,FALSE)*(1-$E51),0)),VLOOKUP($C51,'[2]2.행정구역별 급수인구'!$C$7:$AD$997,17,FALSE)))</f>
        <v>0</v>
      </c>
      <c r="H51" s="302">
        <f>IF($D51="A",ROUND(VLOOKUP($C51,'[2]2.행정구역별 급수인구'!$C$7:$AD$997,25,FALSE)*$E51,0),IF($D51="B",(ROUND(VLOOKUP($C51,'[2]2.행정구역별 급수인구'!$C$7:$AD$997,25,FALSE)-VLOOKUP($C51,'[2]2.행정구역별 급수인구'!$C$7:$AD$997,25,FALSE)*(1-$E51),0)),VLOOKUP($C51,'[2]2.행정구역별 급수인구'!$C$7:$AD$997,25,FALSE)))</f>
        <v>0</v>
      </c>
      <c r="I51" s="302">
        <f>IF($D51="A",ROUND(VLOOKUP($C51,'[2]2.행정구역별 급수인구'!$C$7:$AD$997,26,FALSE)*$E51,0),IF($D51="B",(ROUND(VLOOKUP($C51,'[2]2.행정구역별 급수인구'!$C$7:$AD$997,26,FALSE)-VLOOKUP($C51,'[2]2.행정구역별 급수인구'!$C$7:$AD$997,26,FALSE)*(1-$E51),0)),VLOOKUP($C51,'[2]2.행정구역별 급수인구'!$C$7:$AD$997,26,FALSE)))</f>
        <v>0</v>
      </c>
      <c r="J51" s="302">
        <f>IF($D51="A",ROUND(VLOOKUP($C51,'[2]2.행정구역별 급수인구'!$C$7:$AD$997,27,FALSE)*$E51,0),IF($D51="B",(ROUND(VLOOKUP($C51,'[2]2.행정구역별 급수인구'!$C$7:$AD$997,27,FALSE)-VLOOKUP($C51,'[2]2.행정구역별 급수인구'!$C$7:$AD$997,27,FALSE)*(1-$E51),0)),VLOOKUP($C51,'[2]2.행정구역별 급수인구'!$C$7:$AD$997,27,FALSE)))</f>
        <v>0</v>
      </c>
      <c r="K51" s="302">
        <f>IF($D51="A",ROUND(VLOOKUP($C51,'[2]2.행정구역별 급수인구'!$C$7:$AD$997,28,FALSE)*$E51,0),IF($D51="B",(ROUND(VLOOKUP($C51,'[2]2.행정구역별 급수인구'!$C$7:$AD$997,28,FALSE)-VLOOKUP($C51,'[2]2.행정구역별 급수인구'!$C$7:$AD$997,28,FALSE)*(1-$E51),0)),VLOOKUP($C51,'[2]2.행정구역별 급수인구'!$C$7:$AD$997,28,FALSE)))</f>
        <v>0</v>
      </c>
      <c r="L51" s="302">
        <f>VLOOKUP($F51,'[3]5.급수원단위'!$B$31:$G$35,2,FALSE)</f>
        <v>272</v>
      </c>
      <c r="M51" s="302">
        <f>VLOOKUP($F51,'[3]5.급수원단위'!$B$31:$G$35,3,FALSE)</f>
        <v>304</v>
      </c>
      <c r="N51" s="302">
        <f>VLOOKUP($F51,'[3]5.급수원단위'!$B$31:$G$35,4,FALSE)</f>
        <v>308</v>
      </c>
      <c r="O51" s="302">
        <f>VLOOKUP($F51,'[3]5.급수원단위'!$B$31:$G$35,5,FALSE)</f>
        <v>310</v>
      </c>
      <c r="P51" s="302">
        <f>VLOOKUP($F51,'[3]5.급수원단위'!$B$31:$G$35,6,FALSE)</f>
        <v>310</v>
      </c>
      <c r="Q51" s="302">
        <f>ROUND(IF(G51=0,0,VLOOKUP(C51,'2013실사용량 정리'!$D$6:$F$381,3,FALSE)),0)</f>
        <v>0</v>
      </c>
      <c r="R51" s="302">
        <f t="shared" si="7"/>
        <v>0</v>
      </c>
      <c r="S51" s="302">
        <f t="shared" si="7"/>
        <v>0</v>
      </c>
      <c r="T51" s="302">
        <f t="shared" si="7"/>
        <v>0</v>
      </c>
      <c r="U51" s="302">
        <f t="shared" si="7"/>
        <v>0</v>
      </c>
      <c r="V51" s="327" t="s">
        <v>1828</v>
      </c>
      <c r="W51" s="343" t="str">
        <f t="shared" si="5"/>
        <v/>
      </c>
    </row>
    <row r="52" spans="1:23" ht="19.5" customHeight="1">
      <c r="A52" s="340"/>
      <c r="B52" s="340"/>
      <c r="C52" s="406" t="s">
        <v>1684</v>
      </c>
      <c r="D52" s="330" t="s">
        <v>1808</v>
      </c>
      <c r="E52" s="527">
        <f>1-'2.생활용수(광석)'!E20</f>
        <v>1</v>
      </c>
      <c r="F52" s="527" t="s">
        <v>1317</v>
      </c>
      <c r="G52" s="302">
        <f>IF($D52="A",ROUND(VLOOKUP($C52,'[2]2.행정구역별 급수인구'!$C$7:$AD$997,17,FALSE)*$E52,0),IF($D52="B",(ROUND(VLOOKUP($C52,'[2]2.행정구역별 급수인구'!$C$7:$AD$997,17,FALSE)-VLOOKUP($C52,'[2]2.행정구역별 급수인구'!$C$7:$AD$997,17,FALSE)*(1-$E52),0)),VLOOKUP($C52,'[2]2.행정구역별 급수인구'!$C$7:$AD$997,17,FALSE)))</f>
        <v>140</v>
      </c>
      <c r="H52" s="302">
        <f>IF($D52="A",ROUND(VLOOKUP($C52,'[2]2.행정구역별 급수인구'!$C$7:$AD$997,25,FALSE)*$E52,0),IF($D52="B",(ROUND(VLOOKUP($C52,'[2]2.행정구역별 급수인구'!$C$7:$AD$997,25,FALSE)-VLOOKUP($C52,'[2]2.행정구역별 급수인구'!$C$7:$AD$997,25,FALSE)*(1-$E52),0)),VLOOKUP($C52,'[2]2.행정구역별 급수인구'!$C$7:$AD$997,25,FALSE)))</f>
        <v>147</v>
      </c>
      <c r="I52" s="302">
        <f>IF($D52="A",ROUND(VLOOKUP($C52,'[2]2.행정구역별 급수인구'!$C$7:$AD$997,26,FALSE)*$E52,0),IF($D52="B",(ROUND(VLOOKUP($C52,'[2]2.행정구역별 급수인구'!$C$7:$AD$997,26,FALSE)-VLOOKUP($C52,'[2]2.행정구역별 급수인구'!$C$7:$AD$997,26,FALSE)*(1-$E52),0)),VLOOKUP($C52,'[2]2.행정구역별 급수인구'!$C$7:$AD$997,26,FALSE)))</f>
        <v>155</v>
      </c>
      <c r="J52" s="302">
        <f>IF($D52="A",ROUND(VLOOKUP($C52,'[2]2.행정구역별 급수인구'!$C$7:$AD$997,27,FALSE)*$E52,0),IF($D52="B",(ROUND(VLOOKUP($C52,'[2]2.행정구역별 급수인구'!$C$7:$AD$997,27,FALSE)-VLOOKUP($C52,'[2]2.행정구역별 급수인구'!$C$7:$AD$997,27,FALSE)*(1-$E52),0)),VLOOKUP($C52,'[2]2.행정구역별 급수인구'!$C$7:$AD$997,27,FALSE)))</f>
        <v>168</v>
      </c>
      <c r="K52" s="302">
        <f>IF($D52="A",ROUND(VLOOKUP($C52,'[2]2.행정구역별 급수인구'!$C$7:$AD$997,28,FALSE)*$E52,0),IF($D52="B",(ROUND(VLOOKUP($C52,'[2]2.행정구역별 급수인구'!$C$7:$AD$997,28,FALSE)-VLOOKUP($C52,'[2]2.행정구역별 급수인구'!$C$7:$AD$997,28,FALSE)*(1-$E52),0)),VLOOKUP($C52,'[2]2.행정구역별 급수인구'!$C$7:$AD$997,28,FALSE)))</f>
        <v>171</v>
      </c>
      <c r="L52" s="302">
        <f>VLOOKUP($F52,'[3]5.급수원단위'!$B$31:$G$35,2,FALSE)</f>
        <v>272</v>
      </c>
      <c r="M52" s="302">
        <f>VLOOKUP($F52,'[3]5.급수원단위'!$B$31:$G$35,3,FALSE)</f>
        <v>304</v>
      </c>
      <c r="N52" s="302">
        <f>VLOOKUP($F52,'[3]5.급수원단위'!$B$31:$G$35,4,FALSE)</f>
        <v>308</v>
      </c>
      <c r="O52" s="302">
        <f>VLOOKUP($F52,'[3]5.급수원단위'!$B$31:$G$35,5,FALSE)</f>
        <v>310</v>
      </c>
      <c r="P52" s="302">
        <f>VLOOKUP($F52,'[3]5.급수원단위'!$B$31:$G$35,6,FALSE)</f>
        <v>310</v>
      </c>
      <c r="Q52" s="302">
        <f>ROUND(IF(G52=0,0,VLOOKUP(C52,'2013실사용량 정리'!$D$6:$F$381,3,FALSE)),0)</f>
        <v>80</v>
      </c>
      <c r="R52" s="302">
        <f t="shared" si="7"/>
        <v>45</v>
      </c>
      <c r="S52" s="302">
        <f t="shared" si="7"/>
        <v>48</v>
      </c>
      <c r="T52" s="302">
        <f t="shared" si="7"/>
        <v>52</v>
      </c>
      <c r="U52" s="302">
        <f t="shared" si="7"/>
        <v>53</v>
      </c>
      <c r="W52" s="343">
        <f t="shared" si="5"/>
        <v>0.66249999999999998</v>
      </c>
    </row>
    <row r="53" spans="1:23" ht="19.5" customHeight="1">
      <c r="A53" s="340"/>
      <c r="B53" s="340"/>
      <c r="C53" s="406" t="s">
        <v>1685</v>
      </c>
      <c r="D53" s="330" t="s">
        <v>1808</v>
      </c>
      <c r="E53" s="527">
        <f>1-'2.생활용수(광석)'!E21</f>
        <v>0</v>
      </c>
      <c r="F53" s="527" t="s">
        <v>1317</v>
      </c>
      <c r="G53" s="302">
        <f>IF($D53="A",ROUND(VLOOKUP($C53,'[2]2.행정구역별 급수인구'!$C$7:$AD$997,17,FALSE)*$E53,0),IF($D53="B",(ROUND(VLOOKUP($C53,'[2]2.행정구역별 급수인구'!$C$7:$AD$997,17,FALSE)-VLOOKUP($C53,'[2]2.행정구역별 급수인구'!$C$7:$AD$997,17,FALSE)*(1-$E53),0)),VLOOKUP($C53,'[2]2.행정구역별 급수인구'!$C$7:$AD$997,17,FALSE)))</f>
        <v>0</v>
      </c>
      <c r="H53" s="302">
        <f>IF($D53="A",ROUND(VLOOKUP($C53,'[2]2.행정구역별 급수인구'!$C$7:$AD$997,25,FALSE)*$E53,0),IF($D53="B",(ROUND(VLOOKUP($C53,'[2]2.행정구역별 급수인구'!$C$7:$AD$997,25,FALSE)-VLOOKUP($C53,'[2]2.행정구역별 급수인구'!$C$7:$AD$997,25,FALSE)*(1-$E53),0)),VLOOKUP($C53,'[2]2.행정구역별 급수인구'!$C$7:$AD$997,25,FALSE)))</f>
        <v>0</v>
      </c>
      <c r="I53" s="302">
        <f>IF($D53="A",ROUND(VLOOKUP($C53,'[2]2.행정구역별 급수인구'!$C$7:$AD$997,26,FALSE)*$E53,0),IF($D53="B",(ROUND(VLOOKUP($C53,'[2]2.행정구역별 급수인구'!$C$7:$AD$997,26,FALSE)-VLOOKUP($C53,'[2]2.행정구역별 급수인구'!$C$7:$AD$997,26,FALSE)*(1-$E53),0)),VLOOKUP($C53,'[2]2.행정구역별 급수인구'!$C$7:$AD$997,26,FALSE)))</f>
        <v>0</v>
      </c>
      <c r="J53" s="302">
        <f>IF($D53="A",ROUND(VLOOKUP($C53,'[2]2.행정구역별 급수인구'!$C$7:$AD$997,27,FALSE)*$E53,0),IF($D53="B",(ROUND(VLOOKUP($C53,'[2]2.행정구역별 급수인구'!$C$7:$AD$997,27,FALSE)-VLOOKUP($C53,'[2]2.행정구역별 급수인구'!$C$7:$AD$997,27,FALSE)*(1-$E53),0)),VLOOKUP($C53,'[2]2.행정구역별 급수인구'!$C$7:$AD$997,27,FALSE)))</f>
        <v>0</v>
      </c>
      <c r="K53" s="302">
        <f>IF($D53="A",ROUND(VLOOKUP($C53,'[2]2.행정구역별 급수인구'!$C$7:$AD$997,28,FALSE)*$E53,0),IF($D53="B",(ROUND(VLOOKUP($C53,'[2]2.행정구역별 급수인구'!$C$7:$AD$997,28,FALSE)-VLOOKUP($C53,'[2]2.행정구역별 급수인구'!$C$7:$AD$997,28,FALSE)*(1-$E53),0)),VLOOKUP($C53,'[2]2.행정구역별 급수인구'!$C$7:$AD$997,28,FALSE)))</f>
        <v>0</v>
      </c>
      <c r="L53" s="302">
        <f>VLOOKUP($F53,'[3]5.급수원단위'!$B$31:$G$35,2,FALSE)</f>
        <v>272</v>
      </c>
      <c r="M53" s="302">
        <f>VLOOKUP($F53,'[3]5.급수원단위'!$B$31:$G$35,3,FALSE)</f>
        <v>304</v>
      </c>
      <c r="N53" s="302">
        <f>VLOOKUP($F53,'[3]5.급수원단위'!$B$31:$G$35,4,FALSE)</f>
        <v>308</v>
      </c>
      <c r="O53" s="302">
        <f>VLOOKUP($F53,'[3]5.급수원단위'!$B$31:$G$35,5,FALSE)</f>
        <v>310</v>
      </c>
      <c r="P53" s="302">
        <f>VLOOKUP($F53,'[3]5.급수원단위'!$B$31:$G$35,6,FALSE)</f>
        <v>310</v>
      </c>
      <c r="Q53" s="302">
        <f>ROUND(IF(G53=0,0,VLOOKUP(C53,'2013실사용량 정리'!$D$6:$F$381,3,FALSE)),0)</f>
        <v>0</v>
      </c>
      <c r="R53" s="302">
        <f t="shared" si="7"/>
        <v>0</v>
      </c>
      <c r="S53" s="302">
        <f t="shared" si="7"/>
        <v>0</v>
      </c>
      <c r="T53" s="302">
        <f t="shared" si="7"/>
        <v>0</v>
      </c>
      <c r="U53" s="302">
        <f t="shared" si="7"/>
        <v>0</v>
      </c>
      <c r="V53" s="327" t="s">
        <v>1828</v>
      </c>
      <c r="W53" s="343" t="str">
        <f t="shared" si="5"/>
        <v/>
      </c>
    </row>
    <row r="54" spans="1:23" ht="19.5" customHeight="1">
      <c r="A54" s="340"/>
      <c r="B54" s="340"/>
      <c r="C54" s="406" t="s">
        <v>1686</v>
      </c>
      <c r="D54" s="330" t="s">
        <v>1808</v>
      </c>
      <c r="E54" s="527">
        <f>1-'2.생활용수(광석)'!E22</f>
        <v>1</v>
      </c>
      <c r="F54" s="527" t="s">
        <v>1317</v>
      </c>
      <c r="G54" s="302">
        <f>IF($D54="A",ROUND(VLOOKUP($C54,'[2]2.행정구역별 급수인구'!$C$7:$AD$997,17,FALSE)*$E54,0),IF($D54="B",(ROUND(VLOOKUP($C54,'[2]2.행정구역별 급수인구'!$C$7:$AD$997,17,FALSE)-VLOOKUP($C54,'[2]2.행정구역별 급수인구'!$C$7:$AD$997,17,FALSE)*(1-$E54),0)),VLOOKUP($C54,'[2]2.행정구역별 급수인구'!$C$7:$AD$997,17,FALSE)))</f>
        <v>53</v>
      </c>
      <c r="H54" s="302">
        <f>IF($D54="A",ROUND(VLOOKUP($C54,'[2]2.행정구역별 급수인구'!$C$7:$AD$997,25,FALSE)*$E54,0),IF($D54="B",(ROUND(VLOOKUP($C54,'[2]2.행정구역별 급수인구'!$C$7:$AD$997,25,FALSE)-VLOOKUP($C54,'[2]2.행정구역별 급수인구'!$C$7:$AD$997,25,FALSE)*(1-$E54),0)),VLOOKUP($C54,'[2]2.행정구역별 급수인구'!$C$7:$AD$997,25,FALSE)))</f>
        <v>56</v>
      </c>
      <c r="I54" s="302">
        <f>IF($D54="A",ROUND(VLOOKUP($C54,'[2]2.행정구역별 급수인구'!$C$7:$AD$997,26,FALSE)*$E54,0),IF($D54="B",(ROUND(VLOOKUP($C54,'[2]2.행정구역별 급수인구'!$C$7:$AD$997,26,FALSE)-VLOOKUP($C54,'[2]2.행정구역별 급수인구'!$C$7:$AD$997,26,FALSE)*(1-$E54),0)),VLOOKUP($C54,'[2]2.행정구역별 급수인구'!$C$7:$AD$997,26,FALSE)))</f>
        <v>59</v>
      </c>
      <c r="J54" s="302">
        <f>IF($D54="A",ROUND(VLOOKUP($C54,'[2]2.행정구역별 급수인구'!$C$7:$AD$997,27,FALSE)*$E54,0),IF($D54="B",(ROUND(VLOOKUP($C54,'[2]2.행정구역별 급수인구'!$C$7:$AD$997,27,FALSE)-VLOOKUP($C54,'[2]2.행정구역별 급수인구'!$C$7:$AD$997,27,FALSE)*(1-$E54),0)),VLOOKUP($C54,'[2]2.행정구역별 급수인구'!$C$7:$AD$997,27,FALSE)))</f>
        <v>64</v>
      </c>
      <c r="K54" s="302">
        <f>IF($D54="A",ROUND(VLOOKUP($C54,'[2]2.행정구역별 급수인구'!$C$7:$AD$997,28,FALSE)*$E54,0),IF($D54="B",(ROUND(VLOOKUP($C54,'[2]2.행정구역별 급수인구'!$C$7:$AD$997,28,FALSE)-VLOOKUP($C54,'[2]2.행정구역별 급수인구'!$C$7:$AD$997,28,FALSE)*(1-$E54),0)),VLOOKUP($C54,'[2]2.행정구역별 급수인구'!$C$7:$AD$997,28,FALSE)))</f>
        <v>65</v>
      </c>
      <c r="L54" s="302">
        <f>VLOOKUP($F54,'[3]5.급수원단위'!$B$31:$G$35,2,FALSE)</f>
        <v>272</v>
      </c>
      <c r="M54" s="302">
        <f>VLOOKUP($F54,'[3]5.급수원단위'!$B$31:$G$35,3,FALSE)</f>
        <v>304</v>
      </c>
      <c r="N54" s="302">
        <f>VLOOKUP($F54,'[3]5.급수원단위'!$B$31:$G$35,4,FALSE)</f>
        <v>308</v>
      </c>
      <c r="O54" s="302">
        <f>VLOOKUP($F54,'[3]5.급수원단위'!$B$31:$G$35,5,FALSE)</f>
        <v>310</v>
      </c>
      <c r="P54" s="302">
        <f>VLOOKUP($F54,'[3]5.급수원단위'!$B$31:$G$35,6,FALSE)</f>
        <v>310</v>
      </c>
      <c r="Q54" s="302">
        <f>ROUND(IF(G54=0,0,VLOOKUP(C54,'2013실사용량 정리'!$D$6:$F$381,3,FALSE)),0)</f>
        <v>29</v>
      </c>
      <c r="R54" s="302">
        <f t="shared" si="7"/>
        <v>17</v>
      </c>
      <c r="S54" s="302">
        <f t="shared" si="7"/>
        <v>18</v>
      </c>
      <c r="T54" s="302">
        <f t="shared" si="7"/>
        <v>20</v>
      </c>
      <c r="U54" s="302">
        <f t="shared" si="7"/>
        <v>20</v>
      </c>
      <c r="W54" s="343">
        <f t="shared" si="5"/>
        <v>0.68965517241379315</v>
      </c>
    </row>
    <row r="55" spans="1:23" ht="19.5" customHeight="1">
      <c r="A55" s="340"/>
      <c r="B55" s="340"/>
      <c r="C55" s="406" t="s">
        <v>1687</v>
      </c>
      <c r="D55" s="330" t="s">
        <v>1808</v>
      </c>
      <c r="E55" s="527">
        <f>1-'2.생활용수(광석)'!E23</f>
        <v>0</v>
      </c>
      <c r="F55" s="527" t="s">
        <v>1317</v>
      </c>
      <c r="G55" s="302">
        <f>IF($D55="A",ROUND(VLOOKUP($C55,'[2]2.행정구역별 급수인구'!$C$7:$AD$997,17,FALSE)*$E55,0),IF($D55="B",(ROUND(VLOOKUP($C55,'[2]2.행정구역별 급수인구'!$C$7:$AD$997,17,FALSE)-VLOOKUP($C55,'[2]2.행정구역별 급수인구'!$C$7:$AD$997,17,FALSE)*(1-$E55),0)),VLOOKUP($C55,'[2]2.행정구역별 급수인구'!$C$7:$AD$997,17,FALSE)))</f>
        <v>0</v>
      </c>
      <c r="H55" s="302">
        <f>IF($D55="A",ROUND(VLOOKUP($C55,'[2]2.행정구역별 급수인구'!$C$7:$AD$997,25,FALSE)*$E55,0),IF($D55="B",(ROUND(VLOOKUP($C55,'[2]2.행정구역별 급수인구'!$C$7:$AD$997,25,FALSE)-VLOOKUP($C55,'[2]2.행정구역별 급수인구'!$C$7:$AD$997,25,FALSE)*(1-$E55),0)),VLOOKUP($C55,'[2]2.행정구역별 급수인구'!$C$7:$AD$997,25,FALSE)))</f>
        <v>0</v>
      </c>
      <c r="I55" s="302">
        <f>IF($D55="A",ROUND(VLOOKUP($C55,'[2]2.행정구역별 급수인구'!$C$7:$AD$997,26,FALSE)*$E55,0),IF($D55="B",(ROUND(VLOOKUP($C55,'[2]2.행정구역별 급수인구'!$C$7:$AD$997,26,FALSE)-VLOOKUP($C55,'[2]2.행정구역별 급수인구'!$C$7:$AD$997,26,FALSE)*(1-$E55),0)),VLOOKUP($C55,'[2]2.행정구역별 급수인구'!$C$7:$AD$997,26,FALSE)))</f>
        <v>0</v>
      </c>
      <c r="J55" s="302">
        <f>IF($D55="A",ROUND(VLOOKUP($C55,'[2]2.행정구역별 급수인구'!$C$7:$AD$997,27,FALSE)*$E55,0),IF($D55="B",(ROUND(VLOOKUP($C55,'[2]2.행정구역별 급수인구'!$C$7:$AD$997,27,FALSE)-VLOOKUP($C55,'[2]2.행정구역별 급수인구'!$C$7:$AD$997,27,FALSE)*(1-$E55),0)),VLOOKUP($C55,'[2]2.행정구역별 급수인구'!$C$7:$AD$997,27,FALSE)))</f>
        <v>0</v>
      </c>
      <c r="K55" s="302">
        <f>IF($D55="A",ROUND(VLOOKUP($C55,'[2]2.행정구역별 급수인구'!$C$7:$AD$997,28,FALSE)*$E55,0),IF($D55="B",(ROUND(VLOOKUP($C55,'[2]2.행정구역별 급수인구'!$C$7:$AD$997,28,FALSE)-VLOOKUP($C55,'[2]2.행정구역별 급수인구'!$C$7:$AD$997,28,FALSE)*(1-$E55),0)),VLOOKUP($C55,'[2]2.행정구역별 급수인구'!$C$7:$AD$997,28,FALSE)))</f>
        <v>0</v>
      </c>
      <c r="L55" s="302">
        <f>VLOOKUP($F55,'[3]5.급수원단위'!$B$31:$G$35,2,FALSE)</f>
        <v>272</v>
      </c>
      <c r="M55" s="302">
        <f>VLOOKUP($F55,'[3]5.급수원단위'!$B$31:$G$35,3,FALSE)</f>
        <v>304</v>
      </c>
      <c r="N55" s="302">
        <f>VLOOKUP($F55,'[3]5.급수원단위'!$B$31:$G$35,4,FALSE)</f>
        <v>308</v>
      </c>
      <c r="O55" s="302">
        <f>VLOOKUP($F55,'[3]5.급수원단위'!$B$31:$G$35,5,FALSE)</f>
        <v>310</v>
      </c>
      <c r="P55" s="302">
        <f>VLOOKUP($F55,'[3]5.급수원단위'!$B$31:$G$35,6,FALSE)</f>
        <v>310</v>
      </c>
      <c r="Q55" s="302">
        <f>ROUND(IF(G55=0,0,VLOOKUP(C55,'2013실사용량 정리'!$D$6:$F$381,3,FALSE)),0)</f>
        <v>0</v>
      </c>
      <c r="R55" s="302">
        <f t="shared" ref="R55:U60" si="8">ROUND(H55*M55/1000,0)</f>
        <v>0</v>
      </c>
      <c r="S55" s="302">
        <f t="shared" si="8"/>
        <v>0</v>
      </c>
      <c r="T55" s="302">
        <f t="shared" si="8"/>
        <v>0</v>
      </c>
      <c r="U55" s="302">
        <f t="shared" si="8"/>
        <v>0</v>
      </c>
      <c r="V55" s="327" t="s">
        <v>1828</v>
      </c>
      <c r="W55" s="343" t="str">
        <f t="shared" si="5"/>
        <v/>
      </c>
    </row>
    <row r="56" spans="1:23" ht="19.5" customHeight="1">
      <c r="A56" s="340"/>
      <c r="B56" s="340"/>
      <c r="C56" s="406" t="s">
        <v>1688</v>
      </c>
      <c r="D56" s="330" t="s">
        <v>1808</v>
      </c>
      <c r="E56" s="527">
        <f>1-'2.생활용수(광석)'!E25</f>
        <v>0</v>
      </c>
      <c r="F56" s="527" t="s">
        <v>1317</v>
      </c>
      <c r="G56" s="302">
        <f>IF($D56="A",ROUND(VLOOKUP($C56,'[2]2.행정구역별 급수인구'!$C$7:$AD$997,17,FALSE)*$E56,0),IF($D56="B",(ROUND(VLOOKUP($C56,'[2]2.행정구역별 급수인구'!$C$7:$AD$997,17,FALSE)-VLOOKUP($C56,'[2]2.행정구역별 급수인구'!$C$7:$AD$997,17,FALSE)*(1-$E56),0)),VLOOKUP($C56,'[2]2.행정구역별 급수인구'!$C$7:$AD$997,17,FALSE)))</f>
        <v>0</v>
      </c>
      <c r="H56" s="302">
        <f>IF($D56="A",ROUND(VLOOKUP($C56,'[2]2.행정구역별 급수인구'!$C$7:$AD$997,25,FALSE)*$E56,0),IF($D56="B",(ROUND(VLOOKUP($C56,'[2]2.행정구역별 급수인구'!$C$7:$AD$997,25,FALSE)-VLOOKUP($C56,'[2]2.행정구역별 급수인구'!$C$7:$AD$997,25,FALSE)*(1-$E56),0)),VLOOKUP($C56,'[2]2.행정구역별 급수인구'!$C$7:$AD$997,25,FALSE)))</f>
        <v>0</v>
      </c>
      <c r="I56" s="302">
        <f>IF($D56="A",ROUND(VLOOKUP($C56,'[2]2.행정구역별 급수인구'!$C$7:$AD$997,26,FALSE)*$E56,0),IF($D56="B",(ROUND(VLOOKUP($C56,'[2]2.행정구역별 급수인구'!$C$7:$AD$997,26,FALSE)-VLOOKUP($C56,'[2]2.행정구역별 급수인구'!$C$7:$AD$997,26,FALSE)*(1-$E56),0)),VLOOKUP($C56,'[2]2.행정구역별 급수인구'!$C$7:$AD$997,26,FALSE)))</f>
        <v>0</v>
      </c>
      <c r="J56" s="302">
        <f>IF($D56="A",ROUND(VLOOKUP($C56,'[2]2.행정구역별 급수인구'!$C$7:$AD$997,27,FALSE)*$E56,0),IF($D56="B",(ROUND(VLOOKUP($C56,'[2]2.행정구역별 급수인구'!$C$7:$AD$997,27,FALSE)-VLOOKUP($C56,'[2]2.행정구역별 급수인구'!$C$7:$AD$997,27,FALSE)*(1-$E56),0)),VLOOKUP($C56,'[2]2.행정구역별 급수인구'!$C$7:$AD$997,27,FALSE)))</f>
        <v>0</v>
      </c>
      <c r="K56" s="302">
        <f>IF($D56="A",ROUND(VLOOKUP($C56,'[2]2.행정구역별 급수인구'!$C$7:$AD$997,28,FALSE)*$E56,0),IF($D56="B",(ROUND(VLOOKUP($C56,'[2]2.행정구역별 급수인구'!$C$7:$AD$997,28,FALSE)-VLOOKUP($C56,'[2]2.행정구역별 급수인구'!$C$7:$AD$997,28,FALSE)*(1-$E56),0)),VLOOKUP($C56,'[2]2.행정구역별 급수인구'!$C$7:$AD$997,28,FALSE)))</f>
        <v>0</v>
      </c>
      <c r="L56" s="302">
        <f>VLOOKUP($F56,'[3]5.급수원단위'!$B$31:$G$35,2,FALSE)</f>
        <v>272</v>
      </c>
      <c r="M56" s="302">
        <f>VLOOKUP($F56,'[3]5.급수원단위'!$B$31:$G$35,3,FALSE)</f>
        <v>304</v>
      </c>
      <c r="N56" s="302">
        <f>VLOOKUP($F56,'[3]5.급수원단위'!$B$31:$G$35,4,FALSE)</f>
        <v>308</v>
      </c>
      <c r="O56" s="302">
        <f>VLOOKUP($F56,'[3]5.급수원단위'!$B$31:$G$35,5,FALSE)</f>
        <v>310</v>
      </c>
      <c r="P56" s="302">
        <f>VLOOKUP($F56,'[3]5.급수원단위'!$B$31:$G$35,6,FALSE)</f>
        <v>310</v>
      </c>
      <c r="Q56" s="302">
        <f>ROUND(IF(G56=0,0,VLOOKUP(C56,'2013실사용량 정리'!$D$6:$F$381,3,FALSE)),0)</f>
        <v>0</v>
      </c>
      <c r="R56" s="302">
        <f t="shared" si="8"/>
        <v>0</v>
      </c>
      <c r="S56" s="302">
        <f t="shared" si="8"/>
        <v>0</v>
      </c>
      <c r="T56" s="302">
        <f t="shared" si="8"/>
        <v>0</v>
      </c>
      <c r="U56" s="302">
        <f t="shared" si="8"/>
        <v>0</v>
      </c>
      <c r="V56" s="327" t="s">
        <v>1828</v>
      </c>
      <c r="W56" s="343" t="str">
        <f t="shared" si="5"/>
        <v/>
      </c>
    </row>
    <row r="57" spans="1:23" ht="19.5" customHeight="1">
      <c r="A57" s="340"/>
      <c r="B57" s="340"/>
      <c r="C57" s="406" t="s">
        <v>1689</v>
      </c>
      <c r="D57" s="330" t="s">
        <v>1808</v>
      </c>
      <c r="E57" s="527">
        <f>1-'2.생활용수(광석)'!E26</f>
        <v>0</v>
      </c>
      <c r="F57" s="527" t="s">
        <v>1317</v>
      </c>
      <c r="G57" s="302">
        <f>IF($D57="A",ROUND(VLOOKUP($C57,'[2]2.행정구역별 급수인구'!$C$7:$AD$997,17,FALSE)*$E57,0),IF($D57="B",(ROUND(VLOOKUP($C57,'[2]2.행정구역별 급수인구'!$C$7:$AD$997,17,FALSE)-VLOOKUP($C57,'[2]2.행정구역별 급수인구'!$C$7:$AD$997,17,FALSE)*(1-$E57),0)),VLOOKUP($C57,'[2]2.행정구역별 급수인구'!$C$7:$AD$997,17,FALSE)))</f>
        <v>0</v>
      </c>
      <c r="H57" s="302">
        <f>IF($D57="A",ROUND(VLOOKUP($C57,'[2]2.행정구역별 급수인구'!$C$7:$AD$997,25,FALSE)*$E57,0),IF($D57="B",(ROUND(VLOOKUP($C57,'[2]2.행정구역별 급수인구'!$C$7:$AD$997,25,FALSE)-VLOOKUP($C57,'[2]2.행정구역별 급수인구'!$C$7:$AD$997,25,FALSE)*(1-$E57),0)),VLOOKUP($C57,'[2]2.행정구역별 급수인구'!$C$7:$AD$997,25,FALSE)))</f>
        <v>0</v>
      </c>
      <c r="I57" s="302">
        <f>IF($D57="A",ROUND(VLOOKUP($C57,'[2]2.행정구역별 급수인구'!$C$7:$AD$997,26,FALSE)*$E57,0),IF($D57="B",(ROUND(VLOOKUP($C57,'[2]2.행정구역별 급수인구'!$C$7:$AD$997,26,FALSE)-VLOOKUP($C57,'[2]2.행정구역별 급수인구'!$C$7:$AD$997,26,FALSE)*(1-$E57),0)),VLOOKUP($C57,'[2]2.행정구역별 급수인구'!$C$7:$AD$997,26,FALSE)))</f>
        <v>0</v>
      </c>
      <c r="J57" s="302">
        <f>IF($D57="A",ROUND(VLOOKUP($C57,'[2]2.행정구역별 급수인구'!$C$7:$AD$997,27,FALSE)*$E57,0),IF($D57="B",(ROUND(VLOOKUP($C57,'[2]2.행정구역별 급수인구'!$C$7:$AD$997,27,FALSE)-VLOOKUP($C57,'[2]2.행정구역별 급수인구'!$C$7:$AD$997,27,FALSE)*(1-$E57),0)),VLOOKUP($C57,'[2]2.행정구역별 급수인구'!$C$7:$AD$997,27,FALSE)))</f>
        <v>0</v>
      </c>
      <c r="K57" s="302">
        <f>IF($D57="A",ROUND(VLOOKUP($C57,'[2]2.행정구역별 급수인구'!$C$7:$AD$997,28,FALSE)*$E57,0),IF($D57="B",(ROUND(VLOOKUP($C57,'[2]2.행정구역별 급수인구'!$C$7:$AD$997,28,FALSE)-VLOOKUP($C57,'[2]2.행정구역별 급수인구'!$C$7:$AD$997,28,FALSE)*(1-$E57),0)),VLOOKUP($C57,'[2]2.행정구역별 급수인구'!$C$7:$AD$997,28,FALSE)))</f>
        <v>0</v>
      </c>
      <c r="L57" s="302">
        <f>VLOOKUP($F57,'[3]5.급수원단위'!$B$31:$G$35,2,FALSE)</f>
        <v>272</v>
      </c>
      <c r="M57" s="302">
        <f>VLOOKUP($F57,'[3]5.급수원단위'!$B$31:$G$35,3,FALSE)</f>
        <v>304</v>
      </c>
      <c r="N57" s="302">
        <f>VLOOKUP($F57,'[3]5.급수원단위'!$B$31:$G$35,4,FALSE)</f>
        <v>308</v>
      </c>
      <c r="O57" s="302">
        <f>VLOOKUP($F57,'[3]5.급수원단위'!$B$31:$G$35,5,FALSE)</f>
        <v>310</v>
      </c>
      <c r="P57" s="302">
        <f>VLOOKUP($F57,'[3]5.급수원단위'!$B$31:$G$35,6,FALSE)</f>
        <v>310</v>
      </c>
      <c r="Q57" s="302">
        <f>ROUND(IF(G57=0,0,VLOOKUP(C57,'2013실사용량 정리'!$D$6:$F$381,3,FALSE)),0)</f>
        <v>0</v>
      </c>
      <c r="R57" s="302">
        <f t="shared" si="8"/>
        <v>0</v>
      </c>
      <c r="S57" s="302">
        <f t="shared" si="8"/>
        <v>0</v>
      </c>
      <c r="T57" s="302">
        <f t="shared" si="8"/>
        <v>0</v>
      </c>
      <c r="U57" s="302">
        <f t="shared" si="8"/>
        <v>0</v>
      </c>
      <c r="V57" s="327" t="s">
        <v>1828</v>
      </c>
      <c r="W57" s="343" t="str">
        <f t="shared" si="5"/>
        <v/>
      </c>
    </row>
    <row r="58" spans="1:23" ht="19.5" customHeight="1">
      <c r="A58" s="340"/>
      <c r="B58" s="340"/>
      <c r="C58" s="406" t="s">
        <v>1690</v>
      </c>
      <c r="D58" s="330" t="s">
        <v>1808</v>
      </c>
      <c r="E58" s="527">
        <f>1-'2.생활용수(광석)'!E27</f>
        <v>0</v>
      </c>
      <c r="F58" s="527" t="s">
        <v>1317</v>
      </c>
      <c r="G58" s="302">
        <f>IF($D58="A",ROUND(VLOOKUP($C58,'[2]2.행정구역별 급수인구'!$C$7:$AD$997,17,FALSE)*$E58,0),IF($D58="B",(ROUND(VLOOKUP($C58,'[2]2.행정구역별 급수인구'!$C$7:$AD$997,17,FALSE)-VLOOKUP($C58,'[2]2.행정구역별 급수인구'!$C$7:$AD$997,17,FALSE)*(1-$E58),0)),VLOOKUP($C58,'[2]2.행정구역별 급수인구'!$C$7:$AD$997,17,FALSE)))</f>
        <v>0</v>
      </c>
      <c r="H58" s="302">
        <f>IF($D58="A",ROUND(VLOOKUP($C58,'[2]2.행정구역별 급수인구'!$C$7:$AD$997,25,FALSE)*$E58,0),IF($D58="B",(ROUND(VLOOKUP($C58,'[2]2.행정구역별 급수인구'!$C$7:$AD$997,25,FALSE)-VLOOKUP($C58,'[2]2.행정구역별 급수인구'!$C$7:$AD$997,25,FALSE)*(1-$E58),0)),VLOOKUP($C58,'[2]2.행정구역별 급수인구'!$C$7:$AD$997,25,FALSE)))</f>
        <v>0</v>
      </c>
      <c r="I58" s="302">
        <f>IF($D58="A",ROUND(VLOOKUP($C58,'[2]2.행정구역별 급수인구'!$C$7:$AD$997,26,FALSE)*$E58,0),IF($D58="B",(ROUND(VLOOKUP($C58,'[2]2.행정구역별 급수인구'!$C$7:$AD$997,26,FALSE)-VLOOKUP($C58,'[2]2.행정구역별 급수인구'!$C$7:$AD$997,26,FALSE)*(1-$E58),0)),VLOOKUP($C58,'[2]2.행정구역별 급수인구'!$C$7:$AD$997,26,FALSE)))</f>
        <v>0</v>
      </c>
      <c r="J58" s="302">
        <f>IF($D58="A",ROUND(VLOOKUP($C58,'[2]2.행정구역별 급수인구'!$C$7:$AD$997,27,FALSE)*$E58,0),IF($D58="B",(ROUND(VLOOKUP($C58,'[2]2.행정구역별 급수인구'!$C$7:$AD$997,27,FALSE)-VLOOKUP($C58,'[2]2.행정구역별 급수인구'!$C$7:$AD$997,27,FALSE)*(1-$E58),0)),VLOOKUP($C58,'[2]2.행정구역별 급수인구'!$C$7:$AD$997,27,FALSE)))</f>
        <v>0</v>
      </c>
      <c r="K58" s="302">
        <f>IF($D58="A",ROUND(VLOOKUP($C58,'[2]2.행정구역별 급수인구'!$C$7:$AD$997,28,FALSE)*$E58,0),IF($D58="B",(ROUND(VLOOKUP($C58,'[2]2.행정구역별 급수인구'!$C$7:$AD$997,28,FALSE)-VLOOKUP($C58,'[2]2.행정구역별 급수인구'!$C$7:$AD$997,28,FALSE)*(1-$E58),0)),VLOOKUP($C58,'[2]2.행정구역별 급수인구'!$C$7:$AD$997,28,FALSE)))</f>
        <v>0</v>
      </c>
      <c r="L58" s="302">
        <f>VLOOKUP($F58,'[3]5.급수원단위'!$B$31:$G$35,2,FALSE)</f>
        <v>272</v>
      </c>
      <c r="M58" s="302">
        <f>VLOOKUP($F58,'[3]5.급수원단위'!$B$31:$G$35,3,FALSE)</f>
        <v>304</v>
      </c>
      <c r="N58" s="302">
        <f>VLOOKUP($F58,'[3]5.급수원단위'!$B$31:$G$35,4,FALSE)</f>
        <v>308</v>
      </c>
      <c r="O58" s="302">
        <f>VLOOKUP($F58,'[3]5.급수원단위'!$B$31:$G$35,5,FALSE)</f>
        <v>310</v>
      </c>
      <c r="P58" s="302">
        <f>VLOOKUP($F58,'[3]5.급수원단위'!$B$31:$G$35,6,FALSE)</f>
        <v>310</v>
      </c>
      <c r="Q58" s="302">
        <f>ROUND(IF(G58=0,0,VLOOKUP(C58,'2013실사용량 정리'!$D$6:$F$381,3,FALSE)),0)</f>
        <v>0</v>
      </c>
      <c r="R58" s="302">
        <f t="shared" si="8"/>
        <v>0</v>
      </c>
      <c r="S58" s="302">
        <f t="shared" si="8"/>
        <v>0</v>
      </c>
      <c r="T58" s="302">
        <f t="shared" si="8"/>
        <v>0</v>
      </c>
      <c r="U58" s="302">
        <f t="shared" si="8"/>
        <v>0</v>
      </c>
      <c r="V58" s="327" t="s">
        <v>1828</v>
      </c>
      <c r="W58" s="343" t="str">
        <f t="shared" si="5"/>
        <v/>
      </c>
    </row>
    <row r="59" spans="1:23" ht="19.5" customHeight="1">
      <c r="A59" s="340"/>
      <c r="B59" s="340"/>
      <c r="C59" s="406" t="s">
        <v>1691</v>
      </c>
      <c r="D59" s="330" t="s">
        <v>1808</v>
      </c>
      <c r="E59" s="527">
        <f>1-'2.생활용수(광석)'!E28</f>
        <v>0</v>
      </c>
      <c r="F59" s="527" t="s">
        <v>1317</v>
      </c>
      <c r="G59" s="302">
        <f>IF($D59="A",ROUND(VLOOKUP($C59,'[2]2.행정구역별 급수인구'!$C$7:$AD$997,17,FALSE)*$E59,0),IF($D59="B",(ROUND(VLOOKUP($C59,'[2]2.행정구역별 급수인구'!$C$7:$AD$997,17,FALSE)-VLOOKUP($C59,'[2]2.행정구역별 급수인구'!$C$7:$AD$997,17,FALSE)*(1-$E59),0)),VLOOKUP($C59,'[2]2.행정구역별 급수인구'!$C$7:$AD$997,17,FALSE)))</f>
        <v>0</v>
      </c>
      <c r="H59" s="302">
        <f>IF($D59="A",ROUND(VLOOKUP($C59,'[2]2.행정구역별 급수인구'!$C$7:$AD$997,25,FALSE)*$E59,0),IF($D59="B",(ROUND(VLOOKUP($C59,'[2]2.행정구역별 급수인구'!$C$7:$AD$997,25,FALSE)-VLOOKUP($C59,'[2]2.행정구역별 급수인구'!$C$7:$AD$997,25,FALSE)*(1-$E59),0)),VLOOKUP($C59,'[2]2.행정구역별 급수인구'!$C$7:$AD$997,25,FALSE)))</f>
        <v>0</v>
      </c>
      <c r="I59" s="302">
        <f>IF($D59="A",ROUND(VLOOKUP($C59,'[2]2.행정구역별 급수인구'!$C$7:$AD$997,26,FALSE)*$E59,0),IF($D59="B",(ROUND(VLOOKUP($C59,'[2]2.행정구역별 급수인구'!$C$7:$AD$997,26,FALSE)-VLOOKUP($C59,'[2]2.행정구역별 급수인구'!$C$7:$AD$997,26,FALSE)*(1-$E59),0)),VLOOKUP($C59,'[2]2.행정구역별 급수인구'!$C$7:$AD$997,26,FALSE)))</f>
        <v>0</v>
      </c>
      <c r="J59" s="302">
        <f>IF($D59="A",ROUND(VLOOKUP($C59,'[2]2.행정구역별 급수인구'!$C$7:$AD$997,27,FALSE)*$E59,0),IF($D59="B",(ROUND(VLOOKUP($C59,'[2]2.행정구역별 급수인구'!$C$7:$AD$997,27,FALSE)-VLOOKUP($C59,'[2]2.행정구역별 급수인구'!$C$7:$AD$997,27,FALSE)*(1-$E59),0)),VLOOKUP($C59,'[2]2.행정구역별 급수인구'!$C$7:$AD$997,27,FALSE)))</f>
        <v>0</v>
      </c>
      <c r="K59" s="302">
        <f>IF($D59="A",ROUND(VLOOKUP($C59,'[2]2.행정구역별 급수인구'!$C$7:$AD$997,28,FALSE)*$E59,0),IF($D59="B",(ROUND(VLOOKUP($C59,'[2]2.행정구역별 급수인구'!$C$7:$AD$997,28,FALSE)-VLOOKUP($C59,'[2]2.행정구역별 급수인구'!$C$7:$AD$997,28,FALSE)*(1-$E59),0)),VLOOKUP($C59,'[2]2.행정구역별 급수인구'!$C$7:$AD$997,28,FALSE)))</f>
        <v>0</v>
      </c>
      <c r="L59" s="302">
        <f>VLOOKUP($F59,'[3]5.급수원단위'!$B$31:$G$35,2,FALSE)</f>
        <v>272</v>
      </c>
      <c r="M59" s="302">
        <f>VLOOKUP($F59,'[3]5.급수원단위'!$B$31:$G$35,3,FALSE)</f>
        <v>304</v>
      </c>
      <c r="N59" s="302">
        <f>VLOOKUP($F59,'[3]5.급수원단위'!$B$31:$G$35,4,FALSE)</f>
        <v>308</v>
      </c>
      <c r="O59" s="302">
        <f>VLOOKUP($F59,'[3]5.급수원단위'!$B$31:$G$35,5,FALSE)</f>
        <v>310</v>
      </c>
      <c r="P59" s="302">
        <f>VLOOKUP($F59,'[3]5.급수원단위'!$B$31:$G$35,6,FALSE)</f>
        <v>310</v>
      </c>
      <c r="Q59" s="302">
        <f>ROUND(IF(G59=0,0,VLOOKUP(C59,'2013실사용량 정리'!$D$6:$F$381,3,FALSE)),0)</f>
        <v>0</v>
      </c>
      <c r="R59" s="302">
        <f t="shared" si="8"/>
        <v>0</v>
      </c>
      <c r="S59" s="302">
        <f t="shared" si="8"/>
        <v>0</v>
      </c>
      <c r="T59" s="302">
        <f t="shared" si="8"/>
        <v>0</v>
      </c>
      <c r="U59" s="302">
        <f t="shared" si="8"/>
        <v>0</v>
      </c>
      <c r="V59" s="327" t="s">
        <v>1828</v>
      </c>
      <c r="W59" s="343" t="str">
        <f t="shared" si="5"/>
        <v/>
      </c>
    </row>
    <row r="60" spans="1:23" ht="19.5" customHeight="1">
      <c r="A60" s="386"/>
      <c r="B60" s="386"/>
      <c r="C60" s="406" t="s">
        <v>1692</v>
      </c>
      <c r="D60" s="330" t="s">
        <v>1808</v>
      </c>
      <c r="E60" s="527">
        <f>1-'2.생활용수(광석)'!E29</f>
        <v>0</v>
      </c>
      <c r="F60" s="527" t="s">
        <v>1317</v>
      </c>
      <c r="G60" s="302">
        <f>IF($D60="A",ROUND(VLOOKUP($C60,'[2]2.행정구역별 급수인구'!$C$7:$AD$997,17,FALSE)*$E60,0),IF($D60="B",(ROUND(VLOOKUP($C60,'[2]2.행정구역별 급수인구'!$C$7:$AD$997,17,FALSE)-VLOOKUP($C60,'[2]2.행정구역별 급수인구'!$C$7:$AD$997,17,FALSE)*(1-$E60),0)),VLOOKUP($C60,'[2]2.행정구역별 급수인구'!$C$7:$AD$997,17,FALSE)))</f>
        <v>0</v>
      </c>
      <c r="H60" s="302">
        <f>IF($D60="A",ROUND(VLOOKUP($C60,'[2]2.행정구역별 급수인구'!$C$7:$AD$997,25,FALSE)*$E60,0),IF($D60="B",(ROUND(VLOOKUP($C60,'[2]2.행정구역별 급수인구'!$C$7:$AD$997,25,FALSE)-VLOOKUP($C60,'[2]2.행정구역별 급수인구'!$C$7:$AD$997,25,FALSE)*(1-$E60),0)),VLOOKUP($C60,'[2]2.행정구역별 급수인구'!$C$7:$AD$997,25,FALSE)))</f>
        <v>0</v>
      </c>
      <c r="I60" s="302">
        <f>IF($D60="A",ROUND(VLOOKUP($C60,'[2]2.행정구역별 급수인구'!$C$7:$AD$997,26,FALSE)*$E60,0),IF($D60="B",(ROUND(VLOOKUP($C60,'[2]2.행정구역별 급수인구'!$C$7:$AD$997,26,FALSE)-VLOOKUP($C60,'[2]2.행정구역별 급수인구'!$C$7:$AD$997,26,FALSE)*(1-$E60),0)),VLOOKUP($C60,'[2]2.행정구역별 급수인구'!$C$7:$AD$997,26,FALSE)))</f>
        <v>0</v>
      </c>
      <c r="J60" s="302">
        <f>IF($D60="A",ROUND(VLOOKUP($C60,'[2]2.행정구역별 급수인구'!$C$7:$AD$997,27,FALSE)*$E60,0),IF($D60="B",(ROUND(VLOOKUP($C60,'[2]2.행정구역별 급수인구'!$C$7:$AD$997,27,FALSE)-VLOOKUP($C60,'[2]2.행정구역별 급수인구'!$C$7:$AD$997,27,FALSE)*(1-$E60),0)),VLOOKUP($C60,'[2]2.행정구역별 급수인구'!$C$7:$AD$997,27,FALSE)))</f>
        <v>0</v>
      </c>
      <c r="K60" s="302">
        <f>IF($D60="A",ROUND(VLOOKUP($C60,'[2]2.행정구역별 급수인구'!$C$7:$AD$997,28,FALSE)*$E60,0),IF($D60="B",(ROUND(VLOOKUP($C60,'[2]2.행정구역별 급수인구'!$C$7:$AD$997,28,FALSE)-VLOOKUP($C60,'[2]2.행정구역별 급수인구'!$C$7:$AD$997,28,FALSE)*(1-$E60),0)),VLOOKUP($C60,'[2]2.행정구역별 급수인구'!$C$7:$AD$997,28,FALSE)))</f>
        <v>0</v>
      </c>
      <c r="L60" s="302">
        <f>VLOOKUP($F60,'[3]5.급수원단위'!$B$31:$G$35,2,FALSE)</f>
        <v>272</v>
      </c>
      <c r="M60" s="302">
        <f>VLOOKUP($F60,'[3]5.급수원단위'!$B$31:$G$35,3,FALSE)</f>
        <v>304</v>
      </c>
      <c r="N60" s="302">
        <f>VLOOKUP($F60,'[3]5.급수원단위'!$B$31:$G$35,4,FALSE)</f>
        <v>308</v>
      </c>
      <c r="O60" s="302">
        <f>VLOOKUP($F60,'[3]5.급수원단위'!$B$31:$G$35,5,FALSE)</f>
        <v>310</v>
      </c>
      <c r="P60" s="302">
        <f>VLOOKUP($F60,'[3]5.급수원단위'!$B$31:$G$35,6,FALSE)</f>
        <v>310</v>
      </c>
      <c r="Q60" s="302">
        <f>ROUND(IF(G60=0,0,VLOOKUP(C60,'2013실사용량 정리'!$D$6:$F$381,3,FALSE)),0)</f>
        <v>0</v>
      </c>
      <c r="R60" s="302">
        <f t="shared" si="8"/>
        <v>0</v>
      </c>
      <c r="S60" s="302">
        <f t="shared" si="8"/>
        <v>0</v>
      </c>
      <c r="T60" s="302">
        <f t="shared" si="8"/>
        <v>0</v>
      </c>
      <c r="U60" s="302">
        <f t="shared" si="8"/>
        <v>0</v>
      </c>
      <c r="V60" s="327" t="s">
        <v>1828</v>
      </c>
      <c r="W60" s="343" t="str">
        <f t="shared" si="5"/>
        <v/>
      </c>
    </row>
    <row r="61" spans="1:23" ht="9.9499999999999993" customHeight="1">
      <c r="A61" s="398"/>
      <c r="B61" s="398"/>
      <c r="C61" s="398"/>
      <c r="D61" s="398"/>
      <c r="E61" s="398"/>
      <c r="F61" s="398"/>
      <c r="G61" s="398"/>
      <c r="H61" s="398"/>
      <c r="I61" s="398"/>
      <c r="J61" s="398"/>
      <c r="K61" s="398"/>
      <c r="L61" s="398"/>
      <c r="M61" s="398"/>
      <c r="N61" s="398"/>
      <c r="O61" s="398"/>
      <c r="P61" s="398"/>
      <c r="Q61" s="398"/>
      <c r="R61" s="398"/>
      <c r="S61" s="398"/>
      <c r="T61" s="398"/>
      <c r="U61" s="398"/>
    </row>
  </sheetData>
  <autoFilter ref="A4:AS60">
    <filterColumn colId="0" showButton="0"/>
    <filterColumn colId="1" showButton="0"/>
    <filterColumn colId="2" showButton="0"/>
    <filterColumn colId="4"/>
    <filterColumn colId="6"/>
  </autoFilter>
  <mergeCells count="10">
    <mergeCell ref="B38:D38"/>
    <mergeCell ref="A5:D5"/>
    <mergeCell ref="B6:D6"/>
    <mergeCell ref="A3:D4"/>
    <mergeCell ref="E3:E4"/>
    <mergeCell ref="W2:Y2"/>
    <mergeCell ref="F3:F4"/>
    <mergeCell ref="G3:K3"/>
    <mergeCell ref="L3:P3"/>
    <mergeCell ref="Q3:U3"/>
  </mergeCells>
  <phoneticPr fontId="3" type="noConversion"/>
  <printOptions horizontalCentered="1"/>
  <pageMargins left="0.62992125984251968" right="0.62992125984251968" top="0.62992125984251968" bottom="0.62992125984251968" header="0.31496062992125984" footer="0.31496062992125984"/>
  <pageSetup paperSize="9" scale="9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C000"/>
  </sheetPr>
  <dimension ref="A1:AE33"/>
  <sheetViews>
    <sheetView view="pageBreakPreview" zoomScale="60" zoomScaleNormal="100" workbookViewId="0">
      <selection activeCell="Z20" sqref="Z20"/>
    </sheetView>
  </sheetViews>
  <sheetFormatPr defaultColWidth="7.6640625" defaultRowHeight="20.100000000000001" customHeight="1" outlineLevelCol="1"/>
  <cols>
    <col min="1" max="2" width="1.77734375" style="327" customWidth="1"/>
    <col min="3" max="3" width="6.33203125" style="327" customWidth="1"/>
    <col min="4" max="4" width="2.33203125" style="327" customWidth="1"/>
    <col min="5" max="6" width="6.77734375" style="327" hidden="1" customWidth="1" outlineLevel="1"/>
    <col min="7" max="7" width="6.33203125" style="327" hidden="1" customWidth="1" outlineLevel="1" collapsed="1"/>
    <col min="8" max="8" width="6.33203125" style="327" customWidth="1" collapsed="1"/>
    <col min="9" max="11" width="6.33203125" style="327" customWidth="1"/>
    <col min="12" max="12" width="4.33203125" style="327" hidden="1" customWidth="1" outlineLevel="1"/>
    <col min="13" max="13" width="4.33203125" style="327" customWidth="1" collapsed="1"/>
    <col min="14" max="16" width="4.33203125" style="327" customWidth="1"/>
    <col min="17" max="17" width="6.33203125" style="327" hidden="1" customWidth="1" outlineLevel="1"/>
    <col min="18" max="18" width="6.33203125" style="327" customWidth="1" collapsed="1"/>
    <col min="19" max="21" width="6.33203125" style="327" customWidth="1"/>
    <col min="22" max="23" width="7.6640625" style="335"/>
    <col min="32" max="16384" width="7.6640625" style="327"/>
  </cols>
  <sheetData>
    <row r="1" spans="1:26" s="204" customFormat="1" ht="20.100000000000001" customHeight="1">
      <c r="A1" s="204" t="s">
        <v>804</v>
      </c>
      <c r="V1" s="333"/>
      <c r="W1" s="333"/>
    </row>
    <row r="2" spans="1:26" s="208" customFormat="1" ht="19.5" customHeight="1">
      <c r="A2" s="207" t="s">
        <v>1855</v>
      </c>
      <c r="G2" s="209"/>
      <c r="H2" s="209"/>
      <c r="J2" s="209"/>
      <c r="K2" s="209"/>
      <c r="L2" s="209"/>
      <c r="V2" s="334"/>
      <c r="W2" s="692" t="s">
        <v>1919</v>
      </c>
      <c r="X2" s="692"/>
      <c r="Y2" s="692"/>
      <c r="Z2" s="440" t="s">
        <v>2405</v>
      </c>
    </row>
    <row r="3" spans="1:26" ht="20.100000000000001" customHeight="1">
      <c r="A3" s="707" t="s">
        <v>1279</v>
      </c>
      <c r="B3" s="708"/>
      <c r="C3" s="708"/>
      <c r="D3" s="709"/>
      <c r="E3" s="696" t="s">
        <v>1290</v>
      </c>
      <c r="F3" s="696" t="s">
        <v>1280</v>
      </c>
      <c r="G3" s="693" t="s">
        <v>1281</v>
      </c>
      <c r="H3" s="693"/>
      <c r="I3" s="693"/>
      <c r="J3" s="693"/>
      <c r="K3" s="693"/>
      <c r="L3" s="693" t="s">
        <v>1282</v>
      </c>
      <c r="M3" s="693"/>
      <c r="N3" s="693"/>
      <c r="O3" s="693"/>
      <c r="P3" s="693"/>
      <c r="Q3" s="693" t="s">
        <v>1283</v>
      </c>
      <c r="R3" s="693"/>
      <c r="S3" s="693"/>
      <c r="T3" s="693"/>
      <c r="U3" s="693"/>
      <c r="W3" s="434">
        <v>3926</v>
      </c>
      <c r="X3" s="439">
        <v>2648</v>
      </c>
      <c r="Y3" s="440">
        <f>X3/W3</f>
        <v>0.67447784004075395</v>
      </c>
      <c r="Z3" s="440">
        <f>ROUND(AVERAGE(W6:W18),2)</f>
        <v>1.72</v>
      </c>
    </row>
    <row r="4" spans="1:26" ht="20.100000000000001" customHeight="1">
      <c r="A4" s="710"/>
      <c r="B4" s="711"/>
      <c r="C4" s="711"/>
      <c r="D4" s="712"/>
      <c r="E4" s="693"/>
      <c r="F4" s="693"/>
      <c r="G4" s="397">
        <v>2013</v>
      </c>
      <c r="H4" s="397">
        <v>2015</v>
      </c>
      <c r="I4" s="397">
        <v>2020</v>
      </c>
      <c r="J4" s="397">
        <v>2025</v>
      </c>
      <c r="K4" s="397">
        <v>2030</v>
      </c>
      <c r="L4" s="397">
        <v>2013</v>
      </c>
      <c r="M4" s="397">
        <v>2015</v>
      </c>
      <c r="N4" s="397">
        <v>2020</v>
      </c>
      <c r="O4" s="397">
        <v>2025</v>
      </c>
      <c r="P4" s="397">
        <v>2030</v>
      </c>
      <c r="Q4" s="397">
        <v>2013</v>
      </c>
      <c r="R4" s="397">
        <v>2015</v>
      </c>
      <c r="S4" s="397">
        <v>2020</v>
      </c>
      <c r="T4" s="397">
        <v>2025</v>
      </c>
      <c r="U4" s="397">
        <v>2030</v>
      </c>
    </row>
    <row r="5" spans="1:26" ht="20.100000000000001" customHeight="1">
      <c r="A5" s="704" t="s">
        <v>1856</v>
      </c>
      <c r="B5" s="705"/>
      <c r="C5" s="705"/>
      <c r="D5" s="706"/>
      <c r="E5" s="407"/>
      <c r="F5" s="407"/>
      <c r="G5" s="408">
        <f>G6+G14</f>
        <v>4933</v>
      </c>
      <c r="H5" s="408">
        <f t="shared" ref="H5:K5" si="0">H6+H14</f>
        <v>4916</v>
      </c>
      <c r="I5" s="408">
        <f t="shared" si="0"/>
        <v>5213</v>
      </c>
      <c r="J5" s="408">
        <f t="shared" si="0"/>
        <v>5385</v>
      </c>
      <c r="K5" s="408">
        <f t="shared" si="0"/>
        <v>5532</v>
      </c>
      <c r="L5" s="408"/>
      <c r="M5" s="408"/>
      <c r="N5" s="408"/>
      <c r="O5" s="408"/>
      <c r="P5" s="408"/>
      <c r="Q5" s="408">
        <f t="shared" ref="Q5:U5" si="1">Q6+Q14</f>
        <v>1876</v>
      </c>
      <c r="R5" s="408">
        <f t="shared" si="1"/>
        <v>2074</v>
      </c>
      <c r="S5" s="408">
        <f t="shared" si="1"/>
        <v>2258</v>
      </c>
      <c r="T5" s="408">
        <f t="shared" si="1"/>
        <v>2401</v>
      </c>
      <c r="U5" s="408">
        <f t="shared" si="1"/>
        <v>2578</v>
      </c>
    </row>
    <row r="6" spans="1:26" ht="20.100000000000001" customHeight="1">
      <c r="A6" s="700"/>
      <c r="B6" s="701" t="s">
        <v>1285</v>
      </c>
      <c r="C6" s="702"/>
      <c r="D6" s="703"/>
      <c r="E6" s="331"/>
      <c r="F6" s="331"/>
      <c r="G6" s="336">
        <f>SUM(G7:G13)</f>
        <v>1262</v>
      </c>
      <c r="H6" s="336">
        <f t="shared" ref="H6:K6" si="2">SUM(H7:H13)</f>
        <v>1258</v>
      </c>
      <c r="I6" s="336">
        <f t="shared" si="2"/>
        <v>1258</v>
      </c>
      <c r="J6" s="336">
        <f t="shared" si="2"/>
        <v>1301</v>
      </c>
      <c r="K6" s="336">
        <f t="shared" si="2"/>
        <v>1338</v>
      </c>
      <c r="L6" s="336"/>
      <c r="M6" s="336"/>
      <c r="N6" s="336"/>
      <c r="O6" s="336"/>
      <c r="P6" s="336"/>
      <c r="Q6" s="336">
        <f t="shared" ref="Q6:U6" si="3">SUM(Q7:Q13)</f>
        <v>736</v>
      </c>
      <c r="R6" s="336">
        <f t="shared" si="3"/>
        <v>530</v>
      </c>
      <c r="S6" s="336">
        <f t="shared" si="3"/>
        <v>545</v>
      </c>
      <c r="T6" s="336">
        <f t="shared" si="3"/>
        <v>580</v>
      </c>
      <c r="U6" s="336">
        <f t="shared" si="3"/>
        <v>623</v>
      </c>
      <c r="V6" s="343">
        <f>VLOOKUP(B6,'2013년도 용수량 비율'!$A$5:$F$20,6,FALSE)</f>
        <v>0</v>
      </c>
      <c r="W6" s="343"/>
    </row>
    <row r="7" spans="1:26" ht="20.100000000000001" customHeight="1">
      <c r="A7" s="700"/>
      <c r="B7" s="698"/>
      <c r="C7" s="399" t="s">
        <v>1292</v>
      </c>
      <c r="D7" s="330" t="s">
        <v>1807</v>
      </c>
      <c r="E7" s="476">
        <f>'[4]급수구역별 용수량정리'!$I$65</f>
        <v>0.22</v>
      </c>
      <c r="F7" s="397" t="s">
        <v>1286</v>
      </c>
      <c r="G7" s="302">
        <f>IF($D7="A",ROUND(VLOOKUP($C7,'[2]2.행정구역별 급수인구'!$C$7:$AD$997,23,FALSE)*$E7,0),IF($D7="B",(ROUND(VLOOKUP($C7,'[2]2.행정구역별 급수인구'!$C$7:$AD$997,23,FALSE)-ROUND(VLOOKUP($C7,'[2]2.행정구역별 급수인구'!$C$7:$AD$997,23,FALSE)*(1-$E7),0),0)),VLOOKUP($C7,'[2]2.행정구역별 급수인구'!$C$7:$AD$997,23,FALSE)))</f>
        <v>586</v>
      </c>
      <c r="H7" s="302">
        <f>IF($D7="A",ROUND(VLOOKUP($C7,'[2]2.행정구역별 급수인구'!$C$7:$AD$997,25,FALSE)*$E7,0),IF($D7="B",(ROUND(VLOOKUP($C7,'[2]2.행정구역별 급수인구'!$C$7:$AD$997,25,FALSE)-ROUND(VLOOKUP($C7,'[2]2.행정구역별 급수인구'!$C$7:$AD$997,25,FALSE)*(1-$E7),0),0)),VLOOKUP($C7,'[2]2.행정구역별 급수인구'!$C$7:$AD$997,25,FALSE)))</f>
        <v>584</v>
      </c>
      <c r="I7" s="302">
        <f>IF($D7="A",ROUND(VLOOKUP($C7,'[2]2.행정구역별 급수인구'!$C$7:$AD$997,26,FALSE)*$E7,0),IF($D7="B",(ROUND(VLOOKUP($C7,'[2]2.행정구역별 급수인구'!$C$7:$AD$997,26,FALSE)-ROUND(VLOOKUP($C7,'[2]2.행정구역별 급수인구'!$C$7:$AD$997,26,FALSE)*(1-$E7),0),0)),VLOOKUP($C7,'[2]2.행정구역별 급수인구'!$C$7:$AD$997,26,FALSE)))</f>
        <v>584</v>
      </c>
      <c r="J7" s="302">
        <f>IF($D7="A",ROUND(VLOOKUP($C7,'[2]2.행정구역별 급수인구'!$C$7:$AD$997,27,FALSE)*$E7,0),IF($D7="B",(ROUND(VLOOKUP($C7,'[2]2.행정구역별 급수인구'!$C$7:$AD$997,27,FALSE)-ROUND(VLOOKUP($C7,'[2]2.행정구역별 급수인구'!$C$7:$AD$997,27,FALSE)*(1-$E7),0),0)),VLOOKUP($C7,'[2]2.행정구역별 급수인구'!$C$7:$AD$997,27,FALSE)))</f>
        <v>604</v>
      </c>
      <c r="K7" s="302">
        <f>IF($D7="A",ROUND(VLOOKUP($C7,'[2]2.행정구역별 급수인구'!$C$7:$AD$997,28,FALSE)*$E7,0),IF($D7="B",(ROUND(VLOOKUP($C7,'[2]2.행정구역별 급수인구'!$C$7:$AD$997,28,FALSE)-ROUND(VLOOKUP($C7,'[2]2.행정구역별 급수인구'!$C$7:$AD$997,28,FALSE)*(1-$E7),0),0)),VLOOKUP($C7,'[2]2.행정구역별 급수인구'!$C$7:$AD$997,28,FALSE)))</f>
        <v>621</v>
      </c>
      <c r="L7" s="302">
        <f>VLOOKUP($F7,'[3]5.급수원단위'!$B$31:$G$35,2,FALSE)</f>
        <v>420</v>
      </c>
      <c r="M7" s="302">
        <f>VLOOKUP($F7,'[3]5.급수원단위'!$B$31:$G$35,3,FALSE)</f>
        <v>422</v>
      </c>
      <c r="N7" s="302">
        <f>VLOOKUP($F7,'[3]5.급수원단위'!$B$31:$G$35,4,FALSE)</f>
        <v>433</v>
      </c>
      <c r="O7" s="302">
        <f>VLOOKUP($F7,'[3]5.급수원단위'!$B$31:$G$35,5,FALSE)</f>
        <v>446</v>
      </c>
      <c r="P7" s="302">
        <f>VLOOKUP($F7,'[3]5.급수원단위'!$B$31:$G$35,6,FALSE)</f>
        <v>466</v>
      </c>
      <c r="Q7" s="302">
        <f>'2013실사용량 정리'!F74</f>
        <v>325</v>
      </c>
      <c r="R7" s="302">
        <f t="shared" ref="R7:U8" si="4">ROUND(H7*M7/1000,0)</f>
        <v>246</v>
      </c>
      <c r="S7" s="302">
        <f t="shared" si="4"/>
        <v>253</v>
      </c>
      <c r="T7" s="302">
        <f t="shared" si="4"/>
        <v>269</v>
      </c>
      <c r="U7" s="302">
        <f t="shared" si="4"/>
        <v>289</v>
      </c>
      <c r="W7" s="343">
        <f t="shared" ref="W7:W18" si="5">IF(ISERROR(U7/Q7),"",U7/Q7)</f>
        <v>0.88923076923076927</v>
      </c>
    </row>
    <row r="8" spans="1:26" ht="20.100000000000001" customHeight="1">
      <c r="A8" s="700"/>
      <c r="B8" s="699"/>
      <c r="C8" s="399" t="s">
        <v>1298</v>
      </c>
      <c r="D8" s="330" t="s">
        <v>1807</v>
      </c>
      <c r="E8" s="476">
        <f>'[4]급수구역별 용수량정리'!$I$66</f>
        <v>0.40400000000000003</v>
      </c>
      <c r="F8" s="397" t="s">
        <v>1286</v>
      </c>
      <c r="G8" s="302">
        <f>IF($D8="A",ROUND(VLOOKUP($C8,'[2]2.행정구역별 급수인구'!$C$7:$AD$997,23,FALSE)*$E8,0),IF($D8="B",(ROUND(VLOOKUP($C8,'[2]2.행정구역별 급수인구'!$C$7:$AD$997,23,FALSE)-ROUND(VLOOKUP($C8,'[2]2.행정구역별 급수인구'!$C$7:$AD$997,23,FALSE)*(1-$E8),0),0)),VLOOKUP($C8,'[2]2.행정구역별 급수인구'!$C$7:$AD$997,23,FALSE)))</f>
        <v>676</v>
      </c>
      <c r="H8" s="302">
        <f>IF($D8="A",ROUND(VLOOKUP($C8,'[2]2.행정구역별 급수인구'!$C$7:$AD$997,25,FALSE)*$E8,0),IF($D8="B",(ROUND(VLOOKUP($C8,'[2]2.행정구역별 급수인구'!$C$7:$AD$997,25,FALSE)-ROUND(VLOOKUP($C8,'[2]2.행정구역별 급수인구'!$C$7:$AD$997,25,FALSE)*(1-$E8),0),0)),VLOOKUP($C8,'[2]2.행정구역별 급수인구'!$C$7:$AD$997,25,FALSE)))</f>
        <v>674</v>
      </c>
      <c r="I8" s="302">
        <f>IF($D8="A",ROUND(VLOOKUP($C8,'[2]2.행정구역별 급수인구'!$C$7:$AD$997,26,FALSE)*$E8,0),IF($D8="B",(ROUND(VLOOKUP($C8,'[2]2.행정구역별 급수인구'!$C$7:$AD$997,26,FALSE)-ROUND(VLOOKUP($C8,'[2]2.행정구역별 급수인구'!$C$7:$AD$997,26,FALSE)*(1-$E8),0),0)),VLOOKUP($C8,'[2]2.행정구역별 급수인구'!$C$7:$AD$997,26,FALSE)))</f>
        <v>674</v>
      </c>
      <c r="J8" s="302">
        <f>IF($D8="A",ROUND(VLOOKUP($C8,'[2]2.행정구역별 급수인구'!$C$7:$AD$997,27,FALSE)*$E8,0),IF($D8="B",(ROUND(VLOOKUP($C8,'[2]2.행정구역별 급수인구'!$C$7:$AD$997,27,FALSE)-ROUND(VLOOKUP($C8,'[2]2.행정구역별 급수인구'!$C$7:$AD$997,27,FALSE)*(1-$E8),0),0)),VLOOKUP($C8,'[2]2.행정구역별 급수인구'!$C$7:$AD$997,27,FALSE)))</f>
        <v>697</v>
      </c>
      <c r="K8" s="302">
        <f>IF($D8="A",ROUND(VLOOKUP($C8,'[2]2.행정구역별 급수인구'!$C$7:$AD$997,28,FALSE)*$E8,0),IF($D8="B",(ROUND(VLOOKUP($C8,'[2]2.행정구역별 급수인구'!$C$7:$AD$997,28,FALSE)-ROUND(VLOOKUP($C8,'[2]2.행정구역별 급수인구'!$C$7:$AD$997,28,FALSE)*(1-$E8),0),0)),VLOOKUP($C8,'[2]2.행정구역별 급수인구'!$C$7:$AD$997,28,FALSE)))</f>
        <v>717</v>
      </c>
      <c r="L8" s="302">
        <f>VLOOKUP($F8,'[3]5.급수원단위'!$B$31:$G$35,2,FALSE)</f>
        <v>420</v>
      </c>
      <c r="M8" s="302">
        <f>VLOOKUP($F8,'[3]5.급수원단위'!$B$31:$G$35,3,FALSE)</f>
        <v>422</v>
      </c>
      <c r="N8" s="302">
        <f>VLOOKUP($F8,'[3]5.급수원단위'!$B$31:$G$35,4,FALSE)</f>
        <v>433</v>
      </c>
      <c r="O8" s="302">
        <f>VLOOKUP($F8,'[3]5.급수원단위'!$B$31:$G$35,5,FALSE)</f>
        <v>446</v>
      </c>
      <c r="P8" s="302">
        <f>VLOOKUP($F8,'[3]5.급수원단위'!$B$31:$G$35,6,FALSE)</f>
        <v>466</v>
      </c>
      <c r="Q8" s="302">
        <f>'2013실사용량 정리'!F75</f>
        <v>411</v>
      </c>
      <c r="R8" s="302">
        <f t="shared" si="4"/>
        <v>284</v>
      </c>
      <c r="S8" s="302">
        <f t="shared" si="4"/>
        <v>292</v>
      </c>
      <c r="T8" s="302">
        <f t="shared" si="4"/>
        <v>311</v>
      </c>
      <c r="U8" s="302">
        <f t="shared" si="4"/>
        <v>334</v>
      </c>
      <c r="W8" s="343">
        <f t="shared" si="5"/>
        <v>0.81265206812652069</v>
      </c>
    </row>
    <row r="9" spans="1:26" ht="20.100000000000001" customHeight="1">
      <c r="A9" s="700"/>
      <c r="B9" s="699"/>
      <c r="C9" s="399" t="s">
        <v>712</v>
      </c>
      <c r="D9" s="330" t="s">
        <v>1807</v>
      </c>
      <c r="E9" s="476">
        <f>'[4]급수구역별 용수량정리'!$I$67</f>
        <v>0</v>
      </c>
      <c r="F9" s="397" t="s">
        <v>1286</v>
      </c>
      <c r="G9" s="302">
        <f>IF($D9="A",ROUND(VLOOKUP($C9,'[2]2.행정구역별 급수인구'!$C$7:$AD$997,23,FALSE)*$E9,0),IF($D9="B",(ROUND(VLOOKUP($C9,'[2]2.행정구역별 급수인구'!$C$7:$AD$997,23,FALSE)-ROUND(VLOOKUP($C9,'[2]2.행정구역별 급수인구'!$C$7:$AD$997,23,FALSE)*(1-$E9),0),0)),VLOOKUP($C9,'[2]2.행정구역별 급수인구'!$C$7:$AD$997,23,FALSE)))</f>
        <v>0</v>
      </c>
      <c r="H9" s="302">
        <f>IF($D9="A",ROUND(VLOOKUP($C9,'[2]2.행정구역별 급수인구'!$C$7:$AD$997,25,FALSE)*$E9,0),IF($D9="B",(ROUND(VLOOKUP($C9,'[2]2.행정구역별 급수인구'!$C$7:$AD$997,25,FALSE)-ROUND(VLOOKUP($C9,'[2]2.행정구역별 급수인구'!$C$7:$AD$997,25,FALSE)*(1-$E9),0),0)),VLOOKUP($C9,'[2]2.행정구역별 급수인구'!$C$7:$AD$997,25,FALSE)))</f>
        <v>0</v>
      </c>
      <c r="I9" s="302">
        <f>IF($D9="A",ROUND(VLOOKUP($C9,'[2]2.행정구역별 급수인구'!$C$7:$AD$997,26,FALSE)*$E9,0),IF($D9="B",(ROUND(VLOOKUP($C9,'[2]2.행정구역별 급수인구'!$C$7:$AD$997,26,FALSE)-ROUND(VLOOKUP($C9,'[2]2.행정구역별 급수인구'!$C$7:$AD$997,26,FALSE)*(1-$E9),0),0)),VLOOKUP($C9,'[2]2.행정구역별 급수인구'!$C$7:$AD$997,26,FALSE)))</f>
        <v>0</v>
      </c>
      <c r="J9" s="371">
        <f>IF($D9="A",ROUND(VLOOKUP($C9,'[2]2.행정구역별 급수인구'!$C$7:$AD$997,27,FALSE)*$E9,0),IF($D9="B",(ROUND(VLOOKUP($C9,'[2]2.행정구역별 급수인구'!$C$7:$AD$997,27,FALSE)-ROUND(VLOOKUP($C9,'[2]2.행정구역별 급수인구'!$C$7:$AD$997,27,FALSE)*(1-$E9),0),0)),VLOOKUP($C9,'[2]2.행정구역별 급수인구'!$C$7:$AD$997,27,FALSE)))</f>
        <v>0</v>
      </c>
      <c r="K9" s="371">
        <f>IF($D9="A",ROUND(VLOOKUP($C9,'[2]2.행정구역별 급수인구'!$C$7:$AD$997,28,FALSE)*$E9,0),IF($D9="B",(ROUND(VLOOKUP($C9,'[2]2.행정구역별 급수인구'!$C$7:$AD$997,28,FALSE)-ROUND(VLOOKUP($C9,'[2]2.행정구역별 급수인구'!$C$7:$AD$997,28,FALSE)*(1-$E9),0),0)),VLOOKUP($C9,'[2]2.행정구역별 급수인구'!$C$7:$AD$997,28,FALSE)))</f>
        <v>0</v>
      </c>
      <c r="L9" s="302">
        <f>VLOOKUP($F9,'[3]5.급수원단위'!$B$31:$G$35,2,FALSE)</f>
        <v>420</v>
      </c>
      <c r="M9" s="302">
        <f>VLOOKUP($F9,'[3]5.급수원단위'!$B$31:$G$35,3,FALSE)</f>
        <v>422</v>
      </c>
      <c r="N9" s="302">
        <f>VLOOKUP($F9,'[3]5.급수원단위'!$B$31:$G$35,4,FALSE)</f>
        <v>433</v>
      </c>
      <c r="O9" s="302">
        <f>VLOOKUP($F9,'[3]5.급수원단위'!$B$31:$G$35,5,FALSE)</f>
        <v>446</v>
      </c>
      <c r="P9" s="302">
        <f>VLOOKUP($F9,'[3]5.급수원단위'!$B$31:$G$35,6,FALSE)</f>
        <v>466</v>
      </c>
      <c r="Q9" s="302">
        <f>'2013실사용량 정리'!F76</f>
        <v>0</v>
      </c>
      <c r="R9" s="302">
        <f t="shared" ref="R9:R13" si="6">ROUND(H9*M9/1000,0)</f>
        <v>0</v>
      </c>
      <c r="S9" s="302">
        <f t="shared" ref="S9:S13" si="7">ROUND(I9*N9/1000,0)</f>
        <v>0</v>
      </c>
      <c r="T9" s="302">
        <f t="shared" ref="T9:T13" si="8">ROUND(J9*O9/1000,0)</f>
        <v>0</v>
      </c>
      <c r="U9" s="302">
        <f t="shared" ref="U9:U13" si="9">ROUND(K9*P9/1000,0)</f>
        <v>0</v>
      </c>
      <c r="W9" s="343" t="str">
        <f t="shared" si="5"/>
        <v/>
      </c>
    </row>
    <row r="10" spans="1:26" ht="20.100000000000001" customHeight="1">
      <c r="A10" s="700"/>
      <c r="B10" s="699"/>
      <c r="C10" s="399" t="s">
        <v>1849</v>
      </c>
      <c r="D10" s="330" t="s">
        <v>1807</v>
      </c>
      <c r="E10" s="476">
        <v>0</v>
      </c>
      <c r="F10" s="397" t="s">
        <v>1286</v>
      </c>
      <c r="G10" s="302">
        <f>IF($D10="A",ROUND(VLOOKUP($C10,'[2]2.행정구역별 급수인구'!$C$7:$AD$997,23,FALSE)*$E10,0),IF($D10="B",(ROUND(VLOOKUP($C10,'[2]2.행정구역별 급수인구'!$C$7:$AD$997,23,FALSE)-ROUND(VLOOKUP($C10,'[2]2.행정구역별 급수인구'!$C$7:$AD$997,23,FALSE)*(1-$E10),0),0)),VLOOKUP($C10,'[2]2.행정구역별 급수인구'!$C$7:$AD$997,23,FALSE)))</f>
        <v>0</v>
      </c>
      <c r="H10" s="302">
        <f>IF($D10="A",ROUND(VLOOKUP($C10,'[2]2.행정구역별 급수인구'!$C$7:$AD$997,25,FALSE)*$E10,0),IF($D10="B",(ROUND(VLOOKUP($C10,'[2]2.행정구역별 급수인구'!$C$7:$AD$997,25,FALSE)-ROUND(VLOOKUP($C10,'[2]2.행정구역별 급수인구'!$C$7:$AD$997,25,FALSE)*(1-$E10),0),0)),VLOOKUP($C10,'[2]2.행정구역별 급수인구'!$C$7:$AD$997,25,FALSE)))</f>
        <v>0</v>
      </c>
      <c r="I10" s="302">
        <f>IF($D10="A",ROUND(VLOOKUP($C10,'[2]2.행정구역별 급수인구'!$C$7:$AD$997,26,FALSE)*$E10,0),IF($D10="B",(ROUND(VLOOKUP($C10,'[2]2.행정구역별 급수인구'!$C$7:$AD$997,26,FALSE)-ROUND(VLOOKUP($C10,'[2]2.행정구역별 급수인구'!$C$7:$AD$997,26,FALSE)*(1-$E10),0),0)),VLOOKUP($C10,'[2]2.행정구역별 급수인구'!$C$7:$AD$997,26,FALSE)))</f>
        <v>0</v>
      </c>
      <c r="J10" s="302">
        <f>IF($D10="A",ROUND(VLOOKUP($C10,'[2]2.행정구역별 급수인구'!$C$7:$AD$997,27,FALSE)*$E10,0),IF($D10="B",(ROUND(VLOOKUP($C10,'[2]2.행정구역별 급수인구'!$C$7:$AD$997,27,FALSE)-ROUND(VLOOKUP($C10,'[2]2.행정구역별 급수인구'!$C$7:$AD$997,27,FALSE)*(1-$E10),0),0)),VLOOKUP($C10,'[2]2.행정구역별 급수인구'!$C$7:$AD$997,27,FALSE)))</f>
        <v>0</v>
      </c>
      <c r="K10" s="302">
        <f>IF($D10="A",ROUND(VLOOKUP($C10,'[2]2.행정구역별 급수인구'!$C$7:$AD$997,28,FALSE)*$E10,0),IF($D10="B",(ROUND(VLOOKUP($C10,'[2]2.행정구역별 급수인구'!$C$7:$AD$997,28,FALSE)-ROUND(VLOOKUP($C10,'[2]2.행정구역별 급수인구'!$C$7:$AD$997,28,FALSE)*(1-$E10),0),0)),VLOOKUP($C10,'[2]2.행정구역별 급수인구'!$C$7:$AD$997,28,FALSE)))</f>
        <v>0</v>
      </c>
      <c r="L10" s="302">
        <f>VLOOKUP($F10,'[3]5.급수원단위'!$B$31:$G$35,2,FALSE)</f>
        <v>420</v>
      </c>
      <c r="M10" s="302">
        <f>VLOOKUP($F10,'[3]5.급수원단위'!$B$31:$G$35,3,FALSE)</f>
        <v>422</v>
      </c>
      <c r="N10" s="302">
        <f>VLOOKUP($F10,'[3]5.급수원단위'!$B$31:$G$35,4,FALSE)</f>
        <v>433</v>
      </c>
      <c r="O10" s="302">
        <f>VLOOKUP($F10,'[3]5.급수원단위'!$B$31:$G$35,5,FALSE)</f>
        <v>446</v>
      </c>
      <c r="P10" s="302">
        <f>VLOOKUP($F10,'[3]5.급수원단위'!$B$31:$G$35,6,FALSE)</f>
        <v>466</v>
      </c>
      <c r="Q10" s="302">
        <f t="shared" ref="Q10:Q13" si="10">ROUND(G10*L10/1000*$Y$3,0)</f>
        <v>0</v>
      </c>
      <c r="R10" s="302">
        <f t="shared" si="6"/>
        <v>0</v>
      </c>
      <c r="S10" s="302">
        <f t="shared" si="7"/>
        <v>0</v>
      </c>
      <c r="T10" s="302">
        <f t="shared" si="8"/>
        <v>0</v>
      </c>
      <c r="U10" s="302">
        <f t="shared" si="9"/>
        <v>0</v>
      </c>
      <c r="W10" s="343" t="str">
        <f t="shared" si="5"/>
        <v/>
      </c>
    </row>
    <row r="11" spans="1:26" ht="20.100000000000001" customHeight="1">
      <c r="A11" s="700"/>
      <c r="B11" s="699"/>
      <c r="C11" s="399" t="s">
        <v>1850</v>
      </c>
      <c r="D11" s="330" t="s">
        <v>1807</v>
      </c>
      <c r="E11" s="476">
        <v>0</v>
      </c>
      <c r="F11" s="397" t="s">
        <v>1286</v>
      </c>
      <c r="G11" s="302">
        <f>IF($D11="A",ROUND(VLOOKUP($C11,'[2]2.행정구역별 급수인구'!$C$7:$AD$997,23,FALSE)*$E11,0),IF($D11="B",(ROUND(VLOOKUP($C11,'[2]2.행정구역별 급수인구'!$C$7:$AD$997,23,FALSE)-ROUND(VLOOKUP($C11,'[2]2.행정구역별 급수인구'!$C$7:$AD$997,23,FALSE)*(1-$E11),0),0)),VLOOKUP($C11,'[2]2.행정구역별 급수인구'!$C$7:$AD$997,23,FALSE)))</f>
        <v>0</v>
      </c>
      <c r="H11" s="302">
        <f>IF($D11="A",ROUND(VLOOKUP($C11,'[2]2.행정구역별 급수인구'!$C$7:$AD$997,25,FALSE)*$E11,0),IF($D11="B",(ROUND(VLOOKUP($C11,'[2]2.행정구역별 급수인구'!$C$7:$AD$997,25,FALSE)-ROUND(VLOOKUP($C11,'[2]2.행정구역별 급수인구'!$C$7:$AD$997,25,FALSE)*(1-$E11),0),0)),VLOOKUP($C11,'[2]2.행정구역별 급수인구'!$C$7:$AD$997,25,FALSE)))</f>
        <v>0</v>
      </c>
      <c r="I11" s="302">
        <f>IF($D11="A",ROUND(VLOOKUP($C11,'[2]2.행정구역별 급수인구'!$C$7:$AD$997,26,FALSE)*$E11,0),IF($D11="B",(ROUND(VLOOKUP($C11,'[2]2.행정구역별 급수인구'!$C$7:$AD$997,26,FALSE)-ROUND(VLOOKUP($C11,'[2]2.행정구역별 급수인구'!$C$7:$AD$997,26,FALSE)*(1-$E11),0),0)),VLOOKUP($C11,'[2]2.행정구역별 급수인구'!$C$7:$AD$997,26,FALSE)))</f>
        <v>0</v>
      </c>
      <c r="J11" s="302">
        <f>IF($D11="A",ROUND(VLOOKUP($C11,'[2]2.행정구역별 급수인구'!$C$7:$AD$997,27,FALSE)*$E11,0),IF($D11="B",(ROUND(VLOOKUP($C11,'[2]2.행정구역별 급수인구'!$C$7:$AD$997,27,FALSE)-ROUND(VLOOKUP($C11,'[2]2.행정구역별 급수인구'!$C$7:$AD$997,27,FALSE)*(1-$E11),0),0)),VLOOKUP($C11,'[2]2.행정구역별 급수인구'!$C$7:$AD$997,27,FALSE)))</f>
        <v>0</v>
      </c>
      <c r="K11" s="302">
        <f>IF($D11="A",ROUND(VLOOKUP($C11,'[2]2.행정구역별 급수인구'!$C$7:$AD$997,28,FALSE)*$E11,0),IF($D11="B",(ROUND(VLOOKUP($C11,'[2]2.행정구역별 급수인구'!$C$7:$AD$997,28,FALSE)-ROUND(VLOOKUP($C11,'[2]2.행정구역별 급수인구'!$C$7:$AD$997,28,FALSE)*(1-$E11),0),0)),VLOOKUP($C11,'[2]2.행정구역별 급수인구'!$C$7:$AD$997,28,FALSE)))</f>
        <v>0</v>
      </c>
      <c r="L11" s="302">
        <f>VLOOKUP($F11,'[3]5.급수원단위'!$B$31:$G$35,2,FALSE)</f>
        <v>420</v>
      </c>
      <c r="M11" s="302">
        <f>VLOOKUP($F11,'[3]5.급수원단위'!$B$31:$G$35,3,FALSE)</f>
        <v>422</v>
      </c>
      <c r="N11" s="302">
        <f>VLOOKUP($F11,'[3]5.급수원단위'!$B$31:$G$35,4,FALSE)</f>
        <v>433</v>
      </c>
      <c r="O11" s="302">
        <f>VLOOKUP($F11,'[3]5.급수원단위'!$B$31:$G$35,5,FALSE)</f>
        <v>446</v>
      </c>
      <c r="P11" s="302">
        <f>VLOOKUP($F11,'[3]5.급수원단위'!$B$31:$G$35,6,FALSE)</f>
        <v>466</v>
      </c>
      <c r="Q11" s="302">
        <f t="shared" si="10"/>
        <v>0</v>
      </c>
      <c r="R11" s="302">
        <f t="shared" si="6"/>
        <v>0</v>
      </c>
      <c r="S11" s="302">
        <f t="shared" si="7"/>
        <v>0</v>
      </c>
      <c r="T11" s="302">
        <f t="shared" si="8"/>
        <v>0</v>
      </c>
      <c r="U11" s="302">
        <f t="shared" si="9"/>
        <v>0</v>
      </c>
      <c r="W11" s="343" t="str">
        <f t="shared" si="5"/>
        <v/>
      </c>
    </row>
    <row r="12" spans="1:26" ht="20.100000000000001" customHeight="1">
      <c r="A12" s="700"/>
      <c r="B12" s="699"/>
      <c r="C12" s="399" t="s">
        <v>1851</v>
      </c>
      <c r="D12" s="330" t="s">
        <v>1807</v>
      </c>
      <c r="E12" s="476">
        <v>0</v>
      </c>
      <c r="F12" s="397" t="s">
        <v>1286</v>
      </c>
      <c r="G12" s="302">
        <f>IF($D12="A",ROUND(VLOOKUP($C12,'[2]2.행정구역별 급수인구'!$C$7:$AD$997,23,FALSE)*$E12,0),IF($D12="B",(ROUND(VLOOKUP($C12,'[2]2.행정구역별 급수인구'!$C$7:$AD$997,23,FALSE)-ROUND(VLOOKUP($C12,'[2]2.행정구역별 급수인구'!$C$7:$AD$997,23,FALSE)*(1-$E12),0),0)),VLOOKUP($C12,'[2]2.행정구역별 급수인구'!$C$7:$AD$997,23,FALSE)))</f>
        <v>0</v>
      </c>
      <c r="H12" s="302">
        <f>IF($D12="A",ROUND(VLOOKUP($C12,'[2]2.행정구역별 급수인구'!$C$7:$AD$997,25,FALSE)*$E12,0),IF($D12="B",(ROUND(VLOOKUP($C12,'[2]2.행정구역별 급수인구'!$C$7:$AD$997,25,FALSE)-ROUND(VLOOKUP($C12,'[2]2.행정구역별 급수인구'!$C$7:$AD$997,25,FALSE)*(1-$E12),0),0)),VLOOKUP($C12,'[2]2.행정구역별 급수인구'!$C$7:$AD$997,25,FALSE)))</f>
        <v>0</v>
      </c>
      <c r="I12" s="302">
        <f>IF($D12="A",ROUND(VLOOKUP($C12,'[2]2.행정구역별 급수인구'!$C$7:$AD$997,26,FALSE)*$E12,0),IF($D12="B",(ROUND(VLOOKUP($C12,'[2]2.행정구역별 급수인구'!$C$7:$AD$997,26,FALSE)-ROUND(VLOOKUP($C12,'[2]2.행정구역별 급수인구'!$C$7:$AD$997,26,FALSE)*(1-$E12),0),0)),VLOOKUP($C12,'[2]2.행정구역별 급수인구'!$C$7:$AD$997,26,FALSE)))</f>
        <v>0</v>
      </c>
      <c r="J12" s="302">
        <f>IF($D12="A",ROUND(VLOOKUP($C12,'[2]2.행정구역별 급수인구'!$C$7:$AD$997,27,FALSE)*$E12,0),IF($D12="B",(ROUND(VLOOKUP($C12,'[2]2.행정구역별 급수인구'!$C$7:$AD$997,27,FALSE)-ROUND(VLOOKUP($C12,'[2]2.행정구역별 급수인구'!$C$7:$AD$997,27,FALSE)*(1-$E12),0),0)),VLOOKUP($C12,'[2]2.행정구역별 급수인구'!$C$7:$AD$997,27,FALSE)))</f>
        <v>0</v>
      </c>
      <c r="K12" s="302">
        <f>IF($D12="A",ROUND(VLOOKUP($C12,'[2]2.행정구역별 급수인구'!$C$7:$AD$997,28,FALSE)*$E12,0),IF($D12="B",(ROUND(VLOOKUP($C12,'[2]2.행정구역별 급수인구'!$C$7:$AD$997,28,FALSE)-ROUND(VLOOKUP($C12,'[2]2.행정구역별 급수인구'!$C$7:$AD$997,28,FALSE)*(1-$E12),0),0)),VLOOKUP($C12,'[2]2.행정구역별 급수인구'!$C$7:$AD$997,28,FALSE)))</f>
        <v>0</v>
      </c>
      <c r="L12" s="302">
        <f>VLOOKUP($F12,'[3]5.급수원단위'!$B$31:$G$35,2,FALSE)</f>
        <v>420</v>
      </c>
      <c r="M12" s="302">
        <f>VLOOKUP($F12,'[3]5.급수원단위'!$B$31:$G$35,3,FALSE)</f>
        <v>422</v>
      </c>
      <c r="N12" s="302">
        <f>VLOOKUP($F12,'[3]5.급수원단위'!$B$31:$G$35,4,FALSE)</f>
        <v>433</v>
      </c>
      <c r="O12" s="302">
        <f>VLOOKUP($F12,'[3]5.급수원단위'!$B$31:$G$35,5,FALSE)</f>
        <v>446</v>
      </c>
      <c r="P12" s="302">
        <f>VLOOKUP($F12,'[3]5.급수원단위'!$B$31:$G$35,6,FALSE)</f>
        <v>466</v>
      </c>
      <c r="Q12" s="302">
        <f t="shared" si="10"/>
        <v>0</v>
      </c>
      <c r="R12" s="302">
        <f t="shared" si="6"/>
        <v>0</v>
      </c>
      <c r="S12" s="302">
        <f t="shared" si="7"/>
        <v>0</v>
      </c>
      <c r="T12" s="302">
        <f t="shared" si="8"/>
        <v>0</v>
      </c>
      <c r="U12" s="302">
        <f t="shared" si="9"/>
        <v>0</v>
      </c>
      <c r="W12" s="343" t="str">
        <f t="shared" si="5"/>
        <v/>
      </c>
    </row>
    <row r="13" spans="1:26" ht="20.100000000000001" customHeight="1">
      <c r="A13" s="700"/>
      <c r="B13" s="699"/>
      <c r="C13" s="399" t="s">
        <v>1852</v>
      </c>
      <c r="D13" s="330" t="s">
        <v>1807</v>
      </c>
      <c r="E13" s="476">
        <v>0</v>
      </c>
      <c r="F13" s="397" t="s">
        <v>1286</v>
      </c>
      <c r="G13" s="302">
        <f>IF($D13="A",ROUND(VLOOKUP($C13,'[2]2.행정구역별 급수인구'!$C$7:$AD$997,23,FALSE)*$E13,0),IF($D13="B",(ROUND(VLOOKUP($C13,'[2]2.행정구역별 급수인구'!$C$7:$AD$997,23,FALSE)-ROUND(VLOOKUP($C13,'[2]2.행정구역별 급수인구'!$C$7:$AD$997,23,FALSE)*(1-$E13),0),0)),VLOOKUP($C13,'[2]2.행정구역별 급수인구'!$C$7:$AD$997,23,FALSE)))</f>
        <v>0</v>
      </c>
      <c r="H13" s="302">
        <f>IF($D13="A",ROUND(VLOOKUP($C13,'[2]2.행정구역별 급수인구'!$C$7:$AD$997,25,FALSE)*$E13,0),IF($D13="B",(ROUND(VLOOKUP($C13,'[2]2.행정구역별 급수인구'!$C$7:$AD$997,25,FALSE)-ROUND(VLOOKUP($C13,'[2]2.행정구역별 급수인구'!$C$7:$AD$997,25,FALSE)*(1-$E13),0),0)),VLOOKUP($C13,'[2]2.행정구역별 급수인구'!$C$7:$AD$997,25,FALSE)))</f>
        <v>0</v>
      </c>
      <c r="I13" s="302">
        <f>IF($D13="A",ROUND(VLOOKUP($C13,'[2]2.행정구역별 급수인구'!$C$7:$AD$997,26,FALSE)*$E13,0),IF($D13="B",(ROUND(VLOOKUP($C13,'[2]2.행정구역별 급수인구'!$C$7:$AD$997,26,FALSE)-ROUND(VLOOKUP($C13,'[2]2.행정구역별 급수인구'!$C$7:$AD$997,26,FALSE)*(1-$E13),0),0)),VLOOKUP($C13,'[2]2.행정구역별 급수인구'!$C$7:$AD$997,26,FALSE)))</f>
        <v>0</v>
      </c>
      <c r="J13" s="302">
        <f>IF($D13="A",ROUND(VLOOKUP($C13,'[2]2.행정구역별 급수인구'!$C$7:$AD$997,27,FALSE)*$E13,0),IF($D13="B",(ROUND(VLOOKUP($C13,'[2]2.행정구역별 급수인구'!$C$7:$AD$997,27,FALSE)-ROUND(VLOOKUP($C13,'[2]2.행정구역별 급수인구'!$C$7:$AD$997,27,FALSE)*(1-$E13),0),0)),VLOOKUP($C13,'[2]2.행정구역별 급수인구'!$C$7:$AD$997,27,FALSE)))</f>
        <v>0</v>
      </c>
      <c r="K13" s="302">
        <f>IF($D13="A",ROUND(VLOOKUP($C13,'[2]2.행정구역별 급수인구'!$C$7:$AD$997,28,FALSE)*$E13,0),IF($D13="B",(ROUND(VLOOKUP($C13,'[2]2.행정구역별 급수인구'!$C$7:$AD$997,28,FALSE)-ROUND(VLOOKUP($C13,'[2]2.행정구역별 급수인구'!$C$7:$AD$997,28,FALSE)*(1-$E13),0),0)),VLOOKUP($C13,'[2]2.행정구역별 급수인구'!$C$7:$AD$997,28,FALSE)))</f>
        <v>0</v>
      </c>
      <c r="L13" s="302">
        <f>VLOOKUP($F13,'[3]5.급수원단위'!$B$31:$G$35,2,FALSE)</f>
        <v>420</v>
      </c>
      <c r="M13" s="302">
        <f>VLOOKUP($F13,'[3]5.급수원단위'!$B$31:$G$35,3,FALSE)</f>
        <v>422</v>
      </c>
      <c r="N13" s="302">
        <f>VLOOKUP($F13,'[3]5.급수원단위'!$B$31:$G$35,4,FALSE)</f>
        <v>433</v>
      </c>
      <c r="O13" s="302">
        <f>VLOOKUP($F13,'[3]5.급수원단위'!$B$31:$G$35,5,FALSE)</f>
        <v>446</v>
      </c>
      <c r="P13" s="302">
        <f>VLOOKUP($F13,'[3]5.급수원단위'!$B$31:$G$35,6,FALSE)</f>
        <v>466</v>
      </c>
      <c r="Q13" s="302">
        <f t="shared" si="10"/>
        <v>0</v>
      </c>
      <c r="R13" s="302">
        <f t="shared" si="6"/>
        <v>0</v>
      </c>
      <c r="S13" s="302">
        <f t="shared" si="7"/>
        <v>0</v>
      </c>
      <c r="T13" s="302">
        <f t="shared" si="8"/>
        <v>0</v>
      </c>
      <c r="U13" s="302">
        <f t="shared" si="9"/>
        <v>0</v>
      </c>
      <c r="W13" s="343" t="str">
        <f t="shared" si="5"/>
        <v/>
      </c>
    </row>
    <row r="14" spans="1:26" ht="20.100000000000001" customHeight="1">
      <c r="A14" s="700"/>
      <c r="B14" s="701" t="s">
        <v>1287</v>
      </c>
      <c r="C14" s="702"/>
      <c r="D14" s="703"/>
      <c r="E14" s="477"/>
      <c r="F14" s="331"/>
      <c r="G14" s="336">
        <f>SUM(G15:G18)</f>
        <v>3671</v>
      </c>
      <c r="H14" s="336">
        <f>SUM(H15:H18)</f>
        <v>3658</v>
      </c>
      <c r="I14" s="336">
        <f>SUM(I15:I18)</f>
        <v>3955</v>
      </c>
      <c r="J14" s="336">
        <f>SUM(J15:J18)</f>
        <v>4084</v>
      </c>
      <c r="K14" s="336">
        <f>SUM(K15:K18)</f>
        <v>4194</v>
      </c>
      <c r="L14" s="336"/>
      <c r="M14" s="336"/>
      <c r="N14" s="336"/>
      <c r="O14" s="336"/>
      <c r="P14" s="336"/>
      <c r="Q14" s="336">
        <f>SUM(Q15:Q18)</f>
        <v>1140</v>
      </c>
      <c r="R14" s="336">
        <f>SUM(R15:R18)</f>
        <v>1544</v>
      </c>
      <c r="S14" s="336">
        <f>SUM(S15:S18)</f>
        <v>1713</v>
      </c>
      <c r="T14" s="336">
        <f>SUM(T15:T18)</f>
        <v>1821</v>
      </c>
      <c r="U14" s="336">
        <f>SUM(U15:U18)</f>
        <v>1955</v>
      </c>
      <c r="V14" s="343">
        <f>VLOOKUP(B14,'2013년도 용수량 비율'!$A$5:$F$20,6,FALSE)</f>
        <v>0.01</v>
      </c>
      <c r="W14" s="343"/>
    </row>
    <row r="15" spans="1:26" ht="20.100000000000001" customHeight="1">
      <c r="A15" s="700"/>
      <c r="B15" s="700"/>
      <c r="C15" s="399" t="s">
        <v>1295</v>
      </c>
      <c r="D15" s="330" t="s">
        <v>1807</v>
      </c>
      <c r="E15" s="476">
        <f>'[4]급수구역별 용수량정리'!$I$73</f>
        <v>0.215</v>
      </c>
      <c r="F15" s="397" t="s">
        <v>1286</v>
      </c>
      <c r="G15" s="302">
        <f>IF($D15="A",ROUND(VLOOKUP($C15,'[2]2.행정구역별 급수인구'!$C$7:$AD$997,23,FALSE)*$E15,0),IF($D15="B",(ROUND(VLOOKUP($C15,'[2]2.행정구역별 급수인구'!$C$7:$AD$997,23,FALSE)-ROUND(VLOOKUP($C15,'[2]2.행정구역별 급수인구'!$C$7:$AD$997,23,FALSE)*(1-$E15),0),0)),VLOOKUP($C15,'[2]2.행정구역별 급수인구'!$C$7:$AD$997,23,FALSE)))</f>
        <v>942</v>
      </c>
      <c r="H15" s="302">
        <f>IF($D15="A",ROUND(VLOOKUP($C15,'[2]2.행정구역별 급수인구'!$C$7:$AD$997,25,FALSE)*$E15,0),IF($D15="B",(ROUND(VLOOKUP($C15,'[2]2.행정구역별 급수인구'!$C$7:$AD$997,25,FALSE)-ROUND(VLOOKUP($C15,'[2]2.행정구역별 급수인구'!$C$7:$AD$997,25,FALSE)*(1-$E15),0),0)),VLOOKUP($C15,'[2]2.행정구역별 급수인구'!$C$7:$AD$997,25,FALSE)))</f>
        <v>938</v>
      </c>
      <c r="I15" s="302">
        <f>IF($D15="A",ROUND(VLOOKUP($C15,'[2]2.행정구역별 급수인구'!$C$7:$AD$997,26,FALSE)*$E15,0),IF($D15="B",(ROUND(VLOOKUP($C15,'[2]2.행정구역별 급수인구'!$C$7:$AD$997,26,FALSE)-ROUND(VLOOKUP($C15,'[2]2.행정구역별 급수인구'!$C$7:$AD$997,26,FALSE)*(1-$E15),0),0)),VLOOKUP($C15,'[2]2.행정구역별 급수인구'!$C$7:$AD$997,26,FALSE)))</f>
        <v>1236</v>
      </c>
      <c r="J15" s="302">
        <f>IF($D15="A",ROUND(VLOOKUP($C15,'[2]2.행정구역별 급수인구'!$C$7:$AD$997,27,FALSE)*$E15,0),IF($D15="B",(ROUND(VLOOKUP($C15,'[2]2.행정구역별 급수인구'!$C$7:$AD$997,27,FALSE)-ROUND(VLOOKUP($C15,'[2]2.행정구역별 급수인구'!$C$7:$AD$997,27,FALSE)*(1-$E15),0),0)),VLOOKUP($C15,'[2]2.행정구역별 급수인구'!$C$7:$AD$997,27,FALSE)))</f>
        <v>1271</v>
      </c>
      <c r="K15" s="302">
        <f>IF($D15="A",ROUND(VLOOKUP($C15,'[2]2.행정구역별 급수인구'!$C$7:$AD$997,28,FALSE)*$E15,0),IF($D15="B",(ROUND(VLOOKUP($C15,'[2]2.행정구역별 급수인구'!$C$7:$AD$997,28,FALSE)-ROUND(VLOOKUP($C15,'[2]2.행정구역별 급수인구'!$C$7:$AD$997,28,FALSE)*(1-$E15),0),0)),VLOOKUP($C15,'[2]2.행정구역별 급수인구'!$C$7:$AD$997,28,FALSE)))</f>
        <v>1302</v>
      </c>
      <c r="L15" s="302">
        <f>VLOOKUP($F15,'[3]5.급수원단위'!$B$31:$G$35,2,FALSE)</f>
        <v>420</v>
      </c>
      <c r="M15" s="302">
        <f>VLOOKUP($F15,'[3]5.급수원단위'!$B$31:$G$35,3,FALSE)</f>
        <v>422</v>
      </c>
      <c r="N15" s="302">
        <f>VLOOKUP($F15,'[3]5.급수원단위'!$B$31:$G$35,4,FALSE)</f>
        <v>433</v>
      </c>
      <c r="O15" s="302">
        <f>VLOOKUP($F15,'[3]5.급수원단위'!$B$31:$G$35,5,FALSE)</f>
        <v>446</v>
      </c>
      <c r="P15" s="302">
        <f>VLOOKUP($F15,'[3]5.급수원단위'!$B$31:$G$35,6,FALSE)</f>
        <v>466</v>
      </c>
      <c r="Q15" s="302">
        <f>'2013실사용량 정리'!F78</f>
        <v>343</v>
      </c>
      <c r="R15" s="302">
        <f t="shared" ref="R15:U18" si="11">ROUND(H15*M15/1000,0)</f>
        <v>396</v>
      </c>
      <c r="S15" s="302">
        <f t="shared" si="11"/>
        <v>535</v>
      </c>
      <c r="T15" s="302">
        <f t="shared" si="11"/>
        <v>567</v>
      </c>
      <c r="U15" s="302">
        <f t="shared" si="11"/>
        <v>607</v>
      </c>
      <c r="W15" s="343">
        <f t="shared" si="5"/>
        <v>1.7696793002915452</v>
      </c>
    </row>
    <row r="16" spans="1:26" ht="20.100000000000001" customHeight="1">
      <c r="A16" s="700"/>
      <c r="B16" s="700"/>
      <c r="C16" s="399" t="s">
        <v>1296</v>
      </c>
      <c r="D16" s="330" t="s">
        <v>1807</v>
      </c>
      <c r="E16" s="476">
        <f>'[4]급수구역별 용수량정리'!$I$74</f>
        <v>0.30199999999999999</v>
      </c>
      <c r="F16" s="397" t="s">
        <v>1286</v>
      </c>
      <c r="G16" s="302">
        <f>IF($D16="A",ROUND(VLOOKUP($C16,'[2]2.행정구역별 급수인구'!$C$7:$AD$997,23,FALSE)*$E16,0),IF($D16="B",(ROUND(VLOOKUP($C16,'[2]2.행정구역별 급수인구'!$C$7:$AD$997,23,FALSE)-ROUND(VLOOKUP($C16,'[2]2.행정구역별 급수인구'!$C$7:$AD$997,23,FALSE)*(1-$E16),0),0)),VLOOKUP($C16,'[2]2.행정구역별 급수인구'!$C$7:$AD$997,23,FALSE)))</f>
        <v>1984</v>
      </c>
      <c r="H16" s="302">
        <f>IF($D16="A",ROUND(VLOOKUP($C16,'[2]2.행정구역별 급수인구'!$C$7:$AD$997,25,FALSE)*$E16,0),IF($D16="B",(ROUND(VLOOKUP($C16,'[2]2.행정구역별 급수인구'!$C$7:$AD$997,25,FALSE)-ROUND(VLOOKUP($C16,'[2]2.행정구역별 급수인구'!$C$7:$AD$997,25,FALSE)*(1-$E16),0),0)),VLOOKUP($C16,'[2]2.행정구역별 급수인구'!$C$7:$AD$997,25,FALSE)))</f>
        <v>1977</v>
      </c>
      <c r="I16" s="302">
        <f>IF($D16="A",ROUND(VLOOKUP($C16,'[2]2.행정구역별 급수인구'!$C$7:$AD$997,26,FALSE)*$E16,0),IF($D16="B",(ROUND(VLOOKUP($C16,'[2]2.행정구역별 급수인구'!$C$7:$AD$997,26,FALSE)-ROUND(VLOOKUP($C16,'[2]2.행정구역별 급수인구'!$C$7:$AD$997,26,FALSE)*(1-$E16),0),0)),VLOOKUP($C16,'[2]2.행정구역별 급수인구'!$C$7:$AD$997,26,FALSE)))</f>
        <v>1977</v>
      </c>
      <c r="J16" s="302">
        <f>IF($D16="A",ROUND(VLOOKUP($C16,'[2]2.행정구역별 급수인구'!$C$7:$AD$997,27,FALSE)*$E16,0),IF($D16="B",(ROUND(VLOOKUP($C16,'[2]2.행정구역별 급수인구'!$C$7:$AD$997,27,FALSE)-ROUND(VLOOKUP($C16,'[2]2.행정구역별 급수인구'!$C$7:$AD$997,27,FALSE)*(1-$E16),0),0)),VLOOKUP($C16,'[2]2.행정구역별 급수인구'!$C$7:$AD$997,27,FALSE)))</f>
        <v>2045</v>
      </c>
      <c r="K16" s="302">
        <f>IF($D16="A",ROUND(VLOOKUP($C16,'[2]2.행정구역별 급수인구'!$C$7:$AD$997,28,FALSE)*$E16,0),IF($D16="B",(ROUND(VLOOKUP($C16,'[2]2.행정구역별 급수인구'!$C$7:$AD$997,28,FALSE)-ROUND(VLOOKUP($C16,'[2]2.행정구역별 급수인구'!$C$7:$AD$997,28,FALSE)*(1-$E16),0),0)),VLOOKUP($C16,'[2]2.행정구역별 급수인구'!$C$7:$AD$997,28,FALSE)))</f>
        <v>2103</v>
      </c>
      <c r="L16" s="302">
        <f>VLOOKUP($F16,'[3]5.급수원단위'!$B$31:$G$35,2,FALSE)</f>
        <v>420</v>
      </c>
      <c r="M16" s="302">
        <f>VLOOKUP($F16,'[3]5.급수원단위'!$B$31:$G$35,3,FALSE)</f>
        <v>422</v>
      </c>
      <c r="N16" s="302">
        <f>VLOOKUP($F16,'[3]5.급수원단위'!$B$31:$G$35,4,FALSE)</f>
        <v>433</v>
      </c>
      <c r="O16" s="302">
        <f>VLOOKUP($F16,'[3]5.급수원단위'!$B$31:$G$35,5,FALSE)</f>
        <v>446</v>
      </c>
      <c r="P16" s="302">
        <f>VLOOKUP($F16,'[3]5.급수원단위'!$B$31:$G$35,6,FALSE)</f>
        <v>466</v>
      </c>
      <c r="Q16" s="302">
        <f>'2013실사용량 정리'!F79</f>
        <v>692</v>
      </c>
      <c r="R16" s="302">
        <f t="shared" si="11"/>
        <v>834</v>
      </c>
      <c r="S16" s="302">
        <f t="shared" si="11"/>
        <v>856</v>
      </c>
      <c r="T16" s="302">
        <f t="shared" si="11"/>
        <v>912</v>
      </c>
      <c r="U16" s="302">
        <f t="shared" si="11"/>
        <v>980</v>
      </c>
      <c r="W16" s="343">
        <f t="shared" si="5"/>
        <v>1.4161849710982659</v>
      </c>
    </row>
    <row r="17" spans="1:31" ht="20.100000000000001" customHeight="1">
      <c r="A17" s="700"/>
      <c r="B17" s="700"/>
      <c r="C17" s="399" t="s">
        <v>1853</v>
      </c>
      <c r="D17" s="330" t="s">
        <v>1807</v>
      </c>
      <c r="E17" s="476">
        <f>'[4]급수구역별 용수량정리'!$I$75</f>
        <v>1</v>
      </c>
      <c r="F17" s="397" t="s">
        <v>1286</v>
      </c>
      <c r="G17" s="302">
        <f>IF($D17="A",ROUND(VLOOKUP($C17,'[2]2.행정구역별 급수인구'!$C$7:$AD$997,23,FALSE)*$E17,0),IF($D17="B",(ROUND(VLOOKUP($C17,'[2]2.행정구역별 급수인구'!$C$7:$AD$997,23,FALSE)-ROUND(VLOOKUP($C17,'[2]2.행정구역별 급수인구'!$C$7:$AD$997,23,FALSE)*(1-$E17),0),0)),VLOOKUP($C17,'[2]2.행정구역별 급수인구'!$C$7:$AD$997,23,FALSE)))</f>
        <v>686</v>
      </c>
      <c r="H17" s="302">
        <f>IF($D17="A",ROUND(VLOOKUP($C17,'[2]2.행정구역별 급수인구'!$C$7:$AD$997,25,FALSE)*$E17,0),IF($D17="B",(ROUND(VLOOKUP($C17,'[2]2.행정구역별 급수인구'!$C$7:$AD$997,25,FALSE)-ROUND(VLOOKUP($C17,'[2]2.행정구역별 급수인구'!$C$7:$AD$997,25,FALSE)*(1-$E17),0),0)),VLOOKUP($C17,'[2]2.행정구역별 급수인구'!$C$7:$AD$997,25,FALSE)))</f>
        <v>684</v>
      </c>
      <c r="I17" s="302">
        <f>IF($D17="A",ROUND(VLOOKUP($C17,'[2]2.행정구역별 급수인구'!$C$7:$AD$997,26,FALSE)*$E17,0),IF($D17="B",(ROUND(VLOOKUP($C17,'[2]2.행정구역별 급수인구'!$C$7:$AD$997,26,FALSE)-ROUND(VLOOKUP($C17,'[2]2.행정구역별 급수인구'!$C$7:$AD$997,26,FALSE)*(1-$E17),0),0)),VLOOKUP($C17,'[2]2.행정구역별 급수인구'!$C$7:$AD$997,26,FALSE)))</f>
        <v>683</v>
      </c>
      <c r="J17" s="302">
        <f>IF($D17="A",ROUND(VLOOKUP($C17,'[2]2.행정구역별 급수인구'!$C$7:$AD$997,27,FALSE)*$E17,0),IF($D17="B",(ROUND(VLOOKUP($C17,'[2]2.행정구역별 급수인구'!$C$7:$AD$997,27,FALSE)-ROUND(VLOOKUP($C17,'[2]2.행정구역별 급수인구'!$C$7:$AD$997,27,FALSE)*(1-$E17),0),0)),VLOOKUP($C17,'[2]2.행정구역별 급수인구'!$C$7:$AD$997,27,FALSE)))</f>
        <v>707</v>
      </c>
      <c r="K17" s="302">
        <f>IF($D17="A",ROUND(VLOOKUP($C17,'[2]2.행정구역별 급수인구'!$C$7:$AD$997,28,FALSE)*$E17,0),IF($D17="B",(ROUND(VLOOKUP($C17,'[2]2.행정구역별 급수인구'!$C$7:$AD$997,28,FALSE)-ROUND(VLOOKUP($C17,'[2]2.행정구역별 급수인구'!$C$7:$AD$997,28,FALSE)*(1-$E17),0),0)),VLOOKUP($C17,'[2]2.행정구역별 급수인구'!$C$7:$AD$997,28,FALSE)))</f>
        <v>727</v>
      </c>
      <c r="L17" s="302">
        <f>VLOOKUP($F17,'[3]5.급수원단위'!$B$31:$G$35,2,FALSE)</f>
        <v>420</v>
      </c>
      <c r="M17" s="302">
        <f>VLOOKUP($F17,'[3]5.급수원단위'!$B$31:$G$35,3,FALSE)</f>
        <v>422</v>
      </c>
      <c r="N17" s="302">
        <f>VLOOKUP($F17,'[3]5.급수원단위'!$B$31:$G$35,4,FALSE)</f>
        <v>433</v>
      </c>
      <c r="O17" s="302">
        <f>VLOOKUP($F17,'[3]5.급수원단위'!$B$31:$G$35,5,FALSE)</f>
        <v>446</v>
      </c>
      <c r="P17" s="302">
        <f>VLOOKUP($F17,'[3]5.급수원단위'!$B$31:$G$35,6,FALSE)</f>
        <v>466</v>
      </c>
      <c r="Q17" s="302">
        <f>'2013실사용량 정리'!F80</f>
        <v>85</v>
      </c>
      <c r="R17" s="302">
        <f t="shared" ref="R17" si="12">ROUND(H17*M17/1000,0)</f>
        <v>289</v>
      </c>
      <c r="S17" s="302">
        <f t="shared" ref="S17" si="13">ROUND(I17*N17/1000,0)</f>
        <v>296</v>
      </c>
      <c r="T17" s="302">
        <f t="shared" ref="T17" si="14">ROUND(J17*O17/1000,0)</f>
        <v>315</v>
      </c>
      <c r="U17" s="302">
        <f t="shared" ref="U17" si="15">ROUND(K17*P17/1000,0)</f>
        <v>339</v>
      </c>
      <c r="W17" s="343">
        <f t="shared" si="5"/>
        <v>3.9882352941176471</v>
      </c>
    </row>
    <row r="18" spans="1:31" s="335" customFormat="1" ht="20.100000000000001" customHeight="1">
      <c r="A18" s="700"/>
      <c r="B18" s="700"/>
      <c r="C18" s="399" t="s">
        <v>1297</v>
      </c>
      <c r="D18" s="330" t="s">
        <v>1807</v>
      </c>
      <c r="E18" s="476">
        <f>'[4]급수구역별 용수량정리'!$I$76</f>
        <v>8.9999999999999993E-3</v>
      </c>
      <c r="F18" s="397" t="s">
        <v>1286</v>
      </c>
      <c r="G18" s="302">
        <f>IF($D18="A",ROUND(VLOOKUP($C18,'[2]2.행정구역별 급수인구'!$C$7:$AD$997,23,FALSE)*$E18,0),IF($D18="B",(ROUND(VLOOKUP($C18,'[2]2.행정구역별 급수인구'!$C$7:$AD$997,23,FALSE)-ROUND(VLOOKUP($C18,'[2]2.행정구역별 급수인구'!$C$7:$AD$997,23,FALSE)*(1-$E18),0),0)),VLOOKUP($C18,'[2]2.행정구역별 급수인구'!$C$7:$AD$997,23,FALSE)))</f>
        <v>59</v>
      </c>
      <c r="H18" s="302">
        <f>IF($D18="A",ROUND(VLOOKUP($C18,'[2]2.행정구역별 급수인구'!$C$7:$AD$997,25,FALSE)*$E18,0),IF($D18="B",(ROUND(VLOOKUP($C18,'[2]2.행정구역별 급수인구'!$C$7:$AD$997,25,FALSE)-ROUND(VLOOKUP($C18,'[2]2.행정구역별 급수인구'!$C$7:$AD$997,25,FALSE)*(1-$E18),0),0)),VLOOKUP($C18,'[2]2.행정구역별 급수인구'!$C$7:$AD$997,25,FALSE)))</f>
        <v>59</v>
      </c>
      <c r="I18" s="302">
        <f>IF($D18="A",ROUND(VLOOKUP($C18,'[2]2.행정구역별 급수인구'!$C$7:$AD$997,26,FALSE)*$E18,0),IF($D18="B",(ROUND(VLOOKUP($C18,'[2]2.행정구역별 급수인구'!$C$7:$AD$997,26,FALSE)-ROUND(VLOOKUP($C18,'[2]2.행정구역별 급수인구'!$C$7:$AD$997,26,FALSE)*(1-$E18),0),0)),VLOOKUP($C18,'[2]2.행정구역별 급수인구'!$C$7:$AD$997,26,FALSE)))</f>
        <v>59</v>
      </c>
      <c r="J18" s="302">
        <f>IF($D18="A",ROUND(VLOOKUP($C18,'[2]2.행정구역별 급수인구'!$C$7:$AD$997,27,FALSE)*$E18,0),IF($D18="B",(ROUND(VLOOKUP($C18,'[2]2.행정구역별 급수인구'!$C$7:$AD$997,27,FALSE)-ROUND(VLOOKUP($C18,'[2]2.행정구역별 급수인구'!$C$7:$AD$997,27,FALSE)*(1-$E18),0),0)),VLOOKUP($C18,'[2]2.행정구역별 급수인구'!$C$7:$AD$997,27,FALSE)))</f>
        <v>61</v>
      </c>
      <c r="K18" s="302">
        <f>IF($D18="A",ROUND(VLOOKUP($C18,'[2]2.행정구역별 급수인구'!$C$7:$AD$997,28,FALSE)*$E18,0),IF($D18="B",(ROUND(VLOOKUP($C18,'[2]2.행정구역별 급수인구'!$C$7:$AD$997,28,FALSE)-ROUND(VLOOKUP($C18,'[2]2.행정구역별 급수인구'!$C$7:$AD$997,28,FALSE)*(1-$E18),0),0)),VLOOKUP($C18,'[2]2.행정구역별 급수인구'!$C$7:$AD$997,28,FALSE)))</f>
        <v>62</v>
      </c>
      <c r="L18" s="302">
        <f>VLOOKUP($F18,'[3]5.급수원단위'!$B$31:$G$35,2,FALSE)</f>
        <v>420</v>
      </c>
      <c r="M18" s="302">
        <f>VLOOKUP($F18,'[3]5.급수원단위'!$B$31:$G$35,3,FALSE)</f>
        <v>422</v>
      </c>
      <c r="N18" s="302">
        <f>VLOOKUP($F18,'[3]5.급수원단위'!$B$31:$G$35,4,FALSE)</f>
        <v>433</v>
      </c>
      <c r="O18" s="302">
        <f>VLOOKUP($F18,'[3]5.급수원단위'!$B$31:$G$35,5,FALSE)</f>
        <v>446</v>
      </c>
      <c r="P18" s="302">
        <f>VLOOKUP($F18,'[3]5.급수원단위'!$B$31:$G$35,6,FALSE)</f>
        <v>466</v>
      </c>
      <c r="Q18" s="302">
        <f>'2013실사용량 정리'!F81</f>
        <v>20</v>
      </c>
      <c r="R18" s="302">
        <f t="shared" si="11"/>
        <v>25</v>
      </c>
      <c r="S18" s="302">
        <f t="shared" si="11"/>
        <v>26</v>
      </c>
      <c r="T18" s="302">
        <f t="shared" si="11"/>
        <v>27</v>
      </c>
      <c r="U18" s="302">
        <f t="shared" si="11"/>
        <v>29</v>
      </c>
      <c r="W18" s="343">
        <f t="shared" si="5"/>
        <v>1.45</v>
      </c>
      <c r="X18"/>
      <c r="Y18"/>
      <c r="Z18"/>
      <c r="AA18"/>
      <c r="AB18"/>
      <c r="AC18"/>
      <c r="AD18"/>
      <c r="AE18"/>
    </row>
    <row r="21" spans="1:31" ht="20.100000000000001" customHeight="1">
      <c r="B21" s="697" t="s">
        <v>2478</v>
      </c>
      <c r="C21" s="697"/>
      <c r="D21" s="697"/>
      <c r="E21" s="483"/>
      <c r="F21" s="483"/>
      <c r="G21" s="484">
        <f>SUM(G22:G28)</f>
        <v>29627</v>
      </c>
      <c r="H21" s="484">
        <f>SUM(H22:H28)</f>
        <v>31241</v>
      </c>
      <c r="I21" s="484">
        <f>SUM(I22:I28)</f>
        <v>36462</v>
      </c>
      <c r="J21" s="484">
        <f>SUM(J22:J28)</f>
        <v>37547</v>
      </c>
      <c r="K21" s="484">
        <f>SUM(K22:K28)</f>
        <v>38494</v>
      </c>
    </row>
    <row r="22" spans="1:31" ht="20.100000000000001" customHeight="1">
      <c r="B22" s="693"/>
      <c r="C22" s="475" t="s">
        <v>2476</v>
      </c>
      <c r="D22" s="475"/>
      <c r="E22" s="476">
        <f>SUMIF($C$7:$C$18,$C22,E$7:E$18)+SUMIF('2.생활용수(논산)'!$C$7:$C$28,$C22,'2.생활용수(논산)'!E$7:E$28)+SUMIF('2.생활용수(연무)'!$C$7:$C$123,$C22,'2.생활용수(연무)'!E$7:E$123)</f>
        <v>1</v>
      </c>
      <c r="F22" s="482"/>
      <c r="G22" s="482">
        <f>SUMIF($C$7:$C$18,$C22,G$7:G$18)+SUMIF('2.생활용수(논산)'!$C$7:$C$28,$C22,'2.생활용수(논산)'!G$7:G$28)+SUMIF('2.생활용수(연무)'!$C$7:$C$123,$C22,'2.생활용수(연무)'!G$7:G$123)</f>
        <v>2665</v>
      </c>
      <c r="H22" s="482">
        <f>SUMIF($C$7:$C$18,$C22,H$7:H$18)+SUMIF('2.생활용수(논산)'!$C$7:$C$28,$C22,'2.생활용수(논산)'!H$7:H$28)+SUMIF('2.생활용수(연무)'!$C$7:$C$123,$C22,'2.생활용수(연무)'!H$7:H$123)</f>
        <v>2654</v>
      </c>
      <c r="I22" s="482">
        <f>SUMIF($C$7:$C$18,$C22,I$7:I$18)+SUMIF('2.생활용수(논산)'!$C$7:$C$28,$C22,'2.생활용수(논산)'!I$7:I$28)+SUMIF('2.생활용수(연무)'!$C$7:$C$123,$C22,'2.생활용수(연무)'!I$7:I$123)</f>
        <v>2653</v>
      </c>
      <c r="J22" s="482">
        <f>SUMIF($C$7:$C$18,$C22,J$7:J$18)+SUMIF('2.생활용수(논산)'!$C$7:$C$28,$C22,'2.생활용수(논산)'!J$7:J$28)+SUMIF('2.생활용수(연무)'!$C$7:$C$123,$C22,'2.생활용수(연무)'!J$7:J$123)</f>
        <v>2744</v>
      </c>
      <c r="K22" s="482">
        <f>SUMIF($C$7:$C$18,$C22,K$7:K$18)+SUMIF('2.생활용수(논산)'!$C$7:$C$28,$C22,'2.생활용수(논산)'!K$7:K$28)+SUMIF('2.생활용수(연무)'!$C$7:$C$123,$C22,'2.생활용수(연무)'!K$7:K$123)</f>
        <v>2824</v>
      </c>
    </row>
    <row r="23" spans="1:31" ht="20.100000000000001" customHeight="1">
      <c r="B23" s="693"/>
      <c r="C23" s="475" t="s">
        <v>2477</v>
      </c>
      <c r="D23" s="475"/>
      <c r="E23" s="476">
        <f>SUMIF($C$7:$C$18,$C23,E$7:E$18)+SUMIF('2.생활용수(논산)'!$C$7:$C$28,$C23,'2.생활용수(논산)'!E$7:E$28)+SUMIF('2.생활용수(연무)'!$C$7:$C$123,$C23,'2.생활용수(연무)'!E$7:E$123)</f>
        <v>1</v>
      </c>
      <c r="F23" s="482"/>
      <c r="G23" s="482">
        <f>SUMIF($C$7:$C$18,$C23,G$7:G$18)+SUMIF('2.생활용수(논산)'!$C$7:$C$28,$C23,'2.생활용수(논산)'!G$7:G$28)+SUMIF('2.생활용수(연무)'!$C$7:$C$123,$C23,'2.생활용수(연무)'!G$7:G$123)</f>
        <v>1674</v>
      </c>
      <c r="H23" s="482">
        <f>SUMIF($C$7:$C$18,$C23,H$7:H$18)+SUMIF('2.생활용수(논산)'!$C$7:$C$28,$C23,'2.생활용수(논산)'!H$7:H$28)+SUMIF('2.생활용수(연무)'!$C$7:$C$123,$C23,'2.생활용수(연무)'!H$7:H$123)</f>
        <v>1668</v>
      </c>
      <c r="I23" s="482">
        <f>SUMIF($C$7:$C$18,$C23,I$7:I$18)+SUMIF('2.생활용수(논산)'!$C$7:$C$28,$C23,'2.생활용수(논산)'!I$7:I$28)+SUMIF('2.생활용수(연무)'!$C$7:$C$123,$C23,'2.생활용수(연무)'!I$7:I$123)</f>
        <v>1668</v>
      </c>
      <c r="J23" s="482">
        <f>SUMIF($C$7:$C$18,$C23,J$7:J$18)+SUMIF('2.생활용수(논산)'!$C$7:$C$28,$C23,'2.생활용수(논산)'!J$7:J$28)+SUMIF('2.생활용수(연무)'!$C$7:$C$123,$C23,'2.생활용수(연무)'!J$7:J$123)</f>
        <v>1726</v>
      </c>
      <c r="K23" s="482">
        <f>SUMIF($C$7:$C$18,$C23,K$7:K$18)+SUMIF('2.생활용수(논산)'!$C$7:$C$28,$C23,'2.생활용수(논산)'!K$7:K$28)+SUMIF('2.생활용수(연무)'!$C$7:$C$123,$C23,'2.생활용수(연무)'!K$7:K$123)</f>
        <v>1775</v>
      </c>
    </row>
    <row r="24" spans="1:31" ht="20.100000000000001" customHeight="1">
      <c r="B24" s="693"/>
      <c r="C24" s="475" t="s">
        <v>2478</v>
      </c>
      <c r="D24" s="475"/>
      <c r="E24" s="476">
        <f>SUMIF($C$7:$C$18,$C24,E$7:E$18)+SUMIF('2.생활용수(논산)'!$C$7:$C$28,$C24,'2.생활용수(논산)'!E$7:E$28)+SUMIF('2.생활용수(연무)'!$C$7:$C$123,$C24,'2.생활용수(연무)'!E$7:E$123)</f>
        <v>1</v>
      </c>
      <c r="F24" s="482"/>
      <c r="G24" s="482">
        <f>SUMIF($C$7:$C$18,$C24,G$7:G$18)+SUMIF('2.생활용수(논산)'!$C$7:$C$28,$C24,'2.생활용수(논산)'!G$7:G$28)+SUMIF('2.생활용수(연무)'!$C$7:$C$123,$C24,'2.생활용수(연무)'!G$7:G$123)</f>
        <v>12324</v>
      </c>
      <c r="H24" s="482">
        <f>SUMIF($C$7:$C$18,$C24,H$7:H$18)+SUMIF('2.생활용수(논산)'!$C$7:$C$28,$C24,'2.생활용수(논산)'!H$7:H$28)+SUMIF('2.생활용수(연무)'!$C$7:$C$123,$C24,'2.생활용수(연무)'!H$7:H$123)</f>
        <v>12468</v>
      </c>
      <c r="I24" s="482">
        <f>SUMIF($C$7:$C$18,$C24,I$7:I$18)+SUMIF('2.생활용수(논산)'!$C$7:$C$28,$C24,'2.생활용수(논산)'!I$7:I$28)+SUMIF('2.생활용수(연무)'!$C$7:$C$123,$C24,'2.생활용수(연무)'!I$7:I$123)</f>
        <v>12822</v>
      </c>
      <c r="J24" s="482">
        <f>SUMIF($C$7:$C$18,$C24,J$7:J$18)+SUMIF('2.생활용수(논산)'!$C$7:$C$28,$C24,'2.생활용수(논산)'!J$7:J$28)+SUMIF('2.생활용수(연무)'!$C$7:$C$123,$C24,'2.생활용수(연무)'!J$7:J$123)</f>
        <v>13250</v>
      </c>
      <c r="K24" s="482">
        <f>SUMIF($C$7:$C$18,$C24,K$7:K$18)+SUMIF('2.생활용수(논산)'!$C$7:$C$28,$C24,'2.생활용수(논산)'!K$7:K$28)+SUMIF('2.생활용수(연무)'!$C$7:$C$123,$C24,'2.생활용수(연무)'!K$7:K$123)</f>
        <v>13618</v>
      </c>
    </row>
    <row r="25" spans="1:31" ht="20.100000000000001" customHeight="1">
      <c r="B25" s="693"/>
      <c r="C25" s="475" t="s">
        <v>2479</v>
      </c>
      <c r="D25" s="475"/>
      <c r="E25" s="476">
        <f>SUMIF($C$7:$C$18,$C25,E$7:E$18)+SUMIF('2.생활용수(논산)'!$C$7:$C$28,$C25,'2.생활용수(논산)'!E$7:E$28)+SUMIF('2.생활용수(연무)'!$C$7:$C$123,$C25,'2.생활용수(연무)'!E$7:E$123)</f>
        <v>1</v>
      </c>
      <c r="F25" s="482"/>
      <c r="G25" s="482">
        <f>SUMIF($C$7:$C$18,$C25,G$7:G$18)+SUMIF('2.생활용수(논산)'!$C$7:$C$28,$C25,'2.생활용수(논산)'!G$7:G$28)+SUMIF('2.생활용수(연무)'!$C$7:$C$123,$C25,'2.생활용수(연무)'!G$7:G$123)</f>
        <v>791</v>
      </c>
      <c r="H25" s="482">
        <f>SUMIF($C$7:$C$18,$C25,H$7:H$18)+SUMIF('2.생활용수(논산)'!$C$7:$C$28,$C25,'2.생활용수(논산)'!H$7:H$28)+SUMIF('2.생활용수(연무)'!$C$7:$C$123,$C25,'2.생활용수(연무)'!H$7:H$123)</f>
        <v>789</v>
      </c>
      <c r="I25" s="482">
        <f>SUMIF($C$7:$C$18,$C25,I$7:I$18)+SUMIF('2.생활용수(논산)'!$C$7:$C$28,$C25,'2.생활용수(논산)'!I$7:I$28)+SUMIF('2.생활용수(연무)'!$C$7:$C$123,$C25,'2.생활용수(연무)'!I$7:I$123)</f>
        <v>787</v>
      </c>
      <c r="J25" s="482">
        <f>SUMIF($C$7:$C$18,$C25,J$7:J$18)+SUMIF('2.생활용수(논산)'!$C$7:$C$28,$C25,'2.생활용수(논산)'!J$7:J$28)+SUMIF('2.생활용수(연무)'!$C$7:$C$123,$C25,'2.생활용수(연무)'!J$7:J$123)</f>
        <v>814</v>
      </c>
      <c r="K25" s="482">
        <f>SUMIF($C$7:$C$18,$C25,K$7:K$18)+SUMIF('2.생활용수(논산)'!$C$7:$C$28,$C25,'2.생활용수(논산)'!K$7:K$28)+SUMIF('2.생활용수(연무)'!$C$7:$C$123,$C25,'2.생활용수(연무)'!K$7:K$123)</f>
        <v>837</v>
      </c>
    </row>
    <row r="26" spans="1:31" ht="20.100000000000001" customHeight="1">
      <c r="B26" s="693"/>
      <c r="C26" s="475" t="s">
        <v>2480</v>
      </c>
      <c r="D26" s="475"/>
      <c r="E26" s="476">
        <f>SUMIF($C$7:$C$18,$C26,E$7:E$18)+SUMIF('2.생활용수(논산)'!$C$7:$C$28,$C26,'2.생활용수(논산)'!E$7:E$28)+SUMIF('2.생활용수(연무)'!$C$7:$C$123,$C26,'2.생활용수(연무)'!E$7:E$123)</f>
        <v>1</v>
      </c>
      <c r="F26" s="482"/>
      <c r="G26" s="482">
        <f>SUMIF($C$7:$C$18,$C26,G$7:G$18)+SUMIF('2.생활용수(논산)'!$C$7:$C$28,$C26,'2.생활용수(논산)'!G$7:G$28)+SUMIF('2.생활용수(연무)'!$C$7:$C$123,$C26,'2.생활용수(연무)'!G$7:G$123)</f>
        <v>370</v>
      </c>
      <c r="H26" s="482">
        <f>SUMIF($C$7:$C$18,$C26,H$7:H$18)+SUMIF('2.생활용수(논산)'!$C$7:$C$28,$C26,'2.생활용수(논산)'!H$7:H$28)+SUMIF('2.생활용수(연무)'!$C$7:$C$123,$C26,'2.생활용수(연무)'!H$7:H$123)</f>
        <v>369</v>
      </c>
      <c r="I26" s="482">
        <f>SUMIF($C$7:$C$18,$C26,I$7:I$18)+SUMIF('2.생활용수(논산)'!$C$7:$C$28,$C26,'2.생활용수(논산)'!I$7:I$28)+SUMIF('2.생활용수(연무)'!$C$7:$C$123,$C26,'2.생활용수(연무)'!I$7:I$123)</f>
        <v>368</v>
      </c>
      <c r="J26" s="482">
        <f>SUMIF($C$7:$C$18,$C26,J$7:J$18)+SUMIF('2.생활용수(논산)'!$C$7:$C$28,$C26,'2.생활용수(논산)'!J$7:J$28)+SUMIF('2.생활용수(연무)'!$C$7:$C$123,$C26,'2.생활용수(연무)'!J$7:J$123)</f>
        <v>380</v>
      </c>
      <c r="K26" s="482">
        <f>SUMIF($C$7:$C$18,$C26,K$7:K$18)+SUMIF('2.생활용수(논산)'!$C$7:$C$28,$C26,'2.생활용수(논산)'!K$7:K$28)+SUMIF('2.생활용수(연무)'!$C$7:$C$123,$C26,'2.생활용수(연무)'!K$7:K$123)</f>
        <v>391</v>
      </c>
    </row>
    <row r="27" spans="1:31" ht="20.100000000000001" customHeight="1">
      <c r="B27" s="693"/>
      <c r="C27" s="475" t="s">
        <v>2481</v>
      </c>
      <c r="D27" s="475"/>
      <c r="E27" s="476">
        <f>SUMIF($C$7:$C$18,$C27,E$7:E$18)+SUMIF('2.생활용수(논산)'!$C$7:$C$28,$C27,'2.생활용수(논산)'!E$7:E$28)+SUMIF('2.생활용수(연무)'!$C$7:$C$123,$C27,'2.생활용수(연무)'!E$7:E$123)</f>
        <v>1</v>
      </c>
      <c r="F27" s="482"/>
      <c r="G27" s="482">
        <f>SUMIF($C$7:$C$18,$C27,G$7:G$18)+SUMIF('2.생활용수(논산)'!$C$7:$C$28,$C27,'2.생활용수(논산)'!G$7:G$28)+SUMIF('2.생활용수(연무)'!$C$7:$C$123,$C27,'2.생활용수(연무)'!G$7:G$123)</f>
        <v>11260</v>
      </c>
      <c r="H27" s="482">
        <f>SUMIF($C$7:$C$18,$C27,H$7:H$18)+SUMIF('2.생활용수(논산)'!$C$7:$C$28,$C27,'2.생활용수(논산)'!H$7:H$28)+SUMIF('2.생활용수(연무)'!$C$7:$C$123,$C27,'2.생활용수(연무)'!H$7:H$123)</f>
        <v>12752</v>
      </c>
      <c r="I27" s="482">
        <f>SUMIF($C$7:$C$18,$C27,I$7:I$18)+SUMIF('2.생활용수(논산)'!$C$7:$C$28,$C27,'2.생활용수(논산)'!I$7:I$28)+SUMIF('2.생활용수(연무)'!$C$7:$C$123,$C27,'2.생활용수(연무)'!I$7:I$123)</f>
        <v>17623</v>
      </c>
      <c r="J27" s="482">
        <f>SUMIF($C$7:$C$18,$C27,J$7:J$18)+SUMIF('2.생활용수(논산)'!$C$7:$C$28,$C27,'2.생활용수(논산)'!J$7:J$28)+SUMIF('2.생활용수(연무)'!$C$7:$C$123,$C27,'2.생활용수(연무)'!J$7:J$123)</f>
        <v>18073</v>
      </c>
      <c r="K27" s="482">
        <f>SUMIF($C$7:$C$18,$C27,K$7:K$18)+SUMIF('2.생활용수(논산)'!$C$7:$C$28,$C27,'2.생활용수(논산)'!K$7:K$28)+SUMIF('2.생활용수(연무)'!$C$7:$C$123,$C27,'2.생활용수(연무)'!K$7:K$123)</f>
        <v>18473</v>
      </c>
    </row>
    <row r="28" spans="1:31" ht="20.100000000000001" customHeight="1">
      <c r="B28" s="693"/>
      <c r="C28" s="475" t="s">
        <v>2482</v>
      </c>
      <c r="D28" s="475"/>
      <c r="E28" s="476">
        <f>SUMIF($C$7:$C$18,$C28,E$7:E$18)+SUMIF('2.생활용수(논산)'!$C$7:$C$28,$C28,'2.생활용수(논산)'!E$7:E$28)+SUMIF('2.생활용수(연무)'!$C$7:$C$123,$C28,'2.생활용수(연무)'!E$7:E$123)</f>
        <v>1</v>
      </c>
      <c r="F28" s="482"/>
      <c r="G28" s="482">
        <f>SUMIF($C$7:$C$18,$C28,G$7:G$18)+SUMIF('2.생활용수(논산)'!$C$7:$C$28,$C28,'2.생활용수(논산)'!G$7:G$28)+SUMIF('2.생활용수(연무)'!$C$7:$C$123,$C28,'2.생활용수(연무)'!G$7:G$123)</f>
        <v>543</v>
      </c>
      <c r="H28" s="482">
        <f>SUMIF($C$7:$C$18,$C28,H$7:H$18)+SUMIF('2.생활용수(논산)'!$C$7:$C$28,$C28,'2.생활용수(논산)'!H$7:H$28)+SUMIF('2.생활용수(연무)'!$C$7:$C$123,$C28,'2.생활용수(연무)'!H$7:H$123)</f>
        <v>541</v>
      </c>
      <c r="I28" s="482">
        <f>SUMIF($C$7:$C$18,$C28,I$7:I$18)+SUMIF('2.생활용수(논산)'!$C$7:$C$28,$C28,'2.생활용수(논산)'!I$7:I$28)+SUMIF('2.생활용수(연무)'!$C$7:$C$123,$C28,'2.생활용수(연무)'!I$7:I$123)</f>
        <v>541</v>
      </c>
      <c r="J28" s="482">
        <f>SUMIF($C$7:$C$18,$C28,J$7:J$18)+SUMIF('2.생활용수(논산)'!$C$7:$C$28,$C28,'2.생활용수(논산)'!J$7:J$28)+SUMIF('2.생활용수(연무)'!$C$7:$C$123,$C28,'2.생활용수(연무)'!J$7:J$123)</f>
        <v>560</v>
      </c>
      <c r="K28" s="482">
        <f>SUMIF($C$7:$C$18,$C28,K$7:K$18)+SUMIF('2.생활용수(논산)'!$C$7:$C$28,$C28,'2.생활용수(논산)'!K$7:K$28)+SUMIF('2.생활용수(연무)'!$C$7:$C$123,$C28,'2.생활용수(연무)'!K$7:K$123)</f>
        <v>576</v>
      </c>
    </row>
    <row r="29" spans="1:31" ht="20.100000000000001" customHeight="1">
      <c r="B29" s="697" t="s">
        <v>2484</v>
      </c>
      <c r="C29" s="697"/>
      <c r="D29" s="697"/>
      <c r="E29" s="483"/>
      <c r="F29" s="484"/>
      <c r="G29" s="484">
        <f>SUM(G30:G33)</f>
        <v>18184</v>
      </c>
      <c r="H29" s="484">
        <f>SUM(H30:H33)</f>
        <v>18117</v>
      </c>
      <c r="I29" s="484">
        <f>SUM(I30:I33)</f>
        <v>19498</v>
      </c>
      <c r="J29" s="484">
        <f>SUM(J30:J33)</f>
        <v>20139</v>
      </c>
      <c r="K29" s="484">
        <f>SUM(K30:K33)</f>
        <v>20686</v>
      </c>
    </row>
    <row r="30" spans="1:31" ht="20.100000000000001" customHeight="1">
      <c r="B30" s="693"/>
      <c r="C30" s="475" t="s">
        <v>2483</v>
      </c>
      <c r="D30" s="475"/>
      <c r="E30" s="476">
        <f>SUMIF($C$7:$C$18,$C30,E$7:E$18)+SUMIF('2.생활용수(논산)'!$C$7:$C$28,$C30,'2.생활용수(논산)'!E$7:E$28)+SUMIF('2.생활용수(연무)'!$C$7:$C$123,$C30,'2.생활용수(연무)'!E$7:E$123)</f>
        <v>1</v>
      </c>
      <c r="F30" s="482"/>
      <c r="G30" s="482">
        <f>SUMIF($C$7:$C$18,$C30,G$7:G$18)+SUMIF('2.생활용수(논산)'!$C$7:$C$28,$C30,'2.생활용수(논산)'!G$7:G$28)+SUMIF('2.생활용수(연무)'!$C$7:$C$123,$C30,'2.생활용수(연무)'!G$7:G$123)</f>
        <v>4380</v>
      </c>
      <c r="H30" s="482">
        <f>SUMIF($C$7:$C$18,$C30,H$7:H$18)+SUMIF('2.생활용수(논산)'!$C$7:$C$28,$C30,'2.생활용수(논산)'!H$7:H$28)+SUMIF('2.생활용수(연무)'!$C$7:$C$123,$C30,'2.생활용수(연무)'!H$7:H$123)</f>
        <v>4363</v>
      </c>
      <c r="I30" s="482">
        <f>SUMIF($C$7:$C$18,$C30,I$7:I$18)+SUMIF('2.생활용수(논산)'!$C$7:$C$28,$C30,'2.생활용수(논산)'!I$7:I$28)+SUMIF('2.생활용수(연무)'!$C$7:$C$123,$C30,'2.생활용수(연무)'!I$7:I$123)</f>
        <v>5749</v>
      </c>
      <c r="J30" s="482">
        <f>SUMIF($C$7:$C$18,$C30,J$7:J$18)+SUMIF('2.생활용수(논산)'!$C$7:$C$28,$C30,'2.생활용수(논산)'!J$7:J$28)+SUMIF('2.생활용수(연무)'!$C$7:$C$123,$C30,'2.생활용수(연무)'!J$7:J$123)</f>
        <v>5913</v>
      </c>
      <c r="K30" s="482">
        <f>SUMIF($C$7:$C$18,$C30,K$7:K$18)+SUMIF('2.생활용수(논산)'!$C$7:$C$28,$C30,'2.생활용수(논산)'!K$7:K$28)+SUMIF('2.생활용수(연무)'!$C$7:$C$123,$C30,'2.생활용수(연무)'!K$7:K$123)</f>
        <v>6056</v>
      </c>
    </row>
    <row r="31" spans="1:31" ht="20.100000000000001" customHeight="1">
      <c r="B31" s="693"/>
      <c r="C31" s="475" t="s">
        <v>2484</v>
      </c>
      <c r="D31" s="475"/>
      <c r="E31" s="476">
        <f>SUMIF($C$7:$C$18,$C31,E$7:E$18)+SUMIF('2.생활용수(논산)'!$C$7:$C$28,$C31,'2.생활용수(논산)'!E$7:E$28)+SUMIF('2.생활용수(연무)'!$C$7:$C$123,$C31,'2.생활용수(연무)'!E$7:E$123)</f>
        <v>1</v>
      </c>
      <c r="F31" s="482"/>
      <c r="G31" s="482">
        <f>SUMIF($C$7:$C$18,$C31,G$7:G$18)+SUMIF('2.생활용수(논산)'!$C$7:$C$28,$C31,'2.생활용수(논산)'!G$7:G$28)+SUMIF('2.생활용수(연무)'!$C$7:$C$123,$C31,'2.생활용수(연무)'!G$7:G$123)</f>
        <v>6571</v>
      </c>
      <c r="H31" s="482">
        <f>SUMIF($C$7:$C$18,$C31,H$7:H$18)+SUMIF('2.생활용수(논산)'!$C$7:$C$28,$C31,'2.생활용수(논산)'!H$7:H$28)+SUMIF('2.생활용수(연무)'!$C$7:$C$123,$C31,'2.생활용수(연무)'!H$7:H$123)</f>
        <v>6548</v>
      </c>
      <c r="I31" s="482">
        <f>SUMIF($C$7:$C$18,$C31,I$7:I$18)+SUMIF('2.생활용수(논산)'!$C$7:$C$28,$C31,'2.생활용수(논산)'!I$7:I$28)+SUMIF('2.생활용수(연무)'!$C$7:$C$123,$C31,'2.생활용수(연무)'!I$7:I$123)</f>
        <v>6546</v>
      </c>
      <c r="J31" s="482">
        <f>SUMIF($C$7:$C$18,$C31,J$7:J$18)+SUMIF('2.생활용수(논산)'!$C$7:$C$28,$C31,'2.생활용수(논산)'!J$7:J$28)+SUMIF('2.생활용수(연무)'!$C$7:$C$123,$C31,'2.생활용수(연무)'!J$7:J$123)</f>
        <v>6772</v>
      </c>
      <c r="K31" s="482">
        <f>SUMIF($C$7:$C$18,$C31,K$7:K$18)+SUMIF('2.생활용수(논산)'!$C$7:$C$28,$C31,'2.생활용수(논산)'!K$7:K$28)+SUMIF('2.생활용수(연무)'!$C$7:$C$123,$C31,'2.생활용수(연무)'!K$7:K$123)</f>
        <v>6964</v>
      </c>
    </row>
    <row r="32" spans="1:31" ht="20.100000000000001" customHeight="1">
      <c r="B32" s="693"/>
      <c r="C32" s="475" t="s">
        <v>2485</v>
      </c>
      <c r="D32" s="475"/>
      <c r="E32" s="476">
        <f>SUMIF($C$7:$C$18,$C32,E$7:E$18)+SUMIF('2.생활용수(논산)'!$C$7:$C$28,$C32,'2.생활용수(논산)'!E$7:E$28)+SUMIF('2.생활용수(연무)'!$C$7:$C$123,$C32,'2.생활용수(연무)'!E$7:E$123)</f>
        <v>1</v>
      </c>
      <c r="F32" s="482"/>
      <c r="G32" s="482">
        <f>SUMIF($C$7:$C$18,$C32,G$7:G$18)+SUMIF('2.생활용수(논산)'!$C$7:$C$28,$C32,'2.생활용수(논산)'!G$7:G$28)+SUMIF('2.생활용수(연무)'!$C$7:$C$123,$C32,'2.생활용수(연무)'!G$7:G$123)</f>
        <v>686</v>
      </c>
      <c r="H32" s="482">
        <f>SUMIF($C$7:$C$18,$C32,H$7:H$18)+SUMIF('2.생활용수(논산)'!$C$7:$C$28,$C32,'2.생활용수(논산)'!H$7:H$28)+SUMIF('2.생활용수(연무)'!$C$7:$C$123,$C32,'2.생활용수(연무)'!H$7:H$123)</f>
        <v>684</v>
      </c>
      <c r="I32" s="482">
        <f>SUMIF($C$7:$C$18,$C32,I$7:I$18)+SUMIF('2.생활용수(논산)'!$C$7:$C$28,$C32,'2.생활용수(논산)'!I$7:I$28)+SUMIF('2.생활용수(연무)'!$C$7:$C$123,$C32,'2.생활용수(연무)'!I$7:I$123)</f>
        <v>683</v>
      </c>
      <c r="J32" s="482">
        <f>SUMIF($C$7:$C$18,$C32,J$7:J$18)+SUMIF('2.생활용수(논산)'!$C$7:$C$28,$C32,'2.생활용수(논산)'!J$7:J$28)+SUMIF('2.생활용수(연무)'!$C$7:$C$123,$C32,'2.생활용수(연무)'!J$7:J$123)</f>
        <v>707</v>
      </c>
      <c r="K32" s="482">
        <f>SUMIF($C$7:$C$18,$C32,K$7:K$18)+SUMIF('2.생활용수(논산)'!$C$7:$C$28,$C32,'2.생활용수(논산)'!K$7:K$28)+SUMIF('2.생활용수(연무)'!$C$7:$C$123,$C32,'2.생활용수(연무)'!K$7:K$123)</f>
        <v>727</v>
      </c>
    </row>
    <row r="33" spans="2:11" ht="20.100000000000001" customHeight="1">
      <c r="B33" s="693"/>
      <c r="C33" s="475" t="s">
        <v>2486</v>
      </c>
      <c r="D33" s="475"/>
      <c r="E33" s="476">
        <f>SUMIF($C$7:$C$18,$C33,E$7:E$18)+SUMIF('2.생활용수(논산)'!$C$7:$C$28,$C33,'2.생활용수(논산)'!E$7:E$28)+SUMIF('2.생활용수(연무)'!$C$7:$C$123,$C33,'2.생활용수(연무)'!E$7:E$123)</f>
        <v>1</v>
      </c>
      <c r="F33" s="482"/>
      <c r="G33" s="482">
        <f>SUMIF($C$7:$C$18,$C33,G$7:G$18)+SUMIF('2.생활용수(논산)'!$C$7:$C$28,$C33,'2.생활용수(논산)'!G$7:G$28)+SUMIF('2.생활용수(연무)'!$C$7:$C$123,$C33,'2.생활용수(연무)'!G$7:G$123)</f>
        <v>6547</v>
      </c>
      <c r="H33" s="482">
        <f>SUMIF($C$7:$C$18,$C33,H$7:H$18)+SUMIF('2.생활용수(논산)'!$C$7:$C$28,$C33,'2.생활용수(논산)'!H$7:H$28)+SUMIF('2.생활용수(연무)'!$C$7:$C$123,$C33,'2.생활용수(연무)'!H$7:H$123)</f>
        <v>6522</v>
      </c>
      <c r="I33" s="482">
        <f>SUMIF($C$7:$C$18,$C33,I$7:I$18)+SUMIF('2.생활용수(논산)'!$C$7:$C$28,$C33,'2.생활용수(논산)'!I$7:I$28)+SUMIF('2.생활용수(연무)'!$C$7:$C$123,$C33,'2.생활용수(연무)'!I$7:I$123)</f>
        <v>6520</v>
      </c>
      <c r="J33" s="482">
        <f>SUMIF($C$7:$C$18,$C33,J$7:J$18)+SUMIF('2.생활용수(논산)'!$C$7:$C$28,$C33,'2.생활용수(논산)'!J$7:J$28)+SUMIF('2.생활용수(연무)'!$C$7:$C$123,$C33,'2.생활용수(연무)'!J$7:J$123)</f>
        <v>6747</v>
      </c>
      <c r="K33" s="482">
        <f>SUMIF($C$7:$C$18,$C33,K$7:K$18)+SUMIF('2.생활용수(논산)'!$C$7:$C$28,$C33,'2.생활용수(논산)'!K$7:K$28)+SUMIF('2.생활용수(연무)'!$C$7:$C$123,$C33,'2.생활용수(연무)'!K$7:K$123)</f>
        <v>6939</v>
      </c>
    </row>
  </sheetData>
  <autoFilter ref="A4:AE18">
    <filterColumn colId="0" showButton="0"/>
    <filterColumn colId="1" showButton="0"/>
    <filterColumn colId="2" showButton="0"/>
  </autoFilter>
  <mergeCells count="17">
    <mergeCell ref="A6:A18"/>
    <mergeCell ref="B6:D6"/>
    <mergeCell ref="B14:D14"/>
    <mergeCell ref="B15:B18"/>
    <mergeCell ref="L3:P3"/>
    <mergeCell ref="A5:D5"/>
    <mergeCell ref="A3:D4"/>
    <mergeCell ref="E3:E4"/>
    <mergeCell ref="F3:F4"/>
    <mergeCell ref="G3:K3"/>
    <mergeCell ref="B21:D21"/>
    <mergeCell ref="B22:B28"/>
    <mergeCell ref="B29:D29"/>
    <mergeCell ref="B30:B33"/>
    <mergeCell ref="W2:Y2"/>
    <mergeCell ref="B7:B13"/>
    <mergeCell ref="Q3:U3"/>
  </mergeCells>
  <phoneticPr fontId="3" type="noConversion"/>
  <printOptions horizontalCentered="1"/>
  <pageMargins left="0.62992125984251968" right="0.62992125984251968" top="0.62992125984251968" bottom="0.62992125984251968" header="0.31496062992125984" footer="0.31496062992125984"/>
  <pageSetup paperSize="9" scale="9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C000"/>
  </sheetPr>
  <dimension ref="A1:AD29"/>
  <sheetViews>
    <sheetView view="pageBreakPreview" zoomScaleNormal="100" zoomScaleSheetLayoutView="100" workbookViewId="0">
      <selection activeCell="Z17" sqref="Z17"/>
    </sheetView>
  </sheetViews>
  <sheetFormatPr defaultColWidth="7.6640625" defaultRowHeight="20.100000000000001" customHeight="1" outlineLevelCol="1"/>
  <cols>
    <col min="1" max="2" width="1.77734375" style="327" customWidth="1"/>
    <col min="3" max="3" width="6.33203125" style="327" customWidth="1"/>
    <col min="4" max="4" width="2.33203125" style="327" customWidth="1"/>
    <col min="5" max="6" width="6.77734375" style="327" hidden="1" customWidth="1" outlineLevel="1"/>
    <col min="7" max="7" width="6.33203125" style="327" hidden="1" customWidth="1" outlineLevel="1" collapsed="1"/>
    <col min="8" max="8" width="6.33203125" style="327" customWidth="1" collapsed="1"/>
    <col min="9" max="11" width="6.33203125" style="327" customWidth="1"/>
    <col min="12" max="12" width="4.33203125" style="327" hidden="1" customWidth="1" outlineLevel="1"/>
    <col min="13" max="13" width="4.33203125" style="327" customWidth="1" collapsed="1"/>
    <col min="14" max="16" width="4.33203125" style="327" customWidth="1"/>
    <col min="17" max="17" width="6.33203125" style="327" hidden="1" customWidth="1" outlineLevel="1"/>
    <col min="18" max="18" width="6.33203125" style="327" customWidth="1" collapsed="1"/>
    <col min="19" max="21" width="6.33203125" style="327" customWidth="1"/>
    <col min="22" max="22" width="7.6640625" style="335"/>
    <col min="26" max="26" width="7.88671875" customWidth="1"/>
    <col min="31" max="16384" width="7.6640625" style="327"/>
  </cols>
  <sheetData>
    <row r="1" spans="1:26" s="204" customFormat="1" ht="20.100000000000001" customHeight="1">
      <c r="A1" s="204" t="s">
        <v>804</v>
      </c>
      <c r="V1" s="333"/>
    </row>
    <row r="2" spans="1:26" s="208" customFormat="1" ht="19.5" customHeight="1">
      <c r="A2" s="207" t="s">
        <v>1385</v>
      </c>
      <c r="G2" s="209"/>
      <c r="H2" s="209"/>
      <c r="J2" s="209"/>
      <c r="K2" s="209"/>
      <c r="L2" s="209"/>
      <c r="V2" s="334"/>
      <c r="W2" s="692" t="s">
        <v>1919</v>
      </c>
      <c r="X2" s="692"/>
      <c r="Y2" s="692"/>
      <c r="Z2" s="440" t="s">
        <v>2405</v>
      </c>
    </row>
    <row r="3" spans="1:26" ht="20.100000000000001" customHeight="1">
      <c r="A3" s="707" t="s">
        <v>1279</v>
      </c>
      <c r="B3" s="708"/>
      <c r="C3" s="708"/>
      <c r="D3" s="709"/>
      <c r="E3" s="696" t="s">
        <v>1290</v>
      </c>
      <c r="F3" s="696" t="s">
        <v>1280</v>
      </c>
      <c r="G3" s="693" t="s">
        <v>1281</v>
      </c>
      <c r="H3" s="693"/>
      <c r="I3" s="693"/>
      <c r="J3" s="693"/>
      <c r="K3" s="693"/>
      <c r="L3" s="693" t="s">
        <v>1282</v>
      </c>
      <c r="M3" s="693"/>
      <c r="N3" s="693"/>
      <c r="O3" s="693"/>
      <c r="P3" s="693"/>
      <c r="Q3" s="693" t="s">
        <v>1283</v>
      </c>
      <c r="R3" s="693"/>
      <c r="S3" s="693"/>
      <c r="T3" s="693"/>
      <c r="U3" s="693"/>
      <c r="W3" s="434">
        <f>29534+420</f>
        <v>29954</v>
      </c>
      <c r="X3" s="439">
        <f>25634+6787</f>
        <v>32421</v>
      </c>
      <c r="Y3" s="440">
        <f>X3/W3</f>
        <v>1.0823596180810575</v>
      </c>
      <c r="Z3" s="440">
        <f>ROUND(AVERAGE(W6:W28),2)</f>
        <v>1.4</v>
      </c>
    </row>
    <row r="4" spans="1:26" ht="20.100000000000001" customHeight="1">
      <c r="A4" s="710"/>
      <c r="B4" s="711"/>
      <c r="C4" s="711"/>
      <c r="D4" s="712"/>
      <c r="E4" s="693"/>
      <c r="F4" s="693"/>
      <c r="G4" s="397">
        <v>2013</v>
      </c>
      <c r="H4" s="397">
        <v>2015</v>
      </c>
      <c r="I4" s="397">
        <v>2020</v>
      </c>
      <c r="J4" s="397">
        <v>2025</v>
      </c>
      <c r="K4" s="397">
        <v>2030</v>
      </c>
      <c r="L4" s="397">
        <v>2013</v>
      </c>
      <c r="M4" s="397">
        <v>2015</v>
      </c>
      <c r="N4" s="397">
        <v>2020</v>
      </c>
      <c r="O4" s="397">
        <v>2025</v>
      </c>
      <c r="P4" s="397">
        <v>2030</v>
      </c>
      <c r="Q4" s="397">
        <v>2013</v>
      </c>
      <c r="R4" s="397">
        <v>2015</v>
      </c>
      <c r="S4" s="397">
        <v>2020</v>
      </c>
      <c r="T4" s="397">
        <v>2025</v>
      </c>
      <c r="U4" s="397">
        <v>2030</v>
      </c>
    </row>
    <row r="5" spans="1:26" ht="20.100000000000001" customHeight="1">
      <c r="A5" s="704" t="s">
        <v>1860</v>
      </c>
      <c r="B5" s="705"/>
      <c r="C5" s="705"/>
      <c r="D5" s="706"/>
      <c r="E5" s="407"/>
      <c r="F5" s="407"/>
      <c r="G5" s="408">
        <f t="shared" ref="G5:K5" si="0">G6+G22+G26</f>
        <v>41415</v>
      </c>
      <c r="H5" s="408">
        <f t="shared" si="0"/>
        <v>42781</v>
      </c>
      <c r="I5" s="408">
        <f t="shared" si="0"/>
        <v>48377</v>
      </c>
      <c r="J5" s="408">
        <f t="shared" si="0"/>
        <v>49883</v>
      </c>
      <c r="K5" s="408">
        <f t="shared" si="0"/>
        <v>51175</v>
      </c>
      <c r="L5" s="408"/>
      <c r="M5" s="408"/>
      <c r="N5" s="408"/>
      <c r="O5" s="408"/>
      <c r="P5" s="408"/>
      <c r="Q5" s="408">
        <f>Q6+Q22+Q26</f>
        <v>16771</v>
      </c>
      <c r="R5" s="408">
        <f>R6+R22+R26</f>
        <v>18028</v>
      </c>
      <c r="S5" s="408">
        <f>S6+S22+S26</f>
        <v>20917</v>
      </c>
      <c r="T5" s="408">
        <f>T6+T22+T26</f>
        <v>22212</v>
      </c>
      <c r="U5" s="408">
        <f>U6+U22+U26</f>
        <v>23807</v>
      </c>
    </row>
    <row r="6" spans="1:26" ht="20.100000000000001" customHeight="1">
      <c r="A6" s="713" t="s">
        <v>1284</v>
      </c>
      <c r="B6" s="714"/>
      <c r="C6" s="714"/>
      <c r="D6" s="715"/>
      <c r="E6" s="332"/>
      <c r="F6" s="332"/>
      <c r="G6" s="298">
        <f>G7+G15+G20</f>
        <v>31014</v>
      </c>
      <c r="H6" s="298">
        <f t="shared" ref="H6:K6" si="1">H7+H15+H20</f>
        <v>31170</v>
      </c>
      <c r="I6" s="298">
        <f t="shared" si="1"/>
        <v>32829</v>
      </c>
      <c r="J6" s="298">
        <f t="shared" si="1"/>
        <v>33928</v>
      </c>
      <c r="K6" s="298">
        <f t="shared" si="1"/>
        <v>34858</v>
      </c>
      <c r="L6" s="298"/>
      <c r="M6" s="298"/>
      <c r="N6" s="298"/>
      <c r="O6" s="298"/>
      <c r="P6" s="298"/>
      <c r="Q6" s="298">
        <f t="shared" ref="Q6:U6" si="2">Q7+Q15+Q20</f>
        <v>12459</v>
      </c>
      <c r="R6" s="298">
        <f t="shared" si="2"/>
        <v>13127</v>
      </c>
      <c r="S6" s="298">
        <f t="shared" si="2"/>
        <v>14185</v>
      </c>
      <c r="T6" s="298">
        <f t="shared" si="2"/>
        <v>15096</v>
      </c>
      <c r="U6" s="298">
        <f t="shared" si="2"/>
        <v>16203</v>
      </c>
    </row>
    <row r="7" spans="1:26" ht="20.100000000000001" customHeight="1">
      <c r="A7" s="339"/>
      <c r="B7" s="701" t="s">
        <v>1285</v>
      </c>
      <c r="C7" s="702"/>
      <c r="D7" s="703"/>
      <c r="E7" s="331"/>
      <c r="F7" s="331"/>
      <c r="G7" s="336">
        <f>SUM(G8:G14)</f>
        <v>16298</v>
      </c>
      <c r="H7" s="336">
        <f t="shared" ref="H7:K7" si="3">SUM(H8:H14)</f>
        <v>16485</v>
      </c>
      <c r="I7" s="336">
        <f t="shared" si="3"/>
        <v>17048</v>
      </c>
      <c r="J7" s="336">
        <f t="shared" si="3"/>
        <v>17616</v>
      </c>
      <c r="K7" s="336">
        <f t="shared" si="3"/>
        <v>18105</v>
      </c>
      <c r="L7" s="336"/>
      <c r="M7" s="336"/>
      <c r="N7" s="336"/>
      <c r="O7" s="336"/>
      <c r="P7" s="336"/>
      <c r="Q7" s="336">
        <f t="shared" ref="Q7:U7" si="4">SUM(Q8:Q14)</f>
        <v>7788</v>
      </c>
      <c r="R7" s="336">
        <f t="shared" si="4"/>
        <v>6957</v>
      </c>
      <c r="S7" s="336">
        <f t="shared" si="4"/>
        <v>7382</v>
      </c>
      <c r="T7" s="336">
        <f t="shared" si="4"/>
        <v>7856</v>
      </c>
      <c r="U7" s="336">
        <f t="shared" si="4"/>
        <v>8437</v>
      </c>
      <c r="V7" s="343">
        <f>VLOOKUP(B7,'2013년도 용수량 비율'!$A$5:$F$20,6,FALSE)</f>
        <v>0</v>
      </c>
      <c r="W7" s="343"/>
    </row>
    <row r="8" spans="1:26" ht="20.100000000000001" customHeight="1">
      <c r="A8" s="340"/>
      <c r="B8" s="339"/>
      <c r="C8" s="399" t="s">
        <v>1292</v>
      </c>
      <c r="D8" s="330" t="s">
        <v>1808</v>
      </c>
      <c r="E8" s="476">
        <f>'[4]급수구역별 용수량정리'!$I$80</f>
        <v>0.78</v>
      </c>
      <c r="F8" s="397" t="s">
        <v>1286</v>
      </c>
      <c r="G8" s="302">
        <f>IF($D8="A",ROUND(VLOOKUP($C8,'[2]2.행정구역별 급수인구'!$C$7:$AD$997,23,FALSE)*$E8,0),IF($D8="B",(ROUND(VLOOKUP($C8,'[2]2.행정구역별 급수인구'!$C$7:$AD$997,23,FALSE)-ROUND(VLOOKUP($C8,'[2]2.행정구역별 급수인구'!$C$7:$AD$997,23,FALSE)*(1-$E8),0),0)),VLOOKUP($C8,'[2]2.행정구역별 급수인구'!$C$7:$AD$997,23,FALSE)))</f>
        <v>2079</v>
      </c>
      <c r="H8" s="302">
        <f>IF($D8="A",ROUND(VLOOKUP($C8,'[2]2.행정구역별 급수인구'!$C$7:$AD$997,25,FALSE)*$E8,0),IF($D8="B",(ROUND(VLOOKUP($C8,'[2]2.행정구역별 급수인구'!$C$7:$AD$997,25,FALSE)-ROUND(VLOOKUP($C8,'[2]2.행정구역별 급수인구'!$C$7:$AD$997,25,FALSE)*(1-$E8),0),0)),VLOOKUP($C8,'[2]2.행정구역별 급수인구'!$C$7:$AD$997,25,FALSE)))</f>
        <v>2070</v>
      </c>
      <c r="I8" s="302">
        <f>IF($D8="A",ROUND(VLOOKUP($C8,'[2]2.행정구역별 급수인구'!$C$7:$AD$997,26,FALSE)*$E8,0),IF($D8="B",(ROUND(VLOOKUP($C8,'[2]2.행정구역별 급수인구'!$C$7:$AD$997,26,FALSE)-ROUND(VLOOKUP($C8,'[2]2.행정구역별 급수인구'!$C$7:$AD$997,26,FALSE)*(1-$E8),0),0)),VLOOKUP($C8,'[2]2.행정구역별 급수인구'!$C$7:$AD$997,26,FALSE)))</f>
        <v>2069</v>
      </c>
      <c r="J8" s="302">
        <f>IF($D8="A",ROUND(VLOOKUP($C8,'[2]2.행정구역별 급수인구'!$C$7:$AD$997,27,FALSE)*$E8,0),IF($D8="B",(ROUND(VLOOKUP($C8,'[2]2.행정구역별 급수인구'!$C$7:$AD$997,27,FALSE)-ROUND(VLOOKUP($C8,'[2]2.행정구역별 급수인구'!$C$7:$AD$997,27,FALSE)*(1-$E8),0),0)),VLOOKUP($C8,'[2]2.행정구역별 급수인구'!$C$7:$AD$997,27,FALSE)))</f>
        <v>2140</v>
      </c>
      <c r="K8" s="302">
        <f>IF($D8="A",ROUND(VLOOKUP($C8,'[2]2.행정구역별 급수인구'!$C$7:$AD$997,28,FALSE)*$E8,0),IF($D8="B",(ROUND(VLOOKUP($C8,'[2]2.행정구역별 급수인구'!$C$7:$AD$997,28,FALSE)-ROUND(VLOOKUP($C8,'[2]2.행정구역별 급수인구'!$C$7:$AD$997,28,FALSE)*(1-$E8),0),0)),VLOOKUP($C8,'[2]2.행정구역별 급수인구'!$C$7:$AD$997,28,FALSE)))</f>
        <v>2203</v>
      </c>
      <c r="L8" s="302">
        <f>VLOOKUP($F8,'[3]5.급수원단위'!$B$31:$G$35,2,FALSE)</f>
        <v>420</v>
      </c>
      <c r="M8" s="302">
        <f>VLOOKUP($F8,'[3]5.급수원단위'!$B$31:$G$35,3,FALSE)</f>
        <v>422</v>
      </c>
      <c r="N8" s="302">
        <f>VLOOKUP($F8,'[3]5.급수원단위'!$B$31:$G$35,4,FALSE)</f>
        <v>433</v>
      </c>
      <c r="O8" s="302">
        <f>VLOOKUP($F8,'[3]5.급수원단위'!$B$31:$G$35,5,FALSE)</f>
        <v>446</v>
      </c>
      <c r="P8" s="302">
        <f>VLOOKUP($F8,'[3]5.급수원단위'!$B$31:$G$35,6,FALSE)</f>
        <v>466</v>
      </c>
      <c r="Q8" s="302">
        <f>'2013실사용량 정리'!F85</f>
        <v>1051</v>
      </c>
      <c r="R8" s="302">
        <f>ROUND(H8*M8/1000,0)</f>
        <v>874</v>
      </c>
      <c r="S8" s="302">
        <f>ROUND(I8*N8/1000,0)</f>
        <v>896</v>
      </c>
      <c r="T8" s="302">
        <f>ROUND(J8*O8/1000,0)</f>
        <v>954</v>
      </c>
      <c r="U8" s="302">
        <f>ROUND(K8*P8/1000,0)</f>
        <v>1027</v>
      </c>
      <c r="W8" s="343">
        <f t="shared" ref="W8:W28" si="5">IF(ISERROR(U8/Q8),"",U8/Q8)</f>
        <v>0.97716460513796388</v>
      </c>
    </row>
    <row r="9" spans="1:26" ht="20.100000000000001" customHeight="1">
      <c r="A9" s="340"/>
      <c r="B9" s="340"/>
      <c r="C9" s="399" t="s">
        <v>1298</v>
      </c>
      <c r="D9" s="330" t="s">
        <v>1808</v>
      </c>
      <c r="E9" s="476">
        <f>'[4]급수구역별 용수량정리'!$I$81</f>
        <v>0.59599999999999997</v>
      </c>
      <c r="F9" s="397" t="s">
        <v>1286</v>
      </c>
      <c r="G9" s="302">
        <f>IF($D9="A",ROUND(VLOOKUP($C9,'[2]2.행정구역별 급수인구'!$C$7:$AD$997,23,FALSE)*$E9,0),IF($D9="B",(ROUND(VLOOKUP($C9,'[2]2.행정구역별 급수인구'!$C$7:$AD$997,23,FALSE)-ROUND(VLOOKUP($C9,'[2]2.행정구역별 급수인구'!$C$7:$AD$997,23,FALSE)*(1-$E9),0),0)),VLOOKUP($C9,'[2]2.행정구역별 급수인구'!$C$7:$AD$997,23,FALSE)))</f>
        <v>998</v>
      </c>
      <c r="H9" s="302">
        <f>IF($D9="A",ROUND(VLOOKUP($C9,'[2]2.행정구역별 급수인구'!$C$7:$AD$997,25,FALSE)*$E9,0),IF($D9="B",(ROUND(VLOOKUP($C9,'[2]2.행정구역별 급수인구'!$C$7:$AD$997,25,FALSE)-ROUND(VLOOKUP($C9,'[2]2.행정구역별 급수인구'!$C$7:$AD$997,25,FALSE)*(1-$E9),0),0)),VLOOKUP($C9,'[2]2.행정구역별 급수인구'!$C$7:$AD$997,25,FALSE)))</f>
        <v>994</v>
      </c>
      <c r="I9" s="302">
        <f>IF($D9="A",ROUND(VLOOKUP($C9,'[2]2.행정구역별 급수인구'!$C$7:$AD$997,26,FALSE)*$E9,0),IF($D9="B",(ROUND(VLOOKUP($C9,'[2]2.행정구역별 급수인구'!$C$7:$AD$997,26,FALSE)-ROUND(VLOOKUP($C9,'[2]2.행정구역별 급수인구'!$C$7:$AD$997,26,FALSE)*(1-$E9),0),0)),VLOOKUP($C9,'[2]2.행정구역별 급수인구'!$C$7:$AD$997,26,FALSE)))</f>
        <v>994</v>
      </c>
      <c r="J9" s="302">
        <f>IF($D9="A",ROUND(VLOOKUP($C9,'[2]2.행정구역별 급수인구'!$C$7:$AD$997,27,FALSE)*$E9,0),IF($D9="B",(ROUND(VLOOKUP($C9,'[2]2.행정구역별 급수인구'!$C$7:$AD$997,27,FALSE)-ROUND(VLOOKUP($C9,'[2]2.행정구역별 급수인구'!$C$7:$AD$997,27,FALSE)*(1-$E9),0),0)),VLOOKUP($C9,'[2]2.행정구역별 급수인구'!$C$7:$AD$997,27,FALSE)))</f>
        <v>1029</v>
      </c>
      <c r="K9" s="302">
        <f>IF($D9="A",ROUND(VLOOKUP($C9,'[2]2.행정구역별 급수인구'!$C$7:$AD$997,28,FALSE)*$E9,0),IF($D9="B",(ROUND(VLOOKUP($C9,'[2]2.행정구역별 급수인구'!$C$7:$AD$997,28,FALSE)-ROUND(VLOOKUP($C9,'[2]2.행정구역별 급수인구'!$C$7:$AD$997,28,FALSE)*(1-$E9),0),0)),VLOOKUP($C9,'[2]2.행정구역별 급수인구'!$C$7:$AD$997,28,FALSE)))</f>
        <v>1058</v>
      </c>
      <c r="L9" s="302">
        <f>VLOOKUP($F9,'[3]5.급수원단위'!$B$31:$G$35,2,FALSE)</f>
        <v>420</v>
      </c>
      <c r="M9" s="302">
        <f>VLOOKUP($F9,'[3]5.급수원단위'!$B$31:$G$35,3,FALSE)</f>
        <v>422</v>
      </c>
      <c r="N9" s="302">
        <f>VLOOKUP($F9,'[3]5.급수원단위'!$B$31:$G$35,4,FALSE)</f>
        <v>433</v>
      </c>
      <c r="O9" s="302">
        <f>VLOOKUP($F9,'[3]5.급수원단위'!$B$31:$G$35,5,FALSE)</f>
        <v>446</v>
      </c>
      <c r="P9" s="302">
        <f>VLOOKUP($F9,'[3]5.급수원단위'!$B$31:$G$35,6,FALSE)</f>
        <v>466</v>
      </c>
      <c r="Q9" s="302">
        <f>'2013실사용량 정리'!F86</f>
        <v>554</v>
      </c>
      <c r="R9" s="302">
        <f t="shared" ref="R9:U14" si="6">ROUND(H9*M9/1000,0)</f>
        <v>419</v>
      </c>
      <c r="S9" s="302">
        <f t="shared" si="6"/>
        <v>430</v>
      </c>
      <c r="T9" s="302">
        <f t="shared" si="6"/>
        <v>459</v>
      </c>
      <c r="U9" s="302">
        <f t="shared" si="6"/>
        <v>493</v>
      </c>
      <c r="W9" s="343">
        <f t="shared" si="5"/>
        <v>0.88989169675090252</v>
      </c>
    </row>
    <row r="10" spans="1:26" ht="20.100000000000001" customHeight="1">
      <c r="A10" s="340"/>
      <c r="B10" s="340"/>
      <c r="C10" s="399" t="s">
        <v>712</v>
      </c>
      <c r="D10" s="330" t="s">
        <v>1808</v>
      </c>
      <c r="E10" s="476">
        <f>'[4]급수구역별 용수량정리'!$I$82</f>
        <v>0.88700000000000001</v>
      </c>
      <c r="F10" s="397" t="s">
        <v>1286</v>
      </c>
      <c r="G10" s="302">
        <f>IF($D10="A",ROUND(VLOOKUP($C10,'[2]2.행정구역별 급수인구'!$C$7:$AD$997,23,FALSE)*$E10,0),IF($D10="B",(ROUND(VLOOKUP($C10,'[2]2.행정구역별 급수인구'!$C$7:$AD$997,23,FALSE)-ROUND(VLOOKUP($C10,'[2]2.행정구역별 급수인구'!$C$7:$AD$997,23,FALSE)*(1-$E10),0),0)),VLOOKUP($C10,'[2]2.행정구역별 급수인구'!$C$7:$AD$997,23,FALSE)))</f>
        <v>10931</v>
      </c>
      <c r="H10" s="302">
        <f>IF($D10="A",ROUND(VLOOKUP($C10,'[2]2.행정구역별 급수인구'!$C$7:$AD$997,25,FALSE)*$E10,0),IF($D10="B",(ROUND(VLOOKUP($C10,'[2]2.행정구역별 급수인구'!$C$7:$AD$997,25,FALSE)-ROUND(VLOOKUP($C10,'[2]2.행정구역별 급수인구'!$C$7:$AD$997,25,FALSE)*(1-$E10),0),0)),VLOOKUP($C10,'[2]2.행정구역별 급수인구'!$C$7:$AD$997,25,FALSE)))</f>
        <v>11059</v>
      </c>
      <c r="I10" s="302">
        <f>IF($D10="A",ROUND(VLOOKUP($C10,'[2]2.행정구역별 급수인구'!$C$7:$AD$997,26,FALSE)*$E10,0),IF($D10="B",(ROUND(VLOOKUP($C10,'[2]2.행정구역별 급수인구'!$C$7:$AD$997,26,FALSE)-ROUND(VLOOKUP($C10,'[2]2.행정구역별 급수인구'!$C$7:$AD$997,26,FALSE)*(1-$E10),0),0)),VLOOKUP($C10,'[2]2.행정구역별 급수인구'!$C$7:$AD$997,26,FALSE)))</f>
        <v>11373</v>
      </c>
      <c r="J10" s="302">
        <f>IF($D10="A",ROUND(VLOOKUP($C10,'[2]2.행정구역별 급수인구'!$C$7:$AD$997,27,FALSE)*$E10,0),IF($D10="B",(ROUND(VLOOKUP($C10,'[2]2.행정구역별 급수인구'!$C$7:$AD$997,27,FALSE)-ROUND(VLOOKUP($C10,'[2]2.행정구역별 급수인구'!$C$7:$AD$997,27,FALSE)*(1-$E10),0),0)),VLOOKUP($C10,'[2]2.행정구역별 급수인구'!$C$7:$AD$997,27,FALSE)))</f>
        <v>11753</v>
      </c>
      <c r="K10" s="302">
        <f>IF($D10="A",ROUND(VLOOKUP($C10,'[2]2.행정구역별 급수인구'!$C$7:$AD$997,28,FALSE)*$E10,0),IF($D10="B",(ROUND(VLOOKUP($C10,'[2]2.행정구역별 급수인구'!$C$7:$AD$997,28,FALSE)-ROUND(VLOOKUP($C10,'[2]2.행정구역별 급수인구'!$C$7:$AD$997,28,FALSE)*(1-$E10),0),0)),VLOOKUP($C10,'[2]2.행정구역별 급수인구'!$C$7:$AD$997,28,FALSE)))</f>
        <v>12079</v>
      </c>
      <c r="L10" s="302">
        <f>VLOOKUP($F10,'[3]5.급수원단위'!$B$31:$G$35,2,FALSE)</f>
        <v>420</v>
      </c>
      <c r="M10" s="302">
        <f>VLOOKUP($F10,'[3]5.급수원단위'!$B$31:$G$35,3,FALSE)</f>
        <v>422</v>
      </c>
      <c r="N10" s="302">
        <f>VLOOKUP($F10,'[3]5.급수원단위'!$B$31:$G$35,4,FALSE)</f>
        <v>433</v>
      </c>
      <c r="O10" s="302">
        <f>VLOOKUP($F10,'[3]5.급수원단위'!$B$31:$G$35,5,FALSE)</f>
        <v>446</v>
      </c>
      <c r="P10" s="302">
        <f>VLOOKUP($F10,'[3]5.급수원단위'!$B$31:$G$35,6,FALSE)</f>
        <v>466</v>
      </c>
      <c r="Q10" s="302">
        <f>'2013실사용량 정리'!F87</f>
        <v>5292</v>
      </c>
      <c r="R10" s="302">
        <f t="shared" si="6"/>
        <v>4667</v>
      </c>
      <c r="S10" s="302">
        <f t="shared" si="6"/>
        <v>4925</v>
      </c>
      <c r="T10" s="302">
        <f t="shared" si="6"/>
        <v>5242</v>
      </c>
      <c r="U10" s="302">
        <f t="shared" si="6"/>
        <v>5629</v>
      </c>
      <c r="W10" s="343">
        <f t="shared" si="5"/>
        <v>1.0636810279667424</v>
      </c>
    </row>
    <row r="11" spans="1:26" ht="20.100000000000001" customHeight="1">
      <c r="A11" s="340"/>
      <c r="B11" s="340"/>
      <c r="C11" s="399" t="s">
        <v>1849</v>
      </c>
      <c r="D11" s="330" t="s">
        <v>1808</v>
      </c>
      <c r="E11" s="476">
        <f>'[4]급수구역별 용수량정리'!$I$83</f>
        <v>1</v>
      </c>
      <c r="F11" s="397" t="s">
        <v>1286</v>
      </c>
      <c r="G11" s="302">
        <f>IF($D11="A",ROUND(VLOOKUP($C11,'[2]2.행정구역별 급수인구'!$C$7:$AD$997,23,FALSE)*$E11,0),IF($D11="B",(ROUND(VLOOKUP($C11,'[2]2.행정구역별 급수인구'!$C$7:$AD$997,23,FALSE)-ROUND(VLOOKUP($C11,'[2]2.행정구역별 급수인구'!$C$7:$AD$997,23,FALSE)*(1-$E11),0),0)),VLOOKUP($C11,'[2]2.행정구역별 급수인구'!$C$7:$AD$997,23,FALSE)))</f>
        <v>791</v>
      </c>
      <c r="H11" s="302">
        <f>IF($D11="A",ROUND(VLOOKUP($C11,'[2]2.행정구역별 급수인구'!$C$7:$AD$997,25,FALSE)*$E11,0),IF($D11="B",(ROUND(VLOOKUP($C11,'[2]2.행정구역별 급수인구'!$C$7:$AD$997,25,FALSE)-ROUND(VLOOKUP($C11,'[2]2.행정구역별 급수인구'!$C$7:$AD$997,25,FALSE)*(1-$E11),0),0)),VLOOKUP($C11,'[2]2.행정구역별 급수인구'!$C$7:$AD$997,25,FALSE)))</f>
        <v>789</v>
      </c>
      <c r="I11" s="302">
        <f>IF($D11="A",ROUND(VLOOKUP($C11,'[2]2.행정구역별 급수인구'!$C$7:$AD$997,26,FALSE)*$E11,0),IF($D11="B",(ROUND(VLOOKUP($C11,'[2]2.행정구역별 급수인구'!$C$7:$AD$997,26,FALSE)-ROUND(VLOOKUP($C11,'[2]2.행정구역별 급수인구'!$C$7:$AD$997,26,FALSE)*(1-$E11),0),0)),VLOOKUP($C11,'[2]2.행정구역별 급수인구'!$C$7:$AD$997,26,FALSE)))</f>
        <v>787</v>
      </c>
      <c r="J11" s="302">
        <f>IF($D11="A",ROUND(VLOOKUP($C11,'[2]2.행정구역별 급수인구'!$C$7:$AD$997,27,FALSE)*$E11,0),IF($D11="B",(ROUND(VLOOKUP($C11,'[2]2.행정구역별 급수인구'!$C$7:$AD$997,27,FALSE)-ROUND(VLOOKUP($C11,'[2]2.행정구역별 급수인구'!$C$7:$AD$997,27,FALSE)*(1-$E11),0),0)),VLOOKUP($C11,'[2]2.행정구역별 급수인구'!$C$7:$AD$997,27,FALSE)))</f>
        <v>814</v>
      </c>
      <c r="K11" s="302">
        <f>IF($D11="A",ROUND(VLOOKUP($C11,'[2]2.행정구역별 급수인구'!$C$7:$AD$997,28,FALSE)*$E11,0),IF($D11="B",(ROUND(VLOOKUP($C11,'[2]2.행정구역별 급수인구'!$C$7:$AD$997,28,FALSE)-ROUND(VLOOKUP($C11,'[2]2.행정구역별 급수인구'!$C$7:$AD$997,28,FALSE)*(1-$E11),0),0)),VLOOKUP($C11,'[2]2.행정구역별 급수인구'!$C$7:$AD$997,28,FALSE)))</f>
        <v>837</v>
      </c>
      <c r="L11" s="302">
        <f>VLOOKUP($F11,'[3]5.급수원단위'!$B$31:$G$35,2,FALSE)</f>
        <v>420</v>
      </c>
      <c r="M11" s="302">
        <f>VLOOKUP($F11,'[3]5.급수원단위'!$B$31:$G$35,3,FALSE)</f>
        <v>422</v>
      </c>
      <c r="N11" s="302">
        <f>VLOOKUP($F11,'[3]5.급수원단위'!$B$31:$G$35,4,FALSE)</f>
        <v>433</v>
      </c>
      <c r="O11" s="302">
        <f>VLOOKUP($F11,'[3]5.급수원단위'!$B$31:$G$35,5,FALSE)</f>
        <v>446</v>
      </c>
      <c r="P11" s="302">
        <f>VLOOKUP($F11,'[3]5.급수원단위'!$B$31:$G$35,6,FALSE)</f>
        <v>466</v>
      </c>
      <c r="Q11" s="302">
        <f>'2013실사용량 정리'!F88</f>
        <v>270</v>
      </c>
      <c r="R11" s="302">
        <f t="shared" si="6"/>
        <v>333</v>
      </c>
      <c r="S11" s="302">
        <f t="shared" si="6"/>
        <v>341</v>
      </c>
      <c r="T11" s="302">
        <f t="shared" si="6"/>
        <v>363</v>
      </c>
      <c r="U11" s="302">
        <f t="shared" si="6"/>
        <v>390</v>
      </c>
      <c r="W11" s="343">
        <f t="shared" si="5"/>
        <v>1.4444444444444444</v>
      </c>
    </row>
    <row r="12" spans="1:26" ht="20.100000000000001" customHeight="1">
      <c r="A12" s="340"/>
      <c r="B12" s="340"/>
      <c r="C12" s="399" t="s">
        <v>1850</v>
      </c>
      <c r="D12" s="330" t="s">
        <v>1808</v>
      </c>
      <c r="E12" s="476">
        <f>'[4]급수구역별 용수량정리'!$I$84</f>
        <v>1</v>
      </c>
      <c r="F12" s="397" t="s">
        <v>1286</v>
      </c>
      <c r="G12" s="302">
        <f>IF($D12="A",ROUND(VLOOKUP($C12,'[2]2.행정구역별 급수인구'!$C$7:$AD$997,23,FALSE)*$E12,0),IF($D12="B",(ROUND(VLOOKUP($C12,'[2]2.행정구역별 급수인구'!$C$7:$AD$997,23,FALSE)-ROUND(VLOOKUP($C12,'[2]2.행정구역별 급수인구'!$C$7:$AD$997,23,FALSE)*(1-$E12),0),0)),VLOOKUP($C12,'[2]2.행정구역별 급수인구'!$C$7:$AD$997,23,FALSE)))</f>
        <v>370</v>
      </c>
      <c r="H12" s="302">
        <f>IF($D12="A",ROUND(VLOOKUP($C12,'[2]2.행정구역별 급수인구'!$C$7:$AD$997,25,FALSE)*$E12,0),IF($D12="B",(ROUND(VLOOKUP($C12,'[2]2.행정구역별 급수인구'!$C$7:$AD$997,25,FALSE)-ROUND(VLOOKUP($C12,'[2]2.행정구역별 급수인구'!$C$7:$AD$997,25,FALSE)*(1-$E12),0),0)),VLOOKUP($C12,'[2]2.행정구역별 급수인구'!$C$7:$AD$997,25,FALSE)))</f>
        <v>369</v>
      </c>
      <c r="I12" s="302">
        <f>IF($D12="A",ROUND(VLOOKUP($C12,'[2]2.행정구역별 급수인구'!$C$7:$AD$997,26,FALSE)*$E12,0),IF($D12="B",(ROUND(VLOOKUP($C12,'[2]2.행정구역별 급수인구'!$C$7:$AD$997,26,FALSE)-ROUND(VLOOKUP($C12,'[2]2.행정구역별 급수인구'!$C$7:$AD$997,26,FALSE)*(1-$E12),0),0)),VLOOKUP($C12,'[2]2.행정구역별 급수인구'!$C$7:$AD$997,26,FALSE)))</f>
        <v>368</v>
      </c>
      <c r="J12" s="302">
        <f>IF($D12="A",ROUND(VLOOKUP($C12,'[2]2.행정구역별 급수인구'!$C$7:$AD$997,27,FALSE)*$E12,0),IF($D12="B",(ROUND(VLOOKUP($C12,'[2]2.행정구역별 급수인구'!$C$7:$AD$997,27,FALSE)-ROUND(VLOOKUP($C12,'[2]2.행정구역별 급수인구'!$C$7:$AD$997,27,FALSE)*(1-$E12),0),0)),VLOOKUP($C12,'[2]2.행정구역별 급수인구'!$C$7:$AD$997,27,FALSE)))</f>
        <v>380</v>
      </c>
      <c r="K12" s="302">
        <f>IF($D12="A",ROUND(VLOOKUP($C12,'[2]2.행정구역별 급수인구'!$C$7:$AD$997,28,FALSE)*$E12,0),IF($D12="B",(ROUND(VLOOKUP($C12,'[2]2.행정구역별 급수인구'!$C$7:$AD$997,28,FALSE)-ROUND(VLOOKUP($C12,'[2]2.행정구역별 급수인구'!$C$7:$AD$997,28,FALSE)*(1-$E12),0),0)),VLOOKUP($C12,'[2]2.행정구역별 급수인구'!$C$7:$AD$997,28,FALSE)))</f>
        <v>391</v>
      </c>
      <c r="L12" s="302">
        <f>VLOOKUP($F12,'[3]5.급수원단위'!$B$31:$G$35,2,FALSE)</f>
        <v>420</v>
      </c>
      <c r="M12" s="302">
        <f>VLOOKUP($F12,'[3]5.급수원단위'!$B$31:$G$35,3,FALSE)</f>
        <v>422</v>
      </c>
      <c r="N12" s="302">
        <f>VLOOKUP($F12,'[3]5.급수원단위'!$B$31:$G$35,4,FALSE)</f>
        <v>433</v>
      </c>
      <c r="O12" s="302">
        <f>VLOOKUP($F12,'[3]5.급수원단위'!$B$31:$G$35,5,FALSE)</f>
        <v>446</v>
      </c>
      <c r="P12" s="302">
        <f>VLOOKUP($F12,'[3]5.급수원단위'!$B$31:$G$35,6,FALSE)</f>
        <v>466</v>
      </c>
      <c r="Q12" s="302">
        <f>'2013실사용량 정리'!F89</f>
        <v>144</v>
      </c>
      <c r="R12" s="302">
        <f t="shared" si="6"/>
        <v>156</v>
      </c>
      <c r="S12" s="302">
        <f t="shared" si="6"/>
        <v>159</v>
      </c>
      <c r="T12" s="302">
        <f t="shared" si="6"/>
        <v>169</v>
      </c>
      <c r="U12" s="302">
        <f t="shared" si="6"/>
        <v>182</v>
      </c>
      <c r="W12" s="343">
        <f t="shared" si="5"/>
        <v>1.2638888888888888</v>
      </c>
    </row>
    <row r="13" spans="1:26" ht="20.100000000000001" customHeight="1">
      <c r="A13" s="340"/>
      <c r="B13" s="340"/>
      <c r="C13" s="399" t="s">
        <v>1851</v>
      </c>
      <c r="D13" s="330" t="s">
        <v>1808</v>
      </c>
      <c r="E13" s="476">
        <f>'[4]급수구역별 용수량정리'!$I$85</f>
        <v>5.1999999999999998E-2</v>
      </c>
      <c r="F13" s="397" t="s">
        <v>1286</v>
      </c>
      <c r="G13" s="302">
        <f>IF($D13="A",ROUND(VLOOKUP($C13,'[2]2.행정구역별 급수인구'!$C$7:$AD$997,23,FALSE)*$E13,0),IF($D13="B",(ROUND(VLOOKUP($C13,'[2]2.행정구역별 급수인구'!$C$7:$AD$997,23,FALSE)-ROUND(VLOOKUP($C13,'[2]2.행정구역별 급수인구'!$C$7:$AD$997,23,FALSE)*(1-$E13),0),0)),VLOOKUP($C13,'[2]2.행정구역별 급수인구'!$C$7:$AD$997,23,FALSE)))</f>
        <v>586</v>
      </c>
      <c r="H13" s="302">
        <f>IF($D13="A",ROUND(VLOOKUP($C13,'[2]2.행정구역별 급수인구'!$C$7:$AD$997,25,FALSE)*$E13,0),IF($D13="B",(ROUND(VLOOKUP($C13,'[2]2.행정구역별 급수인구'!$C$7:$AD$997,25,FALSE)-ROUND(VLOOKUP($C13,'[2]2.행정구역별 급수인구'!$C$7:$AD$997,25,FALSE)*(1-$E13),0),0)),VLOOKUP($C13,'[2]2.행정구역별 급수인구'!$C$7:$AD$997,25,FALSE)))</f>
        <v>663</v>
      </c>
      <c r="I13" s="302">
        <f>IF($D13="A",ROUND(VLOOKUP($C13,'[2]2.행정구역별 급수인구'!$C$7:$AD$997,26,FALSE)*$E13,0),IF($D13="B",(ROUND(VLOOKUP($C13,'[2]2.행정구역별 급수인구'!$C$7:$AD$997,26,FALSE)-ROUND(VLOOKUP($C13,'[2]2.행정구역별 급수인구'!$C$7:$AD$997,26,FALSE)*(1-$E13),0),0)),VLOOKUP($C13,'[2]2.행정구역별 급수인구'!$C$7:$AD$997,26,FALSE)))</f>
        <v>916</v>
      </c>
      <c r="J13" s="302">
        <f>IF($D13="A",ROUND(VLOOKUP($C13,'[2]2.행정구역별 급수인구'!$C$7:$AD$997,27,FALSE)*$E13,0),IF($D13="B",(ROUND(VLOOKUP($C13,'[2]2.행정구역별 급수인구'!$C$7:$AD$997,27,FALSE)-ROUND(VLOOKUP($C13,'[2]2.행정구역별 급수인구'!$C$7:$AD$997,27,FALSE)*(1-$E13),0),0)),VLOOKUP($C13,'[2]2.행정구역별 급수인구'!$C$7:$AD$997,27,FALSE)))</f>
        <v>940</v>
      </c>
      <c r="K13" s="302">
        <f>IF($D13="A",ROUND(VLOOKUP($C13,'[2]2.행정구역별 급수인구'!$C$7:$AD$997,28,FALSE)*$E13,0),IF($D13="B",(ROUND(VLOOKUP($C13,'[2]2.행정구역별 급수인구'!$C$7:$AD$997,28,FALSE)-ROUND(VLOOKUP($C13,'[2]2.행정구역별 급수인구'!$C$7:$AD$997,28,FALSE)*(1-$E13),0),0)),VLOOKUP($C13,'[2]2.행정구역별 급수인구'!$C$7:$AD$997,28,FALSE)))</f>
        <v>961</v>
      </c>
      <c r="L13" s="302">
        <f>VLOOKUP($F13,'[3]5.급수원단위'!$B$31:$G$35,2,FALSE)</f>
        <v>420</v>
      </c>
      <c r="M13" s="302">
        <f>VLOOKUP($F13,'[3]5.급수원단위'!$B$31:$G$35,3,FALSE)</f>
        <v>422</v>
      </c>
      <c r="N13" s="302">
        <f>VLOOKUP($F13,'[3]5.급수원단위'!$B$31:$G$35,4,FALSE)</f>
        <v>433</v>
      </c>
      <c r="O13" s="302">
        <f>VLOOKUP($F13,'[3]5.급수원단위'!$B$31:$G$35,5,FALSE)</f>
        <v>446</v>
      </c>
      <c r="P13" s="302">
        <f>VLOOKUP($F13,'[3]5.급수원단위'!$B$31:$G$35,6,FALSE)</f>
        <v>466</v>
      </c>
      <c r="Q13" s="302">
        <f>'2013실사용량 정리'!F90</f>
        <v>250</v>
      </c>
      <c r="R13" s="302">
        <f t="shared" si="6"/>
        <v>280</v>
      </c>
      <c r="S13" s="302">
        <f t="shared" si="6"/>
        <v>397</v>
      </c>
      <c r="T13" s="302">
        <f t="shared" si="6"/>
        <v>419</v>
      </c>
      <c r="U13" s="302">
        <f t="shared" si="6"/>
        <v>448</v>
      </c>
      <c r="W13" s="343">
        <f t="shared" si="5"/>
        <v>1.792</v>
      </c>
    </row>
    <row r="14" spans="1:26" ht="20.100000000000001" customHeight="1">
      <c r="A14" s="340"/>
      <c r="B14" s="386"/>
      <c r="C14" s="399" t="s">
        <v>1852</v>
      </c>
      <c r="D14" s="330" t="s">
        <v>1808</v>
      </c>
      <c r="E14" s="476">
        <f>'[4]급수구역별 용수량정리'!$I$86</f>
        <v>1</v>
      </c>
      <c r="F14" s="397" t="s">
        <v>1286</v>
      </c>
      <c r="G14" s="302">
        <f>IF($D14="A",ROUND(VLOOKUP($C14,'[2]2.행정구역별 급수인구'!$C$7:$AD$997,23,FALSE)*$E14,0),IF($D14="B",(ROUND(VLOOKUP($C14,'[2]2.행정구역별 급수인구'!$C$7:$AD$997,23,FALSE)-ROUND(VLOOKUP($C14,'[2]2.행정구역별 급수인구'!$C$7:$AD$997,23,FALSE)*(1-$E14),0),0)),VLOOKUP($C14,'[2]2.행정구역별 급수인구'!$C$7:$AD$997,23,FALSE)))</f>
        <v>543</v>
      </c>
      <c r="H14" s="302">
        <f>IF($D14="A",ROUND(VLOOKUP($C14,'[2]2.행정구역별 급수인구'!$C$7:$AD$997,25,FALSE)*$E14,0),IF($D14="B",(ROUND(VLOOKUP($C14,'[2]2.행정구역별 급수인구'!$C$7:$AD$997,25,FALSE)-ROUND(VLOOKUP($C14,'[2]2.행정구역별 급수인구'!$C$7:$AD$997,25,FALSE)*(1-$E14),0),0)),VLOOKUP($C14,'[2]2.행정구역별 급수인구'!$C$7:$AD$997,25,FALSE)))</f>
        <v>541</v>
      </c>
      <c r="I14" s="302">
        <f>IF($D14="A",ROUND(VLOOKUP($C14,'[2]2.행정구역별 급수인구'!$C$7:$AD$997,26,FALSE)*$E14,0),IF($D14="B",(ROUND(VLOOKUP($C14,'[2]2.행정구역별 급수인구'!$C$7:$AD$997,26,FALSE)-ROUND(VLOOKUP($C14,'[2]2.행정구역별 급수인구'!$C$7:$AD$997,26,FALSE)*(1-$E14),0),0)),VLOOKUP($C14,'[2]2.행정구역별 급수인구'!$C$7:$AD$997,26,FALSE)))</f>
        <v>541</v>
      </c>
      <c r="J14" s="302">
        <f>IF($D14="A",ROUND(VLOOKUP($C14,'[2]2.행정구역별 급수인구'!$C$7:$AD$997,27,FALSE)*$E14,0),IF($D14="B",(ROUND(VLOOKUP($C14,'[2]2.행정구역별 급수인구'!$C$7:$AD$997,27,FALSE)-ROUND(VLOOKUP($C14,'[2]2.행정구역별 급수인구'!$C$7:$AD$997,27,FALSE)*(1-$E14),0),0)),VLOOKUP($C14,'[2]2.행정구역별 급수인구'!$C$7:$AD$997,27,FALSE)))</f>
        <v>560</v>
      </c>
      <c r="K14" s="302">
        <f>IF($D14="A",ROUND(VLOOKUP($C14,'[2]2.행정구역별 급수인구'!$C$7:$AD$997,28,FALSE)*$E14,0),IF($D14="B",(ROUND(VLOOKUP($C14,'[2]2.행정구역별 급수인구'!$C$7:$AD$997,28,FALSE)-ROUND(VLOOKUP($C14,'[2]2.행정구역별 급수인구'!$C$7:$AD$997,28,FALSE)*(1-$E14),0),0)),VLOOKUP($C14,'[2]2.행정구역별 급수인구'!$C$7:$AD$997,28,FALSE)))</f>
        <v>576</v>
      </c>
      <c r="L14" s="302">
        <f>VLOOKUP($F14,'[3]5.급수원단위'!$B$31:$G$35,2,FALSE)</f>
        <v>420</v>
      </c>
      <c r="M14" s="302">
        <f>VLOOKUP($F14,'[3]5.급수원단위'!$B$31:$G$35,3,FALSE)</f>
        <v>422</v>
      </c>
      <c r="N14" s="302">
        <f>VLOOKUP($F14,'[3]5.급수원단위'!$B$31:$G$35,4,FALSE)</f>
        <v>433</v>
      </c>
      <c r="O14" s="302">
        <f>VLOOKUP($F14,'[3]5.급수원단위'!$B$31:$G$35,5,FALSE)</f>
        <v>446</v>
      </c>
      <c r="P14" s="302">
        <f>VLOOKUP($F14,'[3]5.급수원단위'!$B$31:$G$35,6,FALSE)</f>
        <v>466</v>
      </c>
      <c r="Q14" s="302">
        <f>'2013실사용량 정리'!F91</f>
        <v>227</v>
      </c>
      <c r="R14" s="302">
        <f t="shared" si="6"/>
        <v>228</v>
      </c>
      <c r="S14" s="302">
        <f t="shared" si="6"/>
        <v>234</v>
      </c>
      <c r="T14" s="302">
        <f t="shared" si="6"/>
        <v>250</v>
      </c>
      <c r="U14" s="302">
        <f t="shared" si="6"/>
        <v>268</v>
      </c>
      <c r="W14" s="343">
        <f t="shared" si="5"/>
        <v>1.1806167400881058</v>
      </c>
    </row>
    <row r="15" spans="1:26" ht="20.100000000000001" customHeight="1">
      <c r="A15" s="340"/>
      <c r="B15" s="701" t="s">
        <v>1287</v>
      </c>
      <c r="C15" s="702"/>
      <c r="D15" s="703"/>
      <c r="E15" s="477"/>
      <c r="F15" s="331"/>
      <c r="G15" s="336">
        <f>SUM(G16:G19)</f>
        <v>14513</v>
      </c>
      <c r="H15" s="336">
        <f t="shared" ref="H15:K15" si="7">SUM(H16:H19)</f>
        <v>14459</v>
      </c>
      <c r="I15" s="336">
        <f t="shared" si="7"/>
        <v>15543</v>
      </c>
      <c r="J15" s="336">
        <f t="shared" si="7"/>
        <v>16055</v>
      </c>
      <c r="K15" s="336">
        <f t="shared" si="7"/>
        <v>16492</v>
      </c>
      <c r="L15" s="336"/>
      <c r="M15" s="336"/>
      <c r="N15" s="336"/>
      <c r="O15" s="336"/>
      <c r="P15" s="336"/>
      <c r="Q15" s="336">
        <f t="shared" ref="Q15:U15" si="8">SUM(Q16:Q19)</f>
        <v>4640</v>
      </c>
      <c r="R15" s="336">
        <f t="shared" si="8"/>
        <v>6101</v>
      </c>
      <c r="S15" s="336">
        <f t="shared" si="8"/>
        <v>6730</v>
      </c>
      <c r="T15" s="336">
        <f t="shared" si="8"/>
        <v>7160</v>
      </c>
      <c r="U15" s="336">
        <f t="shared" si="8"/>
        <v>7685</v>
      </c>
      <c r="V15" s="343">
        <f>VLOOKUP(B15,'2013년도 용수량 비율'!$A$5:$F$20,6,FALSE)</f>
        <v>0.01</v>
      </c>
      <c r="W15" s="343"/>
    </row>
    <row r="16" spans="1:26" ht="20.100000000000001" customHeight="1">
      <c r="A16" s="340"/>
      <c r="B16" s="339"/>
      <c r="C16" s="399" t="s">
        <v>1295</v>
      </c>
      <c r="D16" s="330" t="s">
        <v>1808</v>
      </c>
      <c r="E16" s="476">
        <f>'[4]급수구역별 용수량정리'!$I$88</f>
        <v>0.78500000000000003</v>
      </c>
      <c r="F16" s="397" t="s">
        <v>1286</v>
      </c>
      <c r="G16" s="302">
        <f>IF($D16="A",ROUND(VLOOKUP($C16,'[2]2.행정구역별 급수인구'!$C$7:$AD$997,23,FALSE)*$E16,0),IF($D16="B",(ROUND(VLOOKUP($C16,'[2]2.행정구역별 급수인구'!$C$7:$AD$997,23,FALSE)-ROUND(VLOOKUP($C16,'[2]2.행정구역별 급수인구'!$C$7:$AD$997,23,FALSE)*(1-$E16),0),0)),VLOOKUP($C16,'[2]2.행정구역별 급수인구'!$C$7:$AD$997,23,FALSE)))</f>
        <v>3438</v>
      </c>
      <c r="H16" s="302">
        <f>IF($D16="A",ROUND(VLOOKUP($C16,'[2]2.행정구역별 급수인구'!$C$7:$AD$997,25,FALSE)*$E16,0),IF($D16="B",(ROUND(VLOOKUP($C16,'[2]2.행정구역별 급수인구'!$C$7:$AD$997,25,FALSE)-ROUND(VLOOKUP($C16,'[2]2.행정구역별 급수인구'!$C$7:$AD$997,25,FALSE)*(1-$E16),0),0)),VLOOKUP($C16,'[2]2.행정구역별 급수인구'!$C$7:$AD$997,25,FALSE)))</f>
        <v>3425</v>
      </c>
      <c r="I16" s="302">
        <f>IF($D16="A",ROUND(VLOOKUP($C16,'[2]2.행정구역별 급수인구'!$C$7:$AD$997,26,FALSE)*$E16,0),IF($D16="B",(ROUND(VLOOKUP($C16,'[2]2.행정구역별 급수인구'!$C$7:$AD$997,26,FALSE)-ROUND(VLOOKUP($C16,'[2]2.행정구역별 급수인구'!$C$7:$AD$997,26,FALSE)*(1-$E16),0),0)),VLOOKUP($C16,'[2]2.행정구역별 급수인구'!$C$7:$AD$997,26,FALSE)))</f>
        <v>4513</v>
      </c>
      <c r="J16" s="302">
        <f>IF($D16="A",ROUND(VLOOKUP($C16,'[2]2.행정구역별 급수인구'!$C$7:$AD$997,27,FALSE)*$E16,0),IF($D16="B",(ROUND(VLOOKUP($C16,'[2]2.행정구역별 급수인구'!$C$7:$AD$997,27,FALSE)-ROUND(VLOOKUP($C16,'[2]2.행정구역별 급수인구'!$C$7:$AD$997,27,FALSE)*(1-$E16),0),0)),VLOOKUP($C16,'[2]2.행정구역별 급수인구'!$C$7:$AD$997,27,FALSE)))</f>
        <v>4642</v>
      </c>
      <c r="K16" s="302">
        <f>IF($D16="A",ROUND(VLOOKUP($C16,'[2]2.행정구역별 급수인구'!$C$7:$AD$997,28,FALSE)*$E16,0),IF($D16="B",(ROUND(VLOOKUP($C16,'[2]2.행정구역별 급수인구'!$C$7:$AD$997,28,FALSE)-ROUND(VLOOKUP($C16,'[2]2.행정구역별 급수인구'!$C$7:$AD$997,28,FALSE)*(1-$E16),0),0)),VLOOKUP($C16,'[2]2.행정구역별 급수인구'!$C$7:$AD$997,28,FALSE)))</f>
        <v>4754</v>
      </c>
      <c r="L16" s="302">
        <f>VLOOKUP($F16,'[3]5.급수원단위'!$B$31:$G$35,2,FALSE)</f>
        <v>420</v>
      </c>
      <c r="M16" s="302">
        <f>VLOOKUP($F16,'[3]5.급수원단위'!$B$31:$G$35,3,FALSE)</f>
        <v>422</v>
      </c>
      <c r="N16" s="302">
        <f>VLOOKUP($F16,'[3]5.급수원단위'!$B$31:$G$35,4,FALSE)</f>
        <v>433</v>
      </c>
      <c r="O16" s="302">
        <f>VLOOKUP($F16,'[3]5.급수원단위'!$B$31:$G$35,5,FALSE)</f>
        <v>446</v>
      </c>
      <c r="P16" s="302">
        <f>VLOOKUP($F16,'[3]5.급수원단위'!$B$31:$G$35,6,FALSE)</f>
        <v>466</v>
      </c>
      <c r="Q16" s="302">
        <f>'2013실사용량 정리'!F93</f>
        <v>1141</v>
      </c>
      <c r="R16" s="302">
        <f t="shared" ref="R16:U19" si="9">ROUND(H16*M16/1000,0)</f>
        <v>1445</v>
      </c>
      <c r="S16" s="302">
        <f t="shared" si="9"/>
        <v>1954</v>
      </c>
      <c r="T16" s="302">
        <f t="shared" si="9"/>
        <v>2070</v>
      </c>
      <c r="U16" s="302">
        <f t="shared" si="9"/>
        <v>2215</v>
      </c>
      <c r="W16" s="343">
        <f t="shared" si="5"/>
        <v>1.9412795793163891</v>
      </c>
    </row>
    <row r="17" spans="1:23" ht="20.100000000000001" customHeight="1">
      <c r="A17" s="340"/>
      <c r="B17" s="340"/>
      <c r="C17" s="399" t="s">
        <v>1296</v>
      </c>
      <c r="D17" s="330" t="s">
        <v>1808</v>
      </c>
      <c r="E17" s="476">
        <f>'[4]급수구역별 용수량정리'!$I$89</f>
        <v>0.69799999999999995</v>
      </c>
      <c r="F17" s="397" t="s">
        <v>1286</v>
      </c>
      <c r="G17" s="302">
        <f>IF($D17="A",ROUND(VLOOKUP($C17,'[2]2.행정구역별 급수인구'!$C$7:$AD$997,23,FALSE)*$E17,0),IF($D17="B",(ROUND(VLOOKUP($C17,'[2]2.행정구역별 급수인구'!$C$7:$AD$997,23,FALSE)-ROUND(VLOOKUP($C17,'[2]2.행정구역별 급수인구'!$C$7:$AD$997,23,FALSE)*(1-$E17),0),0)),VLOOKUP($C17,'[2]2.행정구역별 급수인구'!$C$7:$AD$997,23,FALSE)))</f>
        <v>4587</v>
      </c>
      <c r="H17" s="302">
        <f>IF($D17="A",ROUND(VLOOKUP($C17,'[2]2.행정구역별 급수인구'!$C$7:$AD$997,25,FALSE)*$E17,0),IF($D17="B",(ROUND(VLOOKUP($C17,'[2]2.행정구역별 급수인구'!$C$7:$AD$997,25,FALSE)-ROUND(VLOOKUP($C17,'[2]2.행정구역별 급수인구'!$C$7:$AD$997,25,FALSE)*(1-$E17),0),0)),VLOOKUP($C17,'[2]2.행정구역별 급수인구'!$C$7:$AD$997,25,FALSE)))</f>
        <v>4571</v>
      </c>
      <c r="I17" s="302">
        <f>IF($D17="A",ROUND(VLOOKUP($C17,'[2]2.행정구역별 급수인구'!$C$7:$AD$997,26,FALSE)*$E17,0),IF($D17="B",(ROUND(VLOOKUP($C17,'[2]2.행정구역별 급수인구'!$C$7:$AD$997,26,FALSE)-ROUND(VLOOKUP($C17,'[2]2.행정구역별 급수인구'!$C$7:$AD$997,26,FALSE)*(1-$E17),0),0)),VLOOKUP($C17,'[2]2.행정구역별 급수인구'!$C$7:$AD$997,26,FALSE)))</f>
        <v>4569</v>
      </c>
      <c r="J17" s="302">
        <f>IF($D17="A",ROUND(VLOOKUP($C17,'[2]2.행정구역별 급수인구'!$C$7:$AD$997,27,FALSE)*$E17,0),IF($D17="B",(ROUND(VLOOKUP($C17,'[2]2.행정구역별 급수인구'!$C$7:$AD$997,27,FALSE)-ROUND(VLOOKUP($C17,'[2]2.행정구역별 급수인구'!$C$7:$AD$997,27,FALSE)*(1-$E17),0),0)),VLOOKUP($C17,'[2]2.행정구역별 급수인구'!$C$7:$AD$997,27,FALSE)))</f>
        <v>4727</v>
      </c>
      <c r="K17" s="302">
        <f>IF($D17="A",ROUND(VLOOKUP($C17,'[2]2.행정구역별 급수인구'!$C$7:$AD$997,28,FALSE)*$E17,0),IF($D17="B",(ROUND(VLOOKUP($C17,'[2]2.행정구역별 급수인구'!$C$7:$AD$997,28,FALSE)-ROUND(VLOOKUP($C17,'[2]2.행정구역별 급수인구'!$C$7:$AD$997,28,FALSE)*(1-$E17),0),0)),VLOOKUP($C17,'[2]2.행정구역별 급수인구'!$C$7:$AD$997,28,FALSE)))</f>
        <v>4861</v>
      </c>
      <c r="L17" s="302">
        <f>VLOOKUP($F17,'[3]5.급수원단위'!$B$31:$G$35,2,FALSE)</f>
        <v>420</v>
      </c>
      <c r="M17" s="302">
        <f>VLOOKUP($F17,'[3]5.급수원단위'!$B$31:$G$35,3,FALSE)</f>
        <v>422</v>
      </c>
      <c r="N17" s="302">
        <f>VLOOKUP($F17,'[3]5.급수원단위'!$B$31:$G$35,4,FALSE)</f>
        <v>433</v>
      </c>
      <c r="O17" s="302">
        <f>VLOOKUP($F17,'[3]5.급수원단위'!$B$31:$G$35,5,FALSE)</f>
        <v>446</v>
      </c>
      <c r="P17" s="302">
        <f>VLOOKUP($F17,'[3]5.급수원단위'!$B$31:$G$35,6,FALSE)</f>
        <v>466</v>
      </c>
      <c r="Q17" s="302">
        <f>'2013실사용량 정리'!F94</f>
        <v>1465</v>
      </c>
      <c r="R17" s="302">
        <f t="shared" si="9"/>
        <v>1929</v>
      </c>
      <c r="S17" s="302">
        <f t="shared" si="9"/>
        <v>1978</v>
      </c>
      <c r="T17" s="302">
        <f t="shared" si="9"/>
        <v>2108</v>
      </c>
      <c r="U17" s="302">
        <f t="shared" si="9"/>
        <v>2265</v>
      </c>
      <c r="W17" s="343">
        <f t="shared" si="5"/>
        <v>1.546075085324232</v>
      </c>
    </row>
    <row r="18" spans="1:23" ht="20.100000000000001" customHeight="1">
      <c r="A18" s="340"/>
      <c r="B18" s="340"/>
      <c r="C18" s="399" t="s">
        <v>1291</v>
      </c>
      <c r="D18" s="330" t="s">
        <v>1808</v>
      </c>
      <c r="E18" s="476">
        <f>'[4]급수구역별 용수량정리'!$I$90</f>
        <v>0</v>
      </c>
      <c r="F18" s="397" t="s">
        <v>1286</v>
      </c>
      <c r="G18" s="302">
        <f>IF($D18="A",ROUND(VLOOKUP($C18,'[2]2.행정구역별 급수인구'!$C$7:$AD$997,23,FALSE)*$E18,0),IF($D18="B",(ROUND(VLOOKUP($C18,'[2]2.행정구역별 급수인구'!$C$7:$AD$997,23,FALSE)-ROUND(VLOOKUP($C18,'[2]2.행정구역별 급수인구'!$C$7:$AD$997,23,FALSE)*(1-$E18),0),0)),VLOOKUP($C18,'[2]2.행정구역별 급수인구'!$C$7:$AD$997,23,FALSE)))</f>
        <v>0</v>
      </c>
      <c r="H18" s="302">
        <f>IF($D18="A",ROUND(VLOOKUP($C18,'[2]2.행정구역별 급수인구'!$C$7:$AD$997,25,FALSE)*$E18,0),IF($D18="B",(ROUND(VLOOKUP($C18,'[2]2.행정구역별 급수인구'!$C$7:$AD$997,25,FALSE)-ROUND(VLOOKUP($C18,'[2]2.행정구역별 급수인구'!$C$7:$AD$997,25,FALSE)*(1-$E18),0),0)),VLOOKUP($C18,'[2]2.행정구역별 급수인구'!$C$7:$AD$997,25,FALSE)))</f>
        <v>0</v>
      </c>
      <c r="I18" s="302">
        <f>IF($D18="A",ROUND(VLOOKUP($C18,'[2]2.행정구역별 급수인구'!$C$7:$AD$997,26,FALSE)*$E18,0),IF($D18="B",(ROUND(VLOOKUP($C18,'[2]2.행정구역별 급수인구'!$C$7:$AD$997,26,FALSE)-ROUND(VLOOKUP($C18,'[2]2.행정구역별 급수인구'!$C$7:$AD$997,26,FALSE)*(1-$E18),0),0)),VLOOKUP($C18,'[2]2.행정구역별 급수인구'!$C$7:$AD$997,26,FALSE)))</f>
        <v>0</v>
      </c>
      <c r="J18" s="302">
        <f>IF($D18="A",ROUND(VLOOKUP($C18,'[2]2.행정구역별 급수인구'!$C$7:$AD$997,27,FALSE)*$E18,0),IF($D18="B",(ROUND(VLOOKUP($C18,'[2]2.행정구역별 급수인구'!$C$7:$AD$997,27,FALSE)-ROUND(VLOOKUP($C18,'[2]2.행정구역별 급수인구'!$C$7:$AD$997,27,FALSE)*(1-$E18),0),0)),VLOOKUP($C18,'[2]2.행정구역별 급수인구'!$C$7:$AD$997,27,FALSE)))</f>
        <v>0</v>
      </c>
      <c r="K18" s="302">
        <f>IF($D18="A",ROUND(VLOOKUP($C18,'[2]2.행정구역별 급수인구'!$C$7:$AD$997,28,FALSE)*$E18,0),IF($D18="B",(ROUND(VLOOKUP($C18,'[2]2.행정구역별 급수인구'!$C$7:$AD$997,28,FALSE)-ROUND(VLOOKUP($C18,'[2]2.행정구역별 급수인구'!$C$7:$AD$997,28,FALSE)*(1-$E18),0),0)),VLOOKUP($C18,'[2]2.행정구역별 급수인구'!$C$7:$AD$997,28,FALSE)))</f>
        <v>0</v>
      </c>
      <c r="L18" s="302">
        <f>VLOOKUP($F18,'[3]5.급수원단위'!$B$31:$G$35,2,FALSE)</f>
        <v>420</v>
      </c>
      <c r="M18" s="302">
        <f>VLOOKUP($F18,'[3]5.급수원단위'!$B$31:$G$35,3,FALSE)</f>
        <v>422</v>
      </c>
      <c r="N18" s="302">
        <f>VLOOKUP($F18,'[3]5.급수원단위'!$B$31:$G$35,4,FALSE)</f>
        <v>433</v>
      </c>
      <c r="O18" s="302">
        <f>VLOOKUP($F18,'[3]5.급수원단위'!$B$31:$G$35,5,FALSE)</f>
        <v>446</v>
      </c>
      <c r="P18" s="302">
        <f>VLOOKUP($F18,'[3]5.급수원단위'!$B$31:$G$35,6,FALSE)</f>
        <v>466</v>
      </c>
      <c r="Q18" s="302">
        <f>'2013실사용량 정리'!F95</f>
        <v>0</v>
      </c>
      <c r="R18" s="302">
        <f t="shared" si="9"/>
        <v>0</v>
      </c>
      <c r="S18" s="302">
        <f t="shared" si="9"/>
        <v>0</v>
      </c>
      <c r="T18" s="302">
        <f t="shared" si="9"/>
        <v>0</v>
      </c>
      <c r="U18" s="302">
        <f t="shared" si="9"/>
        <v>0</v>
      </c>
      <c r="W18" s="343" t="str">
        <f t="shared" si="5"/>
        <v/>
      </c>
    </row>
    <row r="19" spans="1:23" ht="20.100000000000001" customHeight="1">
      <c r="A19" s="340"/>
      <c r="B19" s="386"/>
      <c r="C19" s="399" t="s">
        <v>1297</v>
      </c>
      <c r="D19" s="330" t="s">
        <v>1808</v>
      </c>
      <c r="E19" s="476">
        <f>'[4]급수구역별 용수량정리'!$I$91</f>
        <v>0.99099999999999999</v>
      </c>
      <c r="F19" s="397" t="s">
        <v>1286</v>
      </c>
      <c r="G19" s="302">
        <f>IF($D19="A",ROUND(VLOOKUP($C19,'[2]2.행정구역별 급수인구'!$C$7:$AD$997,23,FALSE)*$E19,0),IF($D19="B",(ROUND(VLOOKUP($C19,'[2]2.행정구역별 급수인구'!$C$7:$AD$997,23,FALSE)-ROUND(VLOOKUP($C19,'[2]2.행정구역별 급수인구'!$C$7:$AD$997,23,FALSE)*(1-$E19),0),0)),VLOOKUP($C19,'[2]2.행정구역별 급수인구'!$C$7:$AD$997,23,FALSE)))</f>
        <v>6488</v>
      </c>
      <c r="H19" s="302">
        <f>IF($D19="A",ROUND(VLOOKUP($C19,'[2]2.행정구역별 급수인구'!$C$7:$AD$997,25,FALSE)*$E19,0),IF($D19="B",(ROUND(VLOOKUP($C19,'[2]2.행정구역별 급수인구'!$C$7:$AD$997,25,FALSE)-ROUND(VLOOKUP($C19,'[2]2.행정구역별 급수인구'!$C$7:$AD$997,25,FALSE)*(1-$E19),0),0)),VLOOKUP($C19,'[2]2.행정구역별 급수인구'!$C$7:$AD$997,25,FALSE)))</f>
        <v>6463</v>
      </c>
      <c r="I19" s="302">
        <f>IF($D19="A",ROUND(VLOOKUP($C19,'[2]2.행정구역별 급수인구'!$C$7:$AD$997,26,FALSE)*$E19,0),IF($D19="B",(ROUND(VLOOKUP($C19,'[2]2.행정구역별 급수인구'!$C$7:$AD$997,26,FALSE)-ROUND(VLOOKUP($C19,'[2]2.행정구역별 급수인구'!$C$7:$AD$997,26,FALSE)*(1-$E19),0),0)),VLOOKUP($C19,'[2]2.행정구역별 급수인구'!$C$7:$AD$997,26,FALSE)))</f>
        <v>6461</v>
      </c>
      <c r="J19" s="302">
        <f>IF($D19="A",ROUND(VLOOKUP($C19,'[2]2.행정구역별 급수인구'!$C$7:$AD$997,27,FALSE)*$E19,0),IF($D19="B",(ROUND(VLOOKUP($C19,'[2]2.행정구역별 급수인구'!$C$7:$AD$997,27,FALSE)-ROUND(VLOOKUP($C19,'[2]2.행정구역별 급수인구'!$C$7:$AD$997,27,FALSE)*(1-$E19),0),0)),VLOOKUP($C19,'[2]2.행정구역별 급수인구'!$C$7:$AD$997,27,FALSE)))</f>
        <v>6686</v>
      </c>
      <c r="K19" s="302">
        <f>IF($D19="A",ROUND(VLOOKUP($C19,'[2]2.행정구역별 급수인구'!$C$7:$AD$997,28,FALSE)*$E19,0),IF($D19="B",(ROUND(VLOOKUP($C19,'[2]2.행정구역별 급수인구'!$C$7:$AD$997,28,FALSE)-ROUND(VLOOKUP($C19,'[2]2.행정구역별 급수인구'!$C$7:$AD$997,28,FALSE)*(1-$E19),0),0)),VLOOKUP($C19,'[2]2.행정구역별 급수인구'!$C$7:$AD$997,28,FALSE)))</f>
        <v>6877</v>
      </c>
      <c r="L19" s="302">
        <f>VLOOKUP($F19,'[3]5.급수원단위'!$B$31:$G$35,2,FALSE)</f>
        <v>420</v>
      </c>
      <c r="M19" s="302">
        <f>VLOOKUP($F19,'[3]5.급수원단위'!$B$31:$G$35,3,FALSE)</f>
        <v>422</v>
      </c>
      <c r="N19" s="302">
        <f>VLOOKUP($F19,'[3]5.급수원단위'!$B$31:$G$35,4,FALSE)</f>
        <v>433</v>
      </c>
      <c r="O19" s="302">
        <f>VLOOKUP($F19,'[3]5.급수원단위'!$B$31:$G$35,5,FALSE)</f>
        <v>446</v>
      </c>
      <c r="P19" s="302">
        <f>VLOOKUP($F19,'[3]5.급수원단위'!$B$31:$G$35,6,FALSE)</f>
        <v>466</v>
      </c>
      <c r="Q19" s="302">
        <f>'2013실사용량 정리'!F96</f>
        <v>2034</v>
      </c>
      <c r="R19" s="302">
        <f t="shared" si="9"/>
        <v>2727</v>
      </c>
      <c r="S19" s="302">
        <f t="shared" si="9"/>
        <v>2798</v>
      </c>
      <c r="T19" s="302">
        <f t="shared" si="9"/>
        <v>2982</v>
      </c>
      <c r="U19" s="302">
        <f t="shared" si="9"/>
        <v>3205</v>
      </c>
      <c r="W19" s="343">
        <f t="shared" si="5"/>
        <v>1.5757128810226155</v>
      </c>
    </row>
    <row r="20" spans="1:23" ht="20.100000000000001" customHeight="1">
      <c r="A20" s="340"/>
      <c r="B20" s="701" t="s">
        <v>1288</v>
      </c>
      <c r="C20" s="702"/>
      <c r="D20" s="703"/>
      <c r="E20" s="477"/>
      <c r="F20" s="331"/>
      <c r="G20" s="336">
        <f>SUM(G21)</f>
        <v>203</v>
      </c>
      <c r="H20" s="336">
        <f t="shared" ref="H20:K20" si="10">SUM(H21)</f>
        <v>226</v>
      </c>
      <c r="I20" s="336">
        <f t="shared" si="10"/>
        <v>238</v>
      </c>
      <c r="J20" s="336">
        <f t="shared" si="10"/>
        <v>257</v>
      </c>
      <c r="K20" s="336">
        <f t="shared" si="10"/>
        <v>261</v>
      </c>
      <c r="L20" s="336"/>
      <c r="M20" s="336"/>
      <c r="N20" s="336"/>
      <c r="O20" s="336"/>
      <c r="P20" s="336"/>
      <c r="Q20" s="336">
        <f t="shared" ref="Q20:U20" si="11">SUM(Q21)</f>
        <v>31</v>
      </c>
      <c r="R20" s="336">
        <f t="shared" si="11"/>
        <v>69</v>
      </c>
      <c r="S20" s="336">
        <f t="shared" si="11"/>
        <v>73</v>
      </c>
      <c r="T20" s="336">
        <f t="shared" si="11"/>
        <v>80</v>
      </c>
      <c r="U20" s="336">
        <f t="shared" si="11"/>
        <v>81</v>
      </c>
      <c r="V20" s="343">
        <f>VLOOKUP(B20,'2013년도 용수량 비율'!$A$5:$F$20,6,FALSE)</f>
        <v>0.05</v>
      </c>
      <c r="W20" s="343"/>
    </row>
    <row r="21" spans="1:23" ht="20.100000000000001" customHeight="1">
      <c r="A21" s="386"/>
      <c r="B21" s="396"/>
      <c r="C21" s="399" t="s">
        <v>1301</v>
      </c>
      <c r="D21" s="330"/>
      <c r="E21" s="476"/>
      <c r="F21" s="397" t="s">
        <v>1289</v>
      </c>
      <c r="G21" s="302">
        <f>IF($D21="A",ROUND(VLOOKUP($C21,'[2]2.행정구역별 급수인구'!$C$7:$AD$997,23,FALSE)*$E21,0),IF($D21="B",(ROUND(VLOOKUP($C21,'[2]2.행정구역별 급수인구'!$C$7:$AD$997,23,FALSE)-ROUND(VLOOKUP($C21,'[2]2.행정구역별 급수인구'!$C$7:$AD$997,23,FALSE)*(1-$E21),0),0)),VLOOKUP($C21,'[2]2.행정구역별 급수인구'!$C$7:$AD$997,23,FALSE)))</f>
        <v>203</v>
      </c>
      <c r="H21" s="302">
        <f>IF($D21="A",ROUND(VLOOKUP($C21,'[2]2.행정구역별 급수인구'!$C$7:$AD$997,25,FALSE)*$E21,0),IF($D21="B",(ROUND(VLOOKUP($C21,'[2]2.행정구역별 급수인구'!$C$7:$AD$997,25,FALSE)-ROUND(VLOOKUP($C21,'[2]2.행정구역별 급수인구'!$C$7:$AD$997,25,FALSE)*(1-$E21),0),0)),VLOOKUP($C21,'[2]2.행정구역별 급수인구'!$C$7:$AD$997,25,FALSE)))</f>
        <v>226</v>
      </c>
      <c r="I21" s="302">
        <f>IF($D21="A",ROUND(VLOOKUP($C21,'[2]2.행정구역별 급수인구'!$C$7:$AD$997,26,FALSE)*$E21,0),IF($D21="B",(ROUND(VLOOKUP($C21,'[2]2.행정구역별 급수인구'!$C$7:$AD$997,26,FALSE)-ROUND(VLOOKUP($C21,'[2]2.행정구역별 급수인구'!$C$7:$AD$997,26,FALSE)*(1-$E21),0),0)),VLOOKUP($C21,'[2]2.행정구역별 급수인구'!$C$7:$AD$997,26,FALSE)))</f>
        <v>238</v>
      </c>
      <c r="J21" s="302">
        <f>IF($D21="A",ROUND(VLOOKUP($C21,'[2]2.행정구역별 급수인구'!$C$7:$AD$997,27,FALSE)*$E21,0),IF($D21="B",(ROUND(VLOOKUP($C21,'[2]2.행정구역별 급수인구'!$C$7:$AD$997,27,FALSE)-ROUND(VLOOKUP($C21,'[2]2.행정구역별 급수인구'!$C$7:$AD$997,27,FALSE)*(1-$E21),0),0)),VLOOKUP($C21,'[2]2.행정구역별 급수인구'!$C$7:$AD$997,27,FALSE)))</f>
        <v>257</v>
      </c>
      <c r="K21" s="302">
        <f>IF($D21="A",ROUND(VLOOKUP($C21,'[2]2.행정구역별 급수인구'!$C$7:$AD$997,28,FALSE)*$E21,0),IF($D21="B",(ROUND(VLOOKUP($C21,'[2]2.행정구역별 급수인구'!$C$7:$AD$997,28,FALSE)-ROUND(VLOOKUP($C21,'[2]2.행정구역별 급수인구'!$C$7:$AD$997,28,FALSE)*(1-$E21),0),0)),VLOOKUP($C21,'[2]2.행정구역별 급수인구'!$C$7:$AD$997,28,FALSE)))</f>
        <v>261</v>
      </c>
      <c r="L21" s="302">
        <f>VLOOKUP($F21,'[3]5.급수원단위'!$B$31:$G$35,2,FALSE)</f>
        <v>272</v>
      </c>
      <c r="M21" s="302">
        <f>VLOOKUP($F21,'[3]5.급수원단위'!$B$31:$G$35,3,FALSE)</f>
        <v>304</v>
      </c>
      <c r="N21" s="302">
        <f>VLOOKUP($F21,'[3]5.급수원단위'!$B$31:$G$35,4,FALSE)</f>
        <v>308</v>
      </c>
      <c r="O21" s="302">
        <f>VLOOKUP($F21,'[3]5.급수원단위'!$B$31:$G$35,5,FALSE)</f>
        <v>310</v>
      </c>
      <c r="P21" s="302">
        <f>VLOOKUP($F21,'[3]5.급수원단위'!$B$31:$G$35,6,FALSE)</f>
        <v>310</v>
      </c>
      <c r="Q21" s="302">
        <f>ROUND(IF(G21=0,0,VLOOKUP(C21,'2013실사용량 정리'!$D$6:$F$381,3,FALSE)),0)</f>
        <v>31</v>
      </c>
      <c r="R21" s="302">
        <f>ROUND(H21*M21/1000,0)</f>
        <v>69</v>
      </c>
      <c r="S21" s="302">
        <f>ROUND(I21*N21/1000,0)</f>
        <v>73</v>
      </c>
      <c r="T21" s="302">
        <f>ROUND(J21*O21/1000,0)</f>
        <v>80</v>
      </c>
      <c r="U21" s="302">
        <f>ROUND(K21*P21/1000,0)</f>
        <v>81</v>
      </c>
      <c r="W21" s="343">
        <f t="shared" si="5"/>
        <v>2.6129032258064515</v>
      </c>
    </row>
    <row r="22" spans="1:23" ht="20.100000000000001" customHeight="1">
      <c r="A22" s="713" t="s">
        <v>1858</v>
      </c>
      <c r="B22" s="714"/>
      <c r="C22" s="714"/>
      <c r="D22" s="715"/>
      <c r="E22" s="478"/>
      <c r="F22" s="332"/>
      <c r="G22" s="298">
        <f>G23</f>
        <v>10401</v>
      </c>
      <c r="H22" s="298">
        <f t="shared" ref="H22:K22" si="12">H23</f>
        <v>10323</v>
      </c>
      <c r="I22" s="298">
        <f t="shared" si="12"/>
        <v>7355</v>
      </c>
      <c r="J22" s="298">
        <f t="shared" si="12"/>
        <v>7738</v>
      </c>
      <c r="K22" s="298">
        <f t="shared" si="12"/>
        <v>8079</v>
      </c>
      <c r="L22" s="298"/>
      <c r="M22" s="298"/>
      <c r="N22" s="298"/>
      <c r="O22" s="298"/>
      <c r="P22" s="298"/>
      <c r="Q22" s="298">
        <f t="shared" ref="Q22:U22" si="13">Q23</f>
        <v>4312</v>
      </c>
      <c r="R22" s="298">
        <f t="shared" si="13"/>
        <v>4357</v>
      </c>
      <c r="S22" s="298">
        <f t="shared" si="13"/>
        <v>3184</v>
      </c>
      <c r="T22" s="298">
        <f t="shared" si="13"/>
        <v>3451</v>
      </c>
      <c r="U22" s="298">
        <f t="shared" si="13"/>
        <v>3765</v>
      </c>
      <c r="W22" s="343"/>
    </row>
    <row r="23" spans="1:23" ht="20.100000000000001" customHeight="1">
      <c r="A23" s="339"/>
      <c r="B23" s="701" t="s">
        <v>1285</v>
      </c>
      <c r="C23" s="702"/>
      <c r="D23" s="703"/>
      <c r="E23" s="477"/>
      <c r="F23" s="331"/>
      <c r="G23" s="336">
        <f>SUM(G24:G25)</f>
        <v>10401</v>
      </c>
      <c r="H23" s="336">
        <f t="shared" ref="H23:K23" si="14">SUM(H24:H25)</f>
        <v>10323</v>
      </c>
      <c r="I23" s="336">
        <f t="shared" si="14"/>
        <v>7355</v>
      </c>
      <c r="J23" s="336">
        <f t="shared" si="14"/>
        <v>7738</v>
      </c>
      <c r="K23" s="336">
        <f t="shared" si="14"/>
        <v>8079</v>
      </c>
      <c r="L23" s="336"/>
      <c r="M23" s="336"/>
      <c r="N23" s="336"/>
      <c r="O23" s="336"/>
      <c r="P23" s="336"/>
      <c r="Q23" s="336">
        <f t="shared" ref="Q23:U23" si="15">SUM(Q24:Q25)</f>
        <v>4312</v>
      </c>
      <c r="R23" s="336">
        <f t="shared" si="15"/>
        <v>4357</v>
      </c>
      <c r="S23" s="336">
        <f t="shared" si="15"/>
        <v>3184</v>
      </c>
      <c r="T23" s="336">
        <f t="shared" si="15"/>
        <v>3451</v>
      </c>
      <c r="U23" s="336">
        <f t="shared" si="15"/>
        <v>3765</v>
      </c>
      <c r="V23" s="343">
        <f>VLOOKUP(B23,'2013년도 용수량 비율'!$A$5:$F$20,6,FALSE)</f>
        <v>0</v>
      </c>
      <c r="W23" s="343"/>
    </row>
    <row r="24" spans="1:23" ht="20.100000000000001" customHeight="1">
      <c r="A24" s="340"/>
      <c r="B24" s="339"/>
      <c r="C24" s="399" t="s">
        <v>1294</v>
      </c>
      <c r="D24" s="330" t="s">
        <v>1807</v>
      </c>
      <c r="E24" s="476">
        <f>'[4]급수구역별 용수량정리'!$I$107</f>
        <v>0.113</v>
      </c>
      <c r="F24" s="397" t="s">
        <v>1286</v>
      </c>
      <c r="G24" s="302">
        <f>IF($D24="A",ROUND(VLOOKUP($C24,'[2]2.행정구역별 급수인구'!$C$7:$AD$997,23,FALSE)*$E24,0),IF($D24="B",(ROUND(VLOOKUP($C24,'[2]2.행정구역별 급수인구'!$C$7:$AD$997,23,FALSE)-ROUND(VLOOKUP($C24,'[2]2.행정구역별 급수인구'!$C$7:$AD$997,23,FALSE)*(1-$E24),0),0)),VLOOKUP($C24,'[2]2.행정구역별 급수인구'!$C$7:$AD$997,23,FALSE)))</f>
        <v>1393</v>
      </c>
      <c r="H24" s="302">
        <f>IF($D24="A",ROUND(VLOOKUP($C24,'[2]2.행정구역별 급수인구'!$C$7:$AD$997,25,FALSE)*$E24,0),IF($D24="B",(ROUND(VLOOKUP($C24,'[2]2.행정구역별 급수인구'!$C$7:$AD$997,25,FALSE)-ROUND(VLOOKUP($C24,'[2]2.행정구역별 급수인구'!$C$7:$AD$997,25,FALSE)*(1-$E24),0),0)),VLOOKUP($C24,'[2]2.행정구역별 급수인구'!$C$7:$AD$997,25,FALSE)))</f>
        <v>1409</v>
      </c>
      <c r="I24" s="302">
        <f>IF($D24="A",ROUND(VLOOKUP($C24,'[2]2.행정구역별 급수인구'!$C$7:$AD$997,26,FALSE)*$E24,0),IF($D24="B",(ROUND(VLOOKUP($C24,'[2]2.행정구역별 급수인구'!$C$7:$AD$997,26,FALSE)-ROUND(VLOOKUP($C24,'[2]2.행정구역별 급수인구'!$C$7:$AD$997,26,FALSE)*(1-$E24),0),0)),VLOOKUP($C24,'[2]2.행정구역별 급수인구'!$C$7:$AD$997,26,FALSE)))</f>
        <v>1449</v>
      </c>
      <c r="J24" s="302">
        <f>IF($D24="A",ROUND(VLOOKUP($C24,'[2]2.행정구역별 급수인구'!$C$7:$AD$997,27,FALSE)*$E24,0),IF($D24="B",(ROUND(VLOOKUP($C24,'[2]2.행정구역별 급수인구'!$C$7:$AD$997,27,FALSE)-ROUND(VLOOKUP($C24,'[2]2.행정구역별 급수인구'!$C$7:$AD$997,27,FALSE)*(1-$E24),0),0)),VLOOKUP($C24,'[2]2.행정구역별 급수인구'!$C$7:$AD$997,27,FALSE)))</f>
        <v>1497</v>
      </c>
      <c r="K24" s="302">
        <f>IF($D24="A",ROUND(VLOOKUP($C24,'[2]2.행정구역별 급수인구'!$C$7:$AD$997,28,FALSE)*$E24,0),IF($D24="B",(ROUND(VLOOKUP($C24,'[2]2.행정구역별 급수인구'!$C$7:$AD$997,28,FALSE)-ROUND(VLOOKUP($C24,'[2]2.행정구역별 급수인구'!$C$7:$AD$997,28,FALSE)*(1-$E24),0),0)),VLOOKUP($C24,'[2]2.행정구역별 급수인구'!$C$7:$AD$997,28,FALSE)))</f>
        <v>1539</v>
      </c>
      <c r="L24" s="302">
        <f>VLOOKUP($F24,'[3]5.급수원단위'!$B$31:$G$35,2,FALSE)</f>
        <v>420</v>
      </c>
      <c r="M24" s="302">
        <f>VLOOKUP($F24,'[3]5.급수원단위'!$B$31:$G$35,3,FALSE)</f>
        <v>422</v>
      </c>
      <c r="N24" s="302">
        <f>VLOOKUP($F24,'[3]5.급수원단위'!$B$31:$G$35,4,FALSE)</f>
        <v>433</v>
      </c>
      <c r="O24" s="302">
        <f>VLOOKUP($F24,'[3]5.급수원단위'!$B$31:$G$35,5,FALSE)</f>
        <v>446</v>
      </c>
      <c r="P24" s="302">
        <f>VLOOKUP($F24,'[3]5.급수원단위'!$B$31:$G$35,6,FALSE)</f>
        <v>466</v>
      </c>
      <c r="Q24" s="302">
        <f>'2013실사용량 정리'!F102</f>
        <v>639</v>
      </c>
      <c r="R24" s="302">
        <f t="shared" ref="R24:U25" si="16">ROUND(H24*M24/1000,0)</f>
        <v>595</v>
      </c>
      <c r="S24" s="302">
        <f t="shared" si="16"/>
        <v>627</v>
      </c>
      <c r="T24" s="302">
        <f t="shared" si="16"/>
        <v>668</v>
      </c>
      <c r="U24" s="302">
        <f t="shared" si="16"/>
        <v>717</v>
      </c>
      <c r="W24" s="343">
        <f t="shared" si="5"/>
        <v>1.1220657276995305</v>
      </c>
    </row>
    <row r="25" spans="1:23" ht="20.100000000000001" customHeight="1">
      <c r="A25" s="386"/>
      <c r="B25" s="386"/>
      <c r="C25" s="399" t="s">
        <v>1293</v>
      </c>
      <c r="D25" s="330" t="s">
        <v>1807</v>
      </c>
      <c r="E25" s="476">
        <f>'[4]급수구역별 용수량정리'!$I$110-0.001</f>
        <v>0.8</v>
      </c>
      <c r="F25" s="397" t="s">
        <v>1286</v>
      </c>
      <c r="G25" s="302">
        <f>IF($D25="A",ROUND(VLOOKUP($C25,'[2]2.행정구역별 급수인구'!$C$7:$AD$997,23,FALSE)*$E25,0),IF($D25="B",(ROUND(VLOOKUP($C25,'[2]2.행정구역별 급수인구'!$C$7:$AD$997,23,FALSE)-ROUND(VLOOKUP($C25,'[2]2.행정구역별 급수인구'!$C$7:$AD$997,23,FALSE)*(1-$E25),0),0)),VLOOKUP($C25,'[2]2.행정구역별 급수인구'!$C$7:$AD$997,23,FALSE)))-G28</f>
        <v>9008</v>
      </c>
      <c r="H25" s="302">
        <f>IF($D25="A",ROUND(VLOOKUP($C25,'[2]2.행정구역별 급수인구'!$C$7:$AD$997,25,FALSE)*$E25,0),IF($D25="B",(ROUND(VLOOKUP($C25,'[2]2.행정구역별 급수인구'!$C$7:$AD$997,25,FALSE)-ROUND(VLOOKUP($C25,'[2]2.행정구역별 급수인구'!$C$7:$AD$997,25,FALSE)*(1-$E25),0),0)),VLOOKUP($C25,'[2]2.행정구역별 급수인구'!$C$7:$AD$997,25,FALSE)))-H28</f>
        <v>8914</v>
      </c>
      <c r="I25" s="371">
        <f>IF($D25="A",ROUND(VLOOKUP($C25,'[2]2.행정구역별 급수인구'!$C$7:$AD$997,26,FALSE)*$E25,0),IF($D25="B",(ROUND(VLOOKUP($C25,'[2]2.행정구역별 급수인구'!$C$7:$AD$997,26,FALSE)-ROUND(VLOOKUP($C25,'[2]2.행정구역별 급수인구'!$C$7:$AD$997,26,FALSE)*(1-$E25),0),0)),VLOOKUP($C25,'[2]2.행정구역별 급수인구'!$C$7:$AD$997,26,FALSE)))-I28</f>
        <v>5906</v>
      </c>
      <c r="J25" s="302">
        <f>IF($D25="A",ROUND(VLOOKUP($C25,'[2]2.행정구역별 급수인구'!$C$7:$AD$997,27,FALSE)*$E25,0),IF($D25="B",(ROUND(VLOOKUP($C25,'[2]2.행정구역별 급수인구'!$C$7:$AD$997,27,FALSE)-ROUND(VLOOKUP($C25,'[2]2.행정구역별 급수인구'!$C$7:$AD$997,27,FALSE)*(1-$E25),0),0)),VLOOKUP($C25,'[2]2.행정구역별 급수인구'!$C$7:$AD$997,27,FALSE)))-J28</f>
        <v>6241</v>
      </c>
      <c r="K25" s="371">
        <f>IF($D25="A",ROUND(VLOOKUP($C25,'[2]2.행정구역별 급수인구'!$C$7:$AD$997,28,FALSE)*$E25,0),IF($D25="B",(ROUND(VLOOKUP($C25,'[2]2.행정구역별 급수인구'!$C$7:$AD$997,28,FALSE)-ROUND(VLOOKUP($C25,'[2]2.행정구역별 급수인구'!$C$7:$AD$997,28,FALSE)*(1-$E25),0),0)),VLOOKUP($C25,'[2]2.행정구역별 급수인구'!$C$7:$AD$997,28,FALSE)))-K28</f>
        <v>6540</v>
      </c>
      <c r="L25" s="302">
        <f>VLOOKUP($F25,'[3]5.급수원단위'!$B$31:$G$35,2,FALSE)</f>
        <v>420</v>
      </c>
      <c r="M25" s="302">
        <f>VLOOKUP($F25,'[3]5.급수원단위'!$B$31:$G$35,3,FALSE)</f>
        <v>422</v>
      </c>
      <c r="N25" s="302">
        <f>VLOOKUP($F25,'[3]5.급수원단위'!$B$31:$G$35,4,FALSE)</f>
        <v>433</v>
      </c>
      <c r="O25" s="302">
        <f>VLOOKUP($F25,'[3]5.급수원단위'!$B$31:$G$35,5,FALSE)</f>
        <v>446</v>
      </c>
      <c r="P25" s="302">
        <f>VLOOKUP($F25,'[3]5.급수원단위'!$B$31:$G$35,6,FALSE)</f>
        <v>466</v>
      </c>
      <c r="Q25" s="302">
        <f>'2013실사용량 정리'!F103</f>
        <v>3673</v>
      </c>
      <c r="R25" s="302">
        <f t="shared" si="16"/>
        <v>3762</v>
      </c>
      <c r="S25" s="302">
        <f t="shared" si="16"/>
        <v>2557</v>
      </c>
      <c r="T25" s="302">
        <f t="shared" si="16"/>
        <v>2783</v>
      </c>
      <c r="U25" s="302">
        <f t="shared" si="16"/>
        <v>3048</v>
      </c>
      <c r="W25" s="343">
        <f t="shared" si="5"/>
        <v>0.8298393683637354</v>
      </c>
    </row>
    <row r="26" spans="1:23" ht="20.100000000000001" customHeight="1">
      <c r="A26" s="713" t="s">
        <v>1859</v>
      </c>
      <c r="B26" s="714"/>
      <c r="C26" s="714"/>
      <c r="D26" s="715"/>
      <c r="E26" s="478"/>
      <c r="F26" s="332"/>
      <c r="G26" s="298">
        <f>G27</f>
        <v>0</v>
      </c>
      <c r="H26" s="298">
        <f t="shared" ref="H26:K26" si="17">H27</f>
        <v>1288</v>
      </c>
      <c r="I26" s="298">
        <f t="shared" si="17"/>
        <v>8193</v>
      </c>
      <c r="J26" s="298">
        <f t="shared" si="17"/>
        <v>8217</v>
      </c>
      <c r="K26" s="298">
        <f t="shared" si="17"/>
        <v>8238</v>
      </c>
      <c r="L26" s="298"/>
      <c r="M26" s="298"/>
      <c r="N26" s="298"/>
      <c r="O26" s="298"/>
      <c r="P26" s="298"/>
      <c r="Q26" s="298">
        <f t="shared" ref="Q26:U26" si="18">Q27</f>
        <v>0</v>
      </c>
      <c r="R26" s="298">
        <f t="shared" si="18"/>
        <v>544</v>
      </c>
      <c r="S26" s="298">
        <f t="shared" si="18"/>
        <v>3548</v>
      </c>
      <c r="T26" s="298">
        <f t="shared" si="18"/>
        <v>3665</v>
      </c>
      <c r="U26" s="298">
        <f t="shared" si="18"/>
        <v>3839</v>
      </c>
      <c r="W26" s="343" t="str">
        <f t="shared" si="5"/>
        <v/>
      </c>
    </row>
    <row r="27" spans="1:23" ht="20.100000000000001" customHeight="1">
      <c r="A27" s="339"/>
      <c r="B27" s="701" t="s">
        <v>1285</v>
      </c>
      <c r="C27" s="702"/>
      <c r="D27" s="703"/>
      <c r="E27" s="477"/>
      <c r="F27" s="331"/>
      <c r="G27" s="336">
        <f>SUM(G28:G28)</f>
        <v>0</v>
      </c>
      <c r="H27" s="336">
        <f>SUM(H28:H28)</f>
        <v>1288</v>
      </c>
      <c r="I27" s="336">
        <f>SUM(I28:I28)</f>
        <v>8193</v>
      </c>
      <c r="J27" s="336">
        <f>SUM(J28:J28)</f>
        <v>8217</v>
      </c>
      <c r="K27" s="336">
        <f>SUM(K28:K28)</f>
        <v>8238</v>
      </c>
      <c r="L27" s="336"/>
      <c r="M27" s="336"/>
      <c r="N27" s="336"/>
      <c r="O27" s="336"/>
      <c r="P27" s="336"/>
      <c r="Q27" s="336">
        <f>SUM(Q28:Q28)</f>
        <v>0</v>
      </c>
      <c r="R27" s="336">
        <f>SUM(R28:R28)</f>
        <v>544</v>
      </c>
      <c r="S27" s="336">
        <f>SUM(S28:S28)</f>
        <v>3548</v>
      </c>
      <c r="T27" s="336">
        <f>SUM(T28:T28)</f>
        <v>3665</v>
      </c>
      <c r="U27" s="336">
        <f>SUM(U28:U28)</f>
        <v>3839</v>
      </c>
      <c r="V27" s="343">
        <f>VLOOKUP(B27,'2013년도 용수량 비율'!$A$5:$F$20,6,FALSE)</f>
        <v>0</v>
      </c>
      <c r="W27" s="343" t="str">
        <f t="shared" si="5"/>
        <v/>
      </c>
    </row>
    <row r="28" spans="1:23" ht="20.100000000000001" customHeight="1">
      <c r="A28" s="386"/>
      <c r="B28" s="396"/>
      <c r="C28" s="399" t="s">
        <v>1293</v>
      </c>
      <c r="D28" s="330" t="s">
        <v>1857</v>
      </c>
      <c r="E28" s="476"/>
      <c r="F28" s="397" t="s">
        <v>1286</v>
      </c>
      <c r="G28" s="371">
        <v>0</v>
      </c>
      <c r="H28" s="371">
        <f>'[1]2.사회적인구 집계'!$M$16</f>
        <v>1288</v>
      </c>
      <c r="I28" s="371">
        <f>'[1]2.사회적인구 집계'!$N$16+'[1]1.계획인구(행정)'!$G$467+'[1]1.계획인구(행정)'!$G$468</f>
        <v>8193</v>
      </c>
      <c r="J28" s="371">
        <f>'[1]2.사회적인구 집계'!$O$16+'[1]1.계획인구(행정)'!$H$467+'[1]1.계획인구(행정)'!$H$468</f>
        <v>8217</v>
      </c>
      <c r="K28" s="371">
        <f>'[1]2.사회적인구 집계'!$P$16+'[1]1.계획인구(행정)'!$I$467+'[1]1.계획인구(행정)'!$I$468</f>
        <v>8238</v>
      </c>
      <c r="L28" s="302">
        <f>VLOOKUP($F28,'[3]5.급수원단위'!$B$31:$G$35,2,FALSE)</f>
        <v>420</v>
      </c>
      <c r="M28" s="302">
        <f>VLOOKUP($F28,'[3]5.급수원단위'!$B$31:$G$35,3,FALSE)</f>
        <v>422</v>
      </c>
      <c r="N28" s="302">
        <f>VLOOKUP($F28,'[3]5.급수원단위'!$B$31:$G$35,4,FALSE)</f>
        <v>433</v>
      </c>
      <c r="O28" s="302">
        <f>VLOOKUP($F28,'[3]5.급수원단위'!$B$31:$G$35,5,FALSE)</f>
        <v>446</v>
      </c>
      <c r="P28" s="302">
        <f>VLOOKUP($F28,'[3]5.급수원단위'!$B$31:$G$35,6,FALSE)</f>
        <v>466</v>
      </c>
      <c r="Q28" s="302">
        <f>ROUND(G28*L28/1000*$Y$3,0)</f>
        <v>0</v>
      </c>
      <c r="R28" s="302">
        <f t="shared" ref="R28" si="19">ROUND(H28*M28/1000,0)</f>
        <v>544</v>
      </c>
      <c r="S28" s="302">
        <f t="shared" ref="S28" si="20">ROUND(I28*N28/1000,0)</f>
        <v>3548</v>
      </c>
      <c r="T28" s="302">
        <f t="shared" ref="T28" si="21">ROUND(J28*O28/1000,0)</f>
        <v>3665</v>
      </c>
      <c r="U28" s="302">
        <f t="shared" ref="U28" si="22">ROUND(K28*P28/1000,0)</f>
        <v>3839</v>
      </c>
      <c r="W28" s="343" t="str">
        <f t="shared" si="5"/>
        <v/>
      </c>
    </row>
    <row r="29" spans="1:23" ht="20.100000000000001" customHeight="1">
      <c r="A29" s="398"/>
      <c r="B29" s="398"/>
      <c r="C29" s="398"/>
      <c r="D29" s="398"/>
      <c r="E29" s="398"/>
      <c r="F29" s="398"/>
      <c r="G29" s="398"/>
      <c r="H29" s="398"/>
      <c r="I29" s="398"/>
      <c r="J29" s="398"/>
      <c r="K29" s="398"/>
      <c r="L29" s="398"/>
      <c r="M29" s="398"/>
      <c r="N29" s="398"/>
      <c r="O29" s="398"/>
      <c r="P29" s="398"/>
      <c r="Q29" s="398"/>
      <c r="R29" s="398"/>
      <c r="S29" s="398"/>
      <c r="T29" s="398"/>
      <c r="U29" s="398"/>
    </row>
  </sheetData>
  <autoFilter ref="A4:AI28">
    <filterColumn colId="0" showButton="0"/>
    <filterColumn colId="1" showButton="0"/>
    <filterColumn colId="2" showButton="0"/>
  </autoFilter>
  <mergeCells count="16">
    <mergeCell ref="L3:P3"/>
    <mergeCell ref="W2:Y2"/>
    <mergeCell ref="Q3:U3"/>
    <mergeCell ref="A26:D26"/>
    <mergeCell ref="B27:D27"/>
    <mergeCell ref="E3:E4"/>
    <mergeCell ref="F3:F4"/>
    <mergeCell ref="G3:K3"/>
    <mergeCell ref="A3:D4"/>
    <mergeCell ref="A22:D22"/>
    <mergeCell ref="B23:D23"/>
    <mergeCell ref="A5:D5"/>
    <mergeCell ref="A6:D6"/>
    <mergeCell ref="B7:D7"/>
    <mergeCell ref="B15:D15"/>
    <mergeCell ref="B20:D20"/>
  </mergeCells>
  <phoneticPr fontId="3" type="noConversion"/>
  <printOptions horizontalCentered="1"/>
  <pageMargins left="0.62992125984251968" right="0.62992125984251968" top="0.62992125984251968" bottom="0.62992125984251968" header="0.31496062992125984" footer="0.31496062992125984"/>
  <pageSetup paperSize="9" scale="95" orientation="portrait" r:id="rId1"/>
  <ignoredErrors>
    <ignoredError sqref="G15:U15 G20:U20 G16:P19 R16:U19" 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C000"/>
  </sheetPr>
  <dimension ref="A1:AS128"/>
  <sheetViews>
    <sheetView view="pageBreakPreview" zoomScale="85" zoomScaleNormal="100" zoomScaleSheetLayoutView="85" workbookViewId="0"/>
  </sheetViews>
  <sheetFormatPr defaultColWidth="7.6640625" defaultRowHeight="20.100000000000001" customHeight="1" outlineLevelCol="1"/>
  <cols>
    <col min="1" max="2" width="1.77734375" style="327" customWidth="1"/>
    <col min="3" max="3" width="6.33203125" style="327" customWidth="1"/>
    <col min="4" max="4" width="2.33203125" style="327" customWidth="1"/>
    <col min="5" max="6" width="6.77734375" style="327" hidden="1" customWidth="1" outlineLevel="1"/>
    <col min="7" max="7" width="6.33203125" style="327" hidden="1" customWidth="1" outlineLevel="1" collapsed="1"/>
    <col min="8" max="8" width="6.33203125" style="327" customWidth="1" collapsed="1"/>
    <col min="9" max="11" width="6.33203125" style="327" customWidth="1"/>
    <col min="12" max="12" width="4.33203125" style="327" hidden="1" customWidth="1" outlineLevel="1"/>
    <col min="13" max="13" width="4.33203125" style="327" customWidth="1" collapsed="1"/>
    <col min="14" max="16" width="4.33203125" style="327" customWidth="1"/>
    <col min="17" max="17" width="6.33203125" style="327" hidden="1" customWidth="1" outlineLevel="1"/>
    <col min="18" max="18" width="6.33203125" style="327" customWidth="1" collapsed="1"/>
    <col min="19" max="21" width="6.33203125" style="327" customWidth="1"/>
    <col min="22" max="22" width="7.6640625" style="335"/>
    <col min="26" max="26" width="7.88671875" customWidth="1"/>
    <col min="31" max="16384" width="7.6640625" style="327"/>
  </cols>
  <sheetData>
    <row r="1" spans="1:30" s="204" customFormat="1" ht="20.100000000000001" customHeight="1">
      <c r="A1" s="204" t="s">
        <v>804</v>
      </c>
      <c r="V1" s="333"/>
    </row>
    <row r="2" spans="1:30" s="208" customFormat="1" ht="19.5" customHeight="1">
      <c r="A2" s="207" t="s">
        <v>2430</v>
      </c>
      <c r="G2" s="209"/>
      <c r="H2" s="209"/>
      <c r="J2" s="209"/>
      <c r="K2" s="209"/>
      <c r="L2" s="209"/>
      <c r="V2" s="334"/>
      <c r="W2" s="692" t="s">
        <v>1919</v>
      </c>
      <c r="X2" s="692"/>
      <c r="Y2" s="692"/>
      <c r="Z2" s="440" t="s">
        <v>2405</v>
      </c>
    </row>
    <row r="3" spans="1:30" ht="20.100000000000001" customHeight="1">
      <c r="A3" s="707" t="s">
        <v>2451</v>
      </c>
      <c r="B3" s="708"/>
      <c r="C3" s="708"/>
      <c r="D3" s="709"/>
      <c r="E3" s="696" t="s">
        <v>1290</v>
      </c>
      <c r="F3" s="696" t="s">
        <v>1280</v>
      </c>
      <c r="G3" s="693" t="s">
        <v>1281</v>
      </c>
      <c r="H3" s="693"/>
      <c r="I3" s="693"/>
      <c r="J3" s="693"/>
      <c r="K3" s="693"/>
      <c r="L3" s="693" t="s">
        <v>1282</v>
      </c>
      <c r="M3" s="693"/>
      <c r="N3" s="693"/>
      <c r="O3" s="693"/>
      <c r="P3" s="693"/>
      <c r="Q3" s="693" t="s">
        <v>1283</v>
      </c>
      <c r="R3" s="693"/>
      <c r="S3" s="693"/>
      <c r="T3" s="693"/>
      <c r="U3" s="693"/>
      <c r="W3" s="462">
        <f>29534+420</f>
        <v>29954</v>
      </c>
      <c r="X3" s="439">
        <f>25634+6787</f>
        <v>32421</v>
      </c>
      <c r="Y3" s="440">
        <f>X3/W3</f>
        <v>1.0823596180810575</v>
      </c>
      <c r="Z3" s="440">
        <f>ROUND(AVERAGE(W6:W115),2)</f>
        <v>2.81</v>
      </c>
    </row>
    <row r="4" spans="1:30" ht="20.100000000000001" customHeight="1">
      <c r="A4" s="710"/>
      <c r="B4" s="711"/>
      <c r="C4" s="711"/>
      <c r="D4" s="712"/>
      <c r="E4" s="693"/>
      <c r="F4" s="693"/>
      <c r="G4" s="527">
        <v>2013</v>
      </c>
      <c r="H4" s="527">
        <v>2015</v>
      </c>
      <c r="I4" s="527">
        <v>2020</v>
      </c>
      <c r="J4" s="527">
        <v>2025</v>
      </c>
      <c r="K4" s="527">
        <v>2030</v>
      </c>
      <c r="L4" s="527">
        <v>2013</v>
      </c>
      <c r="M4" s="527">
        <v>2015</v>
      </c>
      <c r="N4" s="527">
        <v>2020</v>
      </c>
      <c r="O4" s="527">
        <v>2025</v>
      </c>
      <c r="P4" s="527">
        <v>2030</v>
      </c>
      <c r="Q4" s="527">
        <v>2013</v>
      </c>
      <c r="R4" s="527">
        <v>2015</v>
      </c>
      <c r="S4" s="527">
        <v>2020</v>
      </c>
      <c r="T4" s="527">
        <v>2025</v>
      </c>
      <c r="U4" s="527">
        <v>2030</v>
      </c>
    </row>
    <row r="5" spans="1:30" ht="20.100000000000001" customHeight="1">
      <c r="A5" s="704" t="s">
        <v>2429</v>
      </c>
      <c r="B5" s="705"/>
      <c r="C5" s="705"/>
      <c r="D5" s="706"/>
      <c r="E5" s="407"/>
      <c r="F5" s="407"/>
      <c r="G5" s="408">
        <f>G6+G34+G90+G116</f>
        <v>8099</v>
      </c>
      <c r="H5" s="408">
        <f>H6+H34+H90+H116</f>
        <v>13400</v>
      </c>
      <c r="I5" s="408">
        <f>I6+I34+I90+I116</f>
        <v>16670</v>
      </c>
      <c r="J5" s="408">
        <f>J6+J34+J90+J116</f>
        <v>17109</v>
      </c>
      <c r="K5" s="408">
        <f>K6+K34+K90+K116</f>
        <v>17365</v>
      </c>
      <c r="L5" s="408"/>
      <c r="M5" s="408"/>
      <c r="N5" s="408"/>
      <c r="O5" s="408"/>
      <c r="P5" s="408"/>
      <c r="Q5" s="408">
        <f t="shared" ref="Q5:U5" si="0">Q6+Q34+Q90+Q116</f>
        <v>3549</v>
      </c>
      <c r="R5" s="408">
        <f t="shared" si="0"/>
        <v>5028</v>
      </c>
      <c r="S5" s="408">
        <f t="shared" si="0"/>
        <v>6413</v>
      </c>
      <c r="T5" s="408">
        <f t="shared" si="0"/>
        <v>6814</v>
      </c>
      <c r="U5" s="408">
        <f t="shared" si="0"/>
        <v>7104</v>
      </c>
    </row>
    <row r="6" spans="1:30" ht="20.100000000000001" customHeight="1">
      <c r="A6" s="339"/>
      <c r="B6" s="694" t="s">
        <v>1215</v>
      </c>
      <c r="C6" s="694"/>
      <c r="D6" s="694"/>
      <c r="E6" s="331"/>
      <c r="F6" s="331"/>
      <c r="G6" s="336">
        <f>SUM(G7:G33)</f>
        <v>1643</v>
      </c>
      <c r="H6" s="336">
        <f t="shared" ref="H6:K6" si="1">SUM(H7:H33)</f>
        <v>2882</v>
      </c>
      <c r="I6" s="336">
        <f t="shared" si="1"/>
        <v>3503</v>
      </c>
      <c r="J6" s="336">
        <f t="shared" si="1"/>
        <v>3710</v>
      </c>
      <c r="K6" s="336">
        <f t="shared" si="1"/>
        <v>3774</v>
      </c>
      <c r="L6" s="336"/>
      <c r="M6" s="336"/>
      <c r="N6" s="336"/>
      <c r="O6" s="336"/>
      <c r="P6" s="336"/>
      <c r="Q6" s="336">
        <f t="shared" ref="Q6:U6" si="2">SUM(Q7:Q33)</f>
        <v>656</v>
      </c>
      <c r="R6" s="336">
        <f t="shared" si="2"/>
        <v>876</v>
      </c>
      <c r="S6" s="336">
        <f t="shared" si="2"/>
        <v>1078</v>
      </c>
      <c r="T6" s="336">
        <f t="shared" si="2"/>
        <v>1150</v>
      </c>
      <c r="U6" s="336">
        <f t="shared" si="2"/>
        <v>1171</v>
      </c>
      <c r="V6" s="343">
        <f>VLOOKUP(B6,'2013년도 용수량 비율'!$A$5:$F$20,6,FALSE)</f>
        <v>0.05</v>
      </c>
      <c r="W6" s="343"/>
      <c r="X6" s="327"/>
      <c r="Y6" s="327"/>
      <c r="Z6" s="327"/>
      <c r="AA6" s="327"/>
      <c r="AB6" s="327"/>
      <c r="AC6" s="327"/>
      <c r="AD6" s="327"/>
    </row>
    <row r="7" spans="1:30" ht="20.100000000000001" customHeight="1">
      <c r="A7" s="340"/>
      <c r="B7" s="339"/>
      <c r="C7" s="406" t="s">
        <v>1302</v>
      </c>
      <c r="D7" s="330" t="s">
        <v>1299</v>
      </c>
      <c r="E7" s="527">
        <v>1</v>
      </c>
      <c r="F7" s="527" t="s">
        <v>1317</v>
      </c>
      <c r="G7" s="302">
        <f>IF($D7="A",ROUND(VLOOKUP($C7,'[2]2.행정구역별 급수인구'!$C$7:$AD$997,17,FALSE)*$E7,0),IF($D7="B",(ROUND(VLOOKUP($C7,'[2]2.행정구역별 급수인구'!$C$7:$AD$997,17,FALSE)-VLOOKUP($C7,'[2]2.행정구역별 급수인구'!$C$7:$AD$997,17,FALSE)*(1-$E7),0)),VLOOKUP($C7,'[2]2.행정구역별 급수인구'!$C$7:$AD$997,17,FALSE)))</f>
        <v>721</v>
      </c>
      <c r="H7" s="302">
        <f>IF($D7="A",ROUND(VLOOKUP($C7,'[2]2.행정구역별 급수인구'!$C$7:$AD$997,25,FALSE)*$E7,0),IF($D7="B",(ROUND(VLOOKUP($C7,'[2]2.행정구역별 급수인구'!$C$7:$AD$997,25,FALSE)-VLOOKUP($C7,'[2]2.행정구역별 급수인구'!$C$7:$AD$997,25,FALSE)*(1-$E7),0)),VLOOKUP($C7,'[2]2.행정구역별 급수인구'!$C$7:$AD$997,25,FALSE)))</f>
        <v>1162</v>
      </c>
      <c r="I7" s="302">
        <f>IF($D7="A",ROUND(VLOOKUP($C7,'[2]2.행정구역별 급수인구'!$C$7:$AD$997,26,FALSE)*$E7,0),IF($D7="B",(ROUND(VLOOKUP($C7,'[2]2.행정구역별 급수인구'!$C$7:$AD$997,26,FALSE)-VLOOKUP($C7,'[2]2.행정구역별 급수인구'!$C$7:$AD$997,26,FALSE)*(1-$E7),0)),VLOOKUP($C7,'[2]2.행정구역별 급수인구'!$C$7:$AD$997,26,FALSE)))</f>
        <v>1214</v>
      </c>
      <c r="J7" s="302">
        <f>IF($D7="A",ROUND(VLOOKUP($C7,'[2]2.행정구역별 급수인구'!$C$7:$AD$997,27,FALSE)*$E7,0),IF($D7="B",(ROUND(VLOOKUP($C7,'[2]2.행정구역별 급수인구'!$C$7:$AD$997,27,FALSE)-VLOOKUP($C7,'[2]2.행정구역별 급수인구'!$C$7:$AD$997,27,FALSE)*(1-$E7),0)),VLOOKUP($C7,'[2]2.행정구역별 급수인구'!$C$7:$AD$997,27,FALSE)))</f>
        <v>1244</v>
      </c>
      <c r="K7" s="302">
        <f>IF($D7="A",ROUND(VLOOKUP($C7,'[2]2.행정구역별 급수인구'!$C$7:$AD$997,28,FALSE)*$E7,0),IF($D7="B",(ROUND(VLOOKUP($C7,'[2]2.행정구역별 급수인구'!$C$7:$AD$997,28,FALSE)-VLOOKUP($C7,'[2]2.행정구역별 급수인구'!$C$7:$AD$997,28,FALSE)*(1-$E7),0)),VLOOKUP($C7,'[2]2.행정구역별 급수인구'!$C$7:$AD$997,28,FALSE)))</f>
        <v>1265</v>
      </c>
      <c r="L7" s="302">
        <f>VLOOKUP($F7,'[3]5.급수원단위'!$B$31:$G$35,2,FALSE)</f>
        <v>272</v>
      </c>
      <c r="M7" s="302">
        <f>VLOOKUP($F7,'[3]5.급수원단위'!$B$31:$G$35,3,FALSE)</f>
        <v>304</v>
      </c>
      <c r="N7" s="302">
        <f>VLOOKUP($F7,'[3]5.급수원단위'!$B$31:$G$35,4,FALSE)</f>
        <v>308</v>
      </c>
      <c r="O7" s="302">
        <f>VLOOKUP($F7,'[3]5.급수원단위'!$B$31:$G$35,5,FALSE)</f>
        <v>310</v>
      </c>
      <c r="P7" s="302">
        <f>VLOOKUP($F7,'[3]5.급수원단위'!$B$31:$G$35,6,FALSE)</f>
        <v>310</v>
      </c>
      <c r="Q7" s="302">
        <f>ROUND(IF(G7=0,0,VLOOKUP(C7,'2013실사용량 정리'!$D$6:$F$381,3,FALSE)),0)</f>
        <v>373</v>
      </c>
      <c r="R7" s="302">
        <f>ROUND(H7*M7/1000,0)</f>
        <v>353</v>
      </c>
      <c r="S7" s="302">
        <f>ROUND(I7*N7/1000,0)</f>
        <v>374</v>
      </c>
      <c r="T7" s="302">
        <f>ROUND(J7*O7/1000,0)</f>
        <v>386</v>
      </c>
      <c r="U7" s="302">
        <f>ROUND(K7*P7/1000,0)</f>
        <v>392</v>
      </c>
      <c r="V7" s="327"/>
      <c r="W7" s="343">
        <f t="shared" ref="W7:W47" si="3">IF(ISERROR(U7/Q7),"",U7/Q7)</f>
        <v>1.0509383378016086</v>
      </c>
      <c r="X7" s="327"/>
      <c r="Y7" s="327"/>
      <c r="Z7" s="327"/>
      <c r="AA7" s="327"/>
      <c r="AB7" s="327"/>
      <c r="AC7" s="327"/>
      <c r="AD7" s="327"/>
    </row>
    <row r="8" spans="1:30" ht="20.100000000000001" customHeight="1">
      <c r="A8" s="340"/>
      <c r="B8" s="340"/>
      <c r="C8" s="406" t="s">
        <v>1303</v>
      </c>
      <c r="D8" s="330" t="s">
        <v>1299</v>
      </c>
      <c r="E8" s="527">
        <v>1</v>
      </c>
      <c r="F8" s="527" t="s">
        <v>1317</v>
      </c>
      <c r="G8" s="302">
        <f>IF($D8="A",ROUND(VLOOKUP($C8,'[2]2.행정구역별 급수인구'!$C$7:$AD$997,17,FALSE)*$E8,0),IF($D8="B",(ROUND(VLOOKUP($C8,'[2]2.행정구역별 급수인구'!$C$7:$AD$997,17,FALSE)-VLOOKUP($C8,'[2]2.행정구역별 급수인구'!$C$7:$AD$997,17,FALSE)*(1-$E8),0)),VLOOKUP($C8,'[2]2.행정구역별 급수인구'!$C$7:$AD$997,17,FALSE)))</f>
        <v>128</v>
      </c>
      <c r="H8" s="302">
        <f>IF($D8="A",ROUND(VLOOKUP($C8,'[2]2.행정구역별 급수인구'!$C$7:$AD$997,25,FALSE)*$E8,0),IF($D8="B",(ROUND(VLOOKUP($C8,'[2]2.행정구역별 급수인구'!$C$7:$AD$997,25,FALSE)-VLOOKUP($C8,'[2]2.행정구역별 급수인구'!$C$7:$AD$997,25,FALSE)*(1-$E8),0)),VLOOKUP($C8,'[2]2.행정구역별 급수인구'!$C$7:$AD$997,25,FALSE)))</f>
        <v>144</v>
      </c>
      <c r="I8" s="302">
        <f>IF($D8="A",ROUND(VLOOKUP($C8,'[2]2.행정구역별 급수인구'!$C$7:$AD$997,26,FALSE)*$E8,0),IF($D8="B",(ROUND(VLOOKUP($C8,'[2]2.행정구역별 급수인구'!$C$7:$AD$997,26,FALSE)-VLOOKUP($C8,'[2]2.행정구역별 급수인구'!$C$7:$AD$997,26,FALSE)*(1-$E8),0)),VLOOKUP($C8,'[2]2.행정구역별 급수인구'!$C$7:$AD$997,26,FALSE)))</f>
        <v>150</v>
      </c>
      <c r="J8" s="302">
        <f>IF($D8="A",ROUND(VLOOKUP($C8,'[2]2.행정구역별 급수인구'!$C$7:$AD$997,27,FALSE)*$E8,0),IF($D8="B",(ROUND(VLOOKUP($C8,'[2]2.행정구역별 급수인구'!$C$7:$AD$997,27,FALSE)-VLOOKUP($C8,'[2]2.행정구역별 급수인구'!$C$7:$AD$997,27,FALSE)*(1-$E8),0)),VLOOKUP($C8,'[2]2.행정구역별 급수인구'!$C$7:$AD$997,27,FALSE)))</f>
        <v>162</v>
      </c>
      <c r="K8" s="302">
        <f>IF($D8="A",ROUND(VLOOKUP($C8,'[2]2.행정구역별 급수인구'!$C$7:$AD$997,28,FALSE)*$E8,0),IF($D8="B",(ROUND(VLOOKUP($C8,'[2]2.행정구역별 급수인구'!$C$7:$AD$997,28,FALSE)-VLOOKUP($C8,'[2]2.행정구역별 급수인구'!$C$7:$AD$997,28,FALSE)*(1-$E8),0)),VLOOKUP($C8,'[2]2.행정구역별 급수인구'!$C$7:$AD$997,28,FALSE)))</f>
        <v>165</v>
      </c>
      <c r="L8" s="302">
        <f>VLOOKUP($F8,'[3]5.급수원단위'!$B$31:$G$35,2,FALSE)</f>
        <v>272</v>
      </c>
      <c r="M8" s="302">
        <f>VLOOKUP($F8,'[3]5.급수원단위'!$B$31:$G$35,3,FALSE)</f>
        <v>304</v>
      </c>
      <c r="N8" s="302">
        <f>VLOOKUP($F8,'[3]5.급수원단위'!$B$31:$G$35,4,FALSE)</f>
        <v>308</v>
      </c>
      <c r="O8" s="302">
        <f>VLOOKUP($F8,'[3]5.급수원단위'!$B$31:$G$35,5,FALSE)</f>
        <v>310</v>
      </c>
      <c r="P8" s="302">
        <f>VLOOKUP($F8,'[3]5.급수원단위'!$B$31:$G$35,6,FALSE)</f>
        <v>310</v>
      </c>
      <c r="Q8" s="302">
        <f>ROUND(IF(G8=0,0,VLOOKUP(C8,'2013실사용량 정리'!$D$6:$F$381,3,FALSE)),0)</f>
        <v>30</v>
      </c>
      <c r="R8" s="302">
        <f t="shared" ref="R8:U33" si="4">ROUND(H8*M8/1000,0)</f>
        <v>44</v>
      </c>
      <c r="S8" s="302">
        <f t="shared" si="4"/>
        <v>46</v>
      </c>
      <c r="T8" s="302">
        <f t="shared" si="4"/>
        <v>50</v>
      </c>
      <c r="U8" s="302">
        <f t="shared" si="4"/>
        <v>51</v>
      </c>
      <c r="V8" s="327"/>
      <c r="W8" s="343">
        <f t="shared" si="3"/>
        <v>1.7</v>
      </c>
      <c r="X8" s="327"/>
      <c r="Y8" s="327"/>
      <c r="Z8" s="327"/>
      <c r="AA8" s="327"/>
      <c r="AB8" s="327"/>
      <c r="AC8" s="327"/>
      <c r="AD8" s="327"/>
    </row>
    <row r="9" spans="1:30" ht="20.100000000000001" customHeight="1">
      <c r="A9" s="340"/>
      <c r="B9" s="340"/>
      <c r="C9" s="406" t="s">
        <v>1304</v>
      </c>
      <c r="D9" s="330" t="s">
        <v>1299</v>
      </c>
      <c r="E9" s="527">
        <v>1</v>
      </c>
      <c r="F9" s="527" t="s">
        <v>1317</v>
      </c>
      <c r="G9" s="302">
        <f>IF($D9="A",ROUND(VLOOKUP($C9,'[2]2.행정구역별 급수인구'!$C$7:$AD$997,17,FALSE)*$E9,0),IF($D9="B",(ROUND(VLOOKUP($C9,'[2]2.행정구역별 급수인구'!$C$7:$AD$997,17,FALSE)-VLOOKUP($C9,'[2]2.행정구역별 급수인구'!$C$7:$AD$997,17,FALSE)*(1-$E9),0)),VLOOKUP($C9,'[2]2.행정구역별 급수인구'!$C$7:$AD$997,17,FALSE)))</f>
        <v>80</v>
      </c>
      <c r="H9" s="302">
        <f>IF($D9="A",ROUND(VLOOKUP($C9,'[2]2.행정구역별 급수인구'!$C$7:$AD$997,25,FALSE)*$E9,0),IF($D9="B",(ROUND(VLOOKUP($C9,'[2]2.행정구역별 급수인구'!$C$7:$AD$997,25,FALSE)-VLOOKUP($C9,'[2]2.행정구역별 급수인구'!$C$7:$AD$997,25,FALSE)*(1-$E9),0)),VLOOKUP($C9,'[2]2.행정구역별 급수인구'!$C$7:$AD$997,25,FALSE)))</f>
        <v>119</v>
      </c>
      <c r="I9" s="302">
        <f>IF($D9="A",ROUND(VLOOKUP($C9,'[2]2.행정구역별 급수인구'!$C$7:$AD$997,26,FALSE)*$E9,0),IF($D9="B",(ROUND(VLOOKUP($C9,'[2]2.행정구역별 급수인구'!$C$7:$AD$997,26,FALSE)-VLOOKUP($C9,'[2]2.행정구역별 급수인구'!$C$7:$AD$997,26,FALSE)*(1-$E9),0)),VLOOKUP($C9,'[2]2.행정구역별 급수인구'!$C$7:$AD$997,26,FALSE)))</f>
        <v>123</v>
      </c>
      <c r="J9" s="302">
        <f>IF($D9="A",ROUND(VLOOKUP($C9,'[2]2.행정구역별 급수인구'!$C$7:$AD$997,27,FALSE)*$E9,0),IF($D9="B",(ROUND(VLOOKUP($C9,'[2]2.행정구역별 급수인구'!$C$7:$AD$997,27,FALSE)-VLOOKUP($C9,'[2]2.행정구역별 급수인구'!$C$7:$AD$997,27,FALSE)*(1-$E9),0)),VLOOKUP($C9,'[2]2.행정구역별 급수인구'!$C$7:$AD$997,27,FALSE)))</f>
        <v>125</v>
      </c>
      <c r="K9" s="302">
        <f>IF($D9="A",ROUND(VLOOKUP($C9,'[2]2.행정구역별 급수인구'!$C$7:$AD$997,28,FALSE)*$E9,0),IF($D9="B",(ROUND(VLOOKUP($C9,'[2]2.행정구역별 급수인구'!$C$7:$AD$997,28,FALSE)-VLOOKUP($C9,'[2]2.행정구역별 급수인구'!$C$7:$AD$997,28,FALSE)*(1-$E9),0)),VLOOKUP($C9,'[2]2.행정구역별 급수인구'!$C$7:$AD$997,28,FALSE)))</f>
        <v>128</v>
      </c>
      <c r="L9" s="302">
        <f>VLOOKUP($F9,'[3]5.급수원단위'!$B$31:$G$35,2,FALSE)</f>
        <v>272</v>
      </c>
      <c r="M9" s="302">
        <f>VLOOKUP($F9,'[3]5.급수원단위'!$B$31:$G$35,3,FALSE)</f>
        <v>304</v>
      </c>
      <c r="N9" s="302">
        <f>VLOOKUP($F9,'[3]5.급수원단위'!$B$31:$G$35,4,FALSE)</f>
        <v>308</v>
      </c>
      <c r="O9" s="302">
        <f>VLOOKUP($F9,'[3]5.급수원단위'!$B$31:$G$35,5,FALSE)</f>
        <v>310</v>
      </c>
      <c r="P9" s="302">
        <f>VLOOKUP($F9,'[3]5.급수원단위'!$B$31:$G$35,6,FALSE)</f>
        <v>310</v>
      </c>
      <c r="Q9" s="302">
        <f>ROUND(IF(G9=0,0,VLOOKUP(C9,'2013실사용량 정리'!$D$6:$F$381,3,FALSE)),0)</f>
        <v>18</v>
      </c>
      <c r="R9" s="302">
        <f t="shared" si="4"/>
        <v>36</v>
      </c>
      <c r="S9" s="302">
        <f t="shared" si="4"/>
        <v>38</v>
      </c>
      <c r="T9" s="302">
        <f t="shared" si="4"/>
        <v>39</v>
      </c>
      <c r="U9" s="302">
        <f t="shared" si="4"/>
        <v>40</v>
      </c>
      <c r="V9" s="327"/>
      <c r="W9" s="343">
        <f t="shared" si="3"/>
        <v>2.2222222222222223</v>
      </c>
      <c r="X9" s="327"/>
      <c r="Y9" s="327"/>
      <c r="Z9" s="327"/>
      <c r="AA9" s="327"/>
      <c r="AB9" s="327"/>
      <c r="AC9" s="327"/>
      <c r="AD9" s="327"/>
    </row>
    <row r="10" spans="1:30" ht="20.100000000000001" customHeight="1">
      <c r="A10" s="340"/>
      <c r="B10" s="340"/>
      <c r="C10" s="406" t="s">
        <v>1305</v>
      </c>
      <c r="D10" s="330" t="s">
        <v>1299</v>
      </c>
      <c r="E10" s="527">
        <v>1</v>
      </c>
      <c r="F10" s="527" t="s">
        <v>1317</v>
      </c>
      <c r="G10" s="302">
        <f>IF($D10="A",ROUND(VLOOKUP($C10,'[2]2.행정구역별 급수인구'!$C$7:$AD$997,17,FALSE)*$E10,0),IF($D10="B",(ROUND(VLOOKUP($C10,'[2]2.행정구역별 급수인구'!$C$7:$AD$997,17,FALSE)-VLOOKUP($C10,'[2]2.행정구역별 급수인구'!$C$7:$AD$997,17,FALSE)*(1-$E10),0)),VLOOKUP($C10,'[2]2.행정구역별 급수인구'!$C$7:$AD$997,17,FALSE)))</f>
        <v>171</v>
      </c>
      <c r="H10" s="302">
        <f>IF($D10="A",ROUND(VLOOKUP($C10,'[2]2.행정구역별 급수인구'!$C$7:$AD$997,25,FALSE)*$E10,0),IF($D10="B",(ROUND(VLOOKUP($C10,'[2]2.행정구역별 급수인구'!$C$7:$AD$997,25,FALSE)-VLOOKUP($C10,'[2]2.행정구역별 급수인구'!$C$7:$AD$997,25,FALSE)*(1-$E10),0)),VLOOKUP($C10,'[2]2.행정구역별 급수인구'!$C$7:$AD$997,25,FALSE)))</f>
        <v>191</v>
      </c>
      <c r="I10" s="302">
        <f>IF($D10="A",ROUND(VLOOKUP($C10,'[2]2.행정구역별 급수인구'!$C$7:$AD$997,26,FALSE)*$E10,0),IF($D10="B",(ROUND(VLOOKUP($C10,'[2]2.행정구역별 급수인구'!$C$7:$AD$997,26,FALSE)-VLOOKUP($C10,'[2]2.행정구역별 급수인구'!$C$7:$AD$997,26,FALSE)*(1-$E10),0)),VLOOKUP($C10,'[2]2.행정구역별 급수인구'!$C$7:$AD$997,26,FALSE)))</f>
        <v>200</v>
      </c>
      <c r="J10" s="302">
        <f>IF($D10="A",ROUND(VLOOKUP($C10,'[2]2.행정구역별 급수인구'!$C$7:$AD$997,27,FALSE)*$E10,0),IF($D10="B",(ROUND(VLOOKUP($C10,'[2]2.행정구역별 급수인구'!$C$7:$AD$997,27,FALSE)-VLOOKUP($C10,'[2]2.행정구역별 급수인구'!$C$7:$AD$997,27,FALSE)*(1-$E10),0)),VLOOKUP($C10,'[2]2.행정구역별 급수인구'!$C$7:$AD$997,27,FALSE)))</f>
        <v>217</v>
      </c>
      <c r="K10" s="302">
        <f>IF($D10="A",ROUND(VLOOKUP($C10,'[2]2.행정구역별 급수인구'!$C$7:$AD$997,28,FALSE)*$E10,0),IF($D10="B",(ROUND(VLOOKUP($C10,'[2]2.행정구역별 급수인구'!$C$7:$AD$997,28,FALSE)-VLOOKUP($C10,'[2]2.행정구역별 급수인구'!$C$7:$AD$997,28,FALSE)*(1-$E10),0)),VLOOKUP($C10,'[2]2.행정구역별 급수인구'!$C$7:$AD$997,28,FALSE)))</f>
        <v>220</v>
      </c>
      <c r="L10" s="302">
        <f>VLOOKUP($F10,'[3]5.급수원단위'!$B$31:$G$35,2,FALSE)</f>
        <v>272</v>
      </c>
      <c r="M10" s="302">
        <f>VLOOKUP($F10,'[3]5.급수원단위'!$B$31:$G$35,3,FALSE)</f>
        <v>304</v>
      </c>
      <c r="N10" s="302">
        <f>VLOOKUP($F10,'[3]5.급수원단위'!$B$31:$G$35,4,FALSE)</f>
        <v>308</v>
      </c>
      <c r="O10" s="302">
        <f>VLOOKUP($F10,'[3]5.급수원단위'!$B$31:$G$35,5,FALSE)</f>
        <v>310</v>
      </c>
      <c r="P10" s="302">
        <f>VLOOKUP($F10,'[3]5.급수원단위'!$B$31:$G$35,6,FALSE)</f>
        <v>310</v>
      </c>
      <c r="Q10" s="302">
        <f>ROUND(IF(G10=0,0,VLOOKUP(C10,'2013실사용량 정리'!$D$6:$F$381,3,FALSE)),0)</f>
        <v>42</v>
      </c>
      <c r="R10" s="302">
        <f t="shared" si="4"/>
        <v>58</v>
      </c>
      <c r="S10" s="302">
        <f t="shared" si="4"/>
        <v>62</v>
      </c>
      <c r="T10" s="302">
        <f t="shared" si="4"/>
        <v>67</v>
      </c>
      <c r="U10" s="302">
        <f t="shared" si="4"/>
        <v>68</v>
      </c>
      <c r="V10" s="327"/>
      <c r="W10" s="343">
        <f t="shared" si="3"/>
        <v>1.6190476190476191</v>
      </c>
      <c r="X10" s="327"/>
      <c r="Y10" s="327"/>
      <c r="Z10" s="327"/>
      <c r="AA10" s="327"/>
      <c r="AB10" s="327"/>
      <c r="AC10" s="327"/>
      <c r="AD10" s="327"/>
    </row>
    <row r="11" spans="1:30" ht="20.100000000000001" customHeight="1">
      <c r="A11" s="340"/>
      <c r="B11" s="340"/>
      <c r="C11" s="406" t="s">
        <v>1306</v>
      </c>
      <c r="D11" s="330" t="s">
        <v>1299</v>
      </c>
      <c r="E11" s="527">
        <v>1</v>
      </c>
      <c r="F11" s="527" t="s">
        <v>1317</v>
      </c>
      <c r="G11" s="302">
        <f>IF($D11="A",ROUND(VLOOKUP($C11,'[2]2.행정구역별 급수인구'!$C$7:$AD$997,17,FALSE)*$E11,0),IF($D11="B",(ROUND(VLOOKUP($C11,'[2]2.행정구역별 급수인구'!$C$7:$AD$997,17,FALSE)-VLOOKUP($C11,'[2]2.행정구역별 급수인구'!$C$7:$AD$997,17,FALSE)*(1-$E11),0)),VLOOKUP($C11,'[2]2.행정구역별 급수인구'!$C$7:$AD$997,17,FALSE)))</f>
        <v>143</v>
      </c>
      <c r="H11" s="302">
        <f>IF($D11="A",ROUND(VLOOKUP($C11,'[2]2.행정구역별 급수인구'!$C$7:$AD$997,25,FALSE)*$E11,0),IF($D11="B",(ROUND(VLOOKUP($C11,'[2]2.행정구역별 급수인구'!$C$7:$AD$997,25,FALSE)-VLOOKUP($C11,'[2]2.행정구역별 급수인구'!$C$7:$AD$997,25,FALSE)*(1-$E11),0)),VLOOKUP($C11,'[2]2.행정구역별 급수인구'!$C$7:$AD$997,25,FALSE)))</f>
        <v>159</v>
      </c>
      <c r="I11" s="302">
        <f>IF($D11="A",ROUND(VLOOKUP($C11,'[2]2.행정구역별 급수인구'!$C$7:$AD$997,26,FALSE)*$E11,0),IF($D11="B",(ROUND(VLOOKUP($C11,'[2]2.행정구역별 급수인구'!$C$7:$AD$997,26,FALSE)-VLOOKUP($C11,'[2]2.행정구역별 급수인구'!$C$7:$AD$997,26,FALSE)*(1-$E11),0)),VLOOKUP($C11,'[2]2.행정구역별 급수인구'!$C$7:$AD$997,26,FALSE)))</f>
        <v>167</v>
      </c>
      <c r="J11" s="302">
        <f>IF($D11="A",ROUND(VLOOKUP($C11,'[2]2.행정구역별 급수인구'!$C$7:$AD$997,27,FALSE)*$E11,0),IF($D11="B",(ROUND(VLOOKUP($C11,'[2]2.행정구역별 급수인구'!$C$7:$AD$997,27,FALSE)-VLOOKUP($C11,'[2]2.행정구역별 급수인구'!$C$7:$AD$997,27,FALSE)*(1-$E11),0)),VLOOKUP($C11,'[2]2.행정구역별 급수인구'!$C$7:$AD$997,27,FALSE)))</f>
        <v>181</v>
      </c>
      <c r="K11" s="302">
        <f>IF($D11="A",ROUND(VLOOKUP($C11,'[2]2.행정구역별 급수인구'!$C$7:$AD$997,28,FALSE)*$E11,0),IF($D11="B",(ROUND(VLOOKUP($C11,'[2]2.행정구역별 급수인구'!$C$7:$AD$997,28,FALSE)-VLOOKUP($C11,'[2]2.행정구역별 급수인구'!$C$7:$AD$997,28,FALSE)*(1-$E11),0)),VLOOKUP($C11,'[2]2.행정구역별 급수인구'!$C$7:$AD$997,28,FALSE)))</f>
        <v>183</v>
      </c>
      <c r="L11" s="302">
        <f>VLOOKUP($F11,'[3]5.급수원단위'!$B$31:$G$35,2,FALSE)</f>
        <v>272</v>
      </c>
      <c r="M11" s="302">
        <f>VLOOKUP($F11,'[3]5.급수원단위'!$B$31:$G$35,3,FALSE)</f>
        <v>304</v>
      </c>
      <c r="N11" s="302">
        <f>VLOOKUP($F11,'[3]5.급수원단위'!$B$31:$G$35,4,FALSE)</f>
        <v>308</v>
      </c>
      <c r="O11" s="302">
        <f>VLOOKUP($F11,'[3]5.급수원단위'!$B$31:$G$35,5,FALSE)</f>
        <v>310</v>
      </c>
      <c r="P11" s="302">
        <f>VLOOKUP($F11,'[3]5.급수원단위'!$B$31:$G$35,6,FALSE)</f>
        <v>310</v>
      </c>
      <c r="Q11" s="302">
        <f>ROUND(IF(G11=0,0,VLOOKUP(C11,'2013실사용량 정리'!$D$6:$F$381,3,FALSE)),0)</f>
        <v>35</v>
      </c>
      <c r="R11" s="302">
        <f t="shared" si="4"/>
        <v>48</v>
      </c>
      <c r="S11" s="302">
        <f t="shared" si="4"/>
        <v>51</v>
      </c>
      <c r="T11" s="302">
        <f t="shared" si="4"/>
        <v>56</v>
      </c>
      <c r="U11" s="302">
        <f t="shared" si="4"/>
        <v>57</v>
      </c>
      <c r="V11" s="327"/>
      <c r="W11" s="343">
        <f t="shared" si="3"/>
        <v>1.6285714285714286</v>
      </c>
      <c r="X11" s="327"/>
      <c r="Y11" s="327"/>
      <c r="Z11" s="327"/>
      <c r="AA11" s="327"/>
      <c r="AB11" s="327"/>
      <c r="AC11" s="327"/>
      <c r="AD11" s="327"/>
    </row>
    <row r="12" spans="1:30" ht="20.100000000000001" customHeight="1">
      <c r="A12" s="340"/>
      <c r="B12" s="340"/>
      <c r="C12" s="406" t="s">
        <v>1307</v>
      </c>
      <c r="D12" s="330" t="s">
        <v>1299</v>
      </c>
      <c r="E12" s="527">
        <v>1</v>
      </c>
      <c r="F12" s="527" t="s">
        <v>1317</v>
      </c>
      <c r="G12" s="302">
        <f>IF($D12="A",ROUND(VLOOKUP($C12,'[2]2.행정구역별 급수인구'!$C$7:$AD$997,17,FALSE)*$E12,0),IF($D12="B",(ROUND(VLOOKUP($C12,'[2]2.행정구역별 급수인구'!$C$7:$AD$997,17,FALSE)-VLOOKUP($C12,'[2]2.행정구역별 급수인구'!$C$7:$AD$997,17,FALSE)*(1-$E12),0)),VLOOKUP($C12,'[2]2.행정구역별 급수인구'!$C$7:$AD$997,17,FALSE)))</f>
        <v>82</v>
      </c>
      <c r="H12" s="302">
        <f>IF($D12="A",ROUND(VLOOKUP($C12,'[2]2.행정구역별 급수인구'!$C$7:$AD$997,25,FALSE)*$E12,0),IF($D12="B",(ROUND(VLOOKUP($C12,'[2]2.행정구역별 급수인구'!$C$7:$AD$997,25,FALSE)-VLOOKUP($C12,'[2]2.행정구역별 급수인구'!$C$7:$AD$997,25,FALSE)*(1-$E12),0)),VLOOKUP($C12,'[2]2.행정구역별 급수인구'!$C$7:$AD$997,25,FALSE)))</f>
        <v>91</v>
      </c>
      <c r="I12" s="302">
        <f>IF($D12="A",ROUND(VLOOKUP($C12,'[2]2.행정구역별 급수인구'!$C$7:$AD$997,26,FALSE)*$E12,0),IF($D12="B",(ROUND(VLOOKUP($C12,'[2]2.행정구역별 급수인구'!$C$7:$AD$997,26,FALSE)-VLOOKUP($C12,'[2]2.행정구역별 급수인구'!$C$7:$AD$997,26,FALSE)*(1-$E12),0)),VLOOKUP($C12,'[2]2.행정구역별 급수인구'!$C$7:$AD$997,26,FALSE)))</f>
        <v>96</v>
      </c>
      <c r="J12" s="302">
        <f>IF($D12="A",ROUND(VLOOKUP($C12,'[2]2.행정구역별 급수인구'!$C$7:$AD$997,27,FALSE)*$E12,0),IF($D12="B",(ROUND(VLOOKUP($C12,'[2]2.행정구역별 급수인구'!$C$7:$AD$997,27,FALSE)-VLOOKUP($C12,'[2]2.행정구역별 급수인구'!$C$7:$AD$997,27,FALSE)*(1-$E12),0)),VLOOKUP($C12,'[2]2.행정구역별 급수인구'!$C$7:$AD$997,27,FALSE)))</f>
        <v>104</v>
      </c>
      <c r="K12" s="302">
        <f>IF($D12="A",ROUND(VLOOKUP($C12,'[2]2.행정구역별 급수인구'!$C$7:$AD$997,28,FALSE)*$E12,0),IF($D12="B",(ROUND(VLOOKUP($C12,'[2]2.행정구역별 급수인구'!$C$7:$AD$997,28,FALSE)-VLOOKUP($C12,'[2]2.행정구역별 급수인구'!$C$7:$AD$997,28,FALSE)*(1-$E12),0)),VLOOKUP($C12,'[2]2.행정구역별 급수인구'!$C$7:$AD$997,28,FALSE)))</f>
        <v>105</v>
      </c>
      <c r="L12" s="302">
        <f>VLOOKUP($F12,'[3]5.급수원단위'!$B$31:$G$35,2,FALSE)</f>
        <v>272</v>
      </c>
      <c r="M12" s="302">
        <f>VLOOKUP($F12,'[3]5.급수원단위'!$B$31:$G$35,3,FALSE)</f>
        <v>304</v>
      </c>
      <c r="N12" s="302">
        <f>VLOOKUP($F12,'[3]5.급수원단위'!$B$31:$G$35,4,FALSE)</f>
        <v>308</v>
      </c>
      <c r="O12" s="302">
        <f>VLOOKUP($F12,'[3]5.급수원단위'!$B$31:$G$35,5,FALSE)</f>
        <v>310</v>
      </c>
      <c r="P12" s="302">
        <f>VLOOKUP($F12,'[3]5.급수원단위'!$B$31:$G$35,6,FALSE)</f>
        <v>310</v>
      </c>
      <c r="Q12" s="302">
        <f>ROUND(IF(G12=0,0,VLOOKUP(C12,'2013실사용량 정리'!$D$6:$F$381,3,FALSE)),0)</f>
        <v>20</v>
      </c>
      <c r="R12" s="302">
        <f t="shared" si="4"/>
        <v>28</v>
      </c>
      <c r="S12" s="302">
        <f t="shared" si="4"/>
        <v>30</v>
      </c>
      <c r="T12" s="302">
        <f t="shared" si="4"/>
        <v>32</v>
      </c>
      <c r="U12" s="302">
        <f t="shared" si="4"/>
        <v>33</v>
      </c>
      <c r="V12" s="327"/>
      <c r="W12" s="343">
        <f t="shared" si="3"/>
        <v>1.65</v>
      </c>
      <c r="X12" s="327"/>
      <c r="Y12" s="327"/>
      <c r="Z12" s="327"/>
      <c r="AA12" s="327"/>
      <c r="AB12" s="327"/>
      <c r="AC12" s="327"/>
      <c r="AD12" s="327"/>
    </row>
    <row r="13" spans="1:30" ht="20.100000000000001" customHeight="1">
      <c r="A13" s="340"/>
      <c r="B13" s="340"/>
      <c r="C13" s="406" t="s">
        <v>1308</v>
      </c>
      <c r="D13" s="330" t="s">
        <v>1299</v>
      </c>
      <c r="E13" s="527">
        <v>1</v>
      </c>
      <c r="F13" s="527" t="s">
        <v>1317</v>
      </c>
      <c r="G13" s="302">
        <f>IF($D13="A",ROUND(VLOOKUP($C13,'[2]2.행정구역별 급수인구'!$C$7:$AD$997,17,FALSE)*$E13,0),IF($D13="B",(ROUND(VLOOKUP($C13,'[2]2.행정구역별 급수인구'!$C$7:$AD$997,17,FALSE)-VLOOKUP($C13,'[2]2.행정구역별 급수인구'!$C$7:$AD$997,17,FALSE)*(1-$E13),0)),VLOOKUP($C13,'[2]2.행정구역별 급수인구'!$C$7:$AD$997,17,FALSE)))</f>
        <v>89</v>
      </c>
      <c r="H13" s="302">
        <f>IF($D13="A",ROUND(VLOOKUP($C13,'[2]2.행정구역별 급수인구'!$C$7:$AD$997,25,FALSE)*$E13,0),IF($D13="B",(ROUND(VLOOKUP($C13,'[2]2.행정구역별 급수인구'!$C$7:$AD$997,25,FALSE)-VLOOKUP($C13,'[2]2.행정구역별 급수인구'!$C$7:$AD$997,25,FALSE)*(1-$E13),0)),VLOOKUP($C13,'[2]2.행정구역별 급수인구'!$C$7:$AD$997,25,FALSE)))</f>
        <v>99</v>
      </c>
      <c r="I13" s="302">
        <f>IF($D13="A",ROUND(VLOOKUP($C13,'[2]2.행정구역별 급수인구'!$C$7:$AD$997,26,FALSE)*$E13,0),IF($D13="B",(ROUND(VLOOKUP($C13,'[2]2.행정구역별 급수인구'!$C$7:$AD$997,26,FALSE)-VLOOKUP($C13,'[2]2.행정구역별 급수인구'!$C$7:$AD$997,26,FALSE)*(1-$E13),0)),VLOOKUP($C13,'[2]2.행정구역별 급수인구'!$C$7:$AD$997,26,FALSE)))</f>
        <v>104</v>
      </c>
      <c r="J13" s="302">
        <f>IF($D13="A",ROUND(VLOOKUP($C13,'[2]2.행정구역별 급수인구'!$C$7:$AD$997,27,FALSE)*$E13,0),IF($D13="B",(ROUND(VLOOKUP($C13,'[2]2.행정구역별 급수인구'!$C$7:$AD$997,27,FALSE)-VLOOKUP($C13,'[2]2.행정구역별 급수인구'!$C$7:$AD$997,27,FALSE)*(1-$E13),0)),VLOOKUP($C13,'[2]2.행정구역별 급수인구'!$C$7:$AD$997,27,FALSE)))</f>
        <v>113</v>
      </c>
      <c r="K13" s="302">
        <f>IF($D13="A",ROUND(VLOOKUP($C13,'[2]2.행정구역별 급수인구'!$C$7:$AD$997,28,FALSE)*$E13,0),IF($D13="B",(ROUND(VLOOKUP($C13,'[2]2.행정구역별 급수인구'!$C$7:$AD$997,28,FALSE)-VLOOKUP($C13,'[2]2.행정구역별 급수인구'!$C$7:$AD$997,28,FALSE)*(1-$E13),0)),VLOOKUP($C13,'[2]2.행정구역별 급수인구'!$C$7:$AD$997,28,FALSE)))</f>
        <v>115</v>
      </c>
      <c r="L13" s="302">
        <f>VLOOKUP($F13,'[3]5.급수원단위'!$B$31:$G$35,2,FALSE)</f>
        <v>272</v>
      </c>
      <c r="M13" s="302">
        <f>VLOOKUP($F13,'[3]5.급수원단위'!$B$31:$G$35,3,FALSE)</f>
        <v>304</v>
      </c>
      <c r="N13" s="302">
        <f>VLOOKUP($F13,'[3]5.급수원단위'!$B$31:$G$35,4,FALSE)</f>
        <v>308</v>
      </c>
      <c r="O13" s="302">
        <f>VLOOKUP($F13,'[3]5.급수원단위'!$B$31:$G$35,5,FALSE)</f>
        <v>310</v>
      </c>
      <c r="P13" s="302">
        <f>VLOOKUP($F13,'[3]5.급수원단위'!$B$31:$G$35,6,FALSE)</f>
        <v>310</v>
      </c>
      <c r="Q13" s="302">
        <f>ROUND(IF(G13=0,0,VLOOKUP(C13,'2013실사용량 정리'!$D$6:$F$381,3,FALSE)),0)</f>
        <v>4</v>
      </c>
      <c r="R13" s="302">
        <f t="shared" si="4"/>
        <v>30</v>
      </c>
      <c r="S13" s="302">
        <f t="shared" si="4"/>
        <v>32</v>
      </c>
      <c r="T13" s="302">
        <f t="shared" si="4"/>
        <v>35</v>
      </c>
      <c r="U13" s="302">
        <f t="shared" si="4"/>
        <v>36</v>
      </c>
      <c r="V13" s="327"/>
      <c r="W13" s="343">
        <f t="shared" si="3"/>
        <v>9</v>
      </c>
      <c r="X13" s="327"/>
      <c r="Y13" s="327"/>
      <c r="Z13" s="327"/>
      <c r="AA13" s="327"/>
      <c r="AB13" s="327"/>
      <c r="AC13" s="327"/>
      <c r="AD13" s="327"/>
    </row>
    <row r="14" spans="1:30" ht="20.100000000000001" customHeight="1">
      <c r="A14" s="340"/>
      <c r="B14" s="340"/>
      <c r="C14" s="406" t="s">
        <v>1309</v>
      </c>
      <c r="D14" s="330" t="s">
        <v>1299</v>
      </c>
      <c r="E14" s="527">
        <v>1</v>
      </c>
      <c r="F14" s="527" t="s">
        <v>1317</v>
      </c>
      <c r="G14" s="302">
        <f>IF($D14="A",ROUND(VLOOKUP($C14,'[2]2.행정구역별 급수인구'!$C$7:$AD$997,17,FALSE)*$E14,0),IF($D14="B",(ROUND(VLOOKUP($C14,'[2]2.행정구역별 급수인구'!$C$7:$AD$997,17,FALSE)-VLOOKUP($C14,'[2]2.행정구역별 급수인구'!$C$7:$AD$997,17,FALSE)*(1-$E14),0)),VLOOKUP($C14,'[2]2.행정구역별 급수인구'!$C$7:$AD$997,17,FALSE)))</f>
        <v>115</v>
      </c>
      <c r="H14" s="302">
        <f>IF($D14="A",ROUND(VLOOKUP($C14,'[2]2.행정구역별 급수인구'!$C$7:$AD$997,25,FALSE)*$E14,0),IF($D14="B",(ROUND(VLOOKUP($C14,'[2]2.행정구역별 급수인구'!$C$7:$AD$997,25,FALSE)-VLOOKUP($C14,'[2]2.행정구역별 급수인구'!$C$7:$AD$997,25,FALSE)*(1-$E14),0)),VLOOKUP($C14,'[2]2.행정구역별 급수인구'!$C$7:$AD$997,25,FALSE)))</f>
        <v>128</v>
      </c>
      <c r="I14" s="302">
        <f>IF($D14="A",ROUND(VLOOKUP($C14,'[2]2.행정구역별 급수인구'!$C$7:$AD$997,26,FALSE)*$E14,0),IF($D14="B",(ROUND(VLOOKUP($C14,'[2]2.행정구역별 급수인구'!$C$7:$AD$997,26,FALSE)-VLOOKUP($C14,'[2]2.행정구역별 급수인구'!$C$7:$AD$997,26,FALSE)*(1-$E14),0)),VLOOKUP($C14,'[2]2.행정구역별 급수인구'!$C$7:$AD$997,26,FALSE)))</f>
        <v>134</v>
      </c>
      <c r="J14" s="302">
        <f>IF($D14="A",ROUND(VLOOKUP($C14,'[2]2.행정구역별 급수인구'!$C$7:$AD$997,27,FALSE)*$E14,0),IF($D14="B",(ROUND(VLOOKUP($C14,'[2]2.행정구역별 급수인구'!$C$7:$AD$997,27,FALSE)-VLOOKUP($C14,'[2]2.행정구역별 급수인구'!$C$7:$AD$997,27,FALSE)*(1-$E14),0)),VLOOKUP($C14,'[2]2.행정구역별 급수인구'!$C$7:$AD$997,27,FALSE)))</f>
        <v>145</v>
      </c>
      <c r="K14" s="302">
        <f>IF($D14="A",ROUND(VLOOKUP($C14,'[2]2.행정구역별 급수인구'!$C$7:$AD$997,28,FALSE)*$E14,0),IF($D14="B",(ROUND(VLOOKUP($C14,'[2]2.행정구역별 급수인구'!$C$7:$AD$997,28,FALSE)-VLOOKUP($C14,'[2]2.행정구역별 급수인구'!$C$7:$AD$997,28,FALSE)*(1-$E14),0)),VLOOKUP($C14,'[2]2.행정구역별 급수인구'!$C$7:$AD$997,28,FALSE)))</f>
        <v>147</v>
      </c>
      <c r="L14" s="302">
        <f>VLOOKUP($F14,'[3]5.급수원단위'!$B$31:$G$35,2,FALSE)</f>
        <v>272</v>
      </c>
      <c r="M14" s="302">
        <f>VLOOKUP($F14,'[3]5.급수원단위'!$B$31:$G$35,3,FALSE)</f>
        <v>304</v>
      </c>
      <c r="N14" s="302">
        <f>VLOOKUP($F14,'[3]5.급수원단위'!$B$31:$G$35,4,FALSE)</f>
        <v>308</v>
      </c>
      <c r="O14" s="302">
        <f>VLOOKUP($F14,'[3]5.급수원단위'!$B$31:$G$35,5,FALSE)</f>
        <v>310</v>
      </c>
      <c r="P14" s="302">
        <f>VLOOKUP($F14,'[3]5.급수원단위'!$B$31:$G$35,6,FALSE)</f>
        <v>310</v>
      </c>
      <c r="Q14" s="302">
        <f>ROUND(IF(G14=0,0,VLOOKUP(C14,'2013실사용량 정리'!$D$6:$F$381,3,FALSE)),0)</f>
        <v>5</v>
      </c>
      <c r="R14" s="302">
        <f t="shared" si="4"/>
        <v>39</v>
      </c>
      <c r="S14" s="302">
        <f t="shared" si="4"/>
        <v>41</v>
      </c>
      <c r="T14" s="302">
        <f t="shared" si="4"/>
        <v>45</v>
      </c>
      <c r="U14" s="302">
        <f t="shared" si="4"/>
        <v>46</v>
      </c>
      <c r="V14" s="327"/>
      <c r="W14" s="343">
        <f t="shared" si="3"/>
        <v>9.1999999999999993</v>
      </c>
      <c r="X14" s="327"/>
      <c r="Y14" s="327"/>
      <c r="Z14" s="327"/>
      <c r="AA14" s="327"/>
      <c r="AB14" s="327"/>
      <c r="AC14" s="327"/>
      <c r="AD14" s="327"/>
    </row>
    <row r="15" spans="1:30" ht="20.100000000000001" customHeight="1">
      <c r="A15" s="340"/>
      <c r="B15" s="340"/>
      <c r="C15" s="406" t="s">
        <v>1310</v>
      </c>
      <c r="D15" s="330" t="s">
        <v>1299</v>
      </c>
      <c r="E15" s="527">
        <v>1</v>
      </c>
      <c r="F15" s="527" t="s">
        <v>1317</v>
      </c>
      <c r="G15" s="302">
        <f>IF($D15="A",ROUND(VLOOKUP($C15,'[2]2.행정구역별 급수인구'!$C$7:$AD$997,17,FALSE)*$E15,0),IF($D15="B",(ROUND(VLOOKUP($C15,'[2]2.행정구역별 급수인구'!$C$7:$AD$997,17,FALSE)-VLOOKUP($C15,'[2]2.행정구역별 급수인구'!$C$7:$AD$997,17,FALSE)*(1-$E15),0)),VLOOKUP($C15,'[2]2.행정구역별 급수인구'!$C$7:$AD$997,17,FALSE)))</f>
        <v>54</v>
      </c>
      <c r="H15" s="302">
        <f>IF($D15="A",ROUND(VLOOKUP($C15,'[2]2.행정구역별 급수인구'!$C$7:$AD$997,25,FALSE)*$E15,0),IF($D15="B",(ROUND(VLOOKUP($C15,'[2]2.행정구역별 급수인구'!$C$7:$AD$997,25,FALSE)-VLOOKUP($C15,'[2]2.행정구역별 급수인구'!$C$7:$AD$997,25,FALSE)*(1-$E15),0)),VLOOKUP($C15,'[2]2.행정구역별 급수인구'!$C$7:$AD$997,25,FALSE)))</f>
        <v>60</v>
      </c>
      <c r="I15" s="302">
        <f>IF($D15="A",ROUND(VLOOKUP($C15,'[2]2.행정구역별 급수인구'!$C$7:$AD$997,26,FALSE)*$E15,0),IF($D15="B",(ROUND(VLOOKUP($C15,'[2]2.행정구역별 급수인구'!$C$7:$AD$997,26,FALSE)-VLOOKUP($C15,'[2]2.행정구역별 급수인구'!$C$7:$AD$997,26,FALSE)*(1-$E15),0)),VLOOKUP($C15,'[2]2.행정구역별 급수인구'!$C$7:$AD$997,26,FALSE)))</f>
        <v>63</v>
      </c>
      <c r="J15" s="302">
        <f>IF($D15="A",ROUND(VLOOKUP($C15,'[2]2.행정구역별 급수인구'!$C$7:$AD$997,27,FALSE)*$E15,0),IF($D15="B",(ROUND(VLOOKUP($C15,'[2]2.행정구역별 급수인구'!$C$7:$AD$997,27,FALSE)-VLOOKUP($C15,'[2]2.행정구역별 급수인구'!$C$7:$AD$997,27,FALSE)*(1-$E15),0)),VLOOKUP($C15,'[2]2.행정구역별 급수인구'!$C$7:$AD$997,27,FALSE)))</f>
        <v>68</v>
      </c>
      <c r="K15" s="302">
        <f>IF($D15="A",ROUND(VLOOKUP($C15,'[2]2.행정구역별 급수인구'!$C$7:$AD$997,28,FALSE)*$E15,0),IF($D15="B",(ROUND(VLOOKUP($C15,'[2]2.행정구역별 급수인구'!$C$7:$AD$997,28,FALSE)-VLOOKUP($C15,'[2]2.행정구역별 급수인구'!$C$7:$AD$997,28,FALSE)*(1-$E15),0)),VLOOKUP($C15,'[2]2.행정구역별 급수인구'!$C$7:$AD$997,28,FALSE)))</f>
        <v>69</v>
      </c>
      <c r="L15" s="302">
        <f>VLOOKUP($F15,'[3]5.급수원단위'!$B$31:$G$35,2,FALSE)</f>
        <v>272</v>
      </c>
      <c r="M15" s="302">
        <f>VLOOKUP($F15,'[3]5.급수원단위'!$B$31:$G$35,3,FALSE)</f>
        <v>304</v>
      </c>
      <c r="N15" s="302">
        <f>VLOOKUP($F15,'[3]5.급수원단위'!$B$31:$G$35,4,FALSE)</f>
        <v>308</v>
      </c>
      <c r="O15" s="302">
        <f>VLOOKUP($F15,'[3]5.급수원단위'!$B$31:$G$35,5,FALSE)</f>
        <v>310</v>
      </c>
      <c r="P15" s="302">
        <f>VLOOKUP($F15,'[3]5.급수원단위'!$B$31:$G$35,6,FALSE)</f>
        <v>310</v>
      </c>
      <c r="Q15" s="302">
        <f>ROUND(IF(G15=0,0,VLOOKUP(C15,'2013실사용량 정리'!$D$6:$F$381,3,FALSE)),0)</f>
        <v>3</v>
      </c>
      <c r="R15" s="302">
        <f t="shared" si="4"/>
        <v>18</v>
      </c>
      <c r="S15" s="302">
        <f t="shared" si="4"/>
        <v>19</v>
      </c>
      <c r="T15" s="302">
        <f t="shared" si="4"/>
        <v>21</v>
      </c>
      <c r="U15" s="302">
        <f t="shared" si="4"/>
        <v>21</v>
      </c>
      <c r="V15" s="327"/>
      <c r="W15" s="343">
        <f t="shared" si="3"/>
        <v>7</v>
      </c>
      <c r="X15" s="327"/>
      <c r="Y15" s="327"/>
      <c r="Z15" s="327"/>
      <c r="AA15" s="327"/>
      <c r="AB15" s="327"/>
      <c r="AC15" s="327"/>
      <c r="AD15" s="327"/>
    </row>
    <row r="16" spans="1:30" ht="20.100000000000001" customHeight="1">
      <c r="A16" s="340"/>
      <c r="B16" s="340"/>
      <c r="C16" s="406" t="s">
        <v>1311</v>
      </c>
      <c r="D16" s="330" t="s">
        <v>1299</v>
      </c>
      <c r="E16" s="527">
        <v>1</v>
      </c>
      <c r="F16" s="527" t="s">
        <v>1317</v>
      </c>
      <c r="G16" s="302">
        <f>IF($D16="A",ROUND(VLOOKUP($C16,'[2]2.행정구역별 급수인구'!$C$7:$AD$997,17,FALSE)*$E16,0),IF($D16="B",(ROUND(VLOOKUP($C16,'[2]2.행정구역별 급수인구'!$C$7:$AD$997,17,FALSE)-VLOOKUP($C16,'[2]2.행정구역별 급수인구'!$C$7:$AD$997,17,FALSE)*(1-$E16),0)),VLOOKUP($C16,'[2]2.행정구역별 급수인구'!$C$7:$AD$997,17,FALSE)))</f>
        <v>0</v>
      </c>
      <c r="H16" s="302">
        <f>IF($D16="A",ROUND(VLOOKUP($C16,'[2]2.행정구역별 급수인구'!$C$7:$AD$997,25,FALSE)*$E16,0),IF($D16="B",(ROUND(VLOOKUP($C16,'[2]2.행정구역별 급수인구'!$C$7:$AD$997,25,FALSE)-VLOOKUP($C16,'[2]2.행정구역별 급수인구'!$C$7:$AD$997,25,FALSE)*(1-$E16),0)),VLOOKUP($C16,'[2]2.행정구역별 급수인구'!$C$7:$AD$997,25,FALSE)))</f>
        <v>227</v>
      </c>
      <c r="I16" s="302">
        <f>IF($D16="A",ROUND(VLOOKUP($C16,'[2]2.행정구역별 급수인구'!$C$7:$AD$997,26,FALSE)*$E16,0),IF($D16="B",(ROUND(VLOOKUP($C16,'[2]2.행정구역별 급수인구'!$C$7:$AD$997,26,FALSE)-VLOOKUP($C16,'[2]2.행정구역별 급수인구'!$C$7:$AD$997,26,FALSE)*(1-$E16),0)),VLOOKUP($C16,'[2]2.행정구역별 급수인구'!$C$7:$AD$997,26,FALSE)))</f>
        <v>239</v>
      </c>
      <c r="J16" s="302">
        <f>IF($D16="A",ROUND(VLOOKUP($C16,'[2]2.행정구역별 급수인구'!$C$7:$AD$997,27,FALSE)*$E16,0),IF($D16="B",(ROUND(VLOOKUP($C16,'[2]2.행정구역별 급수인구'!$C$7:$AD$997,27,FALSE)-VLOOKUP($C16,'[2]2.행정구역별 급수인구'!$C$7:$AD$997,27,FALSE)*(1-$E16),0)),VLOOKUP($C16,'[2]2.행정구역별 급수인구'!$C$7:$AD$997,27,FALSE)))</f>
        <v>257</v>
      </c>
      <c r="K16" s="302">
        <f>IF($D16="A",ROUND(VLOOKUP($C16,'[2]2.행정구역별 급수인구'!$C$7:$AD$997,28,FALSE)*$E16,0),IF($D16="B",(ROUND(VLOOKUP($C16,'[2]2.행정구역별 급수인구'!$C$7:$AD$997,28,FALSE)-VLOOKUP($C16,'[2]2.행정구역별 급수인구'!$C$7:$AD$997,28,FALSE)*(1-$E16),0)),VLOOKUP($C16,'[2]2.행정구역별 급수인구'!$C$7:$AD$997,28,FALSE)))</f>
        <v>262</v>
      </c>
      <c r="L16" s="302">
        <f>VLOOKUP($F16,'[3]5.급수원단위'!$B$31:$G$35,2,FALSE)</f>
        <v>272</v>
      </c>
      <c r="M16" s="302">
        <f>VLOOKUP($F16,'[3]5.급수원단위'!$B$31:$G$35,3,FALSE)</f>
        <v>304</v>
      </c>
      <c r="N16" s="302">
        <f>VLOOKUP($F16,'[3]5.급수원단위'!$B$31:$G$35,4,FALSE)</f>
        <v>308</v>
      </c>
      <c r="O16" s="302">
        <f>VLOOKUP($F16,'[3]5.급수원단위'!$B$31:$G$35,5,FALSE)</f>
        <v>310</v>
      </c>
      <c r="P16" s="302">
        <f>VLOOKUP($F16,'[3]5.급수원단위'!$B$31:$G$35,6,FALSE)</f>
        <v>310</v>
      </c>
      <c r="Q16" s="302">
        <f>ROUND(IF(G16=0,0,VLOOKUP(C16,'2013실사용량 정리'!$D$6:$F$381,3,FALSE)),0)</f>
        <v>0</v>
      </c>
      <c r="R16" s="302">
        <f t="shared" si="4"/>
        <v>69</v>
      </c>
      <c r="S16" s="302">
        <f t="shared" si="4"/>
        <v>74</v>
      </c>
      <c r="T16" s="302">
        <f t="shared" si="4"/>
        <v>80</v>
      </c>
      <c r="U16" s="302">
        <f t="shared" si="4"/>
        <v>81</v>
      </c>
      <c r="V16" s="327"/>
      <c r="W16" s="343" t="str">
        <f t="shared" si="3"/>
        <v/>
      </c>
      <c r="X16" s="327"/>
      <c r="Y16" s="327"/>
      <c r="Z16" s="327"/>
      <c r="AA16" s="327"/>
      <c r="AB16" s="327"/>
      <c r="AC16" s="327"/>
      <c r="AD16" s="327"/>
    </row>
    <row r="17" spans="1:30" ht="20.100000000000001" customHeight="1">
      <c r="A17" s="340"/>
      <c r="B17" s="340"/>
      <c r="C17" s="406" t="s">
        <v>1312</v>
      </c>
      <c r="D17" s="330" t="s">
        <v>1299</v>
      </c>
      <c r="E17" s="527">
        <v>1</v>
      </c>
      <c r="F17" s="527" t="s">
        <v>1317</v>
      </c>
      <c r="G17" s="302">
        <f>IF($D17="A",ROUND(VLOOKUP($C17,'[2]2.행정구역별 급수인구'!$C$7:$AD$997,17,FALSE)*$E17,0),IF($D17="B",(ROUND(VLOOKUP($C17,'[2]2.행정구역별 급수인구'!$C$7:$AD$997,17,FALSE)-VLOOKUP($C17,'[2]2.행정구역별 급수인구'!$C$7:$AD$997,17,FALSE)*(1-$E17),0)),VLOOKUP($C17,'[2]2.행정구역별 급수인구'!$C$7:$AD$997,17,FALSE)))</f>
        <v>0</v>
      </c>
      <c r="H17" s="302">
        <f>IF($D17="A",ROUND(VLOOKUP($C17,'[2]2.행정구역별 급수인구'!$C$7:$AD$997,25,FALSE)*$E17,0),IF($D17="B",(ROUND(VLOOKUP($C17,'[2]2.행정구역별 급수인구'!$C$7:$AD$997,25,FALSE)-VLOOKUP($C17,'[2]2.행정구역별 급수인구'!$C$7:$AD$997,25,FALSE)*(1-$E17),0)),VLOOKUP($C17,'[2]2.행정구역별 급수인구'!$C$7:$AD$997,25,FALSE)))</f>
        <v>52</v>
      </c>
      <c r="I17" s="302">
        <f>IF($D17="A",ROUND(VLOOKUP($C17,'[2]2.행정구역별 급수인구'!$C$7:$AD$997,26,FALSE)*$E17,0),IF($D17="B",(ROUND(VLOOKUP($C17,'[2]2.행정구역별 급수인구'!$C$7:$AD$997,26,FALSE)-VLOOKUP($C17,'[2]2.행정구역별 급수인구'!$C$7:$AD$997,26,FALSE)*(1-$E17),0)),VLOOKUP($C17,'[2]2.행정구역별 급수인구'!$C$7:$AD$997,26,FALSE)))</f>
        <v>54</v>
      </c>
      <c r="J17" s="302">
        <f>IF($D17="A",ROUND(VLOOKUP($C17,'[2]2.행정구역별 급수인구'!$C$7:$AD$997,27,FALSE)*$E17,0),IF($D17="B",(ROUND(VLOOKUP($C17,'[2]2.행정구역별 급수인구'!$C$7:$AD$997,27,FALSE)-VLOOKUP($C17,'[2]2.행정구역별 급수인구'!$C$7:$AD$997,27,FALSE)*(1-$E17),0)),VLOOKUP($C17,'[2]2.행정구역별 급수인구'!$C$7:$AD$997,27,FALSE)))</f>
        <v>58</v>
      </c>
      <c r="K17" s="302">
        <f>IF($D17="A",ROUND(VLOOKUP($C17,'[2]2.행정구역별 급수인구'!$C$7:$AD$997,28,FALSE)*$E17,0),IF($D17="B",(ROUND(VLOOKUP($C17,'[2]2.행정구역별 급수인구'!$C$7:$AD$997,28,FALSE)-VLOOKUP($C17,'[2]2.행정구역별 급수인구'!$C$7:$AD$997,28,FALSE)*(1-$E17),0)),VLOOKUP($C17,'[2]2.행정구역별 급수인구'!$C$7:$AD$997,28,FALSE)))</f>
        <v>60</v>
      </c>
      <c r="L17" s="302">
        <f>VLOOKUP($F17,'[3]5.급수원단위'!$B$31:$G$35,2,FALSE)</f>
        <v>272</v>
      </c>
      <c r="M17" s="302">
        <f>VLOOKUP($F17,'[3]5.급수원단위'!$B$31:$G$35,3,FALSE)</f>
        <v>304</v>
      </c>
      <c r="N17" s="302">
        <f>VLOOKUP($F17,'[3]5.급수원단위'!$B$31:$G$35,4,FALSE)</f>
        <v>308</v>
      </c>
      <c r="O17" s="302">
        <f>VLOOKUP($F17,'[3]5.급수원단위'!$B$31:$G$35,5,FALSE)</f>
        <v>310</v>
      </c>
      <c r="P17" s="302">
        <f>VLOOKUP($F17,'[3]5.급수원단위'!$B$31:$G$35,6,FALSE)</f>
        <v>310</v>
      </c>
      <c r="Q17" s="302">
        <f>ROUND(IF(G17=0,0,VLOOKUP(C17,'2013실사용량 정리'!$D$6:$F$381,3,FALSE)),0)</f>
        <v>0</v>
      </c>
      <c r="R17" s="302">
        <f t="shared" si="4"/>
        <v>16</v>
      </c>
      <c r="S17" s="302">
        <f t="shared" si="4"/>
        <v>17</v>
      </c>
      <c r="T17" s="302">
        <f t="shared" si="4"/>
        <v>18</v>
      </c>
      <c r="U17" s="302">
        <f t="shared" si="4"/>
        <v>19</v>
      </c>
      <c r="V17" s="327"/>
      <c r="W17" s="343" t="str">
        <f t="shared" si="3"/>
        <v/>
      </c>
      <c r="X17" s="327"/>
      <c r="Y17" s="327"/>
      <c r="Z17" s="327"/>
      <c r="AA17" s="327"/>
      <c r="AB17" s="327"/>
      <c r="AC17" s="327"/>
      <c r="AD17" s="327"/>
    </row>
    <row r="18" spans="1:30" ht="20.100000000000001" customHeight="1">
      <c r="A18" s="340"/>
      <c r="B18" s="340"/>
      <c r="C18" s="406" t="s">
        <v>1313</v>
      </c>
      <c r="D18" s="330" t="s">
        <v>1299</v>
      </c>
      <c r="E18" s="527">
        <v>1</v>
      </c>
      <c r="F18" s="527" t="s">
        <v>1317</v>
      </c>
      <c r="G18" s="302">
        <f>IF($D18="A",ROUND(VLOOKUP($C18,'[2]2.행정구역별 급수인구'!$C$7:$AD$997,17,FALSE)*$E18,0),IF($D18="B",(ROUND(VLOOKUP($C18,'[2]2.행정구역별 급수인구'!$C$7:$AD$997,17,FALSE)-VLOOKUP($C18,'[2]2.행정구역별 급수인구'!$C$7:$AD$997,17,FALSE)*(1-$E18),0)),VLOOKUP($C18,'[2]2.행정구역별 급수인구'!$C$7:$AD$997,17,FALSE)))</f>
        <v>18</v>
      </c>
      <c r="H18" s="302">
        <f>IF($D18="A",ROUND(VLOOKUP($C18,'[2]2.행정구역별 급수인구'!$C$7:$AD$997,25,FALSE)*$E18,0),IF($D18="B",(ROUND(VLOOKUP($C18,'[2]2.행정구역별 급수인구'!$C$7:$AD$997,25,FALSE)-VLOOKUP($C18,'[2]2.행정구역별 급수인구'!$C$7:$AD$997,25,FALSE)*(1-$E18),0)),VLOOKUP($C18,'[2]2.행정구역별 급수인구'!$C$7:$AD$997,25,FALSE)))</f>
        <v>120</v>
      </c>
      <c r="I18" s="302">
        <f>IF($D18="A",ROUND(VLOOKUP($C18,'[2]2.행정구역별 급수인구'!$C$7:$AD$997,26,FALSE)*$E18,0),IF($D18="B",(ROUND(VLOOKUP($C18,'[2]2.행정구역별 급수인구'!$C$7:$AD$997,26,FALSE)-VLOOKUP($C18,'[2]2.행정구역별 급수인구'!$C$7:$AD$997,26,FALSE)*(1-$E18),0)),VLOOKUP($C18,'[2]2.행정구역별 급수인구'!$C$7:$AD$997,26,FALSE)))</f>
        <v>127</v>
      </c>
      <c r="J18" s="302">
        <f>IF($D18="A",ROUND(VLOOKUP($C18,'[2]2.행정구역별 급수인구'!$C$7:$AD$997,27,FALSE)*$E18,0),IF($D18="B",(ROUND(VLOOKUP($C18,'[2]2.행정구역별 급수인구'!$C$7:$AD$997,27,FALSE)-VLOOKUP($C18,'[2]2.행정구역별 급수인구'!$C$7:$AD$997,27,FALSE)*(1-$E18),0)),VLOOKUP($C18,'[2]2.행정구역별 급수인구'!$C$7:$AD$997,27,FALSE)))</f>
        <v>137</v>
      </c>
      <c r="K18" s="302">
        <f>IF($D18="A",ROUND(VLOOKUP($C18,'[2]2.행정구역별 급수인구'!$C$7:$AD$997,28,FALSE)*$E18,0),IF($D18="B",(ROUND(VLOOKUP($C18,'[2]2.행정구역별 급수인구'!$C$7:$AD$997,28,FALSE)-VLOOKUP($C18,'[2]2.행정구역별 급수인구'!$C$7:$AD$997,28,FALSE)*(1-$E18),0)),VLOOKUP($C18,'[2]2.행정구역별 급수인구'!$C$7:$AD$997,28,FALSE)))</f>
        <v>140</v>
      </c>
      <c r="L18" s="302">
        <f>VLOOKUP($F18,'[3]5.급수원단위'!$B$31:$G$35,2,FALSE)</f>
        <v>272</v>
      </c>
      <c r="M18" s="302">
        <f>VLOOKUP($F18,'[3]5.급수원단위'!$B$31:$G$35,3,FALSE)</f>
        <v>304</v>
      </c>
      <c r="N18" s="302">
        <f>VLOOKUP($F18,'[3]5.급수원단위'!$B$31:$G$35,4,FALSE)</f>
        <v>308</v>
      </c>
      <c r="O18" s="302">
        <f>VLOOKUP($F18,'[3]5.급수원단위'!$B$31:$G$35,5,FALSE)</f>
        <v>310</v>
      </c>
      <c r="P18" s="302">
        <f>VLOOKUP($F18,'[3]5.급수원단위'!$B$31:$G$35,6,FALSE)</f>
        <v>310</v>
      </c>
      <c r="Q18" s="302">
        <f>ROUND(IF(G18=0,0,VLOOKUP(C18,'2013실사용량 정리'!$D$6:$F$381,3,FALSE)),0)</f>
        <v>102</v>
      </c>
      <c r="R18" s="302">
        <f t="shared" si="4"/>
        <v>36</v>
      </c>
      <c r="S18" s="302">
        <f t="shared" si="4"/>
        <v>39</v>
      </c>
      <c r="T18" s="302">
        <f t="shared" si="4"/>
        <v>42</v>
      </c>
      <c r="U18" s="302">
        <f t="shared" si="4"/>
        <v>43</v>
      </c>
      <c r="V18" s="327"/>
      <c r="W18" s="343">
        <f t="shared" si="3"/>
        <v>0.42156862745098039</v>
      </c>
      <c r="X18" s="327"/>
      <c r="Y18" s="327"/>
      <c r="Z18" s="327"/>
      <c r="AA18" s="327"/>
      <c r="AB18" s="327"/>
      <c r="AC18" s="327"/>
      <c r="AD18" s="327"/>
    </row>
    <row r="19" spans="1:30" ht="20.100000000000001" customHeight="1">
      <c r="A19" s="340"/>
      <c r="B19" s="340"/>
      <c r="C19" s="406" t="s">
        <v>1314</v>
      </c>
      <c r="D19" s="330" t="s">
        <v>1299</v>
      </c>
      <c r="E19" s="527">
        <v>1</v>
      </c>
      <c r="F19" s="527" t="s">
        <v>1317</v>
      </c>
      <c r="G19" s="302">
        <f>IF($D19="A",ROUND(VLOOKUP($C19,'[2]2.행정구역별 급수인구'!$C$7:$AD$997,17,FALSE)*$E19,0),IF($D19="B",(ROUND(VLOOKUP($C19,'[2]2.행정구역별 급수인구'!$C$7:$AD$997,17,FALSE)-VLOOKUP($C19,'[2]2.행정구역별 급수인구'!$C$7:$AD$997,17,FALSE)*(1-$E19),0)),VLOOKUP($C19,'[2]2.행정구역별 급수인구'!$C$7:$AD$997,17,FALSE)))</f>
        <v>0</v>
      </c>
      <c r="H19" s="302">
        <f>IF($D19="A",ROUND(VLOOKUP($C19,'[2]2.행정구역별 급수인구'!$C$7:$AD$997,25,FALSE)*$E19,0),IF($D19="B",(ROUND(VLOOKUP($C19,'[2]2.행정구역별 급수인구'!$C$7:$AD$997,25,FALSE)-VLOOKUP($C19,'[2]2.행정구역별 급수인구'!$C$7:$AD$997,25,FALSE)*(1-$E19),0)),VLOOKUP($C19,'[2]2.행정구역별 급수인구'!$C$7:$AD$997,25,FALSE)))</f>
        <v>76</v>
      </c>
      <c r="I19" s="302">
        <f>IF($D19="A",ROUND(VLOOKUP($C19,'[2]2.행정구역별 급수인구'!$C$7:$AD$997,26,FALSE)*$E19,0),IF($D19="B",(ROUND(VLOOKUP($C19,'[2]2.행정구역별 급수인구'!$C$7:$AD$997,26,FALSE)-VLOOKUP($C19,'[2]2.행정구역별 급수인구'!$C$7:$AD$997,26,FALSE)*(1-$E19),0)),VLOOKUP($C19,'[2]2.행정구역별 급수인구'!$C$7:$AD$997,26,FALSE)))</f>
        <v>79</v>
      </c>
      <c r="J19" s="302">
        <f>IF($D19="A",ROUND(VLOOKUP($C19,'[2]2.행정구역별 급수인구'!$C$7:$AD$997,27,FALSE)*$E19,0),IF($D19="B",(ROUND(VLOOKUP($C19,'[2]2.행정구역별 급수인구'!$C$7:$AD$997,27,FALSE)-VLOOKUP($C19,'[2]2.행정구역별 급수인구'!$C$7:$AD$997,27,FALSE)*(1-$E19),0)),VLOOKUP($C19,'[2]2.행정구역별 급수인구'!$C$7:$AD$997,27,FALSE)))</f>
        <v>86</v>
      </c>
      <c r="K19" s="302">
        <f>IF($D19="A",ROUND(VLOOKUP($C19,'[2]2.행정구역별 급수인구'!$C$7:$AD$997,28,FALSE)*$E19,0),IF($D19="B",(ROUND(VLOOKUP($C19,'[2]2.행정구역별 급수인구'!$C$7:$AD$997,28,FALSE)-VLOOKUP($C19,'[2]2.행정구역별 급수인구'!$C$7:$AD$997,28,FALSE)*(1-$E19),0)),VLOOKUP($C19,'[2]2.행정구역별 급수인구'!$C$7:$AD$997,28,FALSE)))</f>
        <v>87</v>
      </c>
      <c r="L19" s="302">
        <f>VLOOKUP($F19,'[3]5.급수원단위'!$B$31:$G$35,2,FALSE)</f>
        <v>272</v>
      </c>
      <c r="M19" s="302">
        <f>VLOOKUP($F19,'[3]5.급수원단위'!$B$31:$G$35,3,FALSE)</f>
        <v>304</v>
      </c>
      <c r="N19" s="302">
        <f>VLOOKUP($F19,'[3]5.급수원단위'!$B$31:$G$35,4,FALSE)</f>
        <v>308</v>
      </c>
      <c r="O19" s="302">
        <f>VLOOKUP($F19,'[3]5.급수원단위'!$B$31:$G$35,5,FALSE)</f>
        <v>310</v>
      </c>
      <c r="P19" s="302">
        <f>VLOOKUP($F19,'[3]5.급수원단위'!$B$31:$G$35,6,FALSE)</f>
        <v>310</v>
      </c>
      <c r="Q19" s="302">
        <f>ROUND(IF(G19=0,0,VLOOKUP(C19,'2013실사용량 정리'!$D$6:$F$381,3,FALSE)),0)</f>
        <v>0</v>
      </c>
      <c r="R19" s="302">
        <f t="shared" si="4"/>
        <v>23</v>
      </c>
      <c r="S19" s="302">
        <f t="shared" si="4"/>
        <v>24</v>
      </c>
      <c r="T19" s="302">
        <f t="shared" si="4"/>
        <v>27</v>
      </c>
      <c r="U19" s="302">
        <f t="shared" si="4"/>
        <v>27</v>
      </c>
      <c r="V19" s="327"/>
      <c r="W19" s="343" t="str">
        <f t="shared" si="3"/>
        <v/>
      </c>
      <c r="X19" s="327"/>
      <c r="Y19" s="327"/>
      <c r="Z19" s="327"/>
      <c r="AA19" s="327"/>
      <c r="AB19" s="327"/>
      <c r="AC19" s="327"/>
      <c r="AD19" s="327"/>
    </row>
    <row r="20" spans="1:30" ht="20.100000000000001" customHeight="1">
      <c r="A20" s="340"/>
      <c r="B20" s="340"/>
      <c r="C20" s="406" t="s">
        <v>1315</v>
      </c>
      <c r="D20" s="330" t="s">
        <v>1299</v>
      </c>
      <c r="E20" s="527">
        <v>1</v>
      </c>
      <c r="F20" s="527" t="s">
        <v>1317</v>
      </c>
      <c r="G20" s="302">
        <f>IF($D20="A",ROUND(VLOOKUP($C20,'[2]2.행정구역별 급수인구'!$C$7:$AD$997,17,FALSE)*$E20,0),IF($D20="B",(ROUND(VLOOKUP($C20,'[2]2.행정구역별 급수인구'!$C$7:$AD$997,17,FALSE)-VLOOKUP($C20,'[2]2.행정구역별 급수인구'!$C$7:$AD$997,17,FALSE)*(1-$E20),0)),VLOOKUP($C20,'[2]2.행정구역별 급수인구'!$C$7:$AD$997,17,FALSE)))</f>
        <v>0</v>
      </c>
      <c r="H20" s="302">
        <f>IF($D20="A",ROUND(VLOOKUP($C20,'[2]2.행정구역별 급수인구'!$C$7:$AD$997,25,FALSE)*$E20,0),IF($D20="B",(ROUND(VLOOKUP($C20,'[2]2.행정구역별 급수인구'!$C$7:$AD$997,25,FALSE)-VLOOKUP($C20,'[2]2.행정구역별 급수인구'!$C$7:$AD$997,25,FALSE)*(1-$E20),0)),VLOOKUP($C20,'[2]2.행정구역별 급수인구'!$C$7:$AD$997,25,FALSE)))</f>
        <v>111</v>
      </c>
      <c r="I20" s="302">
        <f>IF($D20="A",ROUND(VLOOKUP($C20,'[2]2.행정구역별 급수인구'!$C$7:$AD$997,26,FALSE)*$E20,0),IF($D20="B",(ROUND(VLOOKUP($C20,'[2]2.행정구역별 급수인구'!$C$7:$AD$997,26,FALSE)-VLOOKUP($C20,'[2]2.행정구역별 급수인구'!$C$7:$AD$997,26,FALSE)*(1-$E20),0)),VLOOKUP($C20,'[2]2.행정구역별 급수인구'!$C$7:$AD$997,26,FALSE)))</f>
        <v>115</v>
      </c>
      <c r="J20" s="302">
        <f>IF($D20="A",ROUND(VLOOKUP($C20,'[2]2.행정구역별 급수인구'!$C$7:$AD$997,27,FALSE)*$E20,0),IF($D20="B",(ROUND(VLOOKUP($C20,'[2]2.행정구역별 급수인구'!$C$7:$AD$997,27,FALSE)-VLOOKUP($C20,'[2]2.행정구역별 급수인구'!$C$7:$AD$997,27,FALSE)*(1-$E20),0)),VLOOKUP($C20,'[2]2.행정구역별 급수인구'!$C$7:$AD$997,27,FALSE)))</f>
        <v>124</v>
      </c>
      <c r="K20" s="302">
        <f>IF($D20="A",ROUND(VLOOKUP($C20,'[2]2.행정구역별 급수인구'!$C$7:$AD$997,28,FALSE)*$E20,0),IF($D20="B",(ROUND(VLOOKUP($C20,'[2]2.행정구역별 급수인구'!$C$7:$AD$997,28,FALSE)-VLOOKUP($C20,'[2]2.행정구역별 급수인구'!$C$7:$AD$997,28,FALSE)*(1-$E20),0)),VLOOKUP($C20,'[2]2.행정구역별 급수인구'!$C$7:$AD$997,28,FALSE)))</f>
        <v>127</v>
      </c>
      <c r="L20" s="302">
        <f>VLOOKUP($F20,'[3]5.급수원단위'!$B$31:$G$35,2,FALSE)</f>
        <v>272</v>
      </c>
      <c r="M20" s="302">
        <f>VLOOKUP($F20,'[3]5.급수원단위'!$B$31:$G$35,3,FALSE)</f>
        <v>304</v>
      </c>
      <c r="N20" s="302">
        <f>VLOOKUP($F20,'[3]5.급수원단위'!$B$31:$G$35,4,FALSE)</f>
        <v>308</v>
      </c>
      <c r="O20" s="302">
        <f>VLOOKUP($F20,'[3]5.급수원단위'!$B$31:$G$35,5,FALSE)</f>
        <v>310</v>
      </c>
      <c r="P20" s="302">
        <f>VLOOKUP($F20,'[3]5.급수원단위'!$B$31:$G$35,6,FALSE)</f>
        <v>310</v>
      </c>
      <c r="Q20" s="302">
        <f>ROUND(IF(G20=0,0,VLOOKUP(C20,'2013실사용량 정리'!$D$6:$F$381,3,FALSE)),0)</f>
        <v>0</v>
      </c>
      <c r="R20" s="302">
        <f t="shared" si="4"/>
        <v>34</v>
      </c>
      <c r="S20" s="302">
        <f t="shared" si="4"/>
        <v>35</v>
      </c>
      <c r="T20" s="302">
        <f t="shared" si="4"/>
        <v>38</v>
      </c>
      <c r="U20" s="302">
        <f t="shared" si="4"/>
        <v>39</v>
      </c>
      <c r="V20" s="327"/>
      <c r="W20" s="343" t="str">
        <f t="shared" si="3"/>
        <v/>
      </c>
      <c r="X20" s="327"/>
      <c r="Y20" s="327"/>
      <c r="Z20" s="327"/>
      <c r="AA20" s="327"/>
      <c r="AB20" s="327"/>
      <c r="AC20" s="327"/>
      <c r="AD20" s="327"/>
    </row>
    <row r="21" spans="1:30" ht="20.100000000000001" customHeight="1">
      <c r="A21" s="340"/>
      <c r="B21" s="340"/>
      <c r="C21" s="406" t="s">
        <v>1316</v>
      </c>
      <c r="D21" s="330" t="s">
        <v>1299</v>
      </c>
      <c r="E21" s="527">
        <v>1</v>
      </c>
      <c r="F21" s="527" t="s">
        <v>1317</v>
      </c>
      <c r="G21" s="302">
        <f>IF($D21="A",ROUND(VLOOKUP($C21,'[2]2.행정구역별 급수인구'!$C$7:$AD$997,17,FALSE)*$E21,0),IF($D21="B",(ROUND(VLOOKUP($C21,'[2]2.행정구역별 급수인구'!$C$7:$AD$997,17,FALSE)-VLOOKUP($C21,'[2]2.행정구역별 급수인구'!$C$7:$AD$997,17,FALSE)*(1-$E21),0)),VLOOKUP($C21,'[2]2.행정구역별 급수인구'!$C$7:$AD$997,17,FALSE)))</f>
        <v>0</v>
      </c>
      <c r="H21" s="302">
        <f>IF($D21="A",ROUND(VLOOKUP($C21,'[2]2.행정구역별 급수인구'!$C$7:$AD$997,25,FALSE)*$E21,0),IF($D21="B",(ROUND(VLOOKUP($C21,'[2]2.행정구역별 급수인구'!$C$7:$AD$997,25,FALSE)-VLOOKUP($C21,'[2]2.행정구역별 급수인구'!$C$7:$AD$997,25,FALSE)*(1-$E21),0)),VLOOKUP($C21,'[2]2.행정구역별 급수인구'!$C$7:$AD$997,25,FALSE)))</f>
        <v>95</v>
      </c>
      <c r="I21" s="302">
        <f>IF($D21="A",ROUND(VLOOKUP($C21,'[2]2.행정구역별 급수인구'!$C$7:$AD$997,26,FALSE)*$E21,0),IF($D21="B",(ROUND(VLOOKUP($C21,'[2]2.행정구역별 급수인구'!$C$7:$AD$997,26,FALSE)-VLOOKUP($C21,'[2]2.행정구역별 급수인구'!$C$7:$AD$997,26,FALSE)*(1-$E21),0)),VLOOKUP($C21,'[2]2.행정구역별 급수인구'!$C$7:$AD$997,26,FALSE)))</f>
        <v>100</v>
      </c>
      <c r="J21" s="302">
        <f>IF($D21="A",ROUND(VLOOKUP($C21,'[2]2.행정구역별 급수인구'!$C$7:$AD$997,27,FALSE)*$E21,0),IF($D21="B",(ROUND(VLOOKUP($C21,'[2]2.행정구역별 급수인구'!$C$7:$AD$997,27,FALSE)-VLOOKUP($C21,'[2]2.행정구역별 급수인구'!$C$7:$AD$997,27,FALSE)*(1-$E21),0)),VLOOKUP($C21,'[2]2.행정구역별 급수인구'!$C$7:$AD$997,27,FALSE)))</f>
        <v>107</v>
      </c>
      <c r="K21" s="302">
        <f>IF($D21="A",ROUND(VLOOKUP($C21,'[2]2.행정구역별 급수인구'!$C$7:$AD$997,28,FALSE)*$E21,0),IF($D21="B",(ROUND(VLOOKUP($C21,'[2]2.행정구역별 급수인구'!$C$7:$AD$997,28,FALSE)-VLOOKUP($C21,'[2]2.행정구역별 급수인구'!$C$7:$AD$997,28,FALSE)*(1-$E21),0)),VLOOKUP($C21,'[2]2.행정구역별 급수인구'!$C$7:$AD$997,28,FALSE)))</f>
        <v>109</v>
      </c>
      <c r="L21" s="302">
        <f>VLOOKUP($F21,'[3]5.급수원단위'!$B$31:$G$35,2,FALSE)</f>
        <v>272</v>
      </c>
      <c r="M21" s="302">
        <f>VLOOKUP($F21,'[3]5.급수원단위'!$B$31:$G$35,3,FALSE)</f>
        <v>304</v>
      </c>
      <c r="N21" s="302">
        <f>VLOOKUP($F21,'[3]5.급수원단위'!$B$31:$G$35,4,FALSE)</f>
        <v>308</v>
      </c>
      <c r="O21" s="302">
        <f>VLOOKUP($F21,'[3]5.급수원단위'!$B$31:$G$35,5,FALSE)</f>
        <v>310</v>
      </c>
      <c r="P21" s="302">
        <f>VLOOKUP($F21,'[3]5.급수원단위'!$B$31:$G$35,6,FALSE)</f>
        <v>310</v>
      </c>
      <c r="Q21" s="302">
        <f>ROUND(IF(G21=0,0,VLOOKUP(C21,'2013실사용량 정리'!$D$6:$F$381,3,FALSE)),0)</f>
        <v>0</v>
      </c>
      <c r="R21" s="302">
        <f t="shared" si="4"/>
        <v>29</v>
      </c>
      <c r="S21" s="302">
        <f t="shared" si="4"/>
        <v>31</v>
      </c>
      <c r="T21" s="302">
        <f t="shared" si="4"/>
        <v>33</v>
      </c>
      <c r="U21" s="302">
        <f t="shared" si="4"/>
        <v>34</v>
      </c>
      <c r="V21" s="327"/>
      <c r="W21" s="343" t="str">
        <f t="shared" si="3"/>
        <v/>
      </c>
      <c r="X21" s="327"/>
      <c r="Y21" s="327"/>
      <c r="Z21" s="327"/>
      <c r="AA21" s="327"/>
      <c r="AB21" s="327"/>
      <c r="AC21" s="327"/>
      <c r="AD21" s="327"/>
    </row>
    <row r="22" spans="1:30" ht="20.100000000000001" customHeight="1">
      <c r="A22" s="340"/>
      <c r="B22" s="340"/>
      <c r="C22" s="406" t="s">
        <v>1387</v>
      </c>
      <c r="D22" s="330" t="s">
        <v>1299</v>
      </c>
      <c r="E22" s="527">
        <v>1</v>
      </c>
      <c r="F22" s="527" t="s">
        <v>756</v>
      </c>
      <c r="G22" s="302">
        <f>IF($D22="A",ROUND(VLOOKUP($C22,'[2]2.행정구역별 급수인구'!$C$7:$AD$997,17,FALSE)*$E22,0),IF($D22="B",(ROUND(VLOOKUP($C22,'[2]2.행정구역별 급수인구'!$C$7:$AD$997,17,FALSE)-VLOOKUP($C22,'[2]2.행정구역별 급수인구'!$C$7:$AD$997,17,FALSE)*(1-$E22),0)),VLOOKUP($C22,'[2]2.행정구역별 급수인구'!$C$7:$AD$997,17,FALSE)))</f>
        <v>0</v>
      </c>
      <c r="H22" s="302">
        <f>IF($D22="A",ROUND(VLOOKUP($C22,'[2]2.행정구역별 급수인구'!$C$7:$AD$997,25,FALSE)*$E22,0),IF($D22="B",(ROUND(VLOOKUP($C22,'[2]2.행정구역별 급수인구'!$C$7:$AD$997,25,FALSE)-VLOOKUP($C22,'[2]2.행정구역별 급수인구'!$C$7:$AD$997,25,FALSE)*(1-$E22),0)),VLOOKUP($C22,'[2]2.행정구역별 급수인구'!$C$7:$AD$997,25,FALSE)))</f>
        <v>0</v>
      </c>
      <c r="I22" s="302">
        <f>IF($D22="A",ROUND(VLOOKUP($C22,'[2]2.행정구역별 급수인구'!$C$7:$AD$997,26,FALSE)*$E22,0),IF($D22="B",(ROUND(VLOOKUP($C22,'[2]2.행정구역별 급수인구'!$C$7:$AD$997,26,FALSE)-VLOOKUP($C22,'[2]2.행정구역별 급수인구'!$C$7:$AD$997,26,FALSE)*(1-$E22),0)),VLOOKUP($C22,'[2]2.행정구역별 급수인구'!$C$7:$AD$997,26,FALSE)))</f>
        <v>99</v>
      </c>
      <c r="J22" s="302">
        <f>IF($D22="A",ROUND(VLOOKUP($C22,'[2]2.행정구역별 급수인구'!$C$7:$AD$997,27,FALSE)*$E22,0),IF($D22="B",(ROUND(VLOOKUP($C22,'[2]2.행정구역별 급수인구'!$C$7:$AD$997,27,FALSE)-VLOOKUP($C22,'[2]2.행정구역별 급수인구'!$C$7:$AD$997,27,FALSE)*(1-$E22),0)),VLOOKUP($C22,'[2]2.행정구역별 급수인구'!$C$7:$AD$997,27,FALSE)))</f>
        <v>106</v>
      </c>
      <c r="K22" s="302">
        <f>IF($D22="A",ROUND(VLOOKUP($C22,'[2]2.행정구역별 급수인구'!$C$7:$AD$997,28,FALSE)*$E22,0),IF($D22="B",(ROUND(VLOOKUP($C22,'[2]2.행정구역별 급수인구'!$C$7:$AD$997,28,FALSE)-VLOOKUP($C22,'[2]2.행정구역별 급수인구'!$C$7:$AD$997,28,FALSE)*(1-$E22),0)),VLOOKUP($C22,'[2]2.행정구역별 급수인구'!$C$7:$AD$997,28,FALSE)))</f>
        <v>108</v>
      </c>
      <c r="L22" s="302">
        <f>VLOOKUP($F22,'[3]5.급수원단위'!$B$31:$G$35,2,FALSE)</f>
        <v>272</v>
      </c>
      <c r="M22" s="302">
        <f>VLOOKUP($F22,'[3]5.급수원단위'!$B$31:$G$35,3,FALSE)</f>
        <v>304</v>
      </c>
      <c r="N22" s="302">
        <f>VLOOKUP($F22,'[3]5.급수원단위'!$B$31:$G$35,4,FALSE)</f>
        <v>308</v>
      </c>
      <c r="O22" s="302">
        <f>VLOOKUP($F22,'[3]5.급수원단위'!$B$31:$G$35,5,FALSE)</f>
        <v>310</v>
      </c>
      <c r="P22" s="302">
        <f>VLOOKUP($F22,'[3]5.급수원단위'!$B$31:$G$35,6,FALSE)</f>
        <v>310</v>
      </c>
      <c r="Q22" s="302">
        <f>ROUND(IF(G22=0,0,VLOOKUP(C22,'2013실사용량 정리'!$D$6:$F$381,3,FALSE)),0)</f>
        <v>0</v>
      </c>
      <c r="R22" s="302">
        <f t="shared" si="4"/>
        <v>0</v>
      </c>
      <c r="S22" s="302">
        <f t="shared" si="4"/>
        <v>30</v>
      </c>
      <c r="T22" s="302">
        <f t="shared" si="4"/>
        <v>33</v>
      </c>
      <c r="U22" s="302">
        <f t="shared" si="4"/>
        <v>33</v>
      </c>
      <c r="V22" s="327"/>
      <c r="W22" s="343" t="str">
        <f t="shared" si="3"/>
        <v/>
      </c>
      <c r="X22" s="327"/>
      <c r="Y22" s="327"/>
      <c r="Z22" s="327"/>
      <c r="AA22" s="327"/>
      <c r="AB22" s="327"/>
      <c r="AC22" s="327"/>
      <c r="AD22" s="327"/>
    </row>
    <row r="23" spans="1:30" ht="20.100000000000001" customHeight="1">
      <c r="A23" s="340"/>
      <c r="B23" s="340"/>
      <c r="C23" s="406" t="s">
        <v>1388</v>
      </c>
      <c r="D23" s="330" t="s">
        <v>1299</v>
      </c>
      <c r="E23" s="527">
        <v>1</v>
      </c>
      <c r="F23" s="527" t="s">
        <v>756</v>
      </c>
      <c r="G23" s="302">
        <f>IF($D23="A",ROUND(VLOOKUP($C23,'[2]2.행정구역별 급수인구'!$C$7:$AD$997,17,FALSE)*$E23,0),IF($D23="B",(ROUND(VLOOKUP($C23,'[2]2.행정구역별 급수인구'!$C$7:$AD$997,17,FALSE)-VLOOKUP($C23,'[2]2.행정구역별 급수인구'!$C$7:$AD$997,17,FALSE)*(1-$E23),0)),VLOOKUP($C23,'[2]2.행정구역별 급수인구'!$C$7:$AD$997,17,FALSE)))</f>
        <v>0</v>
      </c>
      <c r="H23" s="302">
        <f>IF($D23="A",ROUND(VLOOKUP($C23,'[2]2.행정구역별 급수인구'!$C$7:$AD$997,25,FALSE)*$E23,0),IF($D23="B",(ROUND(VLOOKUP($C23,'[2]2.행정구역별 급수인구'!$C$7:$AD$997,25,FALSE)-VLOOKUP($C23,'[2]2.행정구역별 급수인구'!$C$7:$AD$997,25,FALSE)*(1-$E23),0)),VLOOKUP($C23,'[2]2.행정구역별 급수인구'!$C$7:$AD$997,25,FALSE)))</f>
        <v>0</v>
      </c>
      <c r="I23" s="302">
        <f>IF($D23="A",ROUND(VLOOKUP($C23,'[2]2.행정구역별 급수인구'!$C$7:$AD$997,26,FALSE)*$E23,0),IF($D23="B",(ROUND(VLOOKUP($C23,'[2]2.행정구역별 급수인구'!$C$7:$AD$997,26,FALSE)-VLOOKUP($C23,'[2]2.행정구역별 급수인구'!$C$7:$AD$997,26,FALSE)*(1-$E23),0)),VLOOKUP($C23,'[2]2.행정구역별 급수인구'!$C$7:$AD$997,26,FALSE)))</f>
        <v>142</v>
      </c>
      <c r="J23" s="302">
        <f>IF($D23="A",ROUND(VLOOKUP($C23,'[2]2.행정구역별 급수인구'!$C$7:$AD$997,27,FALSE)*$E23,0),IF($D23="B",(ROUND(VLOOKUP($C23,'[2]2.행정구역별 급수인구'!$C$7:$AD$997,27,FALSE)-VLOOKUP($C23,'[2]2.행정구역별 급수인구'!$C$7:$AD$997,27,FALSE)*(1-$E23),0)),VLOOKUP($C23,'[2]2.행정구역별 급수인구'!$C$7:$AD$997,27,FALSE)))</f>
        <v>154</v>
      </c>
      <c r="K23" s="302">
        <f>IF($D23="A",ROUND(VLOOKUP($C23,'[2]2.행정구역별 급수인구'!$C$7:$AD$997,28,FALSE)*$E23,0),IF($D23="B",(ROUND(VLOOKUP($C23,'[2]2.행정구역별 급수인구'!$C$7:$AD$997,28,FALSE)-VLOOKUP($C23,'[2]2.행정구역별 급수인구'!$C$7:$AD$997,28,FALSE)*(1-$E23),0)),VLOOKUP($C23,'[2]2.행정구역별 급수인구'!$C$7:$AD$997,28,FALSE)))</f>
        <v>157</v>
      </c>
      <c r="L23" s="302">
        <f>VLOOKUP($F23,'[3]5.급수원단위'!$B$31:$G$35,2,FALSE)</f>
        <v>272</v>
      </c>
      <c r="M23" s="302">
        <f>VLOOKUP($F23,'[3]5.급수원단위'!$B$31:$G$35,3,FALSE)</f>
        <v>304</v>
      </c>
      <c r="N23" s="302">
        <f>VLOOKUP($F23,'[3]5.급수원단위'!$B$31:$G$35,4,FALSE)</f>
        <v>308</v>
      </c>
      <c r="O23" s="302">
        <f>VLOOKUP($F23,'[3]5.급수원단위'!$B$31:$G$35,5,FALSE)</f>
        <v>310</v>
      </c>
      <c r="P23" s="302">
        <f>VLOOKUP($F23,'[3]5.급수원단위'!$B$31:$G$35,6,FALSE)</f>
        <v>310</v>
      </c>
      <c r="Q23" s="302">
        <f>ROUND(IF(G23=0,0,VLOOKUP(C23,'2013실사용량 정리'!$D$6:$F$381,3,FALSE)),0)</f>
        <v>0</v>
      </c>
      <c r="R23" s="302">
        <f t="shared" si="4"/>
        <v>0</v>
      </c>
      <c r="S23" s="302">
        <f t="shared" si="4"/>
        <v>44</v>
      </c>
      <c r="T23" s="302">
        <f t="shared" si="4"/>
        <v>48</v>
      </c>
      <c r="U23" s="302">
        <f t="shared" si="4"/>
        <v>49</v>
      </c>
      <c r="V23" s="327"/>
      <c r="W23" s="343" t="str">
        <f t="shared" si="3"/>
        <v/>
      </c>
      <c r="X23" s="327"/>
      <c r="Y23" s="327"/>
      <c r="Z23" s="327"/>
      <c r="AA23" s="327"/>
      <c r="AB23" s="327"/>
      <c r="AC23" s="327"/>
      <c r="AD23" s="327"/>
    </row>
    <row r="24" spans="1:30" ht="20.100000000000001" customHeight="1">
      <c r="A24" s="340"/>
      <c r="B24" s="340"/>
      <c r="C24" s="406" t="s">
        <v>1389</v>
      </c>
      <c r="D24" s="330" t="s">
        <v>1299</v>
      </c>
      <c r="E24" s="527">
        <v>1</v>
      </c>
      <c r="F24" s="527" t="s">
        <v>756</v>
      </c>
      <c r="G24" s="302">
        <f>IF($D24="A",ROUND(VLOOKUP($C24,'[2]2.행정구역별 급수인구'!$C$7:$AD$997,17,FALSE)*$E24,0),IF($D24="B",(ROUND(VLOOKUP($C24,'[2]2.행정구역별 급수인구'!$C$7:$AD$997,17,FALSE)-VLOOKUP($C24,'[2]2.행정구역별 급수인구'!$C$7:$AD$997,17,FALSE)*(1-$E24),0)),VLOOKUP($C24,'[2]2.행정구역별 급수인구'!$C$7:$AD$997,17,FALSE)))</f>
        <v>0</v>
      </c>
      <c r="H24" s="302">
        <f>IF($D24="A",ROUND(VLOOKUP($C24,'[2]2.행정구역별 급수인구'!$C$7:$AD$997,25,FALSE)*$E24,0),IF($D24="B",(ROUND(VLOOKUP($C24,'[2]2.행정구역별 급수인구'!$C$7:$AD$997,25,FALSE)-VLOOKUP($C24,'[2]2.행정구역별 급수인구'!$C$7:$AD$997,25,FALSE)*(1-$E24),0)),VLOOKUP($C24,'[2]2.행정구역별 급수인구'!$C$7:$AD$997,25,FALSE)))</f>
        <v>0</v>
      </c>
      <c r="I24" s="302">
        <f>IF($D24="A",ROUND(VLOOKUP($C24,'[2]2.행정구역별 급수인구'!$C$7:$AD$997,26,FALSE)*$E24,0),IF($D24="B",(ROUND(VLOOKUP($C24,'[2]2.행정구역별 급수인구'!$C$7:$AD$997,26,FALSE)-VLOOKUP($C24,'[2]2.행정구역별 급수인구'!$C$7:$AD$997,26,FALSE)*(1-$E24),0)),VLOOKUP($C24,'[2]2.행정구역별 급수인구'!$C$7:$AD$997,26,FALSE)))</f>
        <v>247</v>
      </c>
      <c r="J24" s="302">
        <f>IF($D24="A",ROUND(VLOOKUP($C24,'[2]2.행정구역별 급수인구'!$C$7:$AD$997,27,FALSE)*$E24,0),IF($D24="B",(ROUND(VLOOKUP($C24,'[2]2.행정구역별 급수인구'!$C$7:$AD$997,27,FALSE)-VLOOKUP($C24,'[2]2.행정구역별 급수인구'!$C$7:$AD$997,27,FALSE)*(1-$E24),0)),VLOOKUP($C24,'[2]2.행정구역별 급수인구'!$C$7:$AD$997,27,FALSE)))</f>
        <v>268</v>
      </c>
      <c r="K24" s="302">
        <f>IF($D24="A",ROUND(VLOOKUP($C24,'[2]2.행정구역별 급수인구'!$C$7:$AD$997,28,FALSE)*$E24,0),IF($D24="B",(ROUND(VLOOKUP($C24,'[2]2.행정구역별 급수인구'!$C$7:$AD$997,28,FALSE)-VLOOKUP($C24,'[2]2.행정구역별 급수인구'!$C$7:$AD$997,28,FALSE)*(1-$E24),0)),VLOOKUP($C24,'[2]2.행정구역별 급수인구'!$C$7:$AD$997,28,FALSE)))</f>
        <v>273</v>
      </c>
      <c r="L24" s="302">
        <f>VLOOKUP($F24,'[3]5.급수원단위'!$B$31:$G$35,2,FALSE)</f>
        <v>272</v>
      </c>
      <c r="M24" s="302">
        <f>VLOOKUP($F24,'[3]5.급수원단위'!$B$31:$G$35,3,FALSE)</f>
        <v>304</v>
      </c>
      <c r="N24" s="302">
        <f>VLOOKUP($F24,'[3]5.급수원단위'!$B$31:$G$35,4,FALSE)</f>
        <v>308</v>
      </c>
      <c r="O24" s="302">
        <f>VLOOKUP($F24,'[3]5.급수원단위'!$B$31:$G$35,5,FALSE)</f>
        <v>310</v>
      </c>
      <c r="P24" s="302">
        <f>VLOOKUP($F24,'[3]5.급수원단위'!$B$31:$G$35,6,FALSE)</f>
        <v>310</v>
      </c>
      <c r="Q24" s="302">
        <f>ROUND(IF(G24=0,0,VLOOKUP(C24,'2013실사용량 정리'!$D$6:$F$381,3,FALSE)),0)</f>
        <v>0</v>
      </c>
      <c r="R24" s="302">
        <f t="shared" si="4"/>
        <v>0</v>
      </c>
      <c r="S24" s="302">
        <f t="shared" si="4"/>
        <v>76</v>
      </c>
      <c r="T24" s="302">
        <f t="shared" si="4"/>
        <v>83</v>
      </c>
      <c r="U24" s="302">
        <f t="shared" si="4"/>
        <v>85</v>
      </c>
      <c r="V24" s="327"/>
      <c r="W24" s="343" t="str">
        <f t="shared" si="3"/>
        <v/>
      </c>
      <c r="X24" s="327"/>
      <c r="Y24" s="327"/>
      <c r="Z24" s="327"/>
      <c r="AA24" s="327"/>
      <c r="AB24" s="327"/>
      <c r="AC24" s="327"/>
      <c r="AD24" s="327"/>
    </row>
    <row r="25" spans="1:30" ht="20.100000000000001" customHeight="1">
      <c r="A25" s="340"/>
      <c r="B25" s="340"/>
      <c r="C25" s="537" t="s">
        <v>1482</v>
      </c>
      <c r="D25" s="532" t="s">
        <v>1299</v>
      </c>
      <c r="E25" s="527">
        <v>0</v>
      </c>
      <c r="F25" s="527" t="s">
        <v>1317</v>
      </c>
      <c r="G25" s="302">
        <f>IF($D25="A",ROUND(VLOOKUP($C25,'[2]2.행정구역별 급수인구'!$C$7:$AD$997,17,FALSE)*$E25,0),IF($D25="B",(ROUND(VLOOKUP($C25,'[2]2.행정구역별 급수인구'!$C$7:$AD$997,17,FALSE)-VLOOKUP($C25,'[2]2.행정구역별 급수인구'!$C$7:$AD$997,17,FALSE)*(1-$E25),0)),VLOOKUP($C25,'[2]2.행정구역별 급수인구'!$C$7:$AD$997,17,FALSE)))</f>
        <v>0</v>
      </c>
      <c r="H25" s="538">
        <f>IF($D25="A",ROUND(VLOOKUP($C25,'[2]2.행정구역별 급수인구'!$C$7:$AD$997,25,FALSE)*$E25,0),IF($D25="B",(ROUND(VLOOKUP($C25,'[2]2.행정구역별 급수인구'!$C$7:$AD$997,25,FALSE)-VLOOKUP($C25,'[2]2.행정구역별 급수인구'!$C$7:$AD$997,25,FALSE)*(1-$E25),0)),VLOOKUP($C25,'[2]2.행정구역별 급수인구'!$C$7:$AD$997,25,FALSE)))</f>
        <v>0</v>
      </c>
      <c r="I25" s="538">
        <f>IF($D25="A",ROUND(VLOOKUP($C25,'[2]2.행정구역별 급수인구'!$C$7:$AD$997,26,FALSE)*$E25,0),IF($D25="B",(ROUND(VLOOKUP($C25,'[2]2.행정구역별 급수인구'!$C$7:$AD$997,26,FALSE)-VLOOKUP($C25,'[2]2.행정구역별 급수인구'!$C$7:$AD$997,26,FALSE)*(1-$E25),0)),VLOOKUP($C25,'[2]2.행정구역별 급수인구'!$C$7:$AD$997,26,FALSE)))</f>
        <v>0</v>
      </c>
      <c r="J25" s="538">
        <f>IF($D25="A",ROUND(VLOOKUP($C25,'[2]2.행정구역별 급수인구'!$C$7:$AD$997,27,FALSE)*$E25,0),IF($D25="B",(ROUND(VLOOKUP($C25,'[2]2.행정구역별 급수인구'!$C$7:$AD$997,27,FALSE)-VLOOKUP($C25,'[2]2.행정구역별 급수인구'!$C$7:$AD$997,27,FALSE)*(1-$E25),0)),VLOOKUP($C25,'[2]2.행정구역별 급수인구'!$C$7:$AD$997,27,FALSE)))</f>
        <v>0</v>
      </c>
      <c r="K25" s="538">
        <f>IF($D25="A",ROUND(VLOOKUP($C25,'[2]2.행정구역별 급수인구'!$C$7:$AD$997,28,FALSE)*$E25,0),IF($D25="B",(ROUND(VLOOKUP($C25,'[2]2.행정구역별 급수인구'!$C$7:$AD$997,28,FALSE)-VLOOKUP($C25,'[2]2.행정구역별 급수인구'!$C$7:$AD$997,28,FALSE)*(1-$E25),0)),VLOOKUP($C25,'[2]2.행정구역별 급수인구'!$C$7:$AD$997,28,FALSE)))</f>
        <v>0</v>
      </c>
      <c r="L25" s="302">
        <f>VLOOKUP($F25,'[3]5.급수원단위'!$B$31:$G$35,2,FALSE)</f>
        <v>272</v>
      </c>
      <c r="M25" s="538">
        <f>VLOOKUP($F25,'[3]5.급수원단위'!$B$31:$G$35,3,FALSE)</f>
        <v>304</v>
      </c>
      <c r="N25" s="538">
        <f>VLOOKUP($F25,'[3]5.급수원단위'!$B$31:$G$35,4,FALSE)</f>
        <v>308</v>
      </c>
      <c r="O25" s="538">
        <f>VLOOKUP($F25,'[3]5.급수원단위'!$B$31:$G$35,5,FALSE)</f>
        <v>310</v>
      </c>
      <c r="P25" s="538">
        <f>VLOOKUP($F25,'[3]5.급수원단위'!$B$31:$G$35,6,FALSE)</f>
        <v>310</v>
      </c>
      <c r="Q25" s="302">
        <f>ROUND(IF(G25=0,0,VLOOKUP(C25,'2013실사용량 정리'!$D$6:$F$381,3,FALSE)),0)</f>
        <v>0</v>
      </c>
      <c r="R25" s="538">
        <f t="shared" si="4"/>
        <v>0</v>
      </c>
      <c r="S25" s="538">
        <f t="shared" si="4"/>
        <v>0</v>
      </c>
      <c r="T25" s="538">
        <f t="shared" si="4"/>
        <v>0</v>
      </c>
      <c r="U25" s="538">
        <f t="shared" si="4"/>
        <v>0</v>
      </c>
      <c r="V25" s="327"/>
      <c r="W25" s="343" t="str">
        <f t="shared" si="3"/>
        <v/>
      </c>
      <c r="X25" s="327"/>
      <c r="Y25" s="327"/>
      <c r="Z25" s="327"/>
      <c r="AA25" s="327"/>
      <c r="AB25" s="327"/>
      <c r="AC25" s="327"/>
      <c r="AD25" s="327"/>
    </row>
    <row r="26" spans="1:30" ht="20.100000000000001" customHeight="1">
      <c r="A26" s="340"/>
      <c r="B26" s="340"/>
      <c r="C26" s="406" t="s">
        <v>1483</v>
      </c>
      <c r="D26" s="330" t="s">
        <v>1299</v>
      </c>
      <c r="E26" s="527">
        <v>0</v>
      </c>
      <c r="F26" s="527" t="s">
        <v>1317</v>
      </c>
      <c r="G26" s="302">
        <f>IF($D26="A",ROUND(VLOOKUP($C26,'[2]2.행정구역별 급수인구'!$C$7:$AD$997,17,FALSE)*$E26,0),IF($D26="B",(ROUND(VLOOKUP($C26,'[2]2.행정구역별 급수인구'!$C$7:$AD$997,17,FALSE)-VLOOKUP($C26,'[2]2.행정구역별 급수인구'!$C$7:$AD$997,17,FALSE)*(1-$E26),0)),VLOOKUP($C26,'[2]2.행정구역별 급수인구'!$C$7:$AD$997,17,FALSE)))</f>
        <v>0</v>
      </c>
      <c r="H26" s="302">
        <f>IF($D26="A",ROUND(VLOOKUP($C26,'[2]2.행정구역별 급수인구'!$C$7:$AD$997,25,FALSE)*$E26,0),IF($D26="B",(ROUND(VLOOKUP($C26,'[2]2.행정구역별 급수인구'!$C$7:$AD$997,25,FALSE)-VLOOKUP($C26,'[2]2.행정구역별 급수인구'!$C$7:$AD$997,25,FALSE)*(1-$E26),0)),VLOOKUP($C26,'[2]2.행정구역별 급수인구'!$C$7:$AD$997,25,FALSE)))</f>
        <v>0</v>
      </c>
      <c r="I26" s="302">
        <f>IF($D26="A",ROUND(VLOOKUP($C26,'[2]2.행정구역별 급수인구'!$C$7:$AD$997,26,FALSE)*$E26,0),IF($D26="B",(ROUND(VLOOKUP($C26,'[2]2.행정구역별 급수인구'!$C$7:$AD$997,26,FALSE)-VLOOKUP($C26,'[2]2.행정구역별 급수인구'!$C$7:$AD$997,26,FALSE)*(1-$E26),0)),VLOOKUP($C26,'[2]2.행정구역별 급수인구'!$C$7:$AD$997,26,FALSE)))</f>
        <v>0</v>
      </c>
      <c r="J26" s="302">
        <f>IF($D26="A",ROUND(VLOOKUP($C26,'[2]2.행정구역별 급수인구'!$C$7:$AD$997,27,FALSE)*$E26,0),IF($D26="B",(ROUND(VLOOKUP($C26,'[2]2.행정구역별 급수인구'!$C$7:$AD$997,27,FALSE)-VLOOKUP($C26,'[2]2.행정구역별 급수인구'!$C$7:$AD$997,27,FALSE)*(1-$E26),0)),VLOOKUP($C26,'[2]2.행정구역별 급수인구'!$C$7:$AD$997,27,FALSE)))</f>
        <v>0</v>
      </c>
      <c r="K26" s="302">
        <f>IF($D26="A",ROUND(VLOOKUP($C26,'[2]2.행정구역별 급수인구'!$C$7:$AD$997,28,FALSE)*$E26,0),IF($D26="B",(ROUND(VLOOKUP($C26,'[2]2.행정구역별 급수인구'!$C$7:$AD$997,28,FALSE)-VLOOKUP($C26,'[2]2.행정구역별 급수인구'!$C$7:$AD$997,28,FALSE)*(1-$E26),0)),VLOOKUP($C26,'[2]2.행정구역별 급수인구'!$C$7:$AD$997,28,FALSE)))</f>
        <v>0</v>
      </c>
      <c r="L26" s="302">
        <f>VLOOKUP($F26,'[3]5.급수원단위'!$B$31:$G$35,2,FALSE)</f>
        <v>272</v>
      </c>
      <c r="M26" s="302">
        <f>VLOOKUP($F26,'[3]5.급수원단위'!$B$31:$G$35,3,FALSE)</f>
        <v>304</v>
      </c>
      <c r="N26" s="302">
        <f>VLOOKUP($F26,'[3]5.급수원단위'!$B$31:$G$35,4,FALSE)</f>
        <v>308</v>
      </c>
      <c r="O26" s="302">
        <f>VLOOKUP($F26,'[3]5.급수원단위'!$B$31:$G$35,5,FALSE)</f>
        <v>310</v>
      </c>
      <c r="P26" s="302">
        <f>VLOOKUP($F26,'[3]5.급수원단위'!$B$31:$G$35,6,FALSE)</f>
        <v>310</v>
      </c>
      <c r="Q26" s="302">
        <f>ROUND(IF(G26=0,0,VLOOKUP(C26,'2013실사용량 정리'!$D$6:$F$381,3,FALSE)),0)</f>
        <v>0</v>
      </c>
      <c r="R26" s="302">
        <f t="shared" si="4"/>
        <v>0</v>
      </c>
      <c r="S26" s="302">
        <f t="shared" si="4"/>
        <v>0</v>
      </c>
      <c r="T26" s="302">
        <f t="shared" si="4"/>
        <v>0</v>
      </c>
      <c r="U26" s="302">
        <f t="shared" si="4"/>
        <v>0</v>
      </c>
      <c r="V26" s="327"/>
      <c r="W26" s="343" t="str">
        <f t="shared" si="3"/>
        <v/>
      </c>
      <c r="X26" s="327"/>
      <c r="Y26" s="327"/>
      <c r="Z26" s="327"/>
      <c r="AA26" s="327"/>
      <c r="AB26" s="327"/>
      <c r="AC26" s="327"/>
      <c r="AD26" s="327"/>
    </row>
    <row r="27" spans="1:30" ht="20.100000000000001" customHeight="1">
      <c r="A27" s="340"/>
      <c r="B27" s="340"/>
      <c r="C27" s="406" t="s">
        <v>1484</v>
      </c>
      <c r="D27" s="330" t="s">
        <v>1299</v>
      </c>
      <c r="E27" s="527">
        <v>0</v>
      </c>
      <c r="F27" s="527" t="s">
        <v>1317</v>
      </c>
      <c r="G27" s="302">
        <f>IF($D27="A",ROUND(VLOOKUP($C27,'[2]2.행정구역별 급수인구'!$C$7:$AD$997,17,FALSE)*$E27,0),IF($D27="B",(ROUND(VLOOKUP($C27,'[2]2.행정구역별 급수인구'!$C$7:$AD$997,17,FALSE)-VLOOKUP($C27,'[2]2.행정구역별 급수인구'!$C$7:$AD$997,17,FALSE)*(1-$E27),0)),VLOOKUP($C27,'[2]2.행정구역별 급수인구'!$C$7:$AD$997,17,FALSE)))</f>
        <v>0</v>
      </c>
      <c r="H27" s="302">
        <f>IF($D27="A",ROUND(VLOOKUP($C27,'[2]2.행정구역별 급수인구'!$C$7:$AD$997,25,FALSE)*$E27,0),IF($D27="B",(ROUND(VLOOKUP($C27,'[2]2.행정구역별 급수인구'!$C$7:$AD$997,25,FALSE)-VLOOKUP($C27,'[2]2.행정구역별 급수인구'!$C$7:$AD$997,25,FALSE)*(1-$E27),0)),VLOOKUP($C27,'[2]2.행정구역별 급수인구'!$C$7:$AD$997,25,FALSE)))</f>
        <v>0</v>
      </c>
      <c r="I27" s="302">
        <f>IF($D27="A",ROUND(VLOOKUP($C27,'[2]2.행정구역별 급수인구'!$C$7:$AD$997,26,FALSE)*$E27,0),IF($D27="B",(ROUND(VLOOKUP($C27,'[2]2.행정구역별 급수인구'!$C$7:$AD$997,26,FALSE)-VLOOKUP($C27,'[2]2.행정구역별 급수인구'!$C$7:$AD$997,26,FALSE)*(1-$E27),0)),VLOOKUP($C27,'[2]2.행정구역별 급수인구'!$C$7:$AD$997,26,FALSE)))</f>
        <v>0</v>
      </c>
      <c r="J27" s="302">
        <f>IF($D27="A",ROUND(VLOOKUP($C27,'[2]2.행정구역별 급수인구'!$C$7:$AD$997,27,FALSE)*$E27,0),IF($D27="B",(ROUND(VLOOKUP($C27,'[2]2.행정구역별 급수인구'!$C$7:$AD$997,27,FALSE)-VLOOKUP($C27,'[2]2.행정구역별 급수인구'!$C$7:$AD$997,27,FALSE)*(1-$E27),0)),VLOOKUP($C27,'[2]2.행정구역별 급수인구'!$C$7:$AD$997,27,FALSE)))</f>
        <v>0</v>
      </c>
      <c r="K27" s="302">
        <f>IF($D27="A",ROUND(VLOOKUP($C27,'[2]2.행정구역별 급수인구'!$C$7:$AD$997,28,FALSE)*$E27,0),IF($D27="B",(ROUND(VLOOKUP($C27,'[2]2.행정구역별 급수인구'!$C$7:$AD$997,28,FALSE)-VLOOKUP($C27,'[2]2.행정구역별 급수인구'!$C$7:$AD$997,28,FALSE)*(1-$E27),0)),VLOOKUP($C27,'[2]2.행정구역별 급수인구'!$C$7:$AD$997,28,FALSE)))</f>
        <v>0</v>
      </c>
      <c r="L27" s="302">
        <f>VLOOKUP($F27,'[3]5.급수원단위'!$B$31:$G$35,2,FALSE)</f>
        <v>272</v>
      </c>
      <c r="M27" s="302">
        <f>VLOOKUP($F27,'[3]5.급수원단위'!$B$31:$G$35,3,FALSE)</f>
        <v>304</v>
      </c>
      <c r="N27" s="302">
        <f>VLOOKUP($F27,'[3]5.급수원단위'!$B$31:$G$35,4,FALSE)</f>
        <v>308</v>
      </c>
      <c r="O27" s="302">
        <f>VLOOKUP($F27,'[3]5.급수원단위'!$B$31:$G$35,5,FALSE)</f>
        <v>310</v>
      </c>
      <c r="P27" s="302">
        <f>VLOOKUP($F27,'[3]5.급수원단위'!$B$31:$G$35,6,FALSE)</f>
        <v>310</v>
      </c>
      <c r="Q27" s="302">
        <f>ROUND(IF(G27=0,0,VLOOKUP(C27,'2013실사용량 정리'!$D$6:$F$381,3,FALSE)),0)</f>
        <v>0</v>
      </c>
      <c r="R27" s="302">
        <f t="shared" si="4"/>
        <v>0</v>
      </c>
      <c r="S27" s="302">
        <f t="shared" si="4"/>
        <v>0</v>
      </c>
      <c r="T27" s="302">
        <f t="shared" si="4"/>
        <v>0</v>
      </c>
      <c r="U27" s="302">
        <f t="shared" si="4"/>
        <v>0</v>
      </c>
      <c r="V27" s="327"/>
      <c r="W27" s="343" t="str">
        <f t="shared" si="3"/>
        <v/>
      </c>
      <c r="X27" s="327"/>
      <c r="Y27" s="327"/>
      <c r="Z27" s="327"/>
      <c r="AA27" s="327"/>
      <c r="AB27" s="327"/>
      <c r="AC27" s="327"/>
      <c r="AD27" s="327"/>
    </row>
    <row r="28" spans="1:30" ht="20.100000000000001" customHeight="1">
      <c r="A28" s="340"/>
      <c r="B28" s="340"/>
      <c r="C28" s="406" t="s">
        <v>1485</v>
      </c>
      <c r="D28" s="330" t="s">
        <v>1299</v>
      </c>
      <c r="E28" s="527">
        <v>0</v>
      </c>
      <c r="F28" s="527" t="s">
        <v>1317</v>
      </c>
      <c r="G28" s="302">
        <f>IF($D28="A",ROUND(VLOOKUP($C28,'[2]2.행정구역별 급수인구'!$C$7:$AD$997,17,FALSE)*$E28,0),IF($D28="B",(ROUND(VLOOKUP($C28,'[2]2.행정구역별 급수인구'!$C$7:$AD$997,17,FALSE)-VLOOKUP($C28,'[2]2.행정구역별 급수인구'!$C$7:$AD$997,17,FALSE)*(1-$E28),0)),VLOOKUP($C28,'[2]2.행정구역별 급수인구'!$C$7:$AD$997,17,FALSE)))</f>
        <v>0</v>
      </c>
      <c r="H28" s="302">
        <f>IF($D28="A",ROUND(VLOOKUP($C28,'[2]2.행정구역별 급수인구'!$C$7:$AD$997,25,FALSE)*$E28,0),IF($D28="B",(ROUND(VLOOKUP($C28,'[2]2.행정구역별 급수인구'!$C$7:$AD$997,25,FALSE)-VLOOKUP($C28,'[2]2.행정구역별 급수인구'!$C$7:$AD$997,25,FALSE)*(1-$E28),0)),VLOOKUP($C28,'[2]2.행정구역별 급수인구'!$C$7:$AD$997,25,FALSE)))</f>
        <v>0</v>
      </c>
      <c r="I28" s="302">
        <f>IF($D28="A",ROUND(VLOOKUP($C28,'[2]2.행정구역별 급수인구'!$C$7:$AD$997,26,FALSE)*$E28,0),IF($D28="B",(ROUND(VLOOKUP($C28,'[2]2.행정구역별 급수인구'!$C$7:$AD$997,26,FALSE)-VLOOKUP($C28,'[2]2.행정구역별 급수인구'!$C$7:$AD$997,26,FALSE)*(1-$E28),0)),VLOOKUP($C28,'[2]2.행정구역별 급수인구'!$C$7:$AD$997,26,FALSE)))</f>
        <v>0</v>
      </c>
      <c r="J28" s="302">
        <f>IF($D28="A",ROUND(VLOOKUP($C28,'[2]2.행정구역별 급수인구'!$C$7:$AD$997,27,FALSE)*$E28,0),IF($D28="B",(ROUND(VLOOKUP($C28,'[2]2.행정구역별 급수인구'!$C$7:$AD$997,27,FALSE)-VLOOKUP($C28,'[2]2.행정구역별 급수인구'!$C$7:$AD$997,27,FALSE)*(1-$E28),0)),VLOOKUP($C28,'[2]2.행정구역별 급수인구'!$C$7:$AD$997,27,FALSE)))</f>
        <v>0</v>
      </c>
      <c r="K28" s="302">
        <f>IF($D28="A",ROUND(VLOOKUP($C28,'[2]2.행정구역별 급수인구'!$C$7:$AD$997,28,FALSE)*$E28,0),IF($D28="B",(ROUND(VLOOKUP($C28,'[2]2.행정구역별 급수인구'!$C$7:$AD$997,28,FALSE)-VLOOKUP($C28,'[2]2.행정구역별 급수인구'!$C$7:$AD$997,28,FALSE)*(1-$E28),0)),VLOOKUP($C28,'[2]2.행정구역별 급수인구'!$C$7:$AD$997,28,FALSE)))</f>
        <v>0</v>
      </c>
      <c r="L28" s="302">
        <f>VLOOKUP($F28,'[3]5.급수원단위'!$B$31:$G$35,2,FALSE)</f>
        <v>272</v>
      </c>
      <c r="M28" s="302">
        <f>VLOOKUP($F28,'[3]5.급수원단위'!$B$31:$G$35,3,FALSE)</f>
        <v>304</v>
      </c>
      <c r="N28" s="302">
        <f>VLOOKUP($F28,'[3]5.급수원단위'!$B$31:$G$35,4,FALSE)</f>
        <v>308</v>
      </c>
      <c r="O28" s="302">
        <f>VLOOKUP($F28,'[3]5.급수원단위'!$B$31:$G$35,5,FALSE)</f>
        <v>310</v>
      </c>
      <c r="P28" s="302">
        <f>VLOOKUP($F28,'[3]5.급수원단위'!$B$31:$G$35,6,FALSE)</f>
        <v>310</v>
      </c>
      <c r="Q28" s="302">
        <f>ROUND(IF(G28=0,0,VLOOKUP(C28,'2013실사용량 정리'!$D$6:$F$381,3,FALSE)),0)</f>
        <v>0</v>
      </c>
      <c r="R28" s="302">
        <f t="shared" si="4"/>
        <v>0</v>
      </c>
      <c r="S28" s="302">
        <f t="shared" si="4"/>
        <v>0</v>
      </c>
      <c r="T28" s="302">
        <f t="shared" si="4"/>
        <v>0</v>
      </c>
      <c r="U28" s="302">
        <f t="shared" si="4"/>
        <v>0</v>
      </c>
      <c r="V28" s="327"/>
      <c r="W28" s="343" t="str">
        <f t="shared" si="3"/>
        <v/>
      </c>
      <c r="X28" s="327"/>
      <c r="Y28" s="327"/>
      <c r="Z28" s="327"/>
      <c r="AA28" s="327"/>
      <c r="AB28" s="327"/>
      <c r="AC28" s="327"/>
      <c r="AD28" s="327"/>
    </row>
    <row r="29" spans="1:30" ht="20.100000000000001" customHeight="1">
      <c r="A29" s="340"/>
      <c r="B29" s="340"/>
      <c r="C29" s="406" t="s">
        <v>1486</v>
      </c>
      <c r="D29" s="330" t="s">
        <v>1299</v>
      </c>
      <c r="E29" s="527">
        <v>0</v>
      </c>
      <c r="F29" s="527" t="s">
        <v>1317</v>
      </c>
      <c r="G29" s="302">
        <f>IF($D29="A",ROUND(VLOOKUP($C29,'[2]2.행정구역별 급수인구'!$C$7:$AD$997,17,FALSE)*$E29,0),IF($D29="B",(ROUND(VLOOKUP($C29,'[2]2.행정구역별 급수인구'!$C$7:$AD$997,17,FALSE)-VLOOKUP($C29,'[2]2.행정구역별 급수인구'!$C$7:$AD$997,17,FALSE)*(1-$E29),0)),VLOOKUP($C29,'[2]2.행정구역별 급수인구'!$C$7:$AD$997,17,FALSE)))</f>
        <v>0</v>
      </c>
      <c r="H29" s="302">
        <f>IF($D29="A",ROUND(VLOOKUP($C29,'[2]2.행정구역별 급수인구'!$C$7:$AD$997,25,FALSE)*$E29,0),IF($D29="B",(ROUND(VLOOKUP($C29,'[2]2.행정구역별 급수인구'!$C$7:$AD$997,25,FALSE)-VLOOKUP($C29,'[2]2.행정구역별 급수인구'!$C$7:$AD$997,25,FALSE)*(1-$E29),0)),VLOOKUP($C29,'[2]2.행정구역별 급수인구'!$C$7:$AD$997,25,FALSE)))</f>
        <v>0</v>
      </c>
      <c r="I29" s="302">
        <f>IF($D29="A",ROUND(VLOOKUP($C29,'[2]2.행정구역별 급수인구'!$C$7:$AD$997,26,FALSE)*$E29,0),IF($D29="B",(ROUND(VLOOKUP($C29,'[2]2.행정구역별 급수인구'!$C$7:$AD$997,26,FALSE)-VLOOKUP($C29,'[2]2.행정구역별 급수인구'!$C$7:$AD$997,26,FALSE)*(1-$E29),0)),VLOOKUP($C29,'[2]2.행정구역별 급수인구'!$C$7:$AD$997,26,FALSE)))</f>
        <v>0</v>
      </c>
      <c r="J29" s="302">
        <f>IF($D29="A",ROUND(VLOOKUP($C29,'[2]2.행정구역별 급수인구'!$C$7:$AD$997,27,FALSE)*$E29,0),IF($D29="B",(ROUND(VLOOKUP($C29,'[2]2.행정구역별 급수인구'!$C$7:$AD$997,27,FALSE)-VLOOKUP($C29,'[2]2.행정구역별 급수인구'!$C$7:$AD$997,27,FALSE)*(1-$E29),0)),VLOOKUP($C29,'[2]2.행정구역별 급수인구'!$C$7:$AD$997,27,FALSE)))</f>
        <v>0</v>
      </c>
      <c r="K29" s="302">
        <f>IF($D29="A",ROUND(VLOOKUP($C29,'[2]2.행정구역별 급수인구'!$C$7:$AD$997,28,FALSE)*$E29,0),IF($D29="B",(ROUND(VLOOKUP($C29,'[2]2.행정구역별 급수인구'!$C$7:$AD$997,28,FALSE)-VLOOKUP($C29,'[2]2.행정구역별 급수인구'!$C$7:$AD$997,28,FALSE)*(1-$E29),0)),VLOOKUP($C29,'[2]2.행정구역별 급수인구'!$C$7:$AD$997,28,FALSE)))</f>
        <v>0</v>
      </c>
      <c r="L29" s="302">
        <f>VLOOKUP($F29,'[3]5.급수원단위'!$B$31:$G$35,2,FALSE)</f>
        <v>272</v>
      </c>
      <c r="M29" s="302">
        <f>VLOOKUP($F29,'[3]5.급수원단위'!$B$31:$G$35,3,FALSE)</f>
        <v>304</v>
      </c>
      <c r="N29" s="302">
        <f>VLOOKUP($F29,'[3]5.급수원단위'!$B$31:$G$35,4,FALSE)</f>
        <v>308</v>
      </c>
      <c r="O29" s="302">
        <f>VLOOKUP($F29,'[3]5.급수원단위'!$B$31:$G$35,5,FALSE)</f>
        <v>310</v>
      </c>
      <c r="P29" s="302">
        <f>VLOOKUP($F29,'[3]5.급수원단위'!$B$31:$G$35,6,FALSE)</f>
        <v>310</v>
      </c>
      <c r="Q29" s="302">
        <f>ROUND(IF(G29=0,0,VLOOKUP(C29,'2013실사용량 정리'!$D$6:$F$381,3,FALSE)),0)</f>
        <v>0</v>
      </c>
      <c r="R29" s="302">
        <f t="shared" si="4"/>
        <v>0</v>
      </c>
      <c r="S29" s="302">
        <f t="shared" si="4"/>
        <v>0</v>
      </c>
      <c r="T29" s="302">
        <f t="shared" si="4"/>
        <v>0</v>
      </c>
      <c r="U29" s="302">
        <f t="shared" si="4"/>
        <v>0</v>
      </c>
      <c r="V29" s="327"/>
      <c r="W29" s="343" t="str">
        <f t="shared" si="3"/>
        <v/>
      </c>
      <c r="X29" s="327"/>
      <c r="Y29" s="327"/>
      <c r="Z29" s="327"/>
      <c r="AA29" s="327"/>
      <c r="AB29" s="327"/>
      <c r="AC29" s="327"/>
      <c r="AD29" s="327"/>
    </row>
    <row r="30" spans="1:30" ht="20.100000000000001" customHeight="1">
      <c r="A30" s="340"/>
      <c r="B30" s="340"/>
      <c r="C30" s="406" t="s">
        <v>1487</v>
      </c>
      <c r="D30" s="330" t="s">
        <v>1299</v>
      </c>
      <c r="E30" s="527">
        <v>0</v>
      </c>
      <c r="F30" s="527" t="s">
        <v>1317</v>
      </c>
      <c r="G30" s="302">
        <f>IF($D30="A",ROUND(VLOOKUP($C30,'[2]2.행정구역별 급수인구'!$C$7:$AD$997,17,FALSE)*$E30,0),IF($D30="B",(ROUND(VLOOKUP($C30,'[2]2.행정구역별 급수인구'!$C$7:$AD$997,17,FALSE)-VLOOKUP($C30,'[2]2.행정구역별 급수인구'!$C$7:$AD$997,17,FALSE)*(1-$E30),0)),VLOOKUP($C30,'[2]2.행정구역별 급수인구'!$C$7:$AD$997,17,FALSE)))</f>
        <v>0</v>
      </c>
      <c r="H30" s="302">
        <f>IF($D30="A",ROUND(VLOOKUP($C30,'[2]2.행정구역별 급수인구'!$C$7:$AD$997,25,FALSE)*$E30,0),IF($D30="B",(ROUND(VLOOKUP($C30,'[2]2.행정구역별 급수인구'!$C$7:$AD$997,25,FALSE)-VLOOKUP($C30,'[2]2.행정구역별 급수인구'!$C$7:$AD$997,25,FALSE)*(1-$E30),0)),VLOOKUP($C30,'[2]2.행정구역별 급수인구'!$C$7:$AD$997,25,FALSE)))</f>
        <v>0</v>
      </c>
      <c r="I30" s="302">
        <f>IF($D30="A",ROUND(VLOOKUP($C30,'[2]2.행정구역별 급수인구'!$C$7:$AD$997,26,FALSE)*$E30,0),IF($D30="B",(ROUND(VLOOKUP($C30,'[2]2.행정구역별 급수인구'!$C$7:$AD$997,26,FALSE)-VLOOKUP($C30,'[2]2.행정구역별 급수인구'!$C$7:$AD$997,26,FALSE)*(1-$E30),0)),VLOOKUP($C30,'[2]2.행정구역별 급수인구'!$C$7:$AD$997,26,FALSE)))</f>
        <v>0</v>
      </c>
      <c r="J30" s="302">
        <f>IF($D30="A",ROUND(VLOOKUP($C30,'[2]2.행정구역별 급수인구'!$C$7:$AD$997,27,FALSE)*$E30,0),IF($D30="B",(ROUND(VLOOKUP($C30,'[2]2.행정구역별 급수인구'!$C$7:$AD$997,27,FALSE)-VLOOKUP($C30,'[2]2.행정구역별 급수인구'!$C$7:$AD$997,27,FALSE)*(1-$E30),0)),VLOOKUP($C30,'[2]2.행정구역별 급수인구'!$C$7:$AD$997,27,FALSE)))</f>
        <v>0</v>
      </c>
      <c r="K30" s="302">
        <f>IF($D30="A",ROUND(VLOOKUP($C30,'[2]2.행정구역별 급수인구'!$C$7:$AD$997,28,FALSE)*$E30,0),IF($D30="B",(ROUND(VLOOKUP($C30,'[2]2.행정구역별 급수인구'!$C$7:$AD$997,28,FALSE)-VLOOKUP($C30,'[2]2.행정구역별 급수인구'!$C$7:$AD$997,28,FALSE)*(1-$E30),0)),VLOOKUP($C30,'[2]2.행정구역별 급수인구'!$C$7:$AD$997,28,FALSE)))</f>
        <v>0</v>
      </c>
      <c r="L30" s="302">
        <f>VLOOKUP($F30,'[3]5.급수원단위'!$B$31:$G$35,2,FALSE)</f>
        <v>272</v>
      </c>
      <c r="M30" s="302">
        <f>VLOOKUP($F30,'[3]5.급수원단위'!$B$31:$G$35,3,FALSE)</f>
        <v>304</v>
      </c>
      <c r="N30" s="302">
        <f>VLOOKUP($F30,'[3]5.급수원단위'!$B$31:$G$35,4,FALSE)</f>
        <v>308</v>
      </c>
      <c r="O30" s="302">
        <f>VLOOKUP($F30,'[3]5.급수원단위'!$B$31:$G$35,5,FALSE)</f>
        <v>310</v>
      </c>
      <c r="P30" s="302">
        <f>VLOOKUP($F30,'[3]5.급수원단위'!$B$31:$G$35,6,FALSE)</f>
        <v>310</v>
      </c>
      <c r="Q30" s="302">
        <f>ROUND(IF(G30=0,0,VLOOKUP(C30,'2013실사용량 정리'!$D$6:$F$381,3,FALSE)),0)</f>
        <v>0</v>
      </c>
      <c r="R30" s="302">
        <f t="shared" si="4"/>
        <v>0</v>
      </c>
      <c r="S30" s="302">
        <f t="shared" si="4"/>
        <v>0</v>
      </c>
      <c r="T30" s="302">
        <f t="shared" si="4"/>
        <v>0</v>
      </c>
      <c r="U30" s="302">
        <f t="shared" si="4"/>
        <v>0</v>
      </c>
      <c r="V30" s="327"/>
      <c r="W30" s="343" t="str">
        <f t="shared" si="3"/>
        <v/>
      </c>
      <c r="X30" s="327"/>
      <c r="Y30" s="327"/>
      <c r="Z30" s="327"/>
      <c r="AA30" s="327"/>
      <c r="AB30" s="327"/>
      <c r="AC30" s="327"/>
      <c r="AD30" s="327"/>
    </row>
    <row r="31" spans="1:30" ht="20.100000000000001" customHeight="1">
      <c r="A31" s="340"/>
      <c r="B31" s="340"/>
      <c r="C31" s="406" t="s">
        <v>1488</v>
      </c>
      <c r="D31" s="330" t="s">
        <v>1299</v>
      </c>
      <c r="E31" s="527">
        <v>0</v>
      </c>
      <c r="F31" s="527" t="s">
        <v>1317</v>
      </c>
      <c r="G31" s="302">
        <f>IF($D31="A",ROUND(VLOOKUP($C31,'[2]2.행정구역별 급수인구'!$C$7:$AD$997,17,FALSE)*$E31,0),IF($D31="B",(ROUND(VLOOKUP($C31,'[2]2.행정구역별 급수인구'!$C$7:$AD$997,17,FALSE)-VLOOKUP($C31,'[2]2.행정구역별 급수인구'!$C$7:$AD$997,17,FALSE)*(1-$E31),0)),VLOOKUP($C31,'[2]2.행정구역별 급수인구'!$C$7:$AD$997,17,FALSE)))</f>
        <v>0</v>
      </c>
      <c r="H31" s="302">
        <f>IF($D31="A",ROUND(VLOOKUP($C31,'[2]2.행정구역별 급수인구'!$C$7:$AD$997,25,FALSE)*$E31,0),IF($D31="B",(ROUND(VLOOKUP($C31,'[2]2.행정구역별 급수인구'!$C$7:$AD$997,25,FALSE)-VLOOKUP($C31,'[2]2.행정구역별 급수인구'!$C$7:$AD$997,25,FALSE)*(1-$E31),0)),VLOOKUP($C31,'[2]2.행정구역별 급수인구'!$C$7:$AD$997,25,FALSE)))</f>
        <v>0</v>
      </c>
      <c r="I31" s="302">
        <f>IF($D31="A",ROUND(VLOOKUP($C31,'[2]2.행정구역별 급수인구'!$C$7:$AD$997,26,FALSE)*$E31,0),IF($D31="B",(ROUND(VLOOKUP($C31,'[2]2.행정구역별 급수인구'!$C$7:$AD$997,26,FALSE)-VLOOKUP($C31,'[2]2.행정구역별 급수인구'!$C$7:$AD$997,26,FALSE)*(1-$E31),0)),VLOOKUP($C31,'[2]2.행정구역별 급수인구'!$C$7:$AD$997,26,FALSE)))</f>
        <v>0</v>
      </c>
      <c r="J31" s="302">
        <f>IF($D31="A",ROUND(VLOOKUP($C31,'[2]2.행정구역별 급수인구'!$C$7:$AD$997,27,FALSE)*$E31,0),IF($D31="B",(ROUND(VLOOKUP($C31,'[2]2.행정구역별 급수인구'!$C$7:$AD$997,27,FALSE)-VLOOKUP($C31,'[2]2.행정구역별 급수인구'!$C$7:$AD$997,27,FALSE)*(1-$E31),0)),VLOOKUP($C31,'[2]2.행정구역별 급수인구'!$C$7:$AD$997,27,FALSE)))</f>
        <v>0</v>
      </c>
      <c r="K31" s="302">
        <f>IF($D31="A",ROUND(VLOOKUP($C31,'[2]2.행정구역별 급수인구'!$C$7:$AD$997,28,FALSE)*$E31,0),IF($D31="B",(ROUND(VLOOKUP($C31,'[2]2.행정구역별 급수인구'!$C$7:$AD$997,28,FALSE)-VLOOKUP($C31,'[2]2.행정구역별 급수인구'!$C$7:$AD$997,28,FALSE)*(1-$E31),0)),VLOOKUP($C31,'[2]2.행정구역별 급수인구'!$C$7:$AD$997,28,FALSE)))</f>
        <v>0</v>
      </c>
      <c r="L31" s="302">
        <f>VLOOKUP($F31,'[3]5.급수원단위'!$B$31:$G$35,2,FALSE)</f>
        <v>272</v>
      </c>
      <c r="M31" s="302">
        <f>VLOOKUP($F31,'[3]5.급수원단위'!$B$31:$G$35,3,FALSE)</f>
        <v>304</v>
      </c>
      <c r="N31" s="302">
        <f>VLOOKUP($F31,'[3]5.급수원단위'!$B$31:$G$35,4,FALSE)</f>
        <v>308</v>
      </c>
      <c r="O31" s="302">
        <f>VLOOKUP($F31,'[3]5.급수원단위'!$B$31:$G$35,5,FALSE)</f>
        <v>310</v>
      </c>
      <c r="P31" s="302">
        <f>VLOOKUP($F31,'[3]5.급수원단위'!$B$31:$G$35,6,FALSE)</f>
        <v>310</v>
      </c>
      <c r="Q31" s="302">
        <f>ROUND(IF(G31=0,0,VLOOKUP(C31,'2013실사용량 정리'!$D$6:$F$381,3,FALSE)),0)</f>
        <v>0</v>
      </c>
      <c r="R31" s="302">
        <f t="shared" si="4"/>
        <v>0</v>
      </c>
      <c r="S31" s="302">
        <f t="shared" si="4"/>
        <v>0</v>
      </c>
      <c r="T31" s="302">
        <f t="shared" si="4"/>
        <v>0</v>
      </c>
      <c r="U31" s="302">
        <f t="shared" si="4"/>
        <v>0</v>
      </c>
      <c r="V31" s="327"/>
      <c r="W31" s="343" t="str">
        <f t="shared" si="3"/>
        <v/>
      </c>
      <c r="X31" s="327"/>
      <c r="Y31" s="327"/>
      <c r="Z31" s="327"/>
      <c r="AA31" s="327"/>
      <c r="AB31" s="327"/>
      <c r="AC31" s="327"/>
      <c r="AD31" s="327"/>
    </row>
    <row r="32" spans="1:30" ht="20.100000000000001" customHeight="1">
      <c r="A32" s="340"/>
      <c r="B32" s="340"/>
      <c r="C32" s="535" t="s">
        <v>1489</v>
      </c>
      <c r="D32" s="530" t="s">
        <v>1299</v>
      </c>
      <c r="E32" s="527">
        <v>0</v>
      </c>
      <c r="F32" s="527" t="s">
        <v>1317</v>
      </c>
      <c r="G32" s="302">
        <f>IF($D32="A",ROUND(VLOOKUP($C32,'[2]2.행정구역별 급수인구'!$C$7:$AD$997,17,FALSE)*$E32,0),IF($D32="B",(ROUND(VLOOKUP($C32,'[2]2.행정구역별 급수인구'!$C$7:$AD$997,17,FALSE)-VLOOKUP($C32,'[2]2.행정구역별 급수인구'!$C$7:$AD$997,17,FALSE)*(1-$E32),0)),VLOOKUP($C32,'[2]2.행정구역별 급수인구'!$C$7:$AD$997,17,FALSE)))</f>
        <v>0</v>
      </c>
      <c r="H32" s="536">
        <f>IF($D32="A",ROUND(VLOOKUP($C32,'[2]2.행정구역별 급수인구'!$C$7:$AD$997,25,FALSE)*$E32,0),IF($D32="B",(ROUND(VLOOKUP($C32,'[2]2.행정구역별 급수인구'!$C$7:$AD$997,25,FALSE)-VLOOKUP($C32,'[2]2.행정구역별 급수인구'!$C$7:$AD$997,25,FALSE)*(1-$E32),0)),VLOOKUP($C32,'[2]2.행정구역별 급수인구'!$C$7:$AD$997,25,FALSE)))</f>
        <v>0</v>
      </c>
      <c r="I32" s="536">
        <f>IF($D32="A",ROUND(VLOOKUP($C32,'[2]2.행정구역별 급수인구'!$C$7:$AD$997,26,FALSE)*$E32,0),IF($D32="B",(ROUND(VLOOKUP($C32,'[2]2.행정구역별 급수인구'!$C$7:$AD$997,26,FALSE)-VLOOKUP($C32,'[2]2.행정구역별 급수인구'!$C$7:$AD$997,26,FALSE)*(1-$E32),0)),VLOOKUP($C32,'[2]2.행정구역별 급수인구'!$C$7:$AD$997,26,FALSE)))</f>
        <v>0</v>
      </c>
      <c r="J32" s="536">
        <f>IF($D32="A",ROUND(VLOOKUP($C32,'[2]2.행정구역별 급수인구'!$C$7:$AD$997,27,FALSE)*$E32,0),IF($D32="B",(ROUND(VLOOKUP($C32,'[2]2.행정구역별 급수인구'!$C$7:$AD$997,27,FALSE)-VLOOKUP($C32,'[2]2.행정구역별 급수인구'!$C$7:$AD$997,27,FALSE)*(1-$E32),0)),VLOOKUP($C32,'[2]2.행정구역별 급수인구'!$C$7:$AD$997,27,FALSE)))</f>
        <v>0</v>
      </c>
      <c r="K32" s="536">
        <f>IF($D32="A",ROUND(VLOOKUP($C32,'[2]2.행정구역별 급수인구'!$C$7:$AD$997,28,FALSE)*$E32,0),IF($D32="B",(ROUND(VLOOKUP($C32,'[2]2.행정구역별 급수인구'!$C$7:$AD$997,28,FALSE)-VLOOKUP($C32,'[2]2.행정구역별 급수인구'!$C$7:$AD$997,28,FALSE)*(1-$E32),0)),VLOOKUP($C32,'[2]2.행정구역별 급수인구'!$C$7:$AD$997,28,FALSE)))</f>
        <v>0</v>
      </c>
      <c r="L32" s="302">
        <f>VLOOKUP($F32,'[3]5.급수원단위'!$B$31:$G$35,2,FALSE)</f>
        <v>272</v>
      </c>
      <c r="M32" s="536">
        <f>VLOOKUP($F32,'[3]5.급수원단위'!$B$31:$G$35,3,FALSE)</f>
        <v>304</v>
      </c>
      <c r="N32" s="536">
        <f>VLOOKUP($F32,'[3]5.급수원단위'!$B$31:$G$35,4,FALSE)</f>
        <v>308</v>
      </c>
      <c r="O32" s="536">
        <f>VLOOKUP($F32,'[3]5.급수원단위'!$B$31:$G$35,5,FALSE)</f>
        <v>310</v>
      </c>
      <c r="P32" s="536">
        <f>VLOOKUP($F32,'[3]5.급수원단위'!$B$31:$G$35,6,FALSE)</f>
        <v>310</v>
      </c>
      <c r="Q32" s="302">
        <f>ROUND(IF(G32=0,0,VLOOKUP(C32,'2013실사용량 정리'!$D$6:$F$381,3,FALSE)),0)</f>
        <v>0</v>
      </c>
      <c r="R32" s="536">
        <f t="shared" si="4"/>
        <v>0</v>
      </c>
      <c r="S32" s="536">
        <f t="shared" si="4"/>
        <v>0</v>
      </c>
      <c r="T32" s="536">
        <f t="shared" si="4"/>
        <v>0</v>
      </c>
      <c r="U32" s="536">
        <f t="shared" si="4"/>
        <v>0</v>
      </c>
      <c r="V32" s="327"/>
      <c r="W32" s="343" t="str">
        <f t="shared" si="3"/>
        <v/>
      </c>
      <c r="X32" s="327"/>
      <c r="Y32" s="327"/>
      <c r="Z32" s="327"/>
      <c r="AA32" s="327"/>
      <c r="AB32" s="327"/>
      <c r="AC32" s="327"/>
      <c r="AD32" s="327"/>
    </row>
    <row r="33" spans="1:30" ht="20.100000000000001" customHeight="1">
      <c r="A33" s="340"/>
      <c r="B33" s="340"/>
      <c r="C33" s="406" t="s">
        <v>1490</v>
      </c>
      <c r="D33" s="330" t="s">
        <v>1299</v>
      </c>
      <c r="E33" s="527">
        <v>0.8</v>
      </c>
      <c r="F33" s="527" t="s">
        <v>1317</v>
      </c>
      <c r="G33" s="302">
        <f>IF($D33="A",ROUND(VLOOKUP($C33,'[2]2.행정구역별 급수인구'!$C$7:$AD$997,17,FALSE)*$E33,0),IF($D33="B",(ROUND(VLOOKUP($C33,'[2]2.행정구역별 급수인구'!$C$7:$AD$997,17,FALSE)-VLOOKUP($C33,'[2]2.행정구역별 급수인구'!$C$7:$AD$997,17,FALSE)*(1-$E33),0)),VLOOKUP($C33,'[2]2.행정구역별 급수인구'!$C$7:$AD$997,17,FALSE)))</f>
        <v>42</v>
      </c>
      <c r="H33" s="302">
        <f>IF($D33="A",ROUND(VLOOKUP($C33,'[2]2.행정구역별 급수인구'!$C$7:$AD$997,25,FALSE)*$E33,0),IF($D33="B",(ROUND(VLOOKUP($C33,'[2]2.행정구역별 급수인구'!$C$7:$AD$997,25,FALSE)-VLOOKUP($C33,'[2]2.행정구역별 급수인구'!$C$7:$AD$997,25,FALSE)*(1-$E33),0)),VLOOKUP($C33,'[2]2.행정구역별 급수인구'!$C$7:$AD$997,25,FALSE)))</f>
        <v>48</v>
      </c>
      <c r="I33" s="302">
        <f>IF($D33="A",ROUND(VLOOKUP($C33,'[2]2.행정구역별 급수인구'!$C$7:$AD$997,26,FALSE)*$E33,0),IF($D33="B",(ROUND(VLOOKUP($C33,'[2]2.행정구역별 급수인구'!$C$7:$AD$997,26,FALSE)-VLOOKUP($C33,'[2]2.행정구역별 급수인구'!$C$7:$AD$997,26,FALSE)*(1-$E33),0)),VLOOKUP($C33,'[2]2.행정구역별 급수인구'!$C$7:$AD$997,26,FALSE)))</f>
        <v>50</v>
      </c>
      <c r="J33" s="302">
        <f>IF($D33="A",ROUND(VLOOKUP($C33,'[2]2.행정구역별 급수인구'!$C$7:$AD$997,27,FALSE)*$E33,0),IF($D33="B",(ROUND(VLOOKUP($C33,'[2]2.행정구역별 급수인구'!$C$7:$AD$997,27,FALSE)-VLOOKUP($C33,'[2]2.행정구역별 급수인구'!$C$7:$AD$997,27,FALSE)*(1-$E33),0)),VLOOKUP($C33,'[2]2.행정구역별 급수인구'!$C$7:$AD$997,27,FALSE)))</f>
        <v>54</v>
      </c>
      <c r="K33" s="302">
        <f>IF($D33="A",ROUND(VLOOKUP($C33,'[2]2.행정구역별 급수인구'!$C$7:$AD$997,28,FALSE)*$E33,0),IF($D33="B",(ROUND(VLOOKUP($C33,'[2]2.행정구역별 급수인구'!$C$7:$AD$997,28,FALSE)-VLOOKUP($C33,'[2]2.행정구역별 급수인구'!$C$7:$AD$997,28,FALSE)*(1-$E33),0)),VLOOKUP($C33,'[2]2.행정구역별 급수인구'!$C$7:$AD$997,28,FALSE)))</f>
        <v>54</v>
      </c>
      <c r="L33" s="302">
        <f>VLOOKUP($F33,'[3]5.급수원단위'!$B$31:$G$35,2,FALSE)</f>
        <v>272</v>
      </c>
      <c r="M33" s="302">
        <f>VLOOKUP($F33,'[3]5.급수원단위'!$B$31:$G$35,3,FALSE)</f>
        <v>304</v>
      </c>
      <c r="N33" s="302">
        <f>VLOOKUP($F33,'[3]5.급수원단위'!$B$31:$G$35,4,FALSE)</f>
        <v>308</v>
      </c>
      <c r="O33" s="302">
        <f>VLOOKUP($F33,'[3]5.급수원단위'!$B$31:$G$35,5,FALSE)</f>
        <v>310</v>
      </c>
      <c r="P33" s="302">
        <f>VLOOKUP($F33,'[3]5.급수원단위'!$B$31:$G$35,6,FALSE)</f>
        <v>310</v>
      </c>
      <c r="Q33" s="302">
        <f>ROUND(IF(G33=0,0,VLOOKUP(C33,'2013실사용량 정리'!$D$6:$F$381,3,FALSE)),0)</f>
        <v>24</v>
      </c>
      <c r="R33" s="302">
        <f t="shared" si="4"/>
        <v>15</v>
      </c>
      <c r="S33" s="302">
        <f t="shared" si="4"/>
        <v>15</v>
      </c>
      <c r="T33" s="302">
        <f t="shared" si="4"/>
        <v>17</v>
      </c>
      <c r="U33" s="302">
        <f t="shared" si="4"/>
        <v>17</v>
      </c>
      <c r="V33" s="327"/>
      <c r="W33" s="343">
        <f t="shared" si="3"/>
        <v>0.70833333333333337</v>
      </c>
      <c r="X33" s="327"/>
      <c r="Y33" s="327"/>
      <c r="Z33" s="327"/>
      <c r="AA33" s="327"/>
      <c r="AB33" s="327"/>
      <c r="AC33" s="327"/>
      <c r="AD33" s="327"/>
    </row>
    <row r="34" spans="1:30" ht="20.100000000000001" customHeight="1">
      <c r="A34" s="340"/>
      <c r="B34" s="694" t="s">
        <v>1211</v>
      </c>
      <c r="C34" s="694"/>
      <c r="D34" s="694"/>
      <c r="E34" s="331"/>
      <c r="F34" s="331"/>
      <c r="G34" s="336">
        <f>SUM(G35:G89)</f>
        <v>4701</v>
      </c>
      <c r="H34" s="336">
        <f t="shared" ref="H34:K34" si="5">SUM(H35:H89)</f>
        <v>8469</v>
      </c>
      <c r="I34" s="336">
        <f t="shared" si="5"/>
        <v>8769</v>
      </c>
      <c r="J34" s="336">
        <f t="shared" si="5"/>
        <v>8895</v>
      </c>
      <c r="K34" s="336">
        <f t="shared" si="5"/>
        <v>8995</v>
      </c>
      <c r="L34" s="336"/>
      <c r="M34" s="336"/>
      <c r="N34" s="336"/>
      <c r="O34" s="336"/>
      <c r="P34" s="336"/>
      <c r="Q34" s="336">
        <f t="shared" ref="Q34:U34" si="6">SUM(Q35:Q89)</f>
        <v>2152</v>
      </c>
      <c r="R34" s="336">
        <f t="shared" si="6"/>
        <v>3306</v>
      </c>
      <c r="S34" s="336">
        <f t="shared" si="6"/>
        <v>3656</v>
      </c>
      <c r="T34" s="336">
        <f t="shared" si="6"/>
        <v>3905</v>
      </c>
      <c r="U34" s="336">
        <f t="shared" si="6"/>
        <v>4083</v>
      </c>
      <c r="V34" s="343">
        <f>VLOOKUP(B34,'2013년도 용수량 비율'!$A$5:$F$20,6,FALSE)</f>
        <v>-0.31</v>
      </c>
      <c r="W34" s="343"/>
      <c r="X34" s="327"/>
      <c r="Y34" s="327"/>
      <c r="Z34" s="327"/>
      <c r="AA34" s="327"/>
      <c r="AB34" s="327"/>
      <c r="AC34" s="327"/>
      <c r="AD34" s="327"/>
    </row>
    <row r="35" spans="1:30" ht="20.100000000000001" customHeight="1">
      <c r="A35" s="340"/>
      <c r="B35" s="339"/>
      <c r="C35" s="406" t="s">
        <v>1319</v>
      </c>
      <c r="D35" s="330" t="s">
        <v>1299</v>
      </c>
      <c r="E35" s="527">
        <v>1</v>
      </c>
      <c r="F35" s="527" t="s">
        <v>1331</v>
      </c>
      <c r="G35" s="302">
        <f>IF($D35="A",ROUND(VLOOKUP($C35,'[2]2.행정구역별 급수인구'!$C$7:$AD$997,17,FALSE)*$E35,0),IF($D35="B",(ROUND(VLOOKUP($C35,'[2]2.행정구역별 급수인구'!$C$7:$AD$997,17,FALSE)-VLOOKUP($C35,'[2]2.행정구역별 급수인구'!$C$7:$AD$997,17,FALSE)*(1-$E35),0)),VLOOKUP($C35,'[2]2.행정구역별 급수인구'!$C$7:$AD$997,17,FALSE)))</f>
        <v>0</v>
      </c>
      <c r="H35" s="302">
        <f>IF($D35="A",ROUND(VLOOKUP($C35,'[2]2.행정구역별 급수인구'!$C$7:$AD$997,25,FALSE)*$E35,0),IF($D35="B",(ROUND(VLOOKUP($C35,'[2]2.행정구역별 급수인구'!$C$7:$AD$997,25,FALSE)-VLOOKUP($C35,'[2]2.행정구역별 급수인구'!$C$7:$AD$997,25,FALSE)*(1-$E35),0)),VLOOKUP($C35,'[2]2.행정구역별 급수인구'!$C$7:$AD$997,25,FALSE)))</f>
        <v>176</v>
      </c>
      <c r="I35" s="302">
        <f>IF($D35="A",ROUND(VLOOKUP($C35,'[2]2.행정구역별 급수인구'!$C$7:$AD$997,26,FALSE)*$E35,0),IF($D35="B",(ROUND(VLOOKUP($C35,'[2]2.행정구역별 급수인구'!$C$7:$AD$997,26,FALSE)-VLOOKUP($C35,'[2]2.행정구역별 급수인구'!$C$7:$AD$997,26,FALSE)*(1-$E35),0)),VLOOKUP($C35,'[2]2.행정구역별 급수인구'!$C$7:$AD$997,26,FALSE)))</f>
        <v>182</v>
      </c>
      <c r="J35" s="302">
        <f>IF($D35="A",ROUND(VLOOKUP($C35,'[2]2.행정구역별 급수인구'!$C$7:$AD$997,27,FALSE)*$E35,0),IF($D35="B",(ROUND(VLOOKUP($C35,'[2]2.행정구역별 급수인구'!$C$7:$AD$997,27,FALSE)-VLOOKUP($C35,'[2]2.행정구역별 급수인구'!$C$7:$AD$997,27,FALSE)*(1-$E35),0)),VLOOKUP($C35,'[2]2.행정구역별 급수인구'!$C$7:$AD$997,27,FALSE)))</f>
        <v>187</v>
      </c>
      <c r="K35" s="302">
        <f>IF($D35="A",ROUND(VLOOKUP($C35,'[2]2.행정구역별 급수인구'!$C$7:$AD$997,28,FALSE)*$E35,0),IF($D35="B",(ROUND(VLOOKUP($C35,'[2]2.행정구역별 급수인구'!$C$7:$AD$997,28,FALSE)-VLOOKUP($C35,'[2]2.행정구역별 급수인구'!$C$7:$AD$997,28,FALSE)*(1-$E35),0)),VLOOKUP($C35,'[2]2.행정구역별 급수인구'!$C$7:$AD$997,28,FALSE)))</f>
        <v>190</v>
      </c>
      <c r="L35" s="302">
        <f>VLOOKUP($F35,'[3]5.급수원단위'!$B$31:$G$35,2,FALSE)</f>
        <v>365</v>
      </c>
      <c r="M35" s="302">
        <f>VLOOKUP($F35,'[3]5.급수원단위'!$B$31:$G$35,3,FALSE)</f>
        <v>390</v>
      </c>
      <c r="N35" s="302">
        <f>VLOOKUP($F35,'[3]5.급수원단위'!$B$31:$G$35,4,FALSE)</f>
        <v>417</v>
      </c>
      <c r="O35" s="302">
        <f>VLOOKUP($F35,'[3]5.급수원단위'!$B$31:$G$35,5,FALSE)</f>
        <v>439</v>
      </c>
      <c r="P35" s="302">
        <f>VLOOKUP($F35,'[3]5.급수원단위'!$B$31:$G$35,6,FALSE)</f>
        <v>454</v>
      </c>
      <c r="Q35" s="302">
        <f>ROUND(IF(G35=0,0,VLOOKUP(C35,'2013실사용량 정리'!$D$6:$F$381,3,FALSE)),0)</f>
        <v>0</v>
      </c>
      <c r="R35" s="302">
        <f t="shared" ref="R35:U50" si="7">ROUND(H35*M35/1000,0)</f>
        <v>69</v>
      </c>
      <c r="S35" s="302">
        <f t="shared" si="7"/>
        <v>76</v>
      </c>
      <c r="T35" s="302">
        <f t="shared" si="7"/>
        <v>82</v>
      </c>
      <c r="U35" s="302">
        <f t="shared" si="7"/>
        <v>86</v>
      </c>
      <c r="V35" s="327"/>
      <c r="W35" s="343" t="str">
        <f t="shared" si="3"/>
        <v/>
      </c>
      <c r="X35" s="327"/>
      <c r="Y35" s="327"/>
      <c r="Z35" s="327"/>
      <c r="AA35" s="327"/>
      <c r="AB35" s="327"/>
      <c r="AC35" s="327"/>
      <c r="AD35" s="327"/>
    </row>
    <row r="36" spans="1:30" ht="20.100000000000001" customHeight="1">
      <c r="A36" s="340"/>
      <c r="B36" s="340"/>
      <c r="C36" s="406" t="s">
        <v>1320</v>
      </c>
      <c r="D36" s="330" t="s">
        <v>1299</v>
      </c>
      <c r="E36" s="527">
        <v>1</v>
      </c>
      <c r="F36" s="527" t="s">
        <v>1331</v>
      </c>
      <c r="G36" s="302">
        <f>IF($D36="A",ROUND(VLOOKUP($C36,'[2]2.행정구역별 급수인구'!$C$7:$AD$997,17,FALSE)*$E36,0),IF($D36="B",(ROUND(VLOOKUP($C36,'[2]2.행정구역별 급수인구'!$C$7:$AD$997,17,FALSE)-VLOOKUP($C36,'[2]2.행정구역별 급수인구'!$C$7:$AD$997,17,FALSE)*(1-$E36),0)),VLOOKUP($C36,'[2]2.행정구역별 급수인구'!$C$7:$AD$997,17,FALSE)))</f>
        <v>43</v>
      </c>
      <c r="H36" s="302">
        <f>IF($D36="A",ROUND(VLOOKUP($C36,'[2]2.행정구역별 급수인구'!$C$7:$AD$997,25,FALSE)*$E36,0),IF($D36="B",(ROUND(VLOOKUP($C36,'[2]2.행정구역별 급수인구'!$C$7:$AD$997,25,FALSE)-VLOOKUP($C36,'[2]2.행정구역별 급수인구'!$C$7:$AD$997,25,FALSE)*(1-$E36),0)),VLOOKUP($C36,'[2]2.행정구역별 급수인구'!$C$7:$AD$997,25,FALSE)))</f>
        <v>68</v>
      </c>
      <c r="I36" s="302">
        <f>IF($D36="A",ROUND(VLOOKUP($C36,'[2]2.행정구역별 급수인구'!$C$7:$AD$997,26,FALSE)*$E36,0),IF($D36="B",(ROUND(VLOOKUP($C36,'[2]2.행정구역별 급수인구'!$C$7:$AD$997,26,FALSE)-VLOOKUP($C36,'[2]2.행정구역별 급수인구'!$C$7:$AD$997,26,FALSE)*(1-$E36),0)),VLOOKUP($C36,'[2]2.행정구역별 급수인구'!$C$7:$AD$997,26,FALSE)))</f>
        <v>70</v>
      </c>
      <c r="J36" s="302">
        <f>IF($D36="A",ROUND(VLOOKUP($C36,'[2]2.행정구역별 급수인구'!$C$7:$AD$997,27,FALSE)*$E36,0),IF($D36="B",(ROUND(VLOOKUP($C36,'[2]2.행정구역별 급수인구'!$C$7:$AD$997,27,FALSE)-VLOOKUP($C36,'[2]2.행정구역별 급수인구'!$C$7:$AD$997,27,FALSE)*(1-$E36),0)),VLOOKUP($C36,'[2]2.행정구역별 급수인구'!$C$7:$AD$997,27,FALSE)))</f>
        <v>72</v>
      </c>
      <c r="K36" s="302">
        <f>IF($D36="A",ROUND(VLOOKUP($C36,'[2]2.행정구역별 급수인구'!$C$7:$AD$997,28,FALSE)*$E36,0),IF($D36="B",(ROUND(VLOOKUP($C36,'[2]2.행정구역별 급수인구'!$C$7:$AD$997,28,FALSE)-VLOOKUP($C36,'[2]2.행정구역별 급수인구'!$C$7:$AD$997,28,FALSE)*(1-$E36),0)),VLOOKUP($C36,'[2]2.행정구역별 급수인구'!$C$7:$AD$997,28,FALSE)))</f>
        <v>73</v>
      </c>
      <c r="L36" s="302">
        <f>VLOOKUP($F36,'[3]5.급수원단위'!$B$31:$G$35,2,FALSE)</f>
        <v>365</v>
      </c>
      <c r="M36" s="302">
        <f>VLOOKUP($F36,'[3]5.급수원단위'!$B$31:$G$35,3,FALSE)</f>
        <v>390</v>
      </c>
      <c r="N36" s="302">
        <f>VLOOKUP($F36,'[3]5.급수원단위'!$B$31:$G$35,4,FALSE)</f>
        <v>417</v>
      </c>
      <c r="O36" s="302">
        <f>VLOOKUP($F36,'[3]5.급수원단위'!$B$31:$G$35,5,FALSE)</f>
        <v>439</v>
      </c>
      <c r="P36" s="302">
        <f>VLOOKUP($F36,'[3]5.급수원단위'!$B$31:$G$35,6,FALSE)</f>
        <v>454</v>
      </c>
      <c r="Q36" s="302">
        <f>ROUND(IF(G36=0,0,VLOOKUP(C36,'2013실사용량 정리'!$D$6:$F$381,3,FALSE)),0)</f>
        <v>9</v>
      </c>
      <c r="R36" s="302">
        <f t="shared" si="7"/>
        <v>27</v>
      </c>
      <c r="S36" s="302">
        <f t="shared" si="7"/>
        <v>29</v>
      </c>
      <c r="T36" s="302">
        <f t="shared" si="7"/>
        <v>32</v>
      </c>
      <c r="U36" s="302">
        <f t="shared" si="7"/>
        <v>33</v>
      </c>
      <c r="V36" s="327"/>
      <c r="W36" s="343">
        <f t="shared" si="3"/>
        <v>3.6666666666666665</v>
      </c>
      <c r="X36" s="327"/>
      <c r="Y36" s="327"/>
      <c r="Z36" s="327"/>
      <c r="AA36" s="327"/>
      <c r="AB36" s="327"/>
      <c r="AC36" s="327"/>
      <c r="AD36" s="327"/>
    </row>
    <row r="37" spans="1:30" ht="20.100000000000001" customHeight="1">
      <c r="A37" s="340"/>
      <c r="B37" s="340"/>
      <c r="C37" s="406" t="s">
        <v>1321</v>
      </c>
      <c r="D37" s="330" t="s">
        <v>1299</v>
      </c>
      <c r="E37" s="527">
        <v>1</v>
      </c>
      <c r="F37" s="527" t="s">
        <v>1331</v>
      </c>
      <c r="G37" s="302">
        <f>IF($D37="A",ROUND(VLOOKUP($C37,'[2]2.행정구역별 급수인구'!$C$7:$AD$997,17,FALSE)*$E37,0),IF($D37="B",(ROUND(VLOOKUP($C37,'[2]2.행정구역별 급수인구'!$C$7:$AD$997,17,FALSE)-VLOOKUP($C37,'[2]2.행정구역별 급수인구'!$C$7:$AD$997,17,FALSE)*(1-$E37),0)),VLOOKUP($C37,'[2]2.행정구역별 급수인구'!$C$7:$AD$997,17,FALSE)))</f>
        <v>160</v>
      </c>
      <c r="H37" s="302">
        <f>IF($D37="A",ROUND(VLOOKUP($C37,'[2]2.행정구역별 급수인구'!$C$7:$AD$997,25,FALSE)*$E37,0),IF($D37="B",(ROUND(VLOOKUP($C37,'[2]2.행정구역별 급수인구'!$C$7:$AD$997,25,FALSE)-VLOOKUP($C37,'[2]2.행정구역별 급수인구'!$C$7:$AD$997,25,FALSE)*(1-$E37),0)),VLOOKUP($C37,'[2]2.행정구역별 급수인구'!$C$7:$AD$997,25,FALSE)))</f>
        <v>158</v>
      </c>
      <c r="I37" s="302">
        <f>IF($D37="A",ROUND(VLOOKUP($C37,'[2]2.행정구역별 급수인구'!$C$7:$AD$997,26,FALSE)*$E37,0),IF($D37="B",(ROUND(VLOOKUP($C37,'[2]2.행정구역별 급수인구'!$C$7:$AD$997,26,FALSE)-VLOOKUP($C37,'[2]2.행정구역별 급수인구'!$C$7:$AD$997,26,FALSE)*(1-$E37),0)),VLOOKUP($C37,'[2]2.행정구역별 급수인구'!$C$7:$AD$997,26,FALSE)))</f>
        <v>162</v>
      </c>
      <c r="J37" s="302">
        <f>IF($D37="A",ROUND(VLOOKUP($C37,'[2]2.행정구역별 급수인구'!$C$7:$AD$997,27,FALSE)*$E37,0),IF($D37="B",(ROUND(VLOOKUP($C37,'[2]2.행정구역별 급수인구'!$C$7:$AD$997,27,FALSE)-VLOOKUP($C37,'[2]2.행정구역별 급수인구'!$C$7:$AD$997,27,FALSE)*(1-$E37),0)),VLOOKUP($C37,'[2]2.행정구역별 급수인구'!$C$7:$AD$997,27,FALSE)))</f>
        <v>165</v>
      </c>
      <c r="K37" s="302">
        <f>IF($D37="A",ROUND(VLOOKUP($C37,'[2]2.행정구역별 급수인구'!$C$7:$AD$997,28,FALSE)*$E37,0),IF($D37="B",(ROUND(VLOOKUP($C37,'[2]2.행정구역별 급수인구'!$C$7:$AD$997,28,FALSE)-VLOOKUP($C37,'[2]2.행정구역별 급수인구'!$C$7:$AD$997,28,FALSE)*(1-$E37),0)),VLOOKUP($C37,'[2]2.행정구역별 급수인구'!$C$7:$AD$997,28,FALSE)))</f>
        <v>169</v>
      </c>
      <c r="L37" s="302">
        <f>VLOOKUP($F37,'[3]5.급수원단위'!$B$31:$G$35,2,FALSE)</f>
        <v>365</v>
      </c>
      <c r="M37" s="302">
        <f>VLOOKUP($F37,'[3]5.급수원단위'!$B$31:$G$35,3,FALSE)</f>
        <v>390</v>
      </c>
      <c r="N37" s="302">
        <f>VLOOKUP($F37,'[3]5.급수원단위'!$B$31:$G$35,4,FALSE)</f>
        <v>417</v>
      </c>
      <c r="O37" s="302">
        <f>VLOOKUP($F37,'[3]5.급수원단위'!$B$31:$G$35,5,FALSE)</f>
        <v>439</v>
      </c>
      <c r="P37" s="302">
        <f>VLOOKUP($F37,'[3]5.급수원단위'!$B$31:$G$35,6,FALSE)</f>
        <v>454</v>
      </c>
      <c r="Q37" s="302">
        <f>ROUND(IF(G37=0,0,VLOOKUP(C37,'2013실사용량 정리'!$D$6:$F$381,3,FALSE)),0)</f>
        <v>82</v>
      </c>
      <c r="R37" s="302">
        <f t="shared" si="7"/>
        <v>62</v>
      </c>
      <c r="S37" s="302">
        <f t="shared" si="7"/>
        <v>68</v>
      </c>
      <c r="T37" s="302">
        <f t="shared" si="7"/>
        <v>72</v>
      </c>
      <c r="U37" s="302">
        <f t="shared" si="7"/>
        <v>77</v>
      </c>
      <c r="V37" s="327"/>
      <c r="W37" s="343">
        <f t="shared" si="3"/>
        <v>0.93902439024390238</v>
      </c>
      <c r="X37" s="327"/>
      <c r="Y37" s="327"/>
      <c r="Z37" s="327"/>
      <c r="AA37" s="327"/>
      <c r="AB37" s="327"/>
      <c r="AC37" s="327"/>
      <c r="AD37" s="327"/>
    </row>
    <row r="38" spans="1:30" ht="20.100000000000001" customHeight="1">
      <c r="A38" s="340"/>
      <c r="B38" s="340"/>
      <c r="C38" s="406" t="s">
        <v>1322</v>
      </c>
      <c r="D38" s="330" t="s">
        <v>1299</v>
      </c>
      <c r="E38" s="527">
        <v>1</v>
      </c>
      <c r="F38" s="527" t="s">
        <v>1331</v>
      </c>
      <c r="G38" s="302">
        <f>IF($D38="A",ROUND(VLOOKUP($C38,'[2]2.행정구역별 급수인구'!$C$7:$AD$997,17,FALSE)*$E38,0),IF($D38="B",(ROUND(VLOOKUP($C38,'[2]2.행정구역별 급수인구'!$C$7:$AD$997,17,FALSE)-VLOOKUP($C38,'[2]2.행정구역별 급수인구'!$C$7:$AD$997,17,FALSE)*(1-$E38),0)),VLOOKUP($C38,'[2]2.행정구역별 급수인구'!$C$7:$AD$997,17,FALSE)))</f>
        <v>316</v>
      </c>
      <c r="H38" s="302">
        <f>IF($D38="A",ROUND(VLOOKUP($C38,'[2]2.행정구역별 급수인구'!$C$7:$AD$997,25,FALSE)*$E38,0),IF($D38="B",(ROUND(VLOOKUP($C38,'[2]2.행정구역별 급수인구'!$C$7:$AD$997,25,FALSE)-VLOOKUP($C38,'[2]2.행정구역별 급수인구'!$C$7:$AD$997,25,FALSE)*(1-$E38),0)),VLOOKUP($C38,'[2]2.행정구역별 급수인구'!$C$7:$AD$997,25,FALSE)))</f>
        <v>312</v>
      </c>
      <c r="I38" s="302">
        <f>IF($D38="A",ROUND(VLOOKUP($C38,'[2]2.행정구역별 급수인구'!$C$7:$AD$997,26,FALSE)*$E38,0),IF($D38="B",(ROUND(VLOOKUP($C38,'[2]2.행정구역별 급수인구'!$C$7:$AD$997,26,FALSE)-VLOOKUP($C38,'[2]2.행정구역별 급수인구'!$C$7:$AD$997,26,FALSE)*(1-$E38),0)),VLOOKUP($C38,'[2]2.행정구역별 급수인구'!$C$7:$AD$997,26,FALSE)))</f>
        <v>322</v>
      </c>
      <c r="J38" s="302">
        <f>IF($D38="A",ROUND(VLOOKUP($C38,'[2]2.행정구역별 급수인구'!$C$7:$AD$997,27,FALSE)*$E38,0),IF($D38="B",(ROUND(VLOOKUP($C38,'[2]2.행정구역별 급수인구'!$C$7:$AD$997,27,FALSE)-VLOOKUP($C38,'[2]2.행정구역별 급수인구'!$C$7:$AD$997,27,FALSE)*(1-$E38),0)),VLOOKUP($C38,'[2]2.행정구역별 급수인구'!$C$7:$AD$997,27,FALSE)))</f>
        <v>330</v>
      </c>
      <c r="K38" s="302">
        <f>IF($D38="A",ROUND(VLOOKUP($C38,'[2]2.행정구역별 급수인구'!$C$7:$AD$997,28,FALSE)*$E38,0),IF($D38="B",(ROUND(VLOOKUP($C38,'[2]2.행정구역별 급수인구'!$C$7:$AD$997,28,FALSE)-VLOOKUP($C38,'[2]2.행정구역별 급수인구'!$C$7:$AD$997,28,FALSE)*(1-$E38),0)),VLOOKUP($C38,'[2]2.행정구역별 급수인구'!$C$7:$AD$997,28,FALSE)))</f>
        <v>336</v>
      </c>
      <c r="L38" s="302">
        <f>VLOOKUP($F38,'[3]5.급수원단위'!$B$31:$G$35,2,FALSE)</f>
        <v>365</v>
      </c>
      <c r="M38" s="302">
        <f>VLOOKUP($F38,'[3]5.급수원단위'!$B$31:$G$35,3,FALSE)</f>
        <v>390</v>
      </c>
      <c r="N38" s="302">
        <f>VLOOKUP($F38,'[3]5.급수원단위'!$B$31:$G$35,4,FALSE)</f>
        <v>417</v>
      </c>
      <c r="O38" s="302">
        <f>VLOOKUP($F38,'[3]5.급수원단위'!$B$31:$G$35,5,FALSE)</f>
        <v>439</v>
      </c>
      <c r="P38" s="302">
        <f>VLOOKUP($F38,'[3]5.급수원단위'!$B$31:$G$35,6,FALSE)</f>
        <v>454</v>
      </c>
      <c r="Q38" s="302">
        <f>ROUND(IF(G38=0,0,VLOOKUP(C38,'2013실사용량 정리'!$D$6:$F$381,3,FALSE)),0)</f>
        <v>162</v>
      </c>
      <c r="R38" s="302">
        <f t="shared" si="7"/>
        <v>122</v>
      </c>
      <c r="S38" s="302">
        <f t="shared" si="7"/>
        <v>134</v>
      </c>
      <c r="T38" s="302">
        <f t="shared" si="7"/>
        <v>145</v>
      </c>
      <c r="U38" s="302">
        <f t="shared" si="7"/>
        <v>153</v>
      </c>
      <c r="V38" s="327"/>
      <c r="W38" s="343">
        <f t="shared" si="3"/>
        <v>0.94444444444444442</v>
      </c>
      <c r="X38" s="327"/>
      <c r="Y38" s="327"/>
      <c r="Z38" s="327"/>
      <c r="AA38" s="327"/>
      <c r="AB38" s="327"/>
      <c r="AC38" s="327"/>
      <c r="AD38" s="327"/>
    </row>
    <row r="39" spans="1:30" ht="20.100000000000001" customHeight="1">
      <c r="A39" s="386"/>
      <c r="B39" s="386"/>
      <c r="C39" s="406" t="s">
        <v>1323</v>
      </c>
      <c r="D39" s="330" t="s">
        <v>1299</v>
      </c>
      <c r="E39" s="527">
        <v>1</v>
      </c>
      <c r="F39" s="527" t="s">
        <v>1331</v>
      </c>
      <c r="G39" s="302">
        <f>IF($D39="A",ROUND(VLOOKUP($C39,'[2]2.행정구역별 급수인구'!$C$7:$AD$997,17,FALSE)*$E39,0),IF($D39="B",(ROUND(VLOOKUP($C39,'[2]2.행정구역별 급수인구'!$C$7:$AD$997,17,FALSE)-VLOOKUP($C39,'[2]2.행정구역별 급수인구'!$C$7:$AD$997,17,FALSE)*(1-$E39),0)),VLOOKUP($C39,'[2]2.행정구역별 급수인구'!$C$7:$AD$997,17,FALSE)))</f>
        <v>568</v>
      </c>
      <c r="H39" s="302">
        <f>IF($D39="A",ROUND(VLOOKUP($C39,'[2]2.행정구역별 급수인구'!$C$7:$AD$997,25,FALSE)*$E39,0),IF($D39="B",(ROUND(VLOOKUP($C39,'[2]2.행정구역별 급수인구'!$C$7:$AD$997,25,FALSE)-VLOOKUP($C39,'[2]2.행정구역별 급수인구'!$C$7:$AD$997,25,FALSE)*(1-$E39),0)),VLOOKUP($C39,'[2]2.행정구역별 급수인구'!$C$7:$AD$997,25,FALSE)))</f>
        <v>561</v>
      </c>
      <c r="I39" s="302">
        <f>IF($D39="A",ROUND(VLOOKUP($C39,'[2]2.행정구역별 급수인구'!$C$7:$AD$997,26,FALSE)*$E39,0),IF($D39="B",(ROUND(VLOOKUP($C39,'[2]2.행정구역별 급수인구'!$C$7:$AD$997,26,FALSE)-VLOOKUP($C39,'[2]2.행정구역별 급수인구'!$C$7:$AD$997,26,FALSE)*(1-$E39),0)),VLOOKUP($C39,'[2]2.행정구역별 급수인구'!$C$7:$AD$997,26,FALSE)))</f>
        <v>578</v>
      </c>
      <c r="J39" s="302">
        <f>IF($D39="A",ROUND(VLOOKUP($C39,'[2]2.행정구역별 급수인구'!$C$7:$AD$997,27,FALSE)*$E39,0),IF($D39="B",(ROUND(VLOOKUP($C39,'[2]2.행정구역별 급수인구'!$C$7:$AD$997,27,FALSE)-VLOOKUP($C39,'[2]2.행정구역별 급수인구'!$C$7:$AD$997,27,FALSE)*(1-$E39),0)),VLOOKUP($C39,'[2]2.행정구역별 급수인구'!$C$7:$AD$997,27,FALSE)))</f>
        <v>592</v>
      </c>
      <c r="K39" s="302">
        <f>IF($D39="A",ROUND(VLOOKUP($C39,'[2]2.행정구역별 급수인구'!$C$7:$AD$997,28,FALSE)*$E39,0),IF($D39="B",(ROUND(VLOOKUP($C39,'[2]2.행정구역별 급수인구'!$C$7:$AD$997,28,FALSE)-VLOOKUP($C39,'[2]2.행정구역별 급수인구'!$C$7:$AD$997,28,FALSE)*(1-$E39),0)),VLOOKUP($C39,'[2]2.행정구역별 급수인구'!$C$7:$AD$997,28,FALSE)))</f>
        <v>602</v>
      </c>
      <c r="L39" s="302">
        <f>VLOOKUP($F39,'[3]5.급수원단위'!$B$31:$G$35,2,FALSE)</f>
        <v>365</v>
      </c>
      <c r="M39" s="302">
        <f>VLOOKUP($F39,'[3]5.급수원단위'!$B$31:$G$35,3,FALSE)</f>
        <v>390</v>
      </c>
      <c r="N39" s="302">
        <f>VLOOKUP($F39,'[3]5.급수원단위'!$B$31:$G$35,4,FALSE)</f>
        <v>417</v>
      </c>
      <c r="O39" s="302">
        <f>VLOOKUP($F39,'[3]5.급수원단위'!$B$31:$G$35,5,FALSE)</f>
        <v>439</v>
      </c>
      <c r="P39" s="302">
        <f>VLOOKUP($F39,'[3]5.급수원단위'!$B$31:$G$35,6,FALSE)</f>
        <v>454</v>
      </c>
      <c r="Q39" s="302">
        <f>ROUND(IF(G39=0,0,VLOOKUP(C39,'2013실사용량 정리'!$D$6:$F$381,3,FALSE)),0)</f>
        <v>291</v>
      </c>
      <c r="R39" s="302">
        <f t="shared" si="7"/>
        <v>219</v>
      </c>
      <c r="S39" s="302">
        <f t="shared" si="7"/>
        <v>241</v>
      </c>
      <c r="T39" s="302">
        <f t="shared" si="7"/>
        <v>260</v>
      </c>
      <c r="U39" s="302">
        <f t="shared" si="7"/>
        <v>273</v>
      </c>
      <c r="V39" s="327"/>
      <c r="W39" s="343">
        <f t="shared" si="3"/>
        <v>0.93814432989690721</v>
      </c>
      <c r="X39" s="327"/>
      <c r="Y39" s="327"/>
      <c r="Z39" s="327"/>
      <c r="AA39" s="327"/>
      <c r="AB39" s="327"/>
      <c r="AC39" s="327"/>
      <c r="AD39" s="327"/>
    </row>
    <row r="40" spans="1:30" ht="20.100000000000001" customHeight="1">
      <c r="A40" s="339"/>
      <c r="B40" s="339"/>
      <c r="C40" s="406" t="s">
        <v>1324</v>
      </c>
      <c r="D40" s="330" t="s">
        <v>1299</v>
      </c>
      <c r="E40" s="527">
        <v>1</v>
      </c>
      <c r="F40" s="527" t="s">
        <v>1331</v>
      </c>
      <c r="G40" s="302">
        <f>IF($D40="A",ROUND(VLOOKUP($C40,'[2]2.행정구역별 급수인구'!$C$7:$AD$997,17,FALSE)*$E40,0),IF($D40="B",(ROUND(VLOOKUP($C40,'[2]2.행정구역별 급수인구'!$C$7:$AD$997,17,FALSE)-VLOOKUP($C40,'[2]2.행정구역별 급수인구'!$C$7:$AD$997,17,FALSE)*(1-$E40),0)),VLOOKUP($C40,'[2]2.행정구역별 급수인구'!$C$7:$AD$997,17,FALSE)))</f>
        <v>177</v>
      </c>
      <c r="H40" s="302">
        <f>IF($D40="A",ROUND(VLOOKUP($C40,'[2]2.행정구역별 급수인구'!$C$7:$AD$997,25,FALSE)*$E40,0),IF($D40="B",(ROUND(VLOOKUP($C40,'[2]2.행정구역별 급수인구'!$C$7:$AD$997,25,FALSE)-VLOOKUP($C40,'[2]2.행정구역별 급수인구'!$C$7:$AD$997,25,FALSE)*(1-$E40),0)),VLOOKUP($C40,'[2]2.행정구역별 급수인구'!$C$7:$AD$997,25,FALSE)))</f>
        <v>174</v>
      </c>
      <c r="I40" s="302">
        <f>IF($D40="A",ROUND(VLOOKUP($C40,'[2]2.행정구역별 급수인구'!$C$7:$AD$997,26,FALSE)*$E40,0),IF($D40="B",(ROUND(VLOOKUP($C40,'[2]2.행정구역별 급수인구'!$C$7:$AD$997,26,FALSE)-VLOOKUP($C40,'[2]2.행정구역별 급수인구'!$C$7:$AD$997,26,FALSE)*(1-$E40),0)),VLOOKUP($C40,'[2]2.행정구역별 급수인구'!$C$7:$AD$997,26,FALSE)))</f>
        <v>179</v>
      </c>
      <c r="J40" s="302">
        <f>IF($D40="A",ROUND(VLOOKUP($C40,'[2]2.행정구역별 급수인구'!$C$7:$AD$997,27,FALSE)*$E40,0),IF($D40="B",(ROUND(VLOOKUP($C40,'[2]2.행정구역별 급수인구'!$C$7:$AD$997,27,FALSE)-VLOOKUP($C40,'[2]2.행정구역별 급수인구'!$C$7:$AD$997,27,FALSE)*(1-$E40),0)),VLOOKUP($C40,'[2]2.행정구역별 급수인구'!$C$7:$AD$997,27,FALSE)))</f>
        <v>183</v>
      </c>
      <c r="K40" s="302">
        <f>IF($D40="A",ROUND(VLOOKUP($C40,'[2]2.행정구역별 급수인구'!$C$7:$AD$997,28,FALSE)*$E40,0),IF($D40="B",(ROUND(VLOOKUP($C40,'[2]2.행정구역별 급수인구'!$C$7:$AD$997,28,FALSE)-VLOOKUP($C40,'[2]2.행정구역별 급수인구'!$C$7:$AD$997,28,FALSE)*(1-$E40),0)),VLOOKUP($C40,'[2]2.행정구역별 급수인구'!$C$7:$AD$997,28,FALSE)))</f>
        <v>187</v>
      </c>
      <c r="L40" s="302">
        <f>VLOOKUP($F40,'[3]5.급수원단위'!$B$31:$G$35,2,FALSE)</f>
        <v>365</v>
      </c>
      <c r="M40" s="302">
        <f>VLOOKUP($F40,'[3]5.급수원단위'!$B$31:$G$35,3,FALSE)</f>
        <v>390</v>
      </c>
      <c r="N40" s="302">
        <f>VLOOKUP($F40,'[3]5.급수원단위'!$B$31:$G$35,4,FALSE)</f>
        <v>417</v>
      </c>
      <c r="O40" s="302">
        <f>VLOOKUP($F40,'[3]5.급수원단위'!$B$31:$G$35,5,FALSE)</f>
        <v>439</v>
      </c>
      <c r="P40" s="302">
        <f>VLOOKUP($F40,'[3]5.급수원단위'!$B$31:$G$35,6,FALSE)</f>
        <v>454</v>
      </c>
      <c r="Q40" s="302">
        <f>ROUND(IF(G40=0,0,VLOOKUP(C40,'2013실사용량 정리'!$D$6:$F$381,3,FALSE)),0)</f>
        <v>91</v>
      </c>
      <c r="R40" s="302">
        <f t="shared" si="7"/>
        <v>68</v>
      </c>
      <c r="S40" s="302">
        <f t="shared" si="7"/>
        <v>75</v>
      </c>
      <c r="T40" s="302">
        <f t="shared" si="7"/>
        <v>80</v>
      </c>
      <c r="U40" s="302">
        <f t="shared" si="7"/>
        <v>85</v>
      </c>
      <c r="V40" s="327"/>
      <c r="W40" s="343">
        <f t="shared" si="3"/>
        <v>0.93406593406593408</v>
      </c>
      <c r="X40" s="327"/>
      <c r="Y40" s="327"/>
      <c r="Z40" s="327"/>
      <c r="AA40" s="327"/>
      <c r="AB40" s="327"/>
      <c r="AC40" s="327"/>
      <c r="AD40" s="327"/>
    </row>
    <row r="41" spans="1:30" ht="20.100000000000001" customHeight="1">
      <c r="A41" s="340"/>
      <c r="B41" s="340"/>
      <c r="C41" s="406" t="s">
        <v>1325</v>
      </c>
      <c r="D41" s="330" t="s">
        <v>1299</v>
      </c>
      <c r="E41" s="527">
        <v>1</v>
      </c>
      <c r="F41" s="527" t="s">
        <v>1331</v>
      </c>
      <c r="G41" s="302">
        <f>IF($D41="A",ROUND(VLOOKUP($C41,'[2]2.행정구역별 급수인구'!$C$7:$AD$997,17,FALSE)*$E41,0),IF($D41="B",(ROUND(VLOOKUP($C41,'[2]2.행정구역별 급수인구'!$C$7:$AD$997,17,FALSE)-VLOOKUP($C41,'[2]2.행정구역별 급수인구'!$C$7:$AD$997,17,FALSE)*(1-$E41),0)),VLOOKUP($C41,'[2]2.행정구역별 급수인구'!$C$7:$AD$997,17,FALSE)))</f>
        <v>0</v>
      </c>
      <c r="H41" s="302">
        <f>IF($D41="A",ROUND(VLOOKUP($C41,'[2]2.행정구역별 급수인구'!$C$7:$AD$997,25,FALSE)*$E41,0),IF($D41="B",(ROUND(VLOOKUP($C41,'[2]2.행정구역별 급수인구'!$C$7:$AD$997,25,FALSE)-VLOOKUP($C41,'[2]2.행정구역별 급수인구'!$C$7:$AD$997,25,FALSE)*(1-$E41),0)),VLOOKUP($C41,'[2]2.행정구역별 급수인구'!$C$7:$AD$997,25,FALSE)))</f>
        <v>94</v>
      </c>
      <c r="I41" s="302">
        <f>IF($D41="A",ROUND(VLOOKUP($C41,'[2]2.행정구역별 급수인구'!$C$7:$AD$997,26,FALSE)*$E41,0),IF($D41="B",(ROUND(VLOOKUP($C41,'[2]2.행정구역별 급수인구'!$C$7:$AD$997,26,FALSE)-VLOOKUP($C41,'[2]2.행정구역별 급수인구'!$C$7:$AD$997,26,FALSE)*(1-$E41),0)),VLOOKUP($C41,'[2]2.행정구역별 급수인구'!$C$7:$AD$997,26,FALSE)))</f>
        <v>97</v>
      </c>
      <c r="J41" s="302">
        <f>IF($D41="A",ROUND(VLOOKUP($C41,'[2]2.행정구역별 급수인구'!$C$7:$AD$997,27,FALSE)*$E41,0),IF($D41="B",(ROUND(VLOOKUP($C41,'[2]2.행정구역별 급수인구'!$C$7:$AD$997,27,FALSE)-VLOOKUP($C41,'[2]2.행정구역별 급수인구'!$C$7:$AD$997,27,FALSE)*(1-$E41),0)),VLOOKUP($C41,'[2]2.행정구역별 급수인구'!$C$7:$AD$997,27,FALSE)))</f>
        <v>100</v>
      </c>
      <c r="K41" s="302">
        <f>IF($D41="A",ROUND(VLOOKUP($C41,'[2]2.행정구역별 급수인구'!$C$7:$AD$997,28,FALSE)*$E41,0),IF($D41="B",(ROUND(VLOOKUP($C41,'[2]2.행정구역별 급수인구'!$C$7:$AD$997,28,FALSE)-VLOOKUP($C41,'[2]2.행정구역별 급수인구'!$C$7:$AD$997,28,FALSE)*(1-$E41),0)),VLOOKUP($C41,'[2]2.행정구역별 급수인구'!$C$7:$AD$997,28,FALSE)))</f>
        <v>102</v>
      </c>
      <c r="L41" s="302">
        <f>VLOOKUP($F41,'[3]5.급수원단위'!$B$31:$G$35,2,FALSE)</f>
        <v>365</v>
      </c>
      <c r="M41" s="302">
        <f>VLOOKUP($F41,'[3]5.급수원단위'!$B$31:$G$35,3,FALSE)</f>
        <v>390</v>
      </c>
      <c r="N41" s="302">
        <f>VLOOKUP($F41,'[3]5.급수원단위'!$B$31:$G$35,4,FALSE)</f>
        <v>417</v>
      </c>
      <c r="O41" s="302">
        <f>VLOOKUP($F41,'[3]5.급수원단위'!$B$31:$G$35,5,FALSE)</f>
        <v>439</v>
      </c>
      <c r="P41" s="302">
        <f>VLOOKUP($F41,'[3]5.급수원단위'!$B$31:$G$35,6,FALSE)</f>
        <v>454</v>
      </c>
      <c r="Q41" s="302">
        <f>ROUND(IF(G41=0,0,VLOOKUP(C41,'2013실사용량 정리'!$D$6:$F$381,3,FALSE)),0)</f>
        <v>0</v>
      </c>
      <c r="R41" s="302">
        <f t="shared" si="7"/>
        <v>37</v>
      </c>
      <c r="S41" s="302">
        <f t="shared" si="7"/>
        <v>40</v>
      </c>
      <c r="T41" s="302">
        <f t="shared" si="7"/>
        <v>44</v>
      </c>
      <c r="U41" s="302">
        <f t="shared" si="7"/>
        <v>46</v>
      </c>
      <c r="V41" s="327"/>
      <c r="W41" s="343" t="str">
        <f t="shared" si="3"/>
        <v/>
      </c>
      <c r="X41" s="327"/>
      <c r="Y41" s="327"/>
      <c r="Z41" s="327"/>
      <c r="AA41" s="327"/>
      <c r="AB41" s="327"/>
      <c r="AC41" s="327"/>
      <c r="AD41" s="327"/>
    </row>
    <row r="42" spans="1:30" ht="20.100000000000001" customHeight="1">
      <c r="A42" s="340"/>
      <c r="B42" s="340"/>
      <c r="C42" s="406" t="s">
        <v>1326</v>
      </c>
      <c r="D42" s="330" t="s">
        <v>1299</v>
      </c>
      <c r="E42" s="527">
        <v>1</v>
      </c>
      <c r="F42" s="527" t="s">
        <v>1331</v>
      </c>
      <c r="G42" s="302">
        <f>IF($D42="A",ROUND(VLOOKUP($C42,'[2]2.행정구역별 급수인구'!$C$7:$AD$997,17,FALSE)*$E42,0),IF($D42="B",(ROUND(VLOOKUP($C42,'[2]2.행정구역별 급수인구'!$C$7:$AD$997,17,FALSE)-VLOOKUP($C42,'[2]2.행정구역별 급수인구'!$C$7:$AD$997,17,FALSE)*(1-$E42),0)),VLOOKUP($C42,'[2]2.행정구역별 급수인구'!$C$7:$AD$997,17,FALSE)))</f>
        <v>0</v>
      </c>
      <c r="H42" s="302">
        <f>IF($D42="A",ROUND(VLOOKUP($C42,'[2]2.행정구역별 급수인구'!$C$7:$AD$997,25,FALSE)*$E42,0),IF($D42="B",(ROUND(VLOOKUP($C42,'[2]2.행정구역별 급수인구'!$C$7:$AD$997,25,FALSE)-VLOOKUP($C42,'[2]2.행정구역별 급수인구'!$C$7:$AD$997,25,FALSE)*(1-$E42),0)),VLOOKUP($C42,'[2]2.행정구역별 급수인구'!$C$7:$AD$997,25,FALSE)))</f>
        <v>3202</v>
      </c>
      <c r="I42" s="302">
        <f>IF($D42="A",ROUND(VLOOKUP($C42,'[2]2.행정구역별 급수인구'!$C$7:$AD$997,26,FALSE)*$E42,0),IF($D42="B",(ROUND(VLOOKUP($C42,'[2]2.행정구역별 급수인구'!$C$7:$AD$997,26,FALSE)-VLOOKUP($C42,'[2]2.행정구역별 급수인구'!$C$7:$AD$997,26,FALSE)*(1-$E42),0)),VLOOKUP($C42,'[2]2.행정구역별 급수인구'!$C$7:$AD$997,26,FALSE)))</f>
        <v>3334</v>
      </c>
      <c r="J42" s="302">
        <f>IF($D42="A",ROUND(VLOOKUP($C42,'[2]2.행정구역별 급수인구'!$C$7:$AD$997,27,FALSE)*$E42,0),IF($D42="B",(ROUND(VLOOKUP($C42,'[2]2.행정구역별 급수인구'!$C$7:$AD$997,27,FALSE)-VLOOKUP($C42,'[2]2.행정구역별 급수인구'!$C$7:$AD$997,27,FALSE)*(1-$E42),0)),VLOOKUP($C42,'[2]2.행정구역별 급수인구'!$C$7:$AD$997,27,FALSE)))</f>
        <v>3338</v>
      </c>
      <c r="K42" s="302">
        <f>IF($D42="A",ROUND(VLOOKUP($C42,'[2]2.행정구역별 급수인구'!$C$7:$AD$997,28,FALSE)*$E42,0),IF($D42="B",(ROUND(VLOOKUP($C42,'[2]2.행정구역별 급수인구'!$C$7:$AD$997,28,FALSE)-VLOOKUP($C42,'[2]2.행정구역별 급수인구'!$C$7:$AD$997,28,FALSE)*(1-$E42),0)),VLOOKUP($C42,'[2]2.행정구역별 급수인구'!$C$7:$AD$997,28,FALSE)))</f>
        <v>3341</v>
      </c>
      <c r="L42" s="302">
        <f>VLOOKUP($F42,'[3]5.급수원단위'!$B$31:$G$35,2,FALSE)</f>
        <v>365</v>
      </c>
      <c r="M42" s="302">
        <f>VLOOKUP($F42,'[3]5.급수원단위'!$B$31:$G$35,3,FALSE)</f>
        <v>390</v>
      </c>
      <c r="N42" s="302">
        <f>VLOOKUP($F42,'[3]5.급수원단위'!$B$31:$G$35,4,FALSE)</f>
        <v>417</v>
      </c>
      <c r="O42" s="302">
        <f>VLOOKUP($F42,'[3]5.급수원단위'!$B$31:$G$35,5,FALSE)</f>
        <v>439</v>
      </c>
      <c r="P42" s="302">
        <f>VLOOKUP($F42,'[3]5.급수원단위'!$B$31:$G$35,6,FALSE)</f>
        <v>454</v>
      </c>
      <c r="Q42" s="302">
        <f>ROUND(IF(G42=0,0,VLOOKUP(C42,'2013실사용량 정리'!$D$6:$F$381,3,FALSE)),0)</f>
        <v>0</v>
      </c>
      <c r="R42" s="302">
        <f t="shared" si="7"/>
        <v>1249</v>
      </c>
      <c r="S42" s="302">
        <f t="shared" si="7"/>
        <v>1390</v>
      </c>
      <c r="T42" s="302">
        <f t="shared" si="7"/>
        <v>1465</v>
      </c>
      <c r="U42" s="302">
        <f t="shared" si="7"/>
        <v>1517</v>
      </c>
      <c r="V42" s="327"/>
      <c r="W42" s="343" t="str">
        <f t="shared" si="3"/>
        <v/>
      </c>
      <c r="X42" s="327"/>
      <c r="Y42" s="327"/>
      <c r="Z42" s="327"/>
      <c r="AA42" s="327"/>
      <c r="AB42" s="327"/>
      <c r="AC42" s="327"/>
      <c r="AD42" s="327"/>
    </row>
    <row r="43" spans="1:30" ht="20.100000000000001" customHeight="1">
      <c r="A43" s="340"/>
      <c r="B43" s="340"/>
      <c r="C43" s="406" t="s">
        <v>1327</v>
      </c>
      <c r="D43" s="330" t="s">
        <v>1299</v>
      </c>
      <c r="E43" s="527">
        <v>1</v>
      </c>
      <c r="F43" s="527" t="s">
        <v>1331</v>
      </c>
      <c r="G43" s="302">
        <f>IF($D43="A",ROUND(VLOOKUP($C43,'[2]2.행정구역별 급수인구'!$C$7:$AD$997,17,FALSE)*$E43,0),IF($D43="B",(ROUND(VLOOKUP($C43,'[2]2.행정구역별 급수인구'!$C$7:$AD$997,17,FALSE)-VLOOKUP($C43,'[2]2.행정구역별 급수인구'!$C$7:$AD$997,17,FALSE)*(1-$E43),0)),VLOOKUP($C43,'[2]2.행정구역별 급수인구'!$C$7:$AD$997,17,FALSE)))</f>
        <v>671</v>
      </c>
      <c r="H43" s="302">
        <f>IF($D43="A",ROUND(VLOOKUP($C43,'[2]2.행정구역별 급수인구'!$C$7:$AD$997,25,FALSE)*$E43,0),IF($D43="B",(ROUND(VLOOKUP($C43,'[2]2.행정구역별 급수인구'!$C$7:$AD$997,25,FALSE)-VLOOKUP($C43,'[2]2.행정구역별 급수인구'!$C$7:$AD$997,25,FALSE)*(1-$E43),0)),VLOOKUP($C43,'[2]2.행정구역별 급수인구'!$C$7:$AD$997,25,FALSE)))</f>
        <v>661</v>
      </c>
      <c r="I43" s="302">
        <f>IF($D43="A",ROUND(VLOOKUP($C43,'[2]2.행정구역별 급수인구'!$C$7:$AD$997,26,FALSE)*$E43,0),IF($D43="B",(ROUND(VLOOKUP($C43,'[2]2.행정구역별 급수인구'!$C$7:$AD$997,26,FALSE)-VLOOKUP($C43,'[2]2.행정구역별 급수인구'!$C$7:$AD$997,26,FALSE)*(1-$E43),0)),VLOOKUP($C43,'[2]2.행정구역별 급수인구'!$C$7:$AD$997,26,FALSE)))</f>
        <v>682</v>
      </c>
      <c r="J43" s="302">
        <f>IF($D43="A",ROUND(VLOOKUP($C43,'[2]2.행정구역별 급수인구'!$C$7:$AD$997,27,FALSE)*$E43,0),IF($D43="B",(ROUND(VLOOKUP($C43,'[2]2.행정구역별 급수인구'!$C$7:$AD$997,27,FALSE)-VLOOKUP($C43,'[2]2.행정구역별 급수인구'!$C$7:$AD$997,27,FALSE)*(1-$E43),0)),VLOOKUP($C43,'[2]2.행정구역별 급수인구'!$C$7:$AD$997,27,FALSE)))</f>
        <v>699</v>
      </c>
      <c r="K43" s="302">
        <f>IF($D43="A",ROUND(VLOOKUP($C43,'[2]2.행정구역별 급수인구'!$C$7:$AD$997,28,FALSE)*$E43,0),IF($D43="B",(ROUND(VLOOKUP($C43,'[2]2.행정구역별 급수인구'!$C$7:$AD$997,28,FALSE)-VLOOKUP($C43,'[2]2.행정구역별 급수인구'!$C$7:$AD$997,28,FALSE)*(1-$E43),0)),VLOOKUP($C43,'[2]2.행정구역별 급수인구'!$C$7:$AD$997,28,FALSE)))</f>
        <v>712</v>
      </c>
      <c r="L43" s="302">
        <f>VLOOKUP($F43,'[3]5.급수원단위'!$B$31:$G$35,2,FALSE)</f>
        <v>365</v>
      </c>
      <c r="M43" s="302">
        <f>VLOOKUP($F43,'[3]5.급수원단위'!$B$31:$G$35,3,FALSE)</f>
        <v>390</v>
      </c>
      <c r="N43" s="302">
        <f>VLOOKUP($F43,'[3]5.급수원단위'!$B$31:$G$35,4,FALSE)</f>
        <v>417</v>
      </c>
      <c r="O43" s="302">
        <f>VLOOKUP($F43,'[3]5.급수원단위'!$B$31:$G$35,5,FALSE)</f>
        <v>439</v>
      </c>
      <c r="P43" s="302">
        <f>VLOOKUP($F43,'[3]5.급수원단위'!$B$31:$G$35,6,FALSE)</f>
        <v>454</v>
      </c>
      <c r="Q43" s="302">
        <f>ROUND(IF(G43=0,0,VLOOKUP(C43,'2013실사용량 정리'!$D$6:$F$381,3,FALSE)),0)</f>
        <v>344</v>
      </c>
      <c r="R43" s="302">
        <f t="shared" si="7"/>
        <v>258</v>
      </c>
      <c r="S43" s="302">
        <f t="shared" si="7"/>
        <v>284</v>
      </c>
      <c r="T43" s="302">
        <f t="shared" si="7"/>
        <v>307</v>
      </c>
      <c r="U43" s="302">
        <f t="shared" si="7"/>
        <v>323</v>
      </c>
      <c r="V43" s="327"/>
      <c r="W43" s="343">
        <f t="shared" si="3"/>
        <v>0.93895348837209303</v>
      </c>
      <c r="X43" s="327"/>
      <c r="Y43" s="327"/>
      <c r="Z43" s="327"/>
      <c r="AA43" s="327"/>
      <c r="AB43" s="327"/>
      <c r="AC43" s="327"/>
      <c r="AD43" s="327"/>
    </row>
    <row r="44" spans="1:30" ht="20.100000000000001" customHeight="1">
      <c r="A44" s="340"/>
      <c r="B44" s="340"/>
      <c r="C44" s="406" t="s">
        <v>1328</v>
      </c>
      <c r="D44" s="330" t="s">
        <v>1299</v>
      </c>
      <c r="E44" s="527">
        <v>1</v>
      </c>
      <c r="F44" s="527" t="s">
        <v>1331</v>
      </c>
      <c r="G44" s="302">
        <f>IF($D44="A",ROUND(VLOOKUP($C44,'[2]2.행정구역별 급수인구'!$C$7:$AD$997,17,FALSE)*$E44,0),IF($D44="B",(ROUND(VLOOKUP($C44,'[2]2.행정구역별 급수인구'!$C$7:$AD$997,17,FALSE)-VLOOKUP($C44,'[2]2.행정구역별 급수인구'!$C$7:$AD$997,17,FALSE)*(1-$E44),0)),VLOOKUP($C44,'[2]2.행정구역별 급수인구'!$C$7:$AD$997,17,FALSE)))</f>
        <v>1054</v>
      </c>
      <c r="H44" s="302">
        <f>IF($D44="A",ROUND(VLOOKUP($C44,'[2]2.행정구역별 급수인구'!$C$7:$AD$997,25,FALSE)*$E44,0),IF($D44="B",(ROUND(VLOOKUP($C44,'[2]2.행정구역별 급수인구'!$C$7:$AD$997,25,FALSE)-VLOOKUP($C44,'[2]2.행정구역별 급수인구'!$C$7:$AD$997,25,FALSE)*(1-$E44),0)),VLOOKUP($C44,'[2]2.행정구역별 급수인구'!$C$7:$AD$997,25,FALSE)))</f>
        <v>1376</v>
      </c>
      <c r="I44" s="302">
        <f>IF($D44="A",ROUND(VLOOKUP($C44,'[2]2.행정구역별 급수인구'!$C$7:$AD$997,26,FALSE)*$E44,0),IF($D44="B",(ROUND(VLOOKUP($C44,'[2]2.행정구역별 급수인구'!$C$7:$AD$997,26,FALSE)-VLOOKUP($C44,'[2]2.행정구역별 급수인구'!$C$7:$AD$997,26,FALSE)*(1-$E44),0)),VLOOKUP($C44,'[2]2.행정구역별 급수인구'!$C$7:$AD$997,26,FALSE)))</f>
        <v>1422</v>
      </c>
      <c r="J44" s="302">
        <f>IF($D44="A",ROUND(VLOOKUP($C44,'[2]2.행정구역별 급수인구'!$C$7:$AD$997,27,FALSE)*$E44,0),IF($D44="B",(ROUND(VLOOKUP($C44,'[2]2.행정구역별 급수인구'!$C$7:$AD$997,27,FALSE)-VLOOKUP($C44,'[2]2.행정구역별 급수인구'!$C$7:$AD$997,27,FALSE)*(1-$E44),0)),VLOOKUP($C44,'[2]2.행정구역별 급수인구'!$C$7:$AD$997,27,FALSE)))</f>
        <v>1447</v>
      </c>
      <c r="K44" s="302">
        <f>IF($D44="A",ROUND(VLOOKUP($C44,'[2]2.행정구역별 급수인구'!$C$7:$AD$997,28,FALSE)*$E44,0),IF($D44="B",(ROUND(VLOOKUP($C44,'[2]2.행정구역별 급수인구'!$C$7:$AD$997,28,FALSE)-VLOOKUP($C44,'[2]2.행정구역별 급수인구'!$C$7:$AD$997,28,FALSE)*(1-$E44),0)),VLOOKUP($C44,'[2]2.행정구역별 급수인구'!$C$7:$AD$997,28,FALSE)))</f>
        <v>1468</v>
      </c>
      <c r="L44" s="302">
        <f>VLOOKUP($F44,'[3]5.급수원단위'!$B$31:$G$35,2,FALSE)</f>
        <v>365</v>
      </c>
      <c r="M44" s="302">
        <f>VLOOKUP($F44,'[3]5.급수원단위'!$B$31:$G$35,3,FALSE)</f>
        <v>390</v>
      </c>
      <c r="N44" s="302">
        <f>VLOOKUP($F44,'[3]5.급수원단위'!$B$31:$G$35,4,FALSE)</f>
        <v>417</v>
      </c>
      <c r="O44" s="302">
        <f>VLOOKUP($F44,'[3]5.급수원단위'!$B$31:$G$35,5,FALSE)</f>
        <v>439</v>
      </c>
      <c r="P44" s="302">
        <f>VLOOKUP($F44,'[3]5.급수원단위'!$B$31:$G$35,6,FALSE)</f>
        <v>454</v>
      </c>
      <c r="Q44" s="302">
        <f>ROUND(IF(G44=0,0,VLOOKUP(C44,'2013실사용량 정리'!$D$6:$F$381,3,FALSE)),0)</f>
        <v>540</v>
      </c>
      <c r="R44" s="302">
        <f t="shared" si="7"/>
        <v>537</v>
      </c>
      <c r="S44" s="302">
        <f t="shared" si="7"/>
        <v>593</v>
      </c>
      <c r="T44" s="302">
        <f t="shared" si="7"/>
        <v>635</v>
      </c>
      <c r="U44" s="302">
        <f t="shared" si="7"/>
        <v>666</v>
      </c>
      <c r="V44" s="327"/>
      <c r="W44" s="343">
        <f t="shared" si="3"/>
        <v>1.2333333333333334</v>
      </c>
      <c r="X44" s="327"/>
      <c r="Y44" s="327"/>
      <c r="Z44" s="327"/>
      <c r="AA44" s="327"/>
      <c r="AB44" s="327"/>
      <c r="AC44" s="327"/>
      <c r="AD44" s="327"/>
    </row>
    <row r="45" spans="1:30" ht="20.100000000000001" customHeight="1">
      <c r="A45" s="340"/>
      <c r="B45" s="340"/>
      <c r="C45" s="406" t="s">
        <v>1329</v>
      </c>
      <c r="D45" s="330" t="s">
        <v>1299</v>
      </c>
      <c r="E45" s="527">
        <v>1</v>
      </c>
      <c r="F45" s="527" t="s">
        <v>1331</v>
      </c>
      <c r="G45" s="302">
        <f>IF($D45="A",ROUND(VLOOKUP($C45,'[2]2.행정구역별 급수인구'!$C$7:$AD$997,17,FALSE)*$E45,0),IF($D45="B",(ROUND(VLOOKUP($C45,'[2]2.행정구역별 급수인구'!$C$7:$AD$997,17,FALSE)-VLOOKUP($C45,'[2]2.행정구역별 급수인구'!$C$7:$AD$997,17,FALSE)*(1-$E45),0)),VLOOKUP($C45,'[2]2.행정구역별 급수인구'!$C$7:$AD$997,17,FALSE)))</f>
        <v>768</v>
      </c>
      <c r="H45" s="302">
        <f>IF($D45="A",ROUND(VLOOKUP($C45,'[2]2.행정구역별 급수인구'!$C$7:$AD$997,25,FALSE)*$E45,0),IF($D45="B",(ROUND(VLOOKUP($C45,'[2]2.행정구역별 급수인구'!$C$7:$AD$997,25,FALSE)-VLOOKUP($C45,'[2]2.행정구역별 급수인구'!$C$7:$AD$997,25,FALSE)*(1-$E45),0)),VLOOKUP($C45,'[2]2.행정구역별 급수인구'!$C$7:$AD$997,25,FALSE)))</f>
        <v>756</v>
      </c>
      <c r="I45" s="302">
        <f>IF($D45="A",ROUND(VLOOKUP($C45,'[2]2.행정구역별 급수인구'!$C$7:$AD$997,26,FALSE)*$E45,0),IF($D45="B",(ROUND(VLOOKUP($C45,'[2]2.행정구역별 급수인구'!$C$7:$AD$997,26,FALSE)-VLOOKUP($C45,'[2]2.행정구역별 급수인구'!$C$7:$AD$997,26,FALSE)*(1-$E45),0)),VLOOKUP($C45,'[2]2.행정구역별 급수인구'!$C$7:$AD$997,26,FALSE)))</f>
        <v>781</v>
      </c>
      <c r="J45" s="302">
        <f>IF($D45="A",ROUND(VLOOKUP($C45,'[2]2.행정구역별 급수인구'!$C$7:$AD$997,27,FALSE)*$E45,0),IF($D45="B",(ROUND(VLOOKUP($C45,'[2]2.행정구역별 급수인구'!$C$7:$AD$997,27,FALSE)-VLOOKUP($C45,'[2]2.행정구역별 급수인구'!$C$7:$AD$997,27,FALSE)*(1-$E45),0)),VLOOKUP($C45,'[2]2.행정구역별 급수인구'!$C$7:$AD$997,27,FALSE)))</f>
        <v>799</v>
      </c>
      <c r="K45" s="302">
        <f>IF($D45="A",ROUND(VLOOKUP($C45,'[2]2.행정구역별 급수인구'!$C$7:$AD$997,28,FALSE)*$E45,0),IF($D45="B",(ROUND(VLOOKUP($C45,'[2]2.행정구역별 급수인구'!$C$7:$AD$997,28,FALSE)-VLOOKUP($C45,'[2]2.행정구역별 급수인구'!$C$7:$AD$997,28,FALSE)*(1-$E45),0)),VLOOKUP($C45,'[2]2.행정구역별 급수인구'!$C$7:$AD$997,28,FALSE)))</f>
        <v>814</v>
      </c>
      <c r="L45" s="302">
        <f>VLOOKUP($F45,'[3]5.급수원단위'!$B$31:$G$35,2,FALSE)</f>
        <v>365</v>
      </c>
      <c r="M45" s="302">
        <f>VLOOKUP($F45,'[3]5.급수원단위'!$B$31:$G$35,3,FALSE)</f>
        <v>390</v>
      </c>
      <c r="N45" s="302">
        <f>VLOOKUP($F45,'[3]5.급수원단위'!$B$31:$G$35,4,FALSE)</f>
        <v>417</v>
      </c>
      <c r="O45" s="302">
        <f>VLOOKUP($F45,'[3]5.급수원단위'!$B$31:$G$35,5,FALSE)</f>
        <v>439</v>
      </c>
      <c r="P45" s="302">
        <f>VLOOKUP($F45,'[3]5.급수원단위'!$B$31:$G$35,6,FALSE)</f>
        <v>454</v>
      </c>
      <c r="Q45" s="302">
        <f>ROUND(IF(G45=0,0,VLOOKUP(C45,'2013실사용량 정리'!$D$6:$F$381,3,FALSE)),0)</f>
        <v>284</v>
      </c>
      <c r="R45" s="302">
        <f t="shared" si="7"/>
        <v>295</v>
      </c>
      <c r="S45" s="302">
        <f t="shared" si="7"/>
        <v>326</v>
      </c>
      <c r="T45" s="302">
        <f t="shared" si="7"/>
        <v>351</v>
      </c>
      <c r="U45" s="302">
        <f t="shared" si="7"/>
        <v>370</v>
      </c>
      <c r="V45" s="327"/>
      <c r="W45" s="343">
        <f t="shared" si="3"/>
        <v>1.3028169014084507</v>
      </c>
      <c r="X45" s="327"/>
      <c r="Y45" s="327"/>
      <c r="Z45" s="327"/>
      <c r="AA45" s="327"/>
      <c r="AB45" s="327"/>
      <c r="AC45" s="327"/>
      <c r="AD45" s="327"/>
    </row>
    <row r="46" spans="1:30" ht="20.100000000000001" customHeight="1">
      <c r="A46" s="340"/>
      <c r="B46" s="340"/>
      <c r="C46" s="406" t="s">
        <v>1330</v>
      </c>
      <c r="D46" s="330" t="s">
        <v>1299</v>
      </c>
      <c r="E46" s="527">
        <v>1</v>
      </c>
      <c r="F46" s="527" t="s">
        <v>1331</v>
      </c>
      <c r="G46" s="302">
        <f>IF($D46="A",ROUND(VLOOKUP($C46,'[2]2.행정구역별 급수인구'!$C$7:$AD$997,17,FALSE)*$E46,0),IF($D46="B",(ROUND(VLOOKUP($C46,'[2]2.행정구역별 급수인구'!$C$7:$AD$997,17,FALSE)-VLOOKUP($C46,'[2]2.행정구역별 급수인구'!$C$7:$AD$997,17,FALSE)*(1-$E46),0)),VLOOKUP($C46,'[2]2.행정구역별 급수인구'!$C$7:$AD$997,17,FALSE)))</f>
        <v>944</v>
      </c>
      <c r="H46" s="302">
        <f>IF($D46="A",ROUND(VLOOKUP($C46,'[2]2.행정구역별 급수인구'!$C$7:$AD$997,25,FALSE)*$E46,0),IF($D46="B",(ROUND(VLOOKUP($C46,'[2]2.행정구역별 급수인구'!$C$7:$AD$997,25,FALSE)-VLOOKUP($C46,'[2]2.행정구역별 급수인구'!$C$7:$AD$997,25,FALSE)*(1-$E46),0)),VLOOKUP($C46,'[2]2.행정구역별 급수인구'!$C$7:$AD$997,25,FALSE)))</f>
        <v>931</v>
      </c>
      <c r="I46" s="302">
        <f>IF($D46="A",ROUND(VLOOKUP($C46,'[2]2.행정구역별 급수인구'!$C$7:$AD$997,26,FALSE)*$E46,0),IF($D46="B",(ROUND(VLOOKUP($C46,'[2]2.행정구역별 급수인구'!$C$7:$AD$997,26,FALSE)-VLOOKUP($C46,'[2]2.행정구역별 급수인구'!$C$7:$AD$997,26,FALSE)*(1-$E46),0)),VLOOKUP($C46,'[2]2.행정구역별 급수인구'!$C$7:$AD$997,26,FALSE)))</f>
        <v>960</v>
      </c>
      <c r="J46" s="302">
        <f>IF($D46="A",ROUND(VLOOKUP($C46,'[2]2.행정구역별 급수인구'!$C$7:$AD$997,27,FALSE)*$E46,0),IF($D46="B",(ROUND(VLOOKUP($C46,'[2]2.행정구역별 급수인구'!$C$7:$AD$997,27,FALSE)-VLOOKUP($C46,'[2]2.행정구역별 급수인구'!$C$7:$AD$997,27,FALSE)*(1-$E46),0)),VLOOKUP($C46,'[2]2.행정구역별 급수인구'!$C$7:$AD$997,27,FALSE)))</f>
        <v>983</v>
      </c>
      <c r="K46" s="302">
        <f>IF($D46="A",ROUND(VLOOKUP($C46,'[2]2.행정구역별 급수인구'!$C$7:$AD$997,28,FALSE)*$E46,0),IF($D46="B",(ROUND(VLOOKUP($C46,'[2]2.행정구역별 급수인구'!$C$7:$AD$997,28,FALSE)-VLOOKUP($C46,'[2]2.행정구역별 급수인구'!$C$7:$AD$997,28,FALSE)*(1-$E46),0)),VLOOKUP($C46,'[2]2.행정구역별 급수인구'!$C$7:$AD$997,28,FALSE)))</f>
        <v>1001</v>
      </c>
      <c r="L46" s="302">
        <f>VLOOKUP($F46,'[3]5.급수원단위'!$B$31:$G$35,2,FALSE)</f>
        <v>365</v>
      </c>
      <c r="M46" s="302">
        <f>VLOOKUP($F46,'[3]5.급수원단위'!$B$31:$G$35,3,FALSE)</f>
        <v>390</v>
      </c>
      <c r="N46" s="302">
        <f>VLOOKUP($F46,'[3]5.급수원단위'!$B$31:$G$35,4,FALSE)</f>
        <v>417</v>
      </c>
      <c r="O46" s="302">
        <f>VLOOKUP($F46,'[3]5.급수원단위'!$B$31:$G$35,5,FALSE)</f>
        <v>439</v>
      </c>
      <c r="P46" s="302">
        <f>VLOOKUP($F46,'[3]5.급수원단위'!$B$31:$G$35,6,FALSE)</f>
        <v>454</v>
      </c>
      <c r="Q46" s="302">
        <f>ROUND(IF(G46=0,0,VLOOKUP(C46,'2013실사용량 정리'!$D$6:$F$381,3,FALSE)),0)</f>
        <v>349</v>
      </c>
      <c r="R46" s="302">
        <f t="shared" si="7"/>
        <v>363</v>
      </c>
      <c r="S46" s="302">
        <f t="shared" si="7"/>
        <v>400</v>
      </c>
      <c r="T46" s="302">
        <f t="shared" si="7"/>
        <v>432</v>
      </c>
      <c r="U46" s="302">
        <f t="shared" si="7"/>
        <v>454</v>
      </c>
      <c r="V46" s="327"/>
      <c r="W46" s="343">
        <f t="shared" si="3"/>
        <v>1.3008595988538683</v>
      </c>
      <c r="X46" s="327"/>
      <c r="Y46" s="327"/>
      <c r="Z46" s="327"/>
      <c r="AA46" s="327"/>
      <c r="AB46" s="327"/>
      <c r="AC46" s="327"/>
      <c r="AD46" s="327"/>
    </row>
    <row r="47" spans="1:30" ht="20.100000000000001" customHeight="1">
      <c r="A47" s="340"/>
      <c r="B47" s="340"/>
      <c r="C47" s="537" t="s">
        <v>1332</v>
      </c>
      <c r="D47" s="532" t="s">
        <v>1299</v>
      </c>
      <c r="E47" s="527">
        <v>0</v>
      </c>
      <c r="F47" s="527" t="s">
        <v>1331</v>
      </c>
      <c r="G47" s="302">
        <f>IF($D47="A",ROUND(VLOOKUP($C47,'[2]2.행정구역별 급수인구'!$C$7:$AD$997,17,FALSE)*$E47,0),IF($D47="B",(ROUND(VLOOKUP($C47,'[2]2.행정구역별 급수인구'!$C$7:$AD$997,17,FALSE)-VLOOKUP($C47,'[2]2.행정구역별 급수인구'!$C$7:$AD$997,17,FALSE)*(1-$E47),0)),VLOOKUP($C47,'[2]2.행정구역별 급수인구'!$C$7:$AD$997,17,FALSE)))</f>
        <v>0</v>
      </c>
      <c r="H47" s="538">
        <f>IF($D47="A",ROUND(VLOOKUP($C47,'[2]2.행정구역별 급수인구'!$C$7:$AD$997,25,FALSE)*$E47,0),IF($D47="B",(ROUND(VLOOKUP($C47,'[2]2.행정구역별 급수인구'!$C$7:$AD$997,25,FALSE)-VLOOKUP($C47,'[2]2.행정구역별 급수인구'!$C$7:$AD$997,25,FALSE)*(1-$E47),0)),VLOOKUP($C47,'[2]2.행정구역별 급수인구'!$C$7:$AD$997,25,FALSE)))</f>
        <v>0</v>
      </c>
      <c r="I47" s="538">
        <f>IF($D47="A",ROUND(VLOOKUP($C47,'[2]2.행정구역별 급수인구'!$C$7:$AD$997,26,FALSE)*$E47,0),IF($D47="B",(ROUND(VLOOKUP($C47,'[2]2.행정구역별 급수인구'!$C$7:$AD$997,26,FALSE)-VLOOKUP($C47,'[2]2.행정구역별 급수인구'!$C$7:$AD$997,26,FALSE)*(1-$E47),0)),VLOOKUP($C47,'[2]2.행정구역별 급수인구'!$C$7:$AD$997,26,FALSE)))</f>
        <v>0</v>
      </c>
      <c r="J47" s="538">
        <f>IF($D47="A",ROUND(VLOOKUP($C47,'[2]2.행정구역별 급수인구'!$C$7:$AD$997,27,FALSE)*$E47,0),IF($D47="B",(ROUND(VLOOKUP($C47,'[2]2.행정구역별 급수인구'!$C$7:$AD$997,27,FALSE)-VLOOKUP($C47,'[2]2.행정구역별 급수인구'!$C$7:$AD$997,27,FALSE)*(1-$E47),0)),VLOOKUP($C47,'[2]2.행정구역별 급수인구'!$C$7:$AD$997,27,FALSE)))</f>
        <v>0</v>
      </c>
      <c r="K47" s="538">
        <f>IF($D47="A",ROUND(VLOOKUP($C47,'[2]2.행정구역별 급수인구'!$C$7:$AD$997,28,FALSE)*$E47,0),IF($D47="B",(ROUND(VLOOKUP($C47,'[2]2.행정구역별 급수인구'!$C$7:$AD$997,28,FALSE)-VLOOKUP($C47,'[2]2.행정구역별 급수인구'!$C$7:$AD$997,28,FALSE)*(1-$E47),0)),VLOOKUP($C47,'[2]2.행정구역별 급수인구'!$C$7:$AD$997,28,FALSE)))</f>
        <v>0</v>
      </c>
      <c r="L47" s="302">
        <f>VLOOKUP($F47,'[3]5.급수원단위'!$B$31:$G$35,2,FALSE)</f>
        <v>365</v>
      </c>
      <c r="M47" s="538">
        <f>VLOOKUP($F47,'[3]5.급수원단위'!$B$31:$G$35,3,FALSE)</f>
        <v>390</v>
      </c>
      <c r="N47" s="538">
        <f>VLOOKUP($F47,'[3]5.급수원단위'!$B$31:$G$35,4,FALSE)</f>
        <v>417</v>
      </c>
      <c r="O47" s="538">
        <f>VLOOKUP($F47,'[3]5.급수원단위'!$B$31:$G$35,5,FALSE)</f>
        <v>439</v>
      </c>
      <c r="P47" s="538">
        <f>VLOOKUP($F47,'[3]5.급수원단위'!$B$31:$G$35,6,FALSE)</f>
        <v>454</v>
      </c>
      <c r="Q47" s="302">
        <f>ROUND(IF(G47=0,0,VLOOKUP(C47,'2013실사용량 정리'!$D$6:$F$381,3,FALSE)),0)</f>
        <v>0</v>
      </c>
      <c r="R47" s="538">
        <f t="shared" si="7"/>
        <v>0</v>
      </c>
      <c r="S47" s="538">
        <f t="shared" si="7"/>
        <v>0</v>
      </c>
      <c r="T47" s="538">
        <f t="shared" si="7"/>
        <v>0</v>
      </c>
      <c r="U47" s="538">
        <f t="shared" si="7"/>
        <v>0</v>
      </c>
      <c r="V47" s="327"/>
      <c r="W47" s="343" t="str">
        <f t="shared" si="3"/>
        <v/>
      </c>
      <c r="X47" s="327"/>
      <c r="Y47" s="327"/>
      <c r="Z47" s="327"/>
      <c r="AA47" s="327"/>
      <c r="AB47" s="327"/>
      <c r="AC47" s="327"/>
      <c r="AD47" s="327"/>
    </row>
    <row r="48" spans="1:30" ht="20.100000000000001" customHeight="1">
      <c r="A48" s="340"/>
      <c r="B48" s="340"/>
      <c r="C48" s="406" t="s">
        <v>1333</v>
      </c>
      <c r="D48" s="330" t="s">
        <v>1299</v>
      </c>
      <c r="E48" s="527">
        <v>0</v>
      </c>
      <c r="F48" s="527" t="s">
        <v>1331</v>
      </c>
      <c r="G48" s="302">
        <f>IF($D48="A",ROUND(VLOOKUP($C48,'[2]2.행정구역별 급수인구'!$C$7:$AD$997,17,FALSE)*$E48,0),IF($D48="B",(ROUND(VLOOKUP($C48,'[2]2.행정구역별 급수인구'!$C$7:$AD$997,17,FALSE)-VLOOKUP($C48,'[2]2.행정구역별 급수인구'!$C$7:$AD$997,17,FALSE)*(1-$E48),0)),VLOOKUP($C48,'[2]2.행정구역별 급수인구'!$C$7:$AD$997,17,FALSE)))</f>
        <v>0</v>
      </c>
      <c r="H48" s="302">
        <f>IF($D48="A",ROUND(VLOOKUP($C48,'[2]2.행정구역별 급수인구'!$C$7:$AD$997,25,FALSE)*$E48,0),IF($D48="B",(ROUND(VLOOKUP($C48,'[2]2.행정구역별 급수인구'!$C$7:$AD$997,25,FALSE)-VLOOKUP($C48,'[2]2.행정구역별 급수인구'!$C$7:$AD$997,25,FALSE)*(1-$E48),0)),VLOOKUP($C48,'[2]2.행정구역별 급수인구'!$C$7:$AD$997,25,FALSE)))</f>
        <v>0</v>
      </c>
      <c r="I48" s="302">
        <f>IF($D48="A",ROUND(VLOOKUP($C48,'[2]2.행정구역별 급수인구'!$C$7:$AD$997,26,FALSE)*$E48,0),IF($D48="B",(ROUND(VLOOKUP($C48,'[2]2.행정구역별 급수인구'!$C$7:$AD$997,26,FALSE)-VLOOKUP($C48,'[2]2.행정구역별 급수인구'!$C$7:$AD$997,26,FALSE)*(1-$E48),0)),VLOOKUP($C48,'[2]2.행정구역별 급수인구'!$C$7:$AD$997,26,FALSE)))</f>
        <v>0</v>
      </c>
      <c r="J48" s="302">
        <f>IF($D48="A",ROUND(VLOOKUP($C48,'[2]2.행정구역별 급수인구'!$C$7:$AD$997,27,FALSE)*$E48,0),IF($D48="B",(ROUND(VLOOKUP($C48,'[2]2.행정구역별 급수인구'!$C$7:$AD$997,27,FALSE)-VLOOKUP($C48,'[2]2.행정구역별 급수인구'!$C$7:$AD$997,27,FALSE)*(1-$E48),0)),VLOOKUP($C48,'[2]2.행정구역별 급수인구'!$C$7:$AD$997,27,FALSE)))</f>
        <v>0</v>
      </c>
      <c r="K48" s="302">
        <f>IF($D48="A",ROUND(VLOOKUP($C48,'[2]2.행정구역별 급수인구'!$C$7:$AD$997,28,FALSE)*$E48,0),IF($D48="B",(ROUND(VLOOKUP($C48,'[2]2.행정구역별 급수인구'!$C$7:$AD$997,28,FALSE)-VLOOKUP($C48,'[2]2.행정구역별 급수인구'!$C$7:$AD$997,28,FALSE)*(1-$E48),0)),VLOOKUP($C48,'[2]2.행정구역별 급수인구'!$C$7:$AD$997,28,FALSE)))</f>
        <v>0</v>
      </c>
      <c r="L48" s="302">
        <f>VLOOKUP($F48,'[3]5.급수원단위'!$B$31:$G$35,2,FALSE)</f>
        <v>365</v>
      </c>
      <c r="M48" s="302">
        <f>VLOOKUP($F48,'[3]5.급수원단위'!$B$31:$G$35,3,FALSE)</f>
        <v>390</v>
      </c>
      <c r="N48" s="302">
        <f>VLOOKUP($F48,'[3]5.급수원단위'!$B$31:$G$35,4,FALSE)</f>
        <v>417</v>
      </c>
      <c r="O48" s="302">
        <f>VLOOKUP($F48,'[3]5.급수원단위'!$B$31:$G$35,5,FALSE)</f>
        <v>439</v>
      </c>
      <c r="P48" s="302">
        <f>VLOOKUP($F48,'[3]5.급수원단위'!$B$31:$G$35,6,FALSE)</f>
        <v>454</v>
      </c>
      <c r="Q48" s="302">
        <f>ROUND(IF(G48=0,0,VLOOKUP(C48,'2013실사용량 정리'!$D$6:$F$381,3,FALSE)),0)</f>
        <v>0</v>
      </c>
      <c r="R48" s="302">
        <f t="shared" si="7"/>
        <v>0</v>
      </c>
      <c r="S48" s="302">
        <f t="shared" si="7"/>
        <v>0</v>
      </c>
      <c r="T48" s="302">
        <f t="shared" si="7"/>
        <v>0</v>
      </c>
      <c r="U48" s="302">
        <f t="shared" si="7"/>
        <v>0</v>
      </c>
      <c r="V48" s="327"/>
      <c r="W48" s="343" t="str">
        <f t="shared" ref="W48:W111" si="8">IF(ISERROR(U48/Q48),"",U48/Q48)</f>
        <v/>
      </c>
      <c r="X48" s="327"/>
      <c r="Y48" s="327"/>
      <c r="Z48" s="327"/>
      <c r="AA48" s="327"/>
      <c r="AB48" s="327"/>
      <c r="AC48" s="327"/>
      <c r="AD48" s="327"/>
    </row>
    <row r="49" spans="1:30" ht="20.100000000000001" customHeight="1">
      <c r="A49" s="340"/>
      <c r="B49" s="340"/>
      <c r="C49" s="406" t="s">
        <v>1334</v>
      </c>
      <c r="D49" s="330" t="s">
        <v>1299</v>
      </c>
      <c r="E49" s="527">
        <v>0</v>
      </c>
      <c r="F49" s="527" t="s">
        <v>1331</v>
      </c>
      <c r="G49" s="302">
        <f>IF($D49="A",ROUND(VLOOKUP($C49,'[2]2.행정구역별 급수인구'!$C$7:$AD$997,17,FALSE)*$E49,0),IF($D49="B",(ROUND(VLOOKUP($C49,'[2]2.행정구역별 급수인구'!$C$7:$AD$997,17,FALSE)-VLOOKUP($C49,'[2]2.행정구역별 급수인구'!$C$7:$AD$997,17,FALSE)*(1-$E49),0)),VLOOKUP($C49,'[2]2.행정구역별 급수인구'!$C$7:$AD$997,17,FALSE)))</f>
        <v>0</v>
      </c>
      <c r="H49" s="302">
        <f>IF($D49="A",ROUND(VLOOKUP($C49,'[2]2.행정구역별 급수인구'!$C$7:$AD$997,25,FALSE)*$E49,0),IF($D49="B",(ROUND(VLOOKUP($C49,'[2]2.행정구역별 급수인구'!$C$7:$AD$997,25,FALSE)-VLOOKUP($C49,'[2]2.행정구역별 급수인구'!$C$7:$AD$997,25,FALSE)*(1-$E49),0)),VLOOKUP($C49,'[2]2.행정구역별 급수인구'!$C$7:$AD$997,25,FALSE)))</f>
        <v>0</v>
      </c>
      <c r="I49" s="302">
        <f>IF($D49="A",ROUND(VLOOKUP($C49,'[2]2.행정구역별 급수인구'!$C$7:$AD$997,26,FALSE)*$E49,0),IF($D49="B",(ROUND(VLOOKUP($C49,'[2]2.행정구역별 급수인구'!$C$7:$AD$997,26,FALSE)-VLOOKUP($C49,'[2]2.행정구역별 급수인구'!$C$7:$AD$997,26,FALSE)*(1-$E49),0)),VLOOKUP($C49,'[2]2.행정구역별 급수인구'!$C$7:$AD$997,26,FALSE)))</f>
        <v>0</v>
      </c>
      <c r="J49" s="302">
        <f>IF($D49="A",ROUND(VLOOKUP($C49,'[2]2.행정구역별 급수인구'!$C$7:$AD$997,27,FALSE)*$E49,0),IF($D49="B",(ROUND(VLOOKUP($C49,'[2]2.행정구역별 급수인구'!$C$7:$AD$997,27,FALSE)-VLOOKUP($C49,'[2]2.행정구역별 급수인구'!$C$7:$AD$997,27,FALSE)*(1-$E49),0)),VLOOKUP($C49,'[2]2.행정구역별 급수인구'!$C$7:$AD$997,27,FALSE)))</f>
        <v>0</v>
      </c>
      <c r="K49" s="302">
        <f>IF($D49="A",ROUND(VLOOKUP($C49,'[2]2.행정구역별 급수인구'!$C$7:$AD$997,28,FALSE)*$E49,0),IF($D49="B",(ROUND(VLOOKUP($C49,'[2]2.행정구역별 급수인구'!$C$7:$AD$997,28,FALSE)-VLOOKUP($C49,'[2]2.행정구역별 급수인구'!$C$7:$AD$997,28,FALSE)*(1-$E49),0)),VLOOKUP($C49,'[2]2.행정구역별 급수인구'!$C$7:$AD$997,28,FALSE)))</f>
        <v>0</v>
      </c>
      <c r="L49" s="302">
        <f>VLOOKUP($F49,'[3]5.급수원단위'!$B$31:$G$35,2,FALSE)</f>
        <v>365</v>
      </c>
      <c r="M49" s="302">
        <f>VLOOKUP($F49,'[3]5.급수원단위'!$B$31:$G$35,3,FALSE)</f>
        <v>390</v>
      </c>
      <c r="N49" s="302">
        <f>VLOOKUP($F49,'[3]5.급수원단위'!$B$31:$G$35,4,FALSE)</f>
        <v>417</v>
      </c>
      <c r="O49" s="302">
        <f>VLOOKUP($F49,'[3]5.급수원단위'!$B$31:$G$35,5,FALSE)</f>
        <v>439</v>
      </c>
      <c r="P49" s="302">
        <f>VLOOKUP($F49,'[3]5.급수원단위'!$B$31:$G$35,6,FALSE)</f>
        <v>454</v>
      </c>
      <c r="Q49" s="302">
        <f>ROUND(IF(G49=0,0,VLOOKUP(C49,'2013실사용량 정리'!$D$6:$F$381,3,FALSE)),0)</f>
        <v>0</v>
      </c>
      <c r="R49" s="302">
        <f t="shared" si="7"/>
        <v>0</v>
      </c>
      <c r="S49" s="302">
        <f t="shared" si="7"/>
        <v>0</v>
      </c>
      <c r="T49" s="302">
        <f t="shared" si="7"/>
        <v>0</v>
      </c>
      <c r="U49" s="302">
        <f t="shared" si="7"/>
        <v>0</v>
      </c>
      <c r="V49" s="327"/>
      <c r="W49" s="343" t="str">
        <f t="shared" si="8"/>
        <v/>
      </c>
      <c r="X49" s="327"/>
      <c r="Y49" s="327"/>
      <c r="Z49" s="327"/>
      <c r="AA49" s="327"/>
      <c r="AB49" s="327"/>
      <c r="AC49" s="327"/>
      <c r="AD49" s="327"/>
    </row>
    <row r="50" spans="1:30" ht="20.100000000000001" customHeight="1">
      <c r="A50" s="340"/>
      <c r="B50" s="340"/>
      <c r="C50" s="406" t="s">
        <v>1335</v>
      </c>
      <c r="D50" s="330" t="s">
        <v>1299</v>
      </c>
      <c r="E50" s="527">
        <v>0</v>
      </c>
      <c r="F50" s="527" t="s">
        <v>1331</v>
      </c>
      <c r="G50" s="302">
        <f>IF($D50="A",ROUND(VLOOKUP($C50,'[2]2.행정구역별 급수인구'!$C$7:$AD$997,17,FALSE)*$E50,0),IF($D50="B",(ROUND(VLOOKUP($C50,'[2]2.행정구역별 급수인구'!$C$7:$AD$997,17,FALSE)-VLOOKUP($C50,'[2]2.행정구역별 급수인구'!$C$7:$AD$997,17,FALSE)*(1-$E50),0)),VLOOKUP($C50,'[2]2.행정구역별 급수인구'!$C$7:$AD$997,17,FALSE)))</f>
        <v>0</v>
      </c>
      <c r="H50" s="302">
        <f>IF($D50="A",ROUND(VLOOKUP($C50,'[2]2.행정구역별 급수인구'!$C$7:$AD$997,25,FALSE)*$E50,0),IF($D50="B",(ROUND(VLOOKUP($C50,'[2]2.행정구역별 급수인구'!$C$7:$AD$997,25,FALSE)-VLOOKUP($C50,'[2]2.행정구역별 급수인구'!$C$7:$AD$997,25,FALSE)*(1-$E50),0)),VLOOKUP($C50,'[2]2.행정구역별 급수인구'!$C$7:$AD$997,25,FALSE)))</f>
        <v>0</v>
      </c>
      <c r="I50" s="302">
        <f>IF($D50="A",ROUND(VLOOKUP($C50,'[2]2.행정구역별 급수인구'!$C$7:$AD$997,26,FALSE)*$E50,0),IF($D50="B",(ROUND(VLOOKUP($C50,'[2]2.행정구역별 급수인구'!$C$7:$AD$997,26,FALSE)-VLOOKUP($C50,'[2]2.행정구역별 급수인구'!$C$7:$AD$997,26,FALSE)*(1-$E50),0)),VLOOKUP($C50,'[2]2.행정구역별 급수인구'!$C$7:$AD$997,26,FALSE)))</f>
        <v>0</v>
      </c>
      <c r="J50" s="302">
        <f>IF($D50="A",ROUND(VLOOKUP($C50,'[2]2.행정구역별 급수인구'!$C$7:$AD$997,27,FALSE)*$E50,0),IF($D50="B",(ROUND(VLOOKUP($C50,'[2]2.행정구역별 급수인구'!$C$7:$AD$997,27,FALSE)-VLOOKUP($C50,'[2]2.행정구역별 급수인구'!$C$7:$AD$997,27,FALSE)*(1-$E50),0)),VLOOKUP($C50,'[2]2.행정구역별 급수인구'!$C$7:$AD$997,27,FALSE)))</f>
        <v>0</v>
      </c>
      <c r="K50" s="302">
        <f>IF($D50="A",ROUND(VLOOKUP($C50,'[2]2.행정구역별 급수인구'!$C$7:$AD$997,28,FALSE)*$E50,0),IF($D50="B",(ROUND(VLOOKUP($C50,'[2]2.행정구역별 급수인구'!$C$7:$AD$997,28,FALSE)-VLOOKUP($C50,'[2]2.행정구역별 급수인구'!$C$7:$AD$997,28,FALSE)*(1-$E50),0)),VLOOKUP($C50,'[2]2.행정구역별 급수인구'!$C$7:$AD$997,28,FALSE)))</f>
        <v>0</v>
      </c>
      <c r="L50" s="302">
        <f>VLOOKUP($F50,'[3]5.급수원단위'!$B$31:$G$35,2,FALSE)</f>
        <v>365</v>
      </c>
      <c r="M50" s="302">
        <f>VLOOKUP($F50,'[3]5.급수원단위'!$B$31:$G$35,3,FALSE)</f>
        <v>390</v>
      </c>
      <c r="N50" s="302">
        <f>VLOOKUP($F50,'[3]5.급수원단위'!$B$31:$G$35,4,FALSE)</f>
        <v>417</v>
      </c>
      <c r="O50" s="302">
        <f>VLOOKUP($F50,'[3]5.급수원단위'!$B$31:$G$35,5,FALSE)</f>
        <v>439</v>
      </c>
      <c r="P50" s="302">
        <f>VLOOKUP($F50,'[3]5.급수원단위'!$B$31:$G$35,6,FALSE)</f>
        <v>454</v>
      </c>
      <c r="Q50" s="302">
        <f>ROUND(IF(G50=0,0,VLOOKUP(C50,'2013실사용량 정리'!$D$6:$F$381,3,FALSE)),0)</f>
        <v>0</v>
      </c>
      <c r="R50" s="302">
        <f t="shared" si="7"/>
        <v>0</v>
      </c>
      <c r="S50" s="302">
        <f t="shared" si="7"/>
        <v>0</v>
      </c>
      <c r="T50" s="302">
        <f t="shared" si="7"/>
        <v>0</v>
      </c>
      <c r="U50" s="302">
        <f t="shared" si="7"/>
        <v>0</v>
      </c>
      <c r="V50" s="327"/>
      <c r="W50" s="343" t="str">
        <f t="shared" si="8"/>
        <v/>
      </c>
      <c r="X50" s="327"/>
      <c r="Y50" s="327"/>
      <c r="Z50" s="327"/>
      <c r="AA50" s="327"/>
      <c r="AB50" s="327"/>
      <c r="AC50" s="327"/>
      <c r="AD50" s="327"/>
    </row>
    <row r="51" spans="1:30" ht="20.100000000000001" customHeight="1">
      <c r="A51" s="340"/>
      <c r="B51" s="340"/>
      <c r="C51" s="406" t="s">
        <v>1336</v>
      </c>
      <c r="D51" s="330" t="s">
        <v>1299</v>
      </c>
      <c r="E51" s="527">
        <v>0</v>
      </c>
      <c r="F51" s="527" t="s">
        <v>1331</v>
      </c>
      <c r="G51" s="302">
        <f>IF($D51="A",ROUND(VLOOKUP($C51,'[2]2.행정구역별 급수인구'!$C$7:$AD$997,17,FALSE)*$E51,0),IF($D51="B",(ROUND(VLOOKUP($C51,'[2]2.행정구역별 급수인구'!$C$7:$AD$997,17,FALSE)-VLOOKUP($C51,'[2]2.행정구역별 급수인구'!$C$7:$AD$997,17,FALSE)*(1-$E51),0)),VLOOKUP($C51,'[2]2.행정구역별 급수인구'!$C$7:$AD$997,17,FALSE)))</f>
        <v>0</v>
      </c>
      <c r="H51" s="302">
        <f>IF($D51="A",ROUND(VLOOKUP($C51,'[2]2.행정구역별 급수인구'!$C$7:$AD$997,25,FALSE)*$E51,0),IF($D51="B",(ROUND(VLOOKUP($C51,'[2]2.행정구역별 급수인구'!$C$7:$AD$997,25,FALSE)-VLOOKUP($C51,'[2]2.행정구역별 급수인구'!$C$7:$AD$997,25,FALSE)*(1-$E51),0)),VLOOKUP($C51,'[2]2.행정구역별 급수인구'!$C$7:$AD$997,25,FALSE)))</f>
        <v>0</v>
      </c>
      <c r="I51" s="302">
        <f>IF($D51="A",ROUND(VLOOKUP($C51,'[2]2.행정구역별 급수인구'!$C$7:$AD$997,26,FALSE)*$E51,0),IF($D51="B",(ROUND(VLOOKUP($C51,'[2]2.행정구역별 급수인구'!$C$7:$AD$997,26,FALSE)-VLOOKUP($C51,'[2]2.행정구역별 급수인구'!$C$7:$AD$997,26,FALSE)*(1-$E51),0)),VLOOKUP($C51,'[2]2.행정구역별 급수인구'!$C$7:$AD$997,26,FALSE)))</f>
        <v>0</v>
      </c>
      <c r="J51" s="302">
        <f>IF($D51="A",ROUND(VLOOKUP($C51,'[2]2.행정구역별 급수인구'!$C$7:$AD$997,27,FALSE)*$E51,0),IF($D51="B",(ROUND(VLOOKUP($C51,'[2]2.행정구역별 급수인구'!$C$7:$AD$997,27,FALSE)-VLOOKUP($C51,'[2]2.행정구역별 급수인구'!$C$7:$AD$997,27,FALSE)*(1-$E51),0)),VLOOKUP($C51,'[2]2.행정구역별 급수인구'!$C$7:$AD$997,27,FALSE)))</f>
        <v>0</v>
      </c>
      <c r="K51" s="302">
        <f>IF($D51="A",ROUND(VLOOKUP($C51,'[2]2.행정구역별 급수인구'!$C$7:$AD$997,28,FALSE)*$E51,0),IF($D51="B",(ROUND(VLOOKUP($C51,'[2]2.행정구역별 급수인구'!$C$7:$AD$997,28,FALSE)-VLOOKUP($C51,'[2]2.행정구역별 급수인구'!$C$7:$AD$997,28,FALSE)*(1-$E51),0)),VLOOKUP($C51,'[2]2.행정구역별 급수인구'!$C$7:$AD$997,28,FALSE)))</f>
        <v>0</v>
      </c>
      <c r="L51" s="302">
        <f>VLOOKUP($F51,'[3]5.급수원단위'!$B$31:$G$35,2,FALSE)</f>
        <v>365</v>
      </c>
      <c r="M51" s="302">
        <f>VLOOKUP($F51,'[3]5.급수원단위'!$B$31:$G$35,3,FALSE)</f>
        <v>390</v>
      </c>
      <c r="N51" s="302">
        <f>VLOOKUP($F51,'[3]5.급수원단위'!$B$31:$G$35,4,FALSE)</f>
        <v>417</v>
      </c>
      <c r="O51" s="302">
        <f>VLOOKUP($F51,'[3]5.급수원단위'!$B$31:$G$35,5,FALSE)</f>
        <v>439</v>
      </c>
      <c r="P51" s="302">
        <f>VLOOKUP($F51,'[3]5.급수원단위'!$B$31:$G$35,6,FALSE)</f>
        <v>454</v>
      </c>
      <c r="Q51" s="302">
        <f>ROUND(IF(G51=0,0,VLOOKUP(C51,'2013실사용량 정리'!$D$6:$F$381,3,FALSE)),0)</f>
        <v>0</v>
      </c>
      <c r="R51" s="302">
        <f t="shared" ref="R51:U89" si="9">ROUND(H51*M51/1000,0)</f>
        <v>0</v>
      </c>
      <c r="S51" s="302">
        <f t="shared" si="9"/>
        <v>0</v>
      </c>
      <c r="T51" s="302">
        <f t="shared" si="9"/>
        <v>0</v>
      </c>
      <c r="U51" s="302">
        <f t="shared" si="9"/>
        <v>0</v>
      </c>
      <c r="V51" s="327"/>
      <c r="W51" s="343" t="str">
        <f t="shared" si="8"/>
        <v/>
      </c>
      <c r="X51" s="327"/>
      <c r="Y51" s="327"/>
      <c r="Z51" s="327"/>
      <c r="AA51" s="327"/>
      <c r="AB51" s="327"/>
      <c r="AC51" s="327"/>
      <c r="AD51" s="327"/>
    </row>
    <row r="52" spans="1:30" ht="20.100000000000001" customHeight="1">
      <c r="A52" s="340"/>
      <c r="B52" s="340"/>
      <c r="C52" s="406" t="s">
        <v>1337</v>
      </c>
      <c r="D52" s="330" t="s">
        <v>1299</v>
      </c>
      <c r="E52" s="527">
        <v>0</v>
      </c>
      <c r="F52" s="527" t="s">
        <v>1331</v>
      </c>
      <c r="G52" s="302">
        <f>IF($D52="A",ROUND(VLOOKUP($C52,'[2]2.행정구역별 급수인구'!$C$7:$AD$997,17,FALSE)*$E52,0),IF($D52="B",(ROUND(VLOOKUP($C52,'[2]2.행정구역별 급수인구'!$C$7:$AD$997,17,FALSE)-VLOOKUP($C52,'[2]2.행정구역별 급수인구'!$C$7:$AD$997,17,FALSE)*(1-$E52),0)),VLOOKUP($C52,'[2]2.행정구역별 급수인구'!$C$7:$AD$997,17,FALSE)))</f>
        <v>0</v>
      </c>
      <c r="H52" s="302">
        <f>IF($D52="A",ROUND(VLOOKUP($C52,'[2]2.행정구역별 급수인구'!$C$7:$AD$997,25,FALSE)*$E52,0),IF($D52="B",(ROUND(VLOOKUP($C52,'[2]2.행정구역별 급수인구'!$C$7:$AD$997,25,FALSE)-VLOOKUP($C52,'[2]2.행정구역별 급수인구'!$C$7:$AD$997,25,FALSE)*(1-$E52),0)),VLOOKUP($C52,'[2]2.행정구역별 급수인구'!$C$7:$AD$997,25,FALSE)))</f>
        <v>0</v>
      </c>
      <c r="I52" s="302">
        <f>IF($D52="A",ROUND(VLOOKUP($C52,'[2]2.행정구역별 급수인구'!$C$7:$AD$997,26,FALSE)*$E52,0),IF($D52="B",(ROUND(VLOOKUP($C52,'[2]2.행정구역별 급수인구'!$C$7:$AD$997,26,FALSE)-VLOOKUP($C52,'[2]2.행정구역별 급수인구'!$C$7:$AD$997,26,FALSE)*(1-$E52),0)),VLOOKUP($C52,'[2]2.행정구역별 급수인구'!$C$7:$AD$997,26,FALSE)))</f>
        <v>0</v>
      </c>
      <c r="J52" s="302">
        <f>IF($D52="A",ROUND(VLOOKUP($C52,'[2]2.행정구역별 급수인구'!$C$7:$AD$997,27,FALSE)*$E52,0),IF($D52="B",(ROUND(VLOOKUP($C52,'[2]2.행정구역별 급수인구'!$C$7:$AD$997,27,FALSE)-VLOOKUP($C52,'[2]2.행정구역별 급수인구'!$C$7:$AD$997,27,FALSE)*(1-$E52),0)),VLOOKUP($C52,'[2]2.행정구역별 급수인구'!$C$7:$AD$997,27,FALSE)))</f>
        <v>0</v>
      </c>
      <c r="K52" s="302">
        <f>IF($D52="A",ROUND(VLOOKUP($C52,'[2]2.행정구역별 급수인구'!$C$7:$AD$997,28,FALSE)*$E52,0),IF($D52="B",(ROUND(VLOOKUP($C52,'[2]2.행정구역별 급수인구'!$C$7:$AD$997,28,FALSE)-VLOOKUP($C52,'[2]2.행정구역별 급수인구'!$C$7:$AD$997,28,FALSE)*(1-$E52),0)),VLOOKUP($C52,'[2]2.행정구역별 급수인구'!$C$7:$AD$997,28,FALSE)))</f>
        <v>0</v>
      </c>
      <c r="L52" s="302">
        <f>VLOOKUP($F52,'[3]5.급수원단위'!$B$31:$G$35,2,FALSE)</f>
        <v>365</v>
      </c>
      <c r="M52" s="302">
        <f>VLOOKUP($F52,'[3]5.급수원단위'!$B$31:$G$35,3,FALSE)</f>
        <v>390</v>
      </c>
      <c r="N52" s="302">
        <f>VLOOKUP($F52,'[3]5.급수원단위'!$B$31:$G$35,4,FALSE)</f>
        <v>417</v>
      </c>
      <c r="O52" s="302">
        <f>VLOOKUP($F52,'[3]5.급수원단위'!$B$31:$G$35,5,FALSE)</f>
        <v>439</v>
      </c>
      <c r="P52" s="302">
        <f>VLOOKUP($F52,'[3]5.급수원단위'!$B$31:$G$35,6,FALSE)</f>
        <v>454</v>
      </c>
      <c r="Q52" s="302">
        <f>ROUND(IF(G52=0,0,VLOOKUP(C52,'2013실사용량 정리'!$D$6:$F$381,3,FALSE)),0)</f>
        <v>0</v>
      </c>
      <c r="R52" s="302">
        <f t="shared" si="9"/>
        <v>0</v>
      </c>
      <c r="S52" s="302">
        <f t="shared" si="9"/>
        <v>0</v>
      </c>
      <c r="T52" s="302">
        <f t="shared" si="9"/>
        <v>0</v>
      </c>
      <c r="U52" s="302">
        <f t="shared" si="9"/>
        <v>0</v>
      </c>
      <c r="V52" s="327"/>
      <c r="W52" s="343" t="str">
        <f t="shared" si="8"/>
        <v/>
      </c>
      <c r="X52" s="327"/>
      <c r="Y52" s="327"/>
      <c r="Z52" s="327"/>
      <c r="AA52" s="327"/>
      <c r="AB52" s="327"/>
      <c r="AC52" s="327"/>
      <c r="AD52" s="327"/>
    </row>
    <row r="53" spans="1:30" ht="20.100000000000001" customHeight="1">
      <c r="A53" s="340"/>
      <c r="B53" s="340"/>
      <c r="C53" s="406" t="s">
        <v>1338</v>
      </c>
      <c r="D53" s="330" t="s">
        <v>1299</v>
      </c>
      <c r="E53" s="527">
        <v>0</v>
      </c>
      <c r="F53" s="527" t="s">
        <v>1331</v>
      </c>
      <c r="G53" s="302">
        <f>IF($D53="A",ROUND(VLOOKUP($C53,'[2]2.행정구역별 급수인구'!$C$7:$AD$997,17,FALSE)*$E53,0),IF($D53="B",(ROUND(VLOOKUP($C53,'[2]2.행정구역별 급수인구'!$C$7:$AD$997,17,FALSE)-VLOOKUP($C53,'[2]2.행정구역별 급수인구'!$C$7:$AD$997,17,FALSE)*(1-$E53),0)),VLOOKUP($C53,'[2]2.행정구역별 급수인구'!$C$7:$AD$997,17,FALSE)))</f>
        <v>0</v>
      </c>
      <c r="H53" s="302">
        <f>IF($D53="A",ROUND(VLOOKUP($C53,'[2]2.행정구역별 급수인구'!$C$7:$AD$997,25,FALSE)*$E53,0),IF($D53="B",(ROUND(VLOOKUP($C53,'[2]2.행정구역별 급수인구'!$C$7:$AD$997,25,FALSE)-VLOOKUP($C53,'[2]2.행정구역별 급수인구'!$C$7:$AD$997,25,FALSE)*(1-$E53),0)),VLOOKUP($C53,'[2]2.행정구역별 급수인구'!$C$7:$AD$997,25,FALSE)))</f>
        <v>0</v>
      </c>
      <c r="I53" s="302">
        <f>IF($D53="A",ROUND(VLOOKUP($C53,'[2]2.행정구역별 급수인구'!$C$7:$AD$997,26,FALSE)*$E53,0),IF($D53="B",(ROUND(VLOOKUP($C53,'[2]2.행정구역별 급수인구'!$C$7:$AD$997,26,FALSE)-VLOOKUP($C53,'[2]2.행정구역별 급수인구'!$C$7:$AD$997,26,FALSE)*(1-$E53),0)),VLOOKUP($C53,'[2]2.행정구역별 급수인구'!$C$7:$AD$997,26,FALSE)))</f>
        <v>0</v>
      </c>
      <c r="J53" s="302">
        <f>IF($D53="A",ROUND(VLOOKUP($C53,'[2]2.행정구역별 급수인구'!$C$7:$AD$997,27,FALSE)*$E53,0),IF($D53="B",(ROUND(VLOOKUP($C53,'[2]2.행정구역별 급수인구'!$C$7:$AD$997,27,FALSE)-VLOOKUP($C53,'[2]2.행정구역별 급수인구'!$C$7:$AD$997,27,FALSE)*(1-$E53),0)),VLOOKUP($C53,'[2]2.행정구역별 급수인구'!$C$7:$AD$997,27,FALSE)))</f>
        <v>0</v>
      </c>
      <c r="K53" s="302">
        <f>IF($D53="A",ROUND(VLOOKUP($C53,'[2]2.행정구역별 급수인구'!$C$7:$AD$997,28,FALSE)*$E53,0),IF($D53="B",(ROUND(VLOOKUP($C53,'[2]2.행정구역별 급수인구'!$C$7:$AD$997,28,FALSE)-VLOOKUP($C53,'[2]2.행정구역별 급수인구'!$C$7:$AD$997,28,FALSE)*(1-$E53),0)),VLOOKUP($C53,'[2]2.행정구역별 급수인구'!$C$7:$AD$997,28,FALSE)))</f>
        <v>0</v>
      </c>
      <c r="L53" s="302">
        <f>VLOOKUP($F53,'[3]5.급수원단위'!$B$31:$G$35,2,FALSE)</f>
        <v>365</v>
      </c>
      <c r="M53" s="302">
        <f>VLOOKUP($F53,'[3]5.급수원단위'!$B$31:$G$35,3,FALSE)</f>
        <v>390</v>
      </c>
      <c r="N53" s="302">
        <f>VLOOKUP($F53,'[3]5.급수원단위'!$B$31:$G$35,4,FALSE)</f>
        <v>417</v>
      </c>
      <c r="O53" s="302">
        <f>VLOOKUP($F53,'[3]5.급수원단위'!$B$31:$G$35,5,FALSE)</f>
        <v>439</v>
      </c>
      <c r="P53" s="302">
        <f>VLOOKUP($F53,'[3]5.급수원단위'!$B$31:$G$35,6,FALSE)</f>
        <v>454</v>
      </c>
      <c r="Q53" s="302">
        <f>ROUND(IF(G53=0,0,VLOOKUP(C53,'2013실사용량 정리'!$D$6:$F$381,3,FALSE)),0)</f>
        <v>0</v>
      </c>
      <c r="R53" s="302">
        <f t="shared" si="9"/>
        <v>0</v>
      </c>
      <c r="S53" s="302">
        <f t="shared" si="9"/>
        <v>0</v>
      </c>
      <c r="T53" s="302">
        <f t="shared" si="9"/>
        <v>0</v>
      </c>
      <c r="U53" s="302">
        <f t="shared" si="9"/>
        <v>0</v>
      </c>
      <c r="V53" s="327"/>
      <c r="W53" s="343" t="str">
        <f t="shared" si="8"/>
        <v/>
      </c>
      <c r="X53" s="327"/>
      <c r="Y53" s="327"/>
      <c r="Z53" s="327"/>
      <c r="AA53" s="327"/>
      <c r="AB53" s="327"/>
      <c r="AC53" s="327"/>
      <c r="AD53" s="327"/>
    </row>
    <row r="54" spans="1:30" ht="20.100000000000001" customHeight="1">
      <c r="A54" s="340"/>
      <c r="B54" s="340"/>
      <c r="C54" s="406" t="s">
        <v>1339</v>
      </c>
      <c r="D54" s="330" t="s">
        <v>1299</v>
      </c>
      <c r="E54" s="527">
        <v>0</v>
      </c>
      <c r="F54" s="527" t="s">
        <v>1331</v>
      </c>
      <c r="G54" s="302">
        <f>IF($D54="A",ROUND(VLOOKUP($C54,'[2]2.행정구역별 급수인구'!$C$7:$AD$997,17,FALSE)*$E54,0),IF($D54="B",(ROUND(VLOOKUP($C54,'[2]2.행정구역별 급수인구'!$C$7:$AD$997,17,FALSE)-VLOOKUP($C54,'[2]2.행정구역별 급수인구'!$C$7:$AD$997,17,FALSE)*(1-$E54),0)),VLOOKUP($C54,'[2]2.행정구역별 급수인구'!$C$7:$AD$997,17,FALSE)))</f>
        <v>0</v>
      </c>
      <c r="H54" s="302">
        <f>IF($D54="A",ROUND(VLOOKUP($C54,'[2]2.행정구역별 급수인구'!$C$7:$AD$997,25,FALSE)*$E54,0),IF($D54="B",(ROUND(VLOOKUP($C54,'[2]2.행정구역별 급수인구'!$C$7:$AD$997,25,FALSE)-VLOOKUP($C54,'[2]2.행정구역별 급수인구'!$C$7:$AD$997,25,FALSE)*(1-$E54),0)),VLOOKUP($C54,'[2]2.행정구역별 급수인구'!$C$7:$AD$997,25,FALSE)))</f>
        <v>0</v>
      </c>
      <c r="I54" s="302">
        <f>IF($D54="A",ROUND(VLOOKUP($C54,'[2]2.행정구역별 급수인구'!$C$7:$AD$997,26,FALSE)*$E54,0),IF($D54="B",(ROUND(VLOOKUP($C54,'[2]2.행정구역별 급수인구'!$C$7:$AD$997,26,FALSE)-VLOOKUP($C54,'[2]2.행정구역별 급수인구'!$C$7:$AD$997,26,FALSE)*(1-$E54),0)),VLOOKUP($C54,'[2]2.행정구역별 급수인구'!$C$7:$AD$997,26,FALSE)))</f>
        <v>0</v>
      </c>
      <c r="J54" s="302">
        <f>IF($D54="A",ROUND(VLOOKUP($C54,'[2]2.행정구역별 급수인구'!$C$7:$AD$997,27,FALSE)*$E54,0),IF($D54="B",(ROUND(VLOOKUP($C54,'[2]2.행정구역별 급수인구'!$C$7:$AD$997,27,FALSE)-VLOOKUP($C54,'[2]2.행정구역별 급수인구'!$C$7:$AD$997,27,FALSE)*(1-$E54),0)),VLOOKUP($C54,'[2]2.행정구역별 급수인구'!$C$7:$AD$997,27,FALSE)))</f>
        <v>0</v>
      </c>
      <c r="K54" s="302">
        <f>IF($D54="A",ROUND(VLOOKUP($C54,'[2]2.행정구역별 급수인구'!$C$7:$AD$997,28,FALSE)*$E54,0),IF($D54="B",(ROUND(VLOOKUP($C54,'[2]2.행정구역별 급수인구'!$C$7:$AD$997,28,FALSE)-VLOOKUP($C54,'[2]2.행정구역별 급수인구'!$C$7:$AD$997,28,FALSE)*(1-$E54),0)),VLOOKUP($C54,'[2]2.행정구역별 급수인구'!$C$7:$AD$997,28,FALSE)))</f>
        <v>0</v>
      </c>
      <c r="L54" s="302">
        <f>VLOOKUP($F54,'[3]5.급수원단위'!$B$31:$G$35,2,FALSE)</f>
        <v>365</v>
      </c>
      <c r="M54" s="302">
        <f>VLOOKUP($F54,'[3]5.급수원단위'!$B$31:$G$35,3,FALSE)</f>
        <v>390</v>
      </c>
      <c r="N54" s="302">
        <f>VLOOKUP($F54,'[3]5.급수원단위'!$B$31:$G$35,4,FALSE)</f>
        <v>417</v>
      </c>
      <c r="O54" s="302">
        <f>VLOOKUP($F54,'[3]5.급수원단위'!$B$31:$G$35,5,FALSE)</f>
        <v>439</v>
      </c>
      <c r="P54" s="302">
        <f>VLOOKUP($F54,'[3]5.급수원단위'!$B$31:$G$35,6,FALSE)</f>
        <v>454</v>
      </c>
      <c r="Q54" s="302">
        <f>ROUND(IF(G54=0,0,VLOOKUP(C54,'2013실사용량 정리'!$D$6:$F$381,3,FALSE)),0)</f>
        <v>0</v>
      </c>
      <c r="R54" s="302">
        <f t="shared" si="9"/>
        <v>0</v>
      </c>
      <c r="S54" s="302">
        <f t="shared" si="9"/>
        <v>0</v>
      </c>
      <c r="T54" s="302">
        <f t="shared" si="9"/>
        <v>0</v>
      </c>
      <c r="U54" s="302">
        <f t="shared" si="9"/>
        <v>0</v>
      </c>
      <c r="V54" s="327"/>
      <c r="W54" s="343" t="str">
        <f t="shared" si="8"/>
        <v/>
      </c>
      <c r="X54" s="327"/>
      <c r="Y54" s="327"/>
      <c r="Z54" s="327"/>
      <c r="AA54" s="327"/>
      <c r="AB54" s="327"/>
      <c r="AC54" s="327"/>
      <c r="AD54" s="327"/>
    </row>
    <row r="55" spans="1:30" ht="20.100000000000001" customHeight="1">
      <c r="A55" s="340"/>
      <c r="B55" s="340"/>
      <c r="C55" s="406" t="s">
        <v>1340</v>
      </c>
      <c r="D55" s="330" t="s">
        <v>1299</v>
      </c>
      <c r="E55" s="527">
        <v>0</v>
      </c>
      <c r="F55" s="527" t="s">
        <v>1331</v>
      </c>
      <c r="G55" s="302">
        <f>IF($D55="A",ROUND(VLOOKUP($C55,'[2]2.행정구역별 급수인구'!$C$7:$AD$997,17,FALSE)*$E55,0),IF($D55="B",(ROUND(VLOOKUP($C55,'[2]2.행정구역별 급수인구'!$C$7:$AD$997,17,FALSE)-VLOOKUP($C55,'[2]2.행정구역별 급수인구'!$C$7:$AD$997,17,FALSE)*(1-$E55),0)),VLOOKUP($C55,'[2]2.행정구역별 급수인구'!$C$7:$AD$997,17,FALSE)))</f>
        <v>0</v>
      </c>
      <c r="H55" s="302">
        <f>IF($D55="A",ROUND(VLOOKUP($C55,'[2]2.행정구역별 급수인구'!$C$7:$AD$997,25,FALSE)*$E55,0),IF($D55="B",(ROUND(VLOOKUP($C55,'[2]2.행정구역별 급수인구'!$C$7:$AD$997,25,FALSE)-VLOOKUP($C55,'[2]2.행정구역별 급수인구'!$C$7:$AD$997,25,FALSE)*(1-$E55),0)),VLOOKUP($C55,'[2]2.행정구역별 급수인구'!$C$7:$AD$997,25,FALSE)))</f>
        <v>0</v>
      </c>
      <c r="I55" s="302">
        <f>IF($D55="A",ROUND(VLOOKUP($C55,'[2]2.행정구역별 급수인구'!$C$7:$AD$997,26,FALSE)*$E55,0),IF($D55="B",(ROUND(VLOOKUP($C55,'[2]2.행정구역별 급수인구'!$C$7:$AD$997,26,FALSE)-VLOOKUP($C55,'[2]2.행정구역별 급수인구'!$C$7:$AD$997,26,FALSE)*(1-$E55),0)),VLOOKUP($C55,'[2]2.행정구역별 급수인구'!$C$7:$AD$997,26,FALSE)))</f>
        <v>0</v>
      </c>
      <c r="J55" s="302">
        <f>IF($D55="A",ROUND(VLOOKUP($C55,'[2]2.행정구역별 급수인구'!$C$7:$AD$997,27,FALSE)*$E55,0),IF($D55="B",(ROUND(VLOOKUP($C55,'[2]2.행정구역별 급수인구'!$C$7:$AD$997,27,FALSE)-VLOOKUP($C55,'[2]2.행정구역별 급수인구'!$C$7:$AD$997,27,FALSE)*(1-$E55),0)),VLOOKUP($C55,'[2]2.행정구역별 급수인구'!$C$7:$AD$997,27,FALSE)))</f>
        <v>0</v>
      </c>
      <c r="K55" s="302">
        <f>IF($D55="A",ROUND(VLOOKUP($C55,'[2]2.행정구역별 급수인구'!$C$7:$AD$997,28,FALSE)*$E55,0),IF($D55="B",(ROUND(VLOOKUP($C55,'[2]2.행정구역별 급수인구'!$C$7:$AD$997,28,FALSE)-VLOOKUP($C55,'[2]2.행정구역별 급수인구'!$C$7:$AD$997,28,FALSE)*(1-$E55),0)),VLOOKUP($C55,'[2]2.행정구역별 급수인구'!$C$7:$AD$997,28,FALSE)))</f>
        <v>0</v>
      </c>
      <c r="L55" s="302">
        <f>VLOOKUP($F55,'[3]5.급수원단위'!$B$31:$G$35,2,FALSE)</f>
        <v>365</v>
      </c>
      <c r="M55" s="302">
        <f>VLOOKUP($F55,'[3]5.급수원단위'!$B$31:$G$35,3,FALSE)</f>
        <v>390</v>
      </c>
      <c r="N55" s="302">
        <f>VLOOKUP($F55,'[3]5.급수원단위'!$B$31:$G$35,4,FALSE)</f>
        <v>417</v>
      </c>
      <c r="O55" s="302">
        <f>VLOOKUP($F55,'[3]5.급수원단위'!$B$31:$G$35,5,FALSE)</f>
        <v>439</v>
      </c>
      <c r="P55" s="302">
        <f>VLOOKUP($F55,'[3]5.급수원단위'!$B$31:$G$35,6,FALSE)</f>
        <v>454</v>
      </c>
      <c r="Q55" s="302">
        <f>ROUND(IF(G55=0,0,VLOOKUP(C55,'2013실사용량 정리'!$D$6:$F$381,3,FALSE)),0)</f>
        <v>0</v>
      </c>
      <c r="R55" s="302">
        <f t="shared" si="9"/>
        <v>0</v>
      </c>
      <c r="S55" s="302">
        <f t="shared" si="9"/>
        <v>0</v>
      </c>
      <c r="T55" s="302">
        <f t="shared" si="9"/>
        <v>0</v>
      </c>
      <c r="U55" s="302">
        <f t="shared" si="9"/>
        <v>0</v>
      </c>
      <c r="V55" s="327"/>
      <c r="W55" s="343" t="str">
        <f t="shared" si="8"/>
        <v/>
      </c>
      <c r="X55" s="327"/>
      <c r="Y55" s="327"/>
      <c r="Z55" s="327"/>
      <c r="AA55" s="327"/>
      <c r="AB55" s="327"/>
      <c r="AC55" s="327"/>
      <c r="AD55" s="327"/>
    </row>
    <row r="56" spans="1:30" ht="20.100000000000001" customHeight="1">
      <c r="A56" s="340"/>
      <c r="B56" s="340"/>
      <c r="C56" s="406" t="s">
        <v>1341</v>
      </c>
      <c r="D56" s="330" t="s">
        <v>1299</v>
      </c>
      <c r="E56" s="527">
        <v>0</v>
      </c>
      <c r="F56" s="527" t="s">
        <v>1331</v>
      </c>
      <c r="G56" s="302">
        <f>IF($D56="A",ROUND(VLOOKUP($C56,'[2]2.행정구역별 급수인구'!$C$7:$AD$997,17,FALSE)*$E56,0),IF($D56="B",(ROUND(VLOOKUP($C56,'[2]2.행정구역별 급수인구'!$C$7:$AD$997,17,FALSE)-VLOOKUP($C56,'[2]2.행정구역별 급수인구'!$C$7:$AD$997,17,FALSE)*(1-$E56),0)),VLOOKUP($C56,'[2]2.행정구역별 급수인구'!$C$7:$AD$997,17,FALSE)))</f>
        <v>0</v>
      </c>
      <c r="H56" s="302">
        <f>IF($D56="A",ROUND(VLOOKUP($C56,'[2]2.행정구역별 급수인구'!$C$7:$AD$997,25,FALSE)*$E56,0),IF($D56="B",(ROUND(VLOOKUP($C56,'[2]2.행정구역별 급수인구'!$C$7:$AD$997,25,FALSE)-VLOOKUP($C56,'[2]2.행정구역별 급수인구'!$C$7:$AD$997,25,FALSE)*(1-$E56),0)),VLOOKUP($C56,'[2]2.행정구역별 급수인구'!$C$7:$AD$997,25,FALSE)))</f>
        <v>0</v>
      </c>
      <c r="I56" s="302">
        <f>IF($D56="A",ROUND(VLOOKUP($C56,'[2]2.행정구역별 급수인구'!$C$7:$AD$997,26,FALSE)*$E56,0),IF($D56="B",(ROUND(VLOOKUP($C56,'[2]2.행정구역별 급수인구'!$C$7:$AD$997,26,FALSE)-VLOOKUP($C56,'[2]2.행정구역별 급수인구'!$C$7:$AD$997,26,FALSE)*(1-$E56),0)),VLOOKUP($C56,'[2]2.행정구역별 급수인구'!$C$7:$AD$997,26,FALSE)))</f>
        <v>0</v>
      </c>
      <c r="J56" s="302">
        <f>IF($D56="A",ROUND(VLOOKUP($C56,'[2]2.행정구역별 급수인구'!$C$7:$AD$997,27,FALSE)*$E56,0),IF($D56="B",(ROUND(VLOOKUP($C56,'[2]2.행정구역별 급수인구'!$C$7:$AD$997,27,FALSE)-VLOOKUP($C56,'[2]2.행정구역별 급수인구'!$C$7:$AD$997,27,FALSE)*(1-$E56),0)),VLOOKUP($C56,'[2]2.행정구역별 급수인구'!$C$7:$AD$997,27,FALSE)))</f>
        <v>0</v>
      </c>
      <c r="K56" s="302">
        <f>IF($D56="A",ROUND(VLOOKUP($C56,'[2]2.행정구역별 급수인구'!$C$7:$AD$997,28,FALSE)*$E56,0),IF($D56="B",(ROUND(VLOOKUP($C56,'[2]2.행정구역별 급수인구'!$C$7:$AD$997,28,FALSE)-VLOOKUP($C56,'[2]2.행정구역별 급수인구'!$C$7:$AD$997,28,FALSE)*(1-$E56),0)),VLOOKUP($C56,'[2]2.행정구역별 급수인구'!$C$7:$AD$997,28,FALSE)))</f>
        <v>0</v>
      </c>
      <c r="L56" s="302">
        <f>VLOOKUP($F56,'[3]5.급수원단위'!$B$31:$G$35,2,FALSE)</f>
        <v>365</v>
      </c>
      <c r="M56" s="302">
        <f>VLOOKUP($F56,'[3]5.급수원단위'!$B$31:$G$35,3,FALSE)</f>
        <v>390</v>
      </c>
      <c r="N56" s="302">
        <f>VLOOKUP($F56,'[3]5.급수원단위'!$B$31:$G$35,4,FALSE)</f>
        <v>417</v>
      </c>
      <c r="O56" s="302">
        <f>VLOOKUP($F56,'[3]5.급수원단위'!$B$31:$G$35,5,FALSE)</f>
        <v>439</v>
      </c>
      <c r="P56" s="302">
        <f>VLOOKUP($F56,'[3]5.급수원단위'!$B$31:$G$35,6,FALSE)</f>
        <v>454</v>
      </c>
      <c r="Q56" s="302">
        <f>ROUND(IF(G56=0,0,VLOOKUP(C56,'2013실사용량 정리'!$D$6:$F$381,3,FALSE)),0)</f>
        <v>0</v>
      </c>
      <c r="R56" s="302">
        <f t="shared" si="9"/>
        <v>0</v>
      </c>
      <c r="S56" s="302">
        <f t="shared" si="9"/>
        <v>0</v>
      </c>
      <c r="T56" s="302">
        <f t="shared" si="9"/>
        <v>0</v>
      </c>
      <c r="U56" s="302">
        <f t="shared" si="9"/>
        <v>0</v>
      </c>
      <c r="V56" s="327"/>
      <c r="W56" s="343" t="str">
        <f t="shared" si="8"/>
        <v/>
      </c>
      <c r="X56" s="327"/>
      <c r="Y56" s="327"/>
      <c r="Z56" s="327"/>
      <c r="AA56" s="327"/>
      <c r="AB56" s="327"/>
      <c r="AC56" s="327"/>
      <c r="AD56" s="327"/>
    </row>
    <row r="57" spans="1:30" ht="20.100000000000001" customHeight="1">
      <c r="A57" s="340"/>
      <c r="B57" s="340"/>
      <c r="C57" s="406" t="s">
        <v>1342</v>
      </c>
      <c r="D57" s="330" t="s">
        <v>1299</v>
      </c>
      <c r="E57" s="527">
        <v>0</v>
      </c>
      <c r="F57" s="527" t="s">
        <v>1331</v>
      </c>
      <c r="G57" s="302">
        <f>IF($D57="A",ROUND(VLOOKUP($C57,'[2]2.행정구역별 급수인구'!$C$7:$AD$997,17,FALSE)*$E57,0),IF($D57="B",(ROUND(VLOOKUP($C57,'[2]2.행정구역별 급수인구'!$C$7:$AD$997,17,FALSE)-VLOOKUP($C57,'[2]2.행정구역별 급수인구'!$C$7:$AD$997,17,FALSE)*(1-$E57),0)),VLOOKUP($C57,'[2]2.행정구역별 급수인구'!$C$7:$AD$997,17,FALSE)))</f>
        <v>0</v>
      </c>
      <c r="H57" s="302">
        <f>IF($D57="A",ROUND(VLOOKUP($C57,'[2]2.행정구역별 급수인구'!$C$7:$AD$997,25,FALSE)*$E57,0),IF($D57="B",(ROUND(VLOOKUP($C57,'[2]2.행정구역별 급수인구'!$C$7:$AD$997,25,FALSE)-VLOOKUP($C57,'[2]2.행정구역별 급수인구'!$C$7:$AD$997,25,FALSE)*(1-$E57),0)),VLOOKUP($C57,'[2]2.행정구역별 급수인구'!$C$7:$AD$997,25,FALSE)))</f>
        <v>0</v>
      </c>
      <c r="I57" s="302">
        <f>IF($D57="A",ROUND(VLOOKUP($C57,'[2]2.행정구역별 급수인구'!$C$7:$AD$997,26,FALSE)*$E57,0),IF($D57="B",(ROUND(VLOOKUP($C57,'[2]2.행정구역별 급수인구'!$C$7:$AD$997,26,FALSE)-VLOOKUP($C57,'[2]2.행정구역별 급수인구'!$C$7:$AD$997,26,FALSE)*(1-$E57),0)),VLOOKUP($C57,'[2]2.행정구역별 급수인구'!$C$7:$AD$997,26,FALSE)))</f>
        <v>0</v>
      </c>
      <c r="J57" s="302">
        <f>IF($D57="A",ROUND(VLOOKUP($C57,'[2]2.행정구역별 급수인구'!$C$7:$AD$997,27,FALSE)*$E57,0),IF($D57="B",(ROUND(VLOOKUP($C57,'[2]2.행정구역별 급수인구'!$C$7:$AD$997,27,FALSE)-VLOOKUP($C57,'[2]2.행정구역별 급수인구'!$C$7:$AD$997,27,FALSE)*(1-$E57),0)),VLOOKUP($C57,'[2]2.행정구역별 급수인구'!$C$7:$AD$997,27,FALSE)))</f>
        <v>0</v>
      </c>
      <c r="K57" s="302">
        <f>IF($D57="A",ROUND(VLOOKUP($C57,'[2]2.행정구역별 급수인구'!$C$7:$AD$997,28,FALSE)*$E57,0),IF($D57="B",(ROUND(VLOOKUP($C57,'[2]2.행정구역별 급수인구'!$C$7:$AD$997,28,FALSE)-VLOOKUP($C57,'[2]2.행정구역별 급수인구'!$C$7:$AD$997,28,FALSE)*(1-$E57),0)),VLOOKUP($C57,'[2]2.행정구역별 급수인구'!$C$7:$AD$997,28,FALSE)))</f>
        <v>0</v>
      </c>
      <c r="L57" s="302">
        <f>VLOOKUP($F57,'[3]5.급수원단위'!$B$31:$G$35,2,FALSE)</f>
        <v>365</v>
      </c>
      <c r="M57" s="302">
        <f>VLOOKUP($F57,'[3]5.급수원단위'!$B$31:$G$35,3,FALSE)</f>
        <v>390</v>
      </c>
      <c r="N57" s="302">
        <f>VLOOKUP($F57,'[3]5.급수원단위'!$B$31:$G$35,4,FALSE)</f>
        <v>417</v>
      </c>
      <c r="O57" s="302">
        <f>VLOOKUP($F57,'[3]5.급수원단위'!$B$31:$G$35,5,FALSE)</f>
        <v>439</v>
      </c>
      <c r="P57" s="302">
        <f>VLOOKUP($F57,'[3]5.급수원단위'!$B$31:$G$35,6,FALSE)</f>
        <v>454</v>
      </c>
      <c r="Q57" s="302">
        <f>ROUND(IF(G57=0,0,VLOOKUP(C57,'2013실사용량 정리'!$D$6:$F$381,3,FALSE)),0)</f>
        <v>0</v>
      </c>
      <c r="R57" s="302">
        <f t="shared" si="9"/>
        <v>0</v>
      </c>
      <c r="S57" s="302">
        <f t="shared" si="9"/>
        <v>0</v>
      </c>
      <c r="T57" s="302">
        <f t="shared" si="9"/>
        <v>0</v>
      </c>
      <c r="U57" s="302">
        <f t="shared" si="9"/>
        <v>0</v>
      </c>
      <c r="V57" s="327"/>
      <c r="W57" s="343" t="str">
        <f t="shared" si="8"/>
        <v/>
      </c>
      <c r="X57" s="327"/>
      <c r="Y57" s="327"/>
      <c r="Z57" s="327"/>
      <c r="AA57" s="327"/>
      <c r="AB57" s="327"/>
      <c r="AC57" s="327"/>
      <c r="AD57" s="327"/>
    </row>
    <row r="58" spans="1:30" ht="20.100000000000001" customHeight="1">
      <c r="A58" s="340"/>
      <c r="B58" s="340"/>
      <c r="C58" s="406" t="s">
        <v>1343</v>
      </c>
      <c r="D58" s="330" t="s">
        <v>1299</v>
      </c>
      <c r="E58" s="527">
        <v>0</v>
      </c>
      <c r="F58" s="527" t="s">
        <v>1331</v>
      </c>
      <c r="G58" s="302">
        <f>IF($D58="A",ROUND(VLOOKUP($C58,'[2]2.행정구역별 급수인구'!$C$7:$AD$997,17,FALSE)*$E58,0),IF($D58="B",(ROUND(VLOOKUP($C58,'[2]2.행정구역별 급수인구'!$C$7:$AD$997,17,FALSE)-VLOOKUP($C58,'[2]2.행정구역별 급수인구'!$C$7:$AD$997,17,FALSE)*(1-$E58),0)),VLOOKUP($C58,'[2]2.행정구역별 급수인구'!$C$7:$AD$997,17,FALSE)))</f>
        <v>0</v>
      </c>
      <c r="H58" s="302">
        <f>IF($D58="A",ROUND(VLOOKUP($C58,'[2]2.행정구역별 급수인구'!$C$7:$AD$997,25,FALSE)*$E58,0),IF($D58="B",(ROUND(VLOOKUP($C58,'[2]2.행정구역별 급수인구'!$C$7:$AD$997,25,FALSE)-VLOOKUP($C58,'[2]2.행정구역별 급수인구'!$C$7:$AD$997,25,FALSE)*(1-$E58),0)),VLOOKUP($C58,'[2]2.행정구역별 급수인구'!$C$7:$AD$997,25,FALSE)))</f>
        <v>0</v>
      </c>
      <c r="I58" s="302">
        <f>IF($D58="A",ROUND(VLOOKUP($C58,'[2]2.행정구역별 급수인구'!$C$7:$AD$997,26,FALSE)*$E58,0),IF($D58="B",(ROUND(VLOOKUP($C58,'[2]2.행정구역별 급수인구'!$C$7:$AD$997,26,FALSE)-VLOOKUP($C58,'[2]2.행정구역별 급수인구'!$C$7:$AD$997,26,FALSE)*(1-$E58),0)),VLOOKUP($C58,'[2]2.행정구역별 급수인구'!$C$7:$AD$997,26,FALSE)))</f>
        <v>0</v>
      </c>
      <c r="J58" s="302">
        <f>IF($D58="A",ROUND(VLOOKUP($C58,'[2]2.행정구역별 급수인구'!$C$7:$AD$997,27,FALSE)*$E58,0),IF($D58="B",(ROUND(VLOOKUP($C58,'[2]2.행정구역별 급수인구'!$C$7:$AD$997,27,FALSE)-VLOOKUP($C58,'[2]2.행정구역별 급수인구'!$C$7:$AD$997,27,FALSE)*(1-$E58),0)),VLOOKUP($C58,'[2]2.행정구역별 급수인구'!$C$7:$AD$997,27,FALSE)))</f>
        <v>0</v>
      </c>
      <c r="K58" s="302">
        <f>IF($D58="A",ROUND(VLOOKUP($C58,'[2]2.행정구역별 급수인구'!$C$7:$AD$997,28,FALSE)*$E58,0),IF($D58="B",(ROUND(VLOOKUP($C58,'[2]2.행정구역별 급수인구'!$C$7:$AD$997,28,FALSE)-VLOOKUP($C58,'[2]2.행정구역별 급수인구'!$C$7:$AD$997,28,FALSE)*(1-$E58),0)),VLOOKUP($C58,'[2]2.행정구역별 급수인구'!$C$7:$AD$997,28,FALSE)))</f>
        <v>0</v>
      </c>
      <c r="L58" s="302">
        <f>VLOOKUP($F58,'[3]5.급수원단위'!$B$31:$G$35,2,FALSE)</f>
        <v>365</v>
      </c>
      <c r="M58" s="302">
        <f>VLOOKUP($F58,'[3]5.급수원단위'!$B$31:$G$35,3,FALSE)</f>
        <v>390</v>
      </c>
      <c r="N58" s="302">
        <f>VLOOKUP($F58,'[3]5.급수원단위'!$B$31:$G$35,4,FALSE)</f>
        <v>417</v>
      </c>
      <c r="O58" s="302">
        <f>VLOOKUP($F58,'[3]5.급수원단위'!$B$31:$G$35,5,FALSE)</f>
        <v>439</v>
      </c>
      <c r="P58" s="302">
        <f>VLOOKUP($F58,'[3]5.급수원단위'!$B$31:$G$35,6,FALSE)</f>
        <v>454</v>
      </c>
      <c r="Q58" s="302">
        <f>ROUND(IF(G58=0,0,VLOOKUP(C58,'2013실사용량 정리'!$D$6:$F$381,3,FALSE)),0)</f>
        <v>0</v>
      </c>
      <c r="R58" s="302">
        <f t="shared" si="9"/>
        <v>0</v>
      </c>
      <c r="S58" s="302">
        <f t="shared" si="9"/>
        <v>0</v>
      </c>
      <c r="T58" s="302">
        <f t="shared" si="9"/>
        <v>0</v>
      </c>
      <c r="U58" s="302">
        <f t="shared" si="9"/>
        <v>0</v>
      </c>
      <c r="V58" s="327"/>
      <c r="W58" s="343" t="str">
        <f t="shared" si="8"/>
        <v/>
      </c>
      <c r="X58" s="327"/>
      <c r="Y58" s="327"/>
      <c r="Z58" s="327"/>
      <c r="AA58" s="327"/>
      <c r="AB58" s="327"/>
      <c r="AC58" s="327"/>
      <c r="AD58" s="327"/>
    </row>
    <row r="59" spans="1:30" ht="20.100000000000001" customHeight="1">
      <c r="A59" s="340"/>
      <c r="B59" s="340"/>
      <c r="C59" s="406" t="s">
        <v>1344</v>
      </c>
      <c r="D59" s="330" t="s">
        <v>1299</v>
      </c>
      <c r="E59" s="527">
        <v>0</v>
      </c>
      <c r="F59" s="527" t="s">
        <v>1331</v>
      </c>
      <c r="G59" s="302">
        <f>IF($D59="A",ROUND(VLOOKUP($C59,'[2]2.행정구역별 급수인구'!$C$7:$AD$997,17,FALSE)*$E59,0),IF($D59="B",(ROUND(VLOOKUP($C59,'[2]2.행정구역별 급수인구'!$C$7:$AD$997,17,FALSE)-VLOOKUP($C59,'[2]2.행정구역별 급수인구'!$C$7:$AD$997,17,FALSE)*(1-$E59),0)),VLOOKUP($C59,'[2]2.행정구역별 급수인구'!$C$7:$AD$997,17,FALSE)))</f>
        <v>0</v>
      </c>
      <c r="H59" s="302">
        <f>IF($D59="A",ROUND(VLOOKUP($C59,'[2]2.행정구역별 급수인구'!$C$7:$AD$997,25,FALSE)*$E59,0),IF($D59="B",(ROUND(VLOOKUP($C59,'[2]2.행정구역별 급수인구'!$C$7:$AD$997,25,FALSE)-VLOOKUP($C59,'[2]2.행정구역별 급수인구'!$C$7:$AD$997,25,FALSE)*(1-$E59),0)),VLOOKUP($C59,'[2]2.행정구역별 급수인구'!$C$7:$AD$997,25,FALSE)))</f>
        <v>0</v>
      </c>
      <c r="I59" s="302">
        <f>IF($D59="A",ROUND(VLOOKUP($C59,'[2]2.행정구역별 급수인구'!$C$7:$AD$997,26,FALSE)*$E59,0),IF($D59="B",(ROUND(VLOOKUP($C59,'[2]2.행정구역별 급수인구'!$C$7:$AD$997,26,FALSE)-VLOOKUP($C59,'[2]2.행정구역별 급수인구'!$C$7:$AD$997,26,FALSE)*(1-$E59),0)),VLOOKUP($C59,'[2]2.행정구역별 급수인구'!$C$7:$AD$997,26,FALSE)))</f>
        <v>0</v>
      </c>
      <c r="J59" s="302">
        <f>IF($D59="A",ROUND(VLOOKUP($C59,'[2]2.행정구역별 급수인구'!$C$7:$AD$997,27,FALSE)*$E59,0),IF($D59="B",(ROUND(VLOOKUP($C59,'[2]2.행정구역별 급수인구'!$C$7:$AD$997,27,FALSE)-VLOOKUP($C59,'[2]2.행정구역별 급수인구'!$C$7:$AD$997,27,FALSE)*(1-$E59),0)),VLOOKUP($C59,'[2]2.행정구역별 급수인구'!$C$7:$AD$997,27,FALSE)))</f>
        <v>0</v>
      </c>
      <c r="K59" s="302">
        <f>IF($D59="A",ROUND(VLOOKUP($C59,'[2]2.행정구역별 급수인구'!$C$7:$AD$997,28,FALSE)*$E59,0),IF($D59="B",(ROUND(VLOOKUP($C59,'[2]2.행정구역별 급수인구'!$C$7:$AD$997,28,FALSE)-VLOOKUP($C59,'[2]2.행정구역별 급수인구'!$C$7:$AD$997,28,FALSE)*(1-$E59),0)),VLOOKUP($C59,'[2]2.행정구역별 급수인구'!$C$7:$AD$997,28,FALSE)))</f>
        <v>0</v>
      </c>
      <c r="L59" s="302">
        <f>VLOOKUP($F59,'[3]5.급수원단위'!$B$31:$G$35,2,FALSE)</f>
        <v>365</v>
      </c>
      <c r="M59" s="302">
        <f>VLOOKUP($F59,'[3]5.급수원단위'!$B$31:$G$35,3,FALSE)</f>
        <v>390</v>
      </c>
      <c r="N59" s="302">
        <f>VLOOKUP($F59,'[3]5.급수원단위'!$B$31:$G$35,4,FALSE)</f>
        <v>417</v>
      </c>
      <c r="O59" s="302">
        <f>VLOOKUP($F59,'[3]5.급수원단위'!$B$31:$G$35,5,FALSE)</f>
        <v>439</v>
      </c>
      <c r="P59" s="302">
        <f>VLOOKUP($F59,'[3]5.급수원단위'!$B$31:$G$35,6,FALSE)</f>
        <v>454</v>
      </c>
      <c r="Q59" s="302">
        <f>ROUND(IF(G59=0,0,VLOOKUP(C59,'2013실사용량 정리'!$D$6:$F$381,3,FALSE)),0)</f>
        <v>0</v>
      </c>
      <c r="R59" s="302">
        <f t="shared" si="9"/>
        <v>0</v>
      </c>
      <c r="S59" s="302">
        <f t="shared" si="9"/>
        <v>0</v>
      </c>
      <c r="T59" s="302">
        <f t="shared" si="9"/>
        <v>0</v>
      </c>
      <c r="U59" s="302">
        <f t="shared" si="9"/>
        <v>0</v>
      </c>
      <c r="V59" s="327"/>
      <c r="W59" s="343" t="str">
        <f t="shared" si="8"/>
        <v/>
      </c>
      <c r="X59" s="327"/>
      <c r="Y59" s="327"/>
      <c r="Z59" s="327"/>
      <c r="AA59" s="327"/>
      <c r="AB59" s="327"/>
      <c r="AC59" s="327"/>
      <c r="AD59" s="327"/>
    </row>
    <row r="60" spans="1:30" ht="20.100000000000001" customHeight="1">
      <c r="A60" s="340"/>
      <c r="B60" s="340"/>
      <c r="C60" s="406" t="s">
        <v>1345</v>
      </c>
      <c r="D60" s="330" t="s">
        <v>1299</v>
      </c>
      <c r="E60" s="527">
        <v>0</v>
      </c>
      <c r="F60" s="527" t="s">
        <v>1331</v>
      </c>
      <c r="G60" s="302">
        <f>IF($D60="A",ROUND(VLOOKUP($C60,'[2]2.행정구역별 급수인구'!$C$7:$AD$997,17,FALSE)*$E60,0),IF($D60="B",(ROUND(VLOOKUP($C60,'[2]2.행정구역별 급수인구'!$C$7:$AD$997,17,FALSE)-VLOOKUP($C60,'[2]2.행정구역별 급수인구'!$C$7:$AD$997,17,FALSE)*(1-$E60),0)),VLOOKUP($C60,'[2]2.행정구역별 급수인구'!$C$7:$AD$997,17,FALSE)))</f>
        <v>0</v>
      </c>
      <c r="H60" s="302">
        <f>IF($D60="A",ROUND(VLOOKUP($C60,'[2]2.행정구역별 급수인구'!$C$7:$AD$997,25,FALSE)*$E60,0),IF($D60="B",(ROUND(VLOOKUP($C60,'[2]2.행정구역별 급수인구'!$C$7:$AD$997,25,FALSE)-VLOOKUP($C60,'[2]2.행정구역별 급수인구'!$C$7:$AD$997,25,FALSE)*(1-$E60),0)),VLOOKUP($C60,'[2]2.행정구역별 급수인구'!$C$7:$AD$997,25,FALSE)))</f>
        <v>0</v>
      </c>
      <c r="I60" s="302">
        <f>IF($D60="A",ROUND(VLOOKUP($C60,'[2]2.행정구역별 급수인구'!$C$7:$AD$997,26,FALSE)*$E60,0),IF($D60="B",(ROUND(VLOOKUP($C60,'[2]2.행정구역별 급수인구'!$C$7:$AD$997,26,FALSE)-VLOOKUP($C60,'[2]2.행정구역별 급수인구'!$C$7:$AD$997,26,FALSE)*(1-$E60),0)),VLOOKUP($C60,'[2]2.행정구역별 급수인구'!$C$7:$AD$997,26,FALSE)))</f>
        <v>0</v>
      </c>
      <c r="J60" s="302">
        <f>IF($D60="A",ROUND(VLOOKUP($C60,'[2]2.행정구역별 급수인구'!$C$7:$AD$997,27,FALSE)*$E60,0),IF($D60="B",(ROUND(VLOOKUP($C60,'[2]2.행정구역별 급수인구'!$C$7:$AD$997,27,FALSE)-VLOOKUP($C60,'[2]2.행정구역별 급수인구'!$C$7:$AD$997,27,FALSE)*(1-$E60),0)),VLOOKUP($C60,'[2]2.행정구역별 급수인구'!$C$7:$AD$997,27,FALSE)))</f>
        <v>0</v>
      </c>
      <c r="K60" s="302">
        <f>IF($D60="A",ROUND(VLOOKUP($C60,'[2]2.행정구역별 급수인구'!$C$7:$AD$997,28,FALSE)*$E60,0),IF($D60="B",(ROUND(VLOOKUP($C60,'[2]2.행정구역별 급수인구'!$C$7:$AD$997,28,FALSE)-VLOOKUP($C60,'[2]2.행정구역별 급수인구'!$C$7:$AD$997,28,FALSE)*(1-$E60),0)),VLOOKUP($C60,'[2]2.행정구역별 급수인구'!$C$7:$AD$997,28,FALSE)))</f>
        <v>0</v>
      </c>
      <c r="L60" s="302">
        <f>VLOOKUP($F60,'[3]5.급수원단위'!$B$31:$G$35,2,FALSE)</f>
        <v>365</v>
      </c>
      <c r="M60" s="302">
        <f>VLOOKUP($F60,'[3]5.급수원단위'!$B$31:$G$35,3,FALSE)</f>
        <v>390</v>
      </c>
      <c r="N60" s="302">
        <f>VLOOKUP($F60,'[3]5.급수원단위'!$B$31:$G$35,4,FALSE)</f>
        <v>417</v>
      </c>
      <c r="O60" s="302">
        <f>VLOOKUP($F60,'[3]5.급수원단위'!$B$31:$G$35,5,FALSE)</f>
        <v>439</v>
      </c>
      <c r="P60" s="302">
        <f>VLOOKUP($F60,'[3]5.급수원단위'!$B$31:$G$35,6,FALSE)</f>
        <v>454</v>
      </c>
      <c r="Q60" s="302">
        <f>ROUND(IF(G60=0,0,VLOOKUP(C60,'2013실사용량 정리'!$D$6:$F$381,3,FALSE)),0)</f>
        <v>0</v>
      </c>
      <c r="R60" s="302">
        <f t="shared" si="9"/>
        <v>0</v>
      </c>
      <c r="S60" s="302">
        <f t="shared" si="9"/>
        <v>0</v>
      </c>
      <c r="T60" s="302">
        <f t="shared" si="9"/>
        <v>0</v>
      </c>
      <c r="U60" s="302">
        <f t="shared" si="9"/>
        <v>0</v>
      </c>
      <c r="V60" s="327"/>
      <c r="W60" s="343" t="str">
        <f t="shared" si="8"/>
        <v/>
      </c>
      <c r="X60" s="327"/>
      <c r="Y60" s="327"/>
      <c r="Z60" s="327"/>
      <c r="AA60" s="327"/>
      <c r="AB60" s="327"/>
      <c r="AC60" s="327"/>
      <c r="AD60" s="327"/>
    </row>
    <row r="61" spans="1:30" ht="20.100000000000001" customHeight="1">
      <c r="A61" s="340"/>
      <c r="B61" s="340"/>
      <c r="C61" s="406" t="s">
        <v>1346</v>
      </c>
      <c r="D61" s="330" t="s">
        <v>1299</v>
      </c>
      <c r="E61" s="527">
        <v>0</v>
      </c>
      <c r="F61" s="527" t="s">
        <v>1331</v>
      </c>
      <c r="G61" s="302">
        <f>IF($D61="A",ROUND(VLOOKUP($C61,'[2]2.행정구역별 급수인구'!$C$7:$AD$997,17,FALSE)*$E61,0),IF($D61="B",(ROUND(VLOOKUP($C61,'[2]2.행정구역별 급수인구'!$C$7:$AD$997,17,FALSE)-VLOOKUP($C61,'[2]2.행정구역별 급수인구'!$C$7:$AD$997,17,FALSE)*(1-$E61),0)),VLOOKUP($C61,'[2]2.행정구역별 급수인구'!$C$7:$AD$997,17,FALSE)))</f>
        <v>0</v>
      </c>
      <c r="H61" s="302">
        <f>IF($D61="A",ROUND(VLOOKUP($C61,'[2]2.행정구역별 급수인구'!$C$7:$AD$997,25,FALSE)*$E61,0),IF($D61="B",(ROUND(VLOOKUP($C61,'[2]2.행정구역별 급수인구'!$C$7:$AD$997,25,FALSE)-VLOOKUP($C61,'[2]2.행정구역별 급수인구'!$C$7:$AD$997,25,FALSE)*(1-$E61),0)),VLOOKUP($C61,'[2]2.행정구역별 급수인구'!$C$7:$AD$997,25,FALSE)))</f>
        <v>0</v>
      </c>
      <c r="I61" s="302">
        <f>IF($D61="A",ROUND(VLOOKUP($C61,'[2]2.행정구역별 급수인구'!$C$7:$AD$997,26,FALSE)*$E61,0),IF($D61="B",(ROUND(VLOOKUP($C61,'[2]2.행정구역별 급수인구'!$C$7:$AD$997,26,FALSE)-VLOOKUP($C61,'[2]2.행정구역별 급수인구'!$C$7:$AD$997,26,FALSE)*(1-$E61),0)),VLOOKUP($C61,'[2]2.행정구역별 급수인구'!$C$7:$AD$997,26,FALSE)))</f>
        <v>0</v>
      </c>
      <c r="J61" s="302">
        <f>IF($D61="A",ROUND(VLOOKUP($C61,'[2]2.행정구역별 급수인구'!$C$7:$AD$997,27,FALSE)*$E61,0),IF($D61="B",(ROUND(VLOOKUP($C61,'[2]2.행정구역별 급수인구'!$C$7:$AD$997,27,FALSE)-VLOOKUP($C61,'[2]2.행정구역별 급수인구'!$C$7:$AD$997,27,FALSE)*(1-$E61),0)),VLOOKUP($C61,'[2]2.행정구역별 급수인구'!$C$7:$AD$997,27,FALSE)))</f>
        <v>0</v>
      </c>
      <c r="K61" s="302">
        <f>IF($D61="A",ROUND(VLOOKUP($C61,'[2]2.행정구역별 급수인구'!$C$7:$AD$997,28,FALSE)*$E61,0),IF($D61="B",(ROUND(VLOOKUP($C61,'[2]2.행정구역별 급수인구'!$C$7:$AD$997,28,FALSE)-VLOOKUP($C61,'[2]2.행정구역별 급수인구'!$C$7:$AD$997,28,FALSE)*(1-$E61),0)),VLOOKUP($C61,'[2]2.행정구역별 급수인구'!$C$7:$AD$997,28,FALSE)))</f>
        <v>0</v>
      </c>
      <c r="L61" s="302">
        <f>VLOOKUP($F61,'[3]5.급수원단위'!$B$31:$G$35,2,FALSE)</f>
        <v>365</v>
      </c>
      <c r="M61" s="302">
        <f>VLOOKUP($F61,'[3]5.급수원단위'!$B$31:$G$35,3,FALSE)</f>
        <v>390</v>
      </c>
      <c r="N61" s="302">
        <f>VLOOKUP($F61,'[3]5.급수원단위'!$B$31:$G$35,4,FALSE)</f>
        <v>417</v>
      </c>
      <c r="O61" s="302">
        <f>VLOOKUP($F61,'[3]5.급수원단위'!$B$31:$G$35,5,FALSE)</f>
        <v>439</v>
      </c>
      <c r="P61" s="302">
        <f>VLOOKUP($F61,'[3]5.급수원단위'!$B$31:$G$35,6,FALSE)</f>
        <v>454</v>
      </c>
      <c r="Q61" s="302">
        <f>ROUND(IF(G61=0,0,VLOOKUP(C61,'2013실사용량 정리'!$D$6:$F$381,3,FALSE)),0)</f>
        <v>0</v>
      </c>
      <c r="R61" s="302">
        <f t="shared" si="9"/>
        <v>0</v>
      </c>
      <c r="S61" s="302">
        <f t="shared" si="9"/>
        <v>0</v>
      </c>
      <c r="T61" s="302">
        <f t="shared" si="9"/>
        <v>0</v>
      </c>
      <c r="U61" s="302">
        <f t="shared" si="9"/>
        <v>0</v>
      </c>
      <c r="V61" s="327"/>
      <c r="W61" s="343" t="str">
        <f t="shared" si="8"/>
        <v/>
      </c>
      <c r="X61" s="327"/>
      <c r="Y61" s="327"/>
      <c r="Z61" s="327"/>
      <c r="AA61" s="327"/>
      <c r="AB61" s="327"/>
      <c r="AC61" s="327"/>
      <c r="AD61" s="327"/>
    </row>
    <row r="62" spans="1:30" ht="20.100000000000001" customHeight="1">
      <c r="A62" s="340"/>
      <c r="B62" s="340"/>
      <c r="C62" s="406" t="s">
        <v>1347</v>
      </c>
      <c r="D62" s="330" t="s">
        <v>1299</v>
      </c>
      <c r="E62" s="527">
        <v>0</v>
      </c>
      <c r="F62" s="527" t="s">
        <v>1331</v>
      </c>
      <c r="G62" s="302">
        <f>IF($D62="A",ROUND(VLOOKUP($C62,'[2]2.행정구역별 급수인구'!$C$7:$AD$997,17,FALSE)*$E62,0),IF($D62="B",(ROUND(VLOOKUP($C62,'[2]2.행정구역별 급수인구'!$C$7:$AD$997,17,FALSE)-VLOOKUP($C62,'[2]2.행정구역별 급수인구'!$C$7:$AD$997,17,FALSE)*(1-$E62),0)),VLOOKUP($C62,'[2]2.행정구역별 급수인구'!$C$7:$AD$997,17,FALSE)))</f>
        <v>0</v>
      </c>
      <c r="H62" s="302">
        <f>IF($D62="A",ROUND(VLOOKUP($C62,'[2]2.행정구역별 급수인구'!$C$7:$AD$997,25,FALSE)*$E62,0),IF($D62="B",(ROUND(VLOOKUP($C62,'[2]2.행정구역별 급수인구'!$C$7:$AD$997,25,FALSE)-VLOOKUP($C62,'[2]2.행정구역별 급수인구'!$C$7:$AD$997,25,FALSE)*(1-$E62),0)),VLOOKUP($C62,'[2]2.행정구역별 급수인구'!$C$7:$AD$997,25,FALSE)))</f>
        <v>0</v>
      </c>
      <c r="I62" s="302">
        <f>IF($D62="A",ROUND(VLOOKUP($C62,'[2]2.행정구역별 급수인구'!$C$7:$AD$997,26,FALSE)*$E62,0),IF($D62="B",(ROUND(VLOOKUP($C62,'[2]2.행정구역별 급수인구'!$C$7:$AD$997,26,FALSE)-VLOOKUP($C62,'[2]2.행정구역별 급수인구'!$C$7:$AD$997,26,FALSE)*(1-$E62),0)),VLOOKUP($C62,'[2]2.행정구역별 급수인구'!$C$7:$AD$997,26,FALSE)))</f>
        <v>0</v>
      </c>
      <c r="J62" s="302">
        <f>IF($D62="A",ROUND(VLOOKUP($C62,'[2]2.행정구역별 급수인구'!$C$7:$AD$997,27,FALSE)*$E62,0),IF($D62="B",(ROUND(VLOOKUP($C62,'[2]2.행정구역별 급수인구'!$C$7:$AD$997,27,FALSE)-VLOOKUP($C62,'[2]2.행정구역별 급수인구'!$C$7:$AD$997,27,FALSE)*(1-$E62),0)),VLOOKUP($C62,'[2]2.행정구역별 급수인구'!$C$7:$AD$997,27,FALSE)))</f>
        <v>0</v>
      </c>
      <c r="K62" s="302">
        <f>IF($D62="A",ROUND(VLOOKUP($C62,'[2]2.행정구역별 급수인구'!$C$7:$AD$997,28,FALSE)*$E62,0),IF($D62="B",(ROUND(VLOOKUP($C62,'[2]2.행정구역별 급수인구'!$C$7:$AD$997,28,FALSE)-VLOOKUP($C62,'[2]2.행정구역별 급수인구'!$C$7:$AD$997,28,FALSE)*(1-$E62),0)),VLOOKUP($C62,'[2]2.행정구역별 급수인구'!$C$7:$AD$997,28,FALSE)))</f>
        <v>0</v>
      </c>
      <c r="L62" s="302">
        <f>VLOOKUP($F62,'[3]5.급수원단위'!$B$31:$G$35,2,FALSE)</f>
        <v>365</v>
      </c>
      <c r="M62" s="302">
        <f>VLOOKUP($F62,'[3]5.급수원단위'!$B$31:$G$35,3,FALSE)</f>
        <v>390</v>
      </c>
      <c r="N62" s="302">
        <f>VLOOKUP($F62,'[3]5.급수원단위'!$B$31:$G$35,4,FALSE)</f>
        <v>417</v>
      </c>
      <c r="O62" s="302">
        <f>VLOOKUP($F62,'[3]5.급수원단위'!$B$31:$G$35,5,FALSE)</f>
        <v>439</v>
      </c>
      <c r="P62" s="302">
        <f>VLOOKUP($F62,'[3]5.급수원단위'!$B$31:$G$35,6,FALSE)</f>
        <v>454</v>
      </c>
      <c r="Q62" s="302">
        <f>ROUND(IF(G62=0,0,VLOOKUP(C62,'2013실사용량 정리'!$D$6:$F$381,3,FALSE)),0)</f>
        <v>0</v>
      </c>
      <c r="R62" s="302">
        <f t="shared" si="9"/>
        <v>0</v>
      </c>
      <c r="S62" s="302">
        <f t="shared" si="9"/>
        <v>0</v>
      </c>
      <c r="T62" s="302">
        <f t="shared" si="9"/>
        <v>0</v>
      </c>
      <c r="U62" s="302">
        <f t="shared" si="9"/>
        <v>0</v>
      </c>
      <c r="V62" s="327"/>
      <c r="W62" s="343" t="str">
        <f t="shared" si="8"/>
        <v/>
      </c>
      <c r="X62" s="327"/>
      <c r="Y62" s="327"/>
      <c r="Z62" s="327"/>
      <c r="AA62" s="327"/>
      <c r="AB62" s="327"/>
      <c r="AC62" s="327"/>
      <c r="AD62" s="327"/>
    </row>
    <row r="63" spans="1:30" ht="20.100000000000001" customHeight="1">
      <c r="A63" s="340"/>
      <c r="B63" s="340"/>
      <c r="C63" s="406" t="s">
        <v>1348</v>
      </c>
      <c r="D63" s="330" t="s">
        <v>1299</v>
      </c>
      <c r="E63" s="527">
        <v>0</v>
      </c>
      <c r="F63" s="527" t="s">
        <v>1331</v>
      </c>
      <c r="G63" s="302">
        <f>IF($D63="A",ROUND(VLOOKUP($C63,'[2]2.행정구역별 급수인구'!$C$7:$AD$997,17,FALSE)*$E63,0),IF($D63="B",(ROUND(VLOOKUP($C63,'[2]2.행정구역별 급수인구'!$C$7:$AD$997,17,FALSE)-VLOOKUP($C63,'[2]2.행정구역별 급수인구'!$C$7:$AD$997,17,FALSE)*(1-$E63),0)),VLOOKUP($C63,'[2]2.행정구역별 급수인구'!$C$7:$AD$997,17,FALSE)))</f>
        <v>0</v>
      </c>
      <c r="H63" s="302">
        <f>IF($D63="A",ROUND(VLOOKUP($C63,'[2]2.행정구역별 급수인구'!$C$7:$AD$997,25,FALSE)*$E63,0),IF($D63="B",(ROUND(VLOOKUP($C63,'[2]2.행정구역별 급수인구'!$C$7:$AD$997,25,FALSE)-VLOOKUP($C63,'[2]2.행정구역별 급수인구'!$C$7:$AD$997,25,FALSE)*(1-$E63),0)),VLOOKUP($C63,'[2]2.행정구역별 급수인구'!$C$7:$AD$997,25,FALSE)))</f>
        <v>0</v>
      </c>
      <c r="I63" s="302">
        <f>IF($D63="A",ROUND(VLOOKUP($C63,'[2]2.행정구역별 급수인구'!$C$7:$AD$997,26,FALSE)*$E63,0),IF($D63="B",(ROUND(VLOOKUP($C63,'[2]2.행정구역별 급수인구'!$C$7:$AD$997,26,FALSE)-VLOOKUP($C63,'[2]2.행정구역별 급수인구'!$C$7:$AD$997,26,FALSE)*(1-$E63),0)),VLOOKUP($C63,'[2]2.행정구역별 급수인구'!$C$7:$AD$997,26,FALSE)))</f>
        <v>0</v>
      </c>
      <c r="J63" s="302">
        <f>IF($D63="A",ROUND(VLOOKUP($C63,'[2]2.행정구역별 급수인구'!$C$7:$AD$997,27,FALSE)*$E63,0),IF($D63="B",(ROUND(VLOOKUP($C63,'[2]2.행정구역별 급수인구'!$C$7:$AD$997,27,FALSE)-VLOOKUP($C63,'[2]2.행정구역별 급수인구'!$C$7:$AD$997,27,FALSE)*(1-$E63),0)),VLOOKUP($C63,'[2]2.행정구역별 급수인구'!$C$7:$AD$997,27,FALSE)))</f>
        <v>0</v>
      </c>
      <c r="K63" s="302">
        <f>IF($D63="A",ROUND(VLOOKUP($C63,'[2]2.행정구역별 급수인구'!$C$7:$AD$997,28,FALSE)*$E63,0),IF($D63="B",(ROUND(VLOOKUP($C63,'[2]2.행정구역별 급수인구'!$C$7:$AD$997,28,FALSE)-VLOOKUP($C63,'[2]2.행정구역별 급수인구'!$C$7:$AD$997,28,FALSE)*(1-$E63),0)),VLOOKUP($C63,'[2]2.행정구역별 급수인구'!$C$7:$AD$997,28,FALSE)))</f>
        <v>0</v>
      </c>
      <c r="L63" s="302">
        <f>VLOOKUP($F63,'[3]5.급수원단위'!$B$31:$G$35,2,FALSE)</f>
        <v>365</v>
      </c>
      <c r="M63" s="302">
        <f>VLOOKUP($F63,'[3]5.급수원단위'!$B$31:$G$35,3,FALSE)</f>
        <v>390</v>
      </c>
      <c r="N63" s="302">
        <f>VLOOKUP($F63,'[3]5.급수원단위'!$B$31:$G$35,4,FALSE)</f>
        <v>417</v>
      </c>
      <c r="O63" s="302">
        <f>VLOOKUP($F63,'[3]5.급수원단위'!$B$31:$G$35,5,FALSE)</f>
        <v>439</v>
      </c>
      <c r="P63" s="302">
        <f>VLOOKUP($F63,'[3]5.급수원단위'!$B$31:$G$35,6,FALSE)</f>
        <v>454</v>
      </c>
      <c r="Q63" s="302">
        <f>ROUND(IF(G63=0,0,VLOOKUP(C63,'2013실사용량 정리'!$D$6:$F$381,3,FALSE)),0)</f>
        <v>0</v>
      </c>
      <c r="R63" s="302">
        <f t="shared" si="9"/>
        <v>0</v>
      </c>
      <c r="S63" s="302">
        <f t="shared" si="9"/>
        <v>0</v>
      </c>
      <c r="T63" s="302">
        <f t="shared" si="9"/>
        <v>0</v>
      </c>
      <c r="U63" s="302">
        <f t="shared" si="9"/>
        <v>0</v>
      </c>
      <c r="V63" s="327"/>
      <c r="W63" s="343" t="str">
        <f t="shared" si="8"/>
        <v/>
      </c>
      <c r="X63" s="327"/>
      <c r="Y63" s="327"/>
      <c r="Z63" s="327"/>
      <c r="AA63" s="327"/>
      <c r="AB63" s="327"/>
      <c r="AC63" s="327"/>
      <c r="AD63" s="327"/>
    </row>
    <row r="64" spans="1:30" ht="20.100000000000001" customHeight="1">
      <c r="A64" s="340"/>
      <c r="B64" s="340"/>
      <c r="C64" s="406" t="s">
        <v>1349</v>
      </c>
      <c r="D64" s="330" t="s">
        <v>1299</v>
      </c>
      <c r="E64" s="527">
        <v>0</v>
      </c>
      <c r="F64" s="527" t="s">
        <v>1331</v>
      </c>
      <c r="G64" s="302">
        <f>IF($D64="A",ROUND(VLOOKUP($C64,'[2]2.행정구역별 급수인구'!$C$7:$AD$997,17,FALSE)*$E64,0),IF($D64="B",(ROUND(VLOOKUP($C64,'[2]2.행정구역별 급수인구'!$C$7:$AD$997,17,FALSE)-VLOOKUP($C64,'[2]2.행정구역별 급수인구'!$C$7:$AD$997,17,FALSE)*(1-$E64),0)),VLOOKUP($C64,'[2]2.행정구역별 급수인구'!$C$7:$AD$997,17,FALSE)))</f>
        <v>0</v>
      </c>
      <c r="H64" s="302">
        <f>IF($D64="A",ROUND(VLOOKUP($C64,'[2]2.행정구역별 급수인구'!$C$7:$AD$997,25,FALSE)*$E64,0),IF($D64="B",(ROUND(VLOOKUP($C64,'[2]2.행정구역별 급수인구'!$C$7:$AD$997,25,FALSE)-VLOOKUP($C64,'[2]2.행정구역별 급수인구'!$C$7:$AD$997,25,FALSE)*(1-$E64),0)),VLOOKUP($C64,'[2]2.행정구역별 급수인구'!$C$7:$AD$997,25,FALSE)))</f>
        <v>0</v>
      </c>
      <c r="I64" s="302">
        <f>IF($D64="A",ROUND(VLOOKUP($C64,'[2]2.행정구역별 급수인구'!$C$7:$AD$997,26,FALSE)*$E64,0),IF($D64="B",(ROUND(VLOOKUP($C64,'[2]2.행정구역별 급수인구'!$C$7:$AD$997,26,FALSE)-VLOOKUP($C64,'[2]2.행정구역별 급수인구'!$C$7:$AD$997,26,FALSE)*(1-$E64),0)),VLOOKUP($C64,'[2]2.행정구역별 급수인구'!$C$7:$AD$997,26,FALSE)))</f>
        <v>0</v>
      </c>
      <c r="J64" s="302">
        <f>IF($D64="A",ROUND(VLOOKUP($C64,'[2]2.행정구역별 급수인구'!$C$7:$AD$997,27,FALSE)*$E64,0),IF($D64="B",(ROUND(VLOOKUP($C64,'[2]2.행정구역별 급수인구'!$C$7:$AD$997,27,FALSE)-VLOOKUP($C64,'[2]2.행정구역별 급수인구'!$C$7:$AD$997,27,FALSE)*(1-$E64),0)),VLOOKUP($C64,'[2]2.행정구역별 급수인구'!$C$7:$AD$997,27,FALSE)))</f>
        <v>0</v>
      </c>
      <c r="K64" s="302">
        <f>IF($D64="A",ROUND(VLOOKUP($C64,'[2]2.행정구역별 급수인구'!$C$7:$AD$997,28,FALSE)*$E64,0),IF($D64="B",(ROUND(VLOOKUP($C64,'[2]2.행정구역별 급수인구'!$C$7:$AD$997,28,FALSE)-VLOOKUP($C64,'[2]2.행정구역별 급수인구'!$C$7:$AD$997,28,FALSE)*(1-$E64),0)),VLOOKUP($C64,'[2]2.행정구역별 급수인구'!$C$7:$AD$997,28,FALSE)))</f>
        <v>0</v>
      </c>
      <c r="L64" s="302">
        <f>VLOOKUP($F64,'[3]5.급수원단위'!$B$31:$G$35,2,FALSE)</f>
        <v>365</v>
      </c>
      <c r="M64" s="302">
        <f>VLOOKUP($F64,'[3]5.급수원단위'!$B$31:$G$35,3,FALSE)</f>
        <v>390</v>
      </c>
      <c r="N64" s="302">
        <f>VLOOKUP($F64,'[3]5.급수원단위'!$B$31:$G$35,4,FALSE)</f>
        <v>417</v>
      </c>
      <c r="O64" s="302">
        <f>VLOOKUP($F64,'[3]5.급수원단위'!$B$31:$G$35,5,FALSE)</f>
        <v>439</v>
      </c>
      <c r="P64" s="302">
        <f>VLOOKUP($F64,'[3]5.급수원단위'!$B$31:$G$35,6,FALSE)</f>
        <v>454</v>
      </c>
      <c r="Q64" s="302">
        <f>ROUND(IF(G64=0,0,VLOOKUP(C64,'2013실사용량 정리'!$D$6:$F$381,3,FALSE)),0)</f>
        <v>0</v>
      </c>
      <c r="R64" s="302">
        <f t="shared" si="9"/>
        <v>0</v>
      </c>
      <c r="S64" s="302">
        <f t="shared" si="9"/>
        <v>0</v>
      </c>
      <c r="T64" s="302">
        <f t="shared" si="9"/>
        <v>0</v>
      </c>
      <c r="U64" s="302">
        <f t="shared" si="9"/>
        <v>0</v>
      </c>
      <c r="V64" s="327"/>
      <c r="W64" s="343" t="str">
        <f t="shared" si="8"/>
        <v/>
      </c>
      <c r="X64" s="327"/>
      <c r="Y64" s="327"/>
      <c r="Z64" s="327"/>
      <c r="AA64" s="327"/>
      <c r="AB64" s="327"/>
      <c r="AC64" s="327"/>
      <c r="AD64" s="327"/>
    </row>
    <row r="65" spans="1:30" ht="20.100000000000001" customHeight="1">
      <c r="A65" s="340"/>
      <c r="B65" s="340"/>
      <c r="C65" s="406" t="s">
        <v>1350</v>
      </c>
      <c r="D65" s="330" t="s">
        <v>1299</v>
      </c>
      <c r="E65" s="527">
        <v>0</v>
      </c>
      <c r="F65" s="527" t="s">
        <v>1331</v>
      </c>
      <c r="G65" s="302">
        <f>IF($D65="A",ROUND(VLOOKUP($C65,'[2]2.행정구역별 급수인구'!$C$7:$AD$997,17,FALSE)*$E65,0),IF($D65="B",(ROUND(VLOOKUP($C65,'[2]2.행정구역별 급수인구'!$C$7:$AD$997,17,FALSE)-VLOOKUP($C65,'[2]2.행정구역별 급수인구'!$C$7:$AD$997,17,FALSE)*(1-$E65),0)),VLOOKUP($C65,'[2]2.행정구역별 급수인구'!$C$7:$AD$997,17,FALSE)))</f>
        <v>0</v>
      </c>
      <c r="H65" s="302">
        <f>IF($D65="A",ROUND(VLOOKUP($C65,'[2]2.행정구역별 급수인구'!$C$7:$AD$997,25,FALSE)*$E65,0),IF($D65="B",(ROUND(VLOOKUP($C65,'[2]2.행정구역별 급수인구'!$C$7:$AD$997,25,FALSE)-VLOOKUP($C65,'[2]2.행정구역별 급수인구'!$C$7:$AD$997,25,FALSE)*(1-$E65),0)),VLOOKUP($C65,'[2]2.행정구역별 급수인구'!$C$7:$AD$997,25,FALSE)))</f>
        <v>0</v>
      </c>
      <c r="I65" s="302">
        <f>IF($D65="A",ROUND(VLOOKUP($C65,'[2]2.행정구역별 급수인구'!$C$7:$AD$997,26,FALSE)*$E65,0),IF($D65="B",(ROUND(VLOOKUP($C65,'[2]2.행정구역별 급수인구'!$C$7:$AD$997,26,FALSE)-VLOOKUP($C65,'[2]2.행정구역별 급수인구'!$C$7:$AD$997,26,FALSE)*(1-$E65),0)),VLOOKUP($C65,'[2]2.행정구역별 급수인구'!$C$7:$AD$997,26,FALSE)))</f>
        <v>0</v>
      </c>
      <c r="J65" s="302">
        <f>IF($D65="A",ROUND(VLOOKUP($C65,'[2]2.행정구역별 급수인구'!$C$7:$AD$997,27,FALSE)*$E65,0),IF($D65="B",(ROUND(VLOOKUP($C65,'[2]2.행정구역별 급수인구'!$C$7:$AD$997,27,FALSE)-VLOOKUP($C65,'[2]2.행정구역별 급수인구'!$C$7:$AD$997,27,FALSE)*(1-$E65),0)),VLOOKUP($C65,'[2]2.행정구역별 급수인구'!$C$7:$AD$997,27,FALSE)))</f>
        <v>0</v>
      </c>
      <c r="K65" s="302">
        <f>IF($D65="A",ROUND(VLOOKUP($C65,'[2]2.행정구역별 급수인구'!$C$7:$AD$997,28,FALSE)*$E65,0),IF($D65="B",(ROUND(VLOOKUP($C65,'[2]2.행정구역별 급수인구'!$C$7:$AD$997,28,FALSE)-VLOOKUP($C65,'[2]2.행정구역별 급수인구'!$C$7:$AD$997,28,FALSE)*(1-$E65),0)),VLOOKUP($C65,'[2]2.행정구역별 급수인구'!$C$7:$AD$997,28,FALSE)))</f>
        <v>0</v>
      </c>
      <c r="L65" s="302">
        <f>VLOOKUP($F65,'[3]5.급수원단위'!$B$31:$G$35,2,FALSE)</f>
        <v>365</v>
      </c>
      <c r="M65" s="302">
        <f>VLOOKUP($F65,'[3]5.급수원단위'!$B$31:$G$35,3,FALSE)</f>
        <v>390</v>
      </c>
      <c r="N65" s="302">
        <f>VLOOKUP($F65,'[3]5.급수원단위'!$B$31:$G$35,4,FALSE)</f>
        <v>417</v>
      </c>
      <c r="O65" s="302">
        <f>VLOOKUP($F65,'[3]5.급수원단위'!$B$31:$G$35,5,FALSE)</f>
        <v>439</v>
      </c>
      <c r="P65" s="302">
        <f>VLOOKUP($F65,'[3]5.급수원단위'!$B$31:$G$35,6,FALSE)</f>
        <v>454</v>
      </c>
      <c r="Q65" s="302">
        <f>ROUND(IF(G65=0,0,VLOOKUP(C65,'2013실사용량 정리'!$D$6:$F$381,3,FALSE)),0)</f>
        <v>0</v>
      </c>
      <c r="R65" s="302">
        <f t="shared" si="9"/>
        <v>0</v>
      </c>
      <c r="S65" s="302">
        <f t="shared" si="9"/>
        <v>0</v>
      </c>
      <c r="T65" s="302">
        <f t="shared" si="9"/>
        <v>0</v>
      </c>
      <c r="U65" s="302">
        <f t="shared" si="9"/>
        <v>0</v>
      </c>
      <c r="V65" s="327"/>
      <c r="W65" s="343" t="str">
        <f t="shared" si="8"/>
        <v/>
      </c>
      <c r="X65" s="327"/>
      <c r="Y65" s="327"/>
      <c r="Z65" s="327"/>
      <c r="AA65" s="327"/>
      <c r="AB65" s="327"/>
      <c r="AC65" s="327"/>
      <c r="AD65" s="327"/>
    </row>
    <row r="66" spans="1:30" ht="20.100000000000001" customHeight="1">
      <c r="A66" s="340"/>
      <c r="B66" s="340"/>
      <c r="C66" s="406" t="s">
        <v>1351</v>
      </c>
      <c r="D66" s="330" t="s">
        <v>1299</v>
      </c>
      <c r="E66" s="527">
        <v>0</v>
      </c>
      <c r="F66" s="527" t="s">
        <v>1331</v>
      </c>
      <c r="G66" s="302">
        <f>IF($D66="A",ROUND(VLOOKUP($C66,'[2]2.행정구역별 급수인구'!$C$7:$AD$997,17,FALSE)*$E66,0),IF($D66="B",(ROUND(VLOOKUP($C66,'[2]2.행정구역별 급수인구'!$C$7:$AD$997,17,FALSE)-VLOOKUP($C66,'[2]2.행정구역별 급수인구'!$C$7:$AD$997,17,FALSE)*(1-$E66),0)),VLOOKUP($C66,'[2]2.행정구역별 급수인구'!$C$7:$AD$997,17,FALSE)))</f>
        <v>0</v>
      </c>
      <c r="H66" s="302">
        <f>IF($D66="A",ROUND(VLOOKUP($C66,'[2]2.행정구역별 급수인구'!$C$7:$AD$997,25,FALSE)*$E66,0),IF($D66="B",(ROUND(VLOOKUP($C66,'[2]2.행정구역별 급수인구'!$C$7:$AD$997,25,FALSE)-VLOOKUP($C66,'[2]2.행정구역별 급수인구'!$C$7:$AD$997,25,FALSE)*(1-$E66),0)),VLOOKUP($C66,'[2]2.행정구역별 급수인구'!$C$7:$AD$997,25,FALSE)))</f>
        <v>0</v>
      </c>
      <c r="I66" s="302">
        <f>IF($D66="A",ROUND(VLOOKUP($C66,'[2]2.행정구역별 급수인구'!$C$7:$AD$997,26,FALSE)*$E66,0),IF($D66="B",(ROUND(VLOOKUP($C66,'[2]2.행정구역별 급수인구'!$C$7:$AD$997,26,FALSE)-VLOOKUP($C66,'[2]2.행정구역별 급수인구'!$C$7:$AD$997,26,FALSE)*(1-$E66),0)),VLOOKUP($C66,'[2]2.행정구역별 급수인구'!$C$7:$AD$997,26,FALSE)))</f>
        <v>0</v>
      </c>
      <c r="J66" s="302">
        <f>IF($D66="A",ROUND(VLOOKUP($C66,'[2]2.행정구역별 급수인구'!$C$7:$AD$997,27,FALSE)*$E66,0),IF($D66="B",(ROUND(VLOOKUP($C66,'[2]2.행정구역별 급수인구'!$C$7:$AD$997,27,FALSE)-VLOOKUP($C66,'[2]2.행정구역별 급수인구'!$C$7:$AD$997,27,FALSE)*(1-$E66),0)),VLOOKUP($C66,'[2]2.행정구역별 급수인구'!$C$7:$AD$997,27,FALSE)))</f>
        <v>0</v>
      </c>
      <c r="K66" s="302">
        <f>IF($D66="A",ROUND(VLOOKUP($C66,'[2]2.행정구역별 급수인구'!$C$7:$AD$997,28,FALSE)*$E66,0),IF($D66="B",(ROUND(VLOOKUP($C66,'[2]2.행정구역별 급수인구'!$C$7:$AD$997,28,FALSE)-VLOOKUP($C66,'[2]2.행정구역별 급수인구'!$C$7:$AD$997,28,FALSE)*(1-$E66),0)),VLOOKUP($C66,'[2]2.행정구역별 급수인구'!$C$7:$AD$997,28,FALSE)))</f>
        <v>0</v>
      </c>
      <c r="L66" s="302">
        <f>VLOOKUP($F66,'[3]5.급수원단위'!$B$31:$G$35,2,FALSE)</f>
        <v>365</v>
      </c>
      <c r="M66" s="302">
        <f>VLOOKUP($F66,'[3]5.급수원단위'!$B$31:$G$35,3,FALSE)</f>
        <v>390</v>
      </c>
      <c r="N66" s="302">
        <f>VLOOKUP($F66,'[3]5.급수원단위'!$B$31:$G$35,4,FALSE)</f>
        <v>417</v>
      </c>
      <c r="O66" s="302">
        <f>VLOOKUP($F66,'[3]5.급수원단위'!$B$31:$G$35,5,FALSE)</f>
        <v>439</v>
      </c>
      <c r="P66" s="302">
        <f>VLOOKUP($F66,'[3]5.급수원단위'!$B$31:$G$35,6,FALSE)</f>
        <v>454</v>
      </c>
      <c r="Q66" s="302">
        <f>ROUND(IF(G66=0,0,VLOOKUP(C66,'2013실사용량 정리'!$D$6:$F$381,3,FALSE)),0)</f>
        <v>0</v>
      </c>
      <c r="R66" s="302">
        <f t="shared" si="9"/>
        <v>0</v>
      </c>
      <c r="S66" s="302">
        <f t="shared" si="9"/>
        <v>0</v>
      </c>
      <c r="T66" s="302">
        <f t="shared" si="9"/>
        <v>0</v>
      </c>
      <c r="U66" s="302">
        <f t="shared" si="9"/>
        <v>0</v>
      </c>
      <c r="V66" s="327"/>
      <c r="W66" s="343" t="str">
        <f t="shared" si="8"/>
        <v/>
      </c>
      <c r="X66" s="327"/>
      <c r="Y66" s="327"/>
      <c r="Z66" s="327"/>
      <c r="AA66" s="327"/>
      <c r="AB66" s="327"/>
      <c r="AC66" s="327"/>
      <c r="AD66" s="327"/>
    </row>
    <row r="67" spans="1:30" ht="20.100000000000001" customHeight="1">
      <c r="A67" s="340"/>
      <c r="B67" s="340"/>
      <c r="C67" s="406" t="s">
        <v>1352</v>
      </c>
      <c r="D67" s="330" t="s">
        <v>1299</v>
      </c>
      <c r="E67" s="527">
        <v>0</v>
      </c>
      <c r="F67" s="527" t="s">
        <v>1331</v>
      </c>
      <c r="G67" s="302">
        <f>IF($D67="A",ROUND(VLOOKUP($C67,'[2]2.행정구역별 급수인구'!$C$7:$AD$997,17,FALSE)*$E67,0),IF($D67="B",(ROUND(VLOOKUP($C67,'[2]2.행정구역별 급수인구'!$C$7:$AD$997,17,FALSE)-VLOOKUP($C67,'[2]2.행정구역별 급수인구'!$C$7:$AD$997,17,FALSE)*(1-$E67),0)),VLOOKUP($C67,'[2]2.행정구역별 급수인구'!$C$7:$AD$997,17,FALSE)))</f>
        <v>0</v>
      </c>
      <c r="H67" s="302">
        <f>IF($D67="A",ROUND(VLOOKUP($C67,'[2]2.행정구역별 급수인구'!$C$7:$AD$997,25,FALSE)*$E67,0),IF($D67="B",(ROUND(VLOOKUP($C67,'[2]2.행정구역별 급수인구'!$C$7:$AD$997,25,FALSE)-VLOOKUP($C67,'[2]2.행정구역별 급수인구'!$C$7:$AD$997,25,FALSE)*(1-$E67),0)),VLOOKUP($C67,'[2]2.행정구역별 급수인구'!$C$7:$AD$997,25,FALSE)))</f>
        <v>0</v>
      </c>
      <c r="I67" s="302">
        <f>IF($D67="A",ROUND(VLOOKUP($C67,'[2]2.행정구역별 급수인구'!$C$7:$AD$997,26,FALSE)*$E67,0),IF($D67="B",(ROUND(VLOOKUP($C67,'[2]2.행정구역별 급수인구'!$C$7:$AD$997,26,FALSE)-VLOOKUP($C67,'[2]2.행정구역별 급수인구'!$C$7:$AD$997,26,FALSE)*(1-$E67),0)),VLOOKUP($C67,'[2]2.행정구역별 급수인구'!$C$7:$AD$997,26,FALSE)))</f>
        <v>0</v>
      </c>
      <c r="J67" s="302">
        <f>IF($D67="A",ROUND(VLOOKUP($C67,'[2]2.행정구역별 급수인구'!$C$7:$AD$997,27,FALSE)*$E67,0),IF($D67="B",(ROUND(VLOOKUP($C67,'[2]2.행정구역별 급수인구'!$C$7:$AD$997,27,FALSE)-VLOOKUP($C67,'[2]2.행정구역별 급수인구'!$C$7:$AD$997,27,FALSE)*(1-$E67),0)),VLOOKUP($C67,'[2]2.행정구역별 급수인구'!$C$7:$AD$997,27,FALSE)))</f>
        <v>0</v>
      </c>
      <c r="K67" s="302">
        <f>IF($D67="A",ROUND(VLOOKUP($C67,'[2]2.행정구역별 급수인구'!$C$7:$AD$997,28,FALSE)*$E67,0),IF($D67="B",(ROUND(VLOOKUP($C67,'[2]2.행정구역별 급수인구'!$C$7:$AD$997,28,FALSE)-VLOOKUP($C67,'[2]2.행정구역별 급수인구'!$C$7:$AD$997,28,FALSE)*(1-$E67),0)),VLOOKUP($C67,'[2]2.행정구역별 급수인구'!$C$7:$AD$997,28,FALSE)))</f>
        <v>0</v>
      </c>
      <c r="L67" s="302">
        <f>VLOOKUP($F67,'[3]5.급수원단위'!$B$31:$G$35,2,FALSE)</f>
        <v>365</v>
      </c>
      <c r="M67" s="302">
        <f>VLOOKUP($F67,'[3]5.급수원단위'!$B$31:$G$35,3,FALSE)</f>
        <v>390</v>
      </c>
      <c r="N67" s="302">
        <f>VLOOKUP($F67,'[3]5.급수원단위'!$B$31:$G$35,4,FALSE)</f>
        <v>417</v>
      </c>
      <c r="O67" s="302">
        <f>VLOOKUP($F67,'[3]5.급수원단위'!$B$31:$G$35,5,FALSE)</f>
        <v>439</v>
      </c>
      <c r="P67" s="302">
        <f>VLOOKUP($F67,'[3]5.급수원단위'!$B$31:$G$35,6,FALSE)</f>
        <v>454</v>
      </c>
      <c r="Q67" s="302">
        <f>ROUND(IF(G67=0,0,VLOOKUP(C67,'2013실사용량 정리'!$D$6:$F$381,3,FALSE)),0)</f>
        <v>0</v>
      </c>
      <c r="R67" s="302">
        <f t="shared" si="9"/>
        <v>0</v>
      </c>
      <c r="S67" s="302">
        <f t="shared" si="9"/>
        <v>0</v>
      </c>
      <c r="T67" s="302">
        <f t="shared" si="9"/>
        <v>0</v>
      </c>
      <c r="U67" s="302">
        <f t="shared" si="9"/>
        <v>0</v>
      </c>
      <c r="V67" s="327"/>
      <c r="W67" s="343" t="str">
        <f t="shared" si="8"/>
        <v/>
      </c>
      <c r="X67" s="327"/>
      <c r="Y67" s="327"/>
      <c r="Z67" s="327"/>
      <c r="AA67" s="327"/>
      <c r="AB67" s="327"/>
      <c r="AC67" s="327"/>
      <c r="AD67" s="327"/>
    </row>
    <row r="68" spans="1:30" ht="20.100000000000001" customHeight="1">
      <c r="A68" s="340"/>
      <c r="B68" s="340"/>
      <c r="C68" s="406" t="s">
        <v>1353</v>
      </c>
      <c r="D68" s="330" t="s">
        <v>1299</v>
      </c>
      <c r="E68" s="527">
        <v>0</v>
      </c>
      <c r="F68" s="527" t="s">
        <v>1331</v>
      </c>
      <c r="G68" s="302">
        <f>IF($D68="A",ROUND(VLOOKUP($C68,'[2]2.행정구역별 급수인구'!$C$7:$AD$997,17,FALSE)*$E68,0),IF($D68="B",(ROUND(VLOOKUP($C68,'[2]2.행정구역별 급수인구'!$C$7:$AD$997,17,FALSE)-VLOOKUP($C68,'[2]2.행정구역별 급수인구'!$C$7:$AD$997,17,FALSE)*(1-$E68),0)),VLOOKUP($C68,'[2]2.행정구역별 급수인구'!$C$7:$AD$997,17,FALSE)))</f>
        <v>0</v>
      </c>
      <c r="H68" s="302">
        <f>IF($D68="A",ROUND(VLOOKUP($C68,'[2]2.행정구역별 급수인구'!$C$7:$AD$997,25,FALSE)*$E68,0),IF($D68="B",(ROUND(VLOOKUP($C68,'[2]2.행정구역별 급수인구'!$C$7:$AD$997,25,FALSE)-VLOOKUP($C68,'[2]2.행정구역별 급수인구'!$C$7:$AD$997,25,FALSE)*(1-$E68),0)),VLOOKUP($C68,'[2]2.행정구역별 급수인구'!$C$7:$AD$997,25,FALSE)))</f>
        <v>0</v>
      </c>
      <c r="I68" s="302">
        <f>IF($D68="A",ROUND(VLOOKUP($C68,'[2]2.행정구역별 급수인구'!$C$7:$AD$997,26,FALSE)*$E68,0),IF($D68="B",(ROUND(VLOOKUP($C68,'[2]2.행정구역별 급수인구'!$C$7:$AD$997,26,FALSE)-VLOOKUP($C68,'[2]2.행정구역별 급수인구'!$C$7:$AD$997,26,FALSE)*(1-$E68),0)),VLOOKUP($C68,'[2]2.행정구역별 급수인구'!$C$7:$AD$997,26,FALSE)))</f>
        <v>0</v>
      </c>
      <c r="J68" s="302">
        <f>IF($D68="A",ROUND(VLOOKUP($C68,'[2]2.행정구역별 급수인구'!$C$7:$AD$997,27,FALSE)*$E68,0),IF($D68="B",(ROUND(VLOOKUP($C68,'[2]2.행정구역별 급수인구'!$C$7:$AD$997,27,FALSE)-VLOOKUP($C68,'[2]2.행정구역별 급수인구'!$C$7:$AD$997,27,FALSE)*(1-$E68),0)),VLOOKUP($C68,'[2]2.행정구역별 급수인구'!$C$7:$AD$997,27,FALSE)))</f>
        <v>0</v>
      </c>
      <c r="K68" s="302">
        <f>IF($D68="A",ROUND(VLOOKUP($C68,'[2]2.행정구역별 급수인구'!$C$7:$AD$997,28,FALSE)*$E68,0),IF($D68="B",(ROUND(VLOOKUP($C68,'[2]2.행정구역별 급수인구'!$C$7:$AD$997,28,FALSE)-VLOOKUP($C68,'[2]2.행정구역별 급수인구'!$C$7:$AD$997,28,FALSE)*(1-$E68),0)),VLOOKUP($C68,'[2]2.행정구역별 급수인구'!$C$7:$AD$997,28,FALSE)))</f>
        <v>0</v>
      </c>
      <c r="L68" s="302">
        <f>VLOOKUP($F68,'[3]5.급수원단위'!$B$31:$G$35,2,FALSE)</f>
        <v>365</v>
      </c>
      <c r="M68" s="302">
        <f>VLOOKUP($F68,'[3]5.급수원단위'!$B$31:$G$35,3,FALSE)</f>
        <v>390</v>
      </c>
      <c r="N68" s="302">
        <f>VLOOKUP($F68,'[3]5.급수원단위'!$B$31:$G$35,4,FALSE)</f>
        <v>417</v>
      </c>
      <c r="O68" s="302">
        <f>VLOOKUP($F68,'[3]5.급수원단위'!$B$31:$G$35,5,FALSE)</f>
        <v>439</v>
      </c>
      <c r="P68" s="302">
        <f>VLOOKUP($F68,'[3]5.급수원단위'!$B$31:$G$35,6,FALSE)</f>
        <v>454</v>
      </c>
      <c r="Q68" s="302">
        <f>ROUND(IF(G68=0,0,VLOOKUP(C68,'2013실사용량 정리'!$D$6:$F$381,3,FALSE)),0)</f>
        <v>0</v>
      </c>
      <c r="R68" s="302">
        <f t="shared" si="9"/>
        <v>0</v>
      </c>
      <c r="S68" s="302">
        <f t="shared" si="9"/>
        <v>0</v>
      </c>
      <c r="T68" s="302">
        <f t="shared" si="9"/>
        <v>0</v>
      </c>
      <c r="U68" s="302">
        <f t="shared" si="9"/>
        <v>0</v>
      </c>
      <c r="V68" s="327"/>
      <c r="W68" s="343" t="str">
        <f t="shared" si="8"/>
        <v/>
      </c>
      <c r="X68" s="327"/>
      <c r="Y68" s="327"/>
      <c r="Z68" s="327"/>
      <c r="AA68" s="327"/>
      <c r="AB68" s="327"/>
      <c r="AC68" s="327"/>
      <c r="AD68" s="327"/>
    </row>
    <row r="69" spans="1:30" ht="20.100000000000001" customHeight="1">
      <c r="A69" s="340"/>
      <c r="B69" s="340"/>
      <c r="C69" s="406" t="s">
        <v>1354</v>
      </c>
      <c r="D69" s="330" t="s">
        <v>1299</v>
      </c>
      <c r="E69" s="527">
        <v>0</v>
      </c>
      <c r="F69" s="527" t="s">
        <v>1331</v>
      </c>
      <c r="G69" s="302">
        <f>IF($D69="A",ROUND(VLOOKUP($C69,'[2]2.행정구역별 급수인구'!$C$7:$AD$997,17,FALSE)*$E69,0),IF($D69="B",(ROUND(VLOOKUP($C69,'[2]2.행정구역별 급수인구'!$C$7:$AD$997,17,FALSE)-VLOOKUP($C69,'[2]2.행정구역별 급수인구'!$C$7:$AD$997,17,FALSE)*(1-$E69),0)),VLOOKUP($C69,'[2]2.행정구역별 급수인구'!$C$7:$AD$997,17,FALSE)))</f>
        <v>0</v>
      </c>
      <c r="H69" s="302">
        <f>IF($D69="A",ROUND(VLOOKUP($C69,'[2]2.행정구역별 급수인구'!$C$7:$AD$997,25,FALSE)*$E69,0),IF($D69="B",(ROUND(VLOOKUP($C69,'[2]2.행정구역별 급수인구'!$C$7:$AD$997,25,FALSE)-VLOOKUP($C69,'[2]2.행정구역별 급수인구'!$C$7:$AD$997,25,FALSE)*(1-$E69),0)),VLOOKUP($C69,'[2]2.행정구역별 급수인구'!$C$7:$AD$997,25,FALSE)))</f>
        <v>0</v>
      </c>
      <c r="I69" s="302">
        <f>IF($D69="A",ROUND(VLOOKUP($C69,'[2]2.행정구역별 급수인구'!$C$7:$AD$997,26,FALSE)*$E69,0),IF($D69="B",(ROUND(VLOOKUP($C69,'[2]2.행정구역별 급수인구'!$C$7:$AD$997,26,FALSE)-VLOOKUP($C69,'[2]2.행정구역별 급수인구'!$C$7:$AD$997,26,FALSE)*(1-$E69),0)),VLOOKUP($C69,'[2]2.행정구역별 급수인구'!$C$7:$AD$997,26,FALSE)))</f>
        <v>0</v>
      </c>
      <c r="J69" s="302">
        <f>IF($D69="A",ROUND(VLOOKUP($C69,'[2]2.행정구역별 급수인구'!$C$7:$AD$997,27,FALSE)*$E69,0),IF($D69="B",(ROUND(VLOOKUP($C69,'[2]2.행정구역별 급수인구'!$C$7:$AD$997,27,FALSE)-VLOOKUP($C69,'[2]2.행정구역별 급수인구'!$C$7:$AD$997,27,FALSE)*(1-$E69),0)),VLOOKUP($C69,'[2]2.행정구역별 급수인구'!$C$7:$AD$997,27,FALSE)))</f>
        <v>0</v>
      </c>
      <c r="K69" s="302">
        <f>IF($D69="A",ROUND(VLOOKUP($C69,'[2]2.행정구역별 급수인구'!$C$7:$AD$997,28,FALSE)*$E69,0),IF($D69="B",(ROUND(VLOOKUP($C69,'[2]2.행정구역별 급수인구'!$C$7:$AD$997,28,FALSE)-VLOOKUP($C69,'[2]2.행정구역별 급수인구'!$C$7:$AD$997,28,FALSE)*(1-$E69),0)),VLOOKUP($C69,'[2]2.행정구역별 급수인구'!$C$7:$AD$997,28,FALSE)))</f>
        <v>0</v>
      </c>
      <c r="L69" s="302">
        <f>VLOOKUP($F69,'[3]5.급수원단위'!$B$31:$G$35,2,FALSE)</f>
        <v>365</v>
      </c>
      <c r="M69" s="302">
        <f>VLOOKUP($F69,'[3]5.급수원단위'!$B$31:$G$35,3,FALSE)</f>
        <v>390</v>
      </c>
      <c r="N69" s="302">
        <f>VLOOKUP($F69,'[3]5.급수원단위'!$B$31:$G$35,4,FALSE)</f>
        <v>417</v>
      </c>
      <c r="O69" s="302">
        <f>VLOOKUP($F69,'[3]5.급수원단위'!$B$31:$G$35,5,FALSE)</f>
        <v>439</v>
      </c>
      <c r="P69" s="302">
        <f>VLOOKUP($F69,'[3]5.급수원단위'!$B$31:$G$35,6,FALSE)</f>
        <v>454</v>
      </c>
      <c r="Q69" s="302">
        <f>ROUND(IF(G69=0,0,VLOOKUP(C69,'2013실사용량 정리'!$D$6:$F$381,3,FALSE)),0)</f>
        <v>0</v>
      </c>
      <c r="R69" s="302">
        <f t="shared" si="9"/>
        <v>0</v>
      </c>
      <c r="S69" s="302">
        <f t="shared" si="9"/>
        <v>0</v>
      </c>
      <c r="T69" s="302">
        <f t="shared" si="9"/>
        <v>0</v>
      </c>
      <c r="U69" s="302">
        <f t="shared" si="9"/>
        <v>0</v>
      </c>
      <c r="V69" s="327"/>
      <c r="W69" s="343" t="str">
        <f t="shared" si="8"/>
        <v/>
      </c>
      <c r="X69" s="327"/>
      <c r="Y69" s="327"/>
      <c r="Z69" s="327"/>
      <c r="AA69" s="327"/>
      <c r="AB69" s="327"/>
      <c r="AC69" s="327"/>
      <c r="AD69" s="327"/>
    </row>
    <row r="70" spans="1:30" ht="20.100000000000001" customHeight="1">
      <c r="A70" s="340"/>
      <c r="B70" s="340"/>
      <c r="C70" s="406" t="s">
        <v>1355</v>
      </c>
      <c r="D70" s="330" t="s">
        <v>1299</v>
      </c>
      <c r="E70" s="527">
        <v>0</v>
      </c>
      <c r="F70" s="527" t="s">
        <v>1331</v>
      </c>
      <c r="G70" s="302">
        <f>IF($D70="A",ROUND(VLOOKUP($C70,'[2]2.행정구역별 급수인구'!$C$7:$AD$997,17,FALSE)*$E70,0),IF($D70="B",(ROUND(VLOOKUP($C70,'[2]2.행정구역별 급수인구'!$C$7:$AD$997,17,FALSE)-VLOOKUP($C70,'[2]2.행정구역별 급수인구'!$C$7:$AD$997,17,FALSE)*(1-$E70),0)),VLOOKUP($C70,'[2]2.행정구역별 급수인구'!$C$7:$AD$997,17,FALSE)))</f>
        <v>0</v>
      </c>
      <c r="H70" s="302">
        <f>IF($D70="A",ROUND(VLOOKUP($C70,'[2]2.행정구역별 급수인구'!$C$7:$AD$997,25,FALSE)*$E70,0),IF($D70="B",(ROUND(VLOOKUP($C70,'[2]2.행정구역별 급수인구'!$C$7:$AD$997,25,FALSE)-VLOOKUP($C70,'[2]2.행정구역별 급수인구'!$C$7:$AD$997,25,FALSE)*(1-$E70),0)),VLOOKUP($C70,'[2]2.행정구역별 급수인구'!$C$7:$AD$997,25,FALSE)))</f>
        <v>0</v>
      </c>
      <c r="I70" s="302">
        <f>IF($D70="A",ROUND(VLOOKUP($C70,'[2]2.행정구역별 급수인구'!$C$7:$AD$997,26,FALSE)*$E70,0),IF($D70="B",(ROUND(VLOOKUP($C70,'[2]2.행정구역별 급수인구'!$C$7:$AD$997,26,FALSE)-VLOOKUP($C70,'[2]2.행정구역별 급수인구'!$C$7:$AD$997,26,FALSE)*(1-$E70),0)),VLOOKUP($C70,'[2]2.행정구역별 급수인구'!$C$7:$AD$997,26,FALSE)))</f>
        <v>0</v>
      </c>
      <c r="J70" s="302">
        <f>IF($D70="A",ROUND(VLOOKUP($C70,'[2]2.행정구역별 급수인구'!$C$7:$AD$997,27,FALSE)*$E70,0),IF($D70="B",(ROUND(VLOOKUP($C70,'[2]2.행정구역별 급수인구'!$C$7:$AD$997,27,FALSE)-VLOOKUP($C70,'[2]2.행정구역별 급수인구'!$C$7:$AD$997,27,FALSE)*(1-$E70),0)),VLOOKUP($C70,'[2]2.행정구역별 급수인구'!$C$7:$AD$997,27,FALSE)))</f>
        <v>0</v>
      </c>
      <c r="K70" s="302">
        <f>IF($D70="A",ROUND(VLOOKUP($C70,'[2]2.행정구역별 급수인구'!$C$7:$AD$997,28,FALSE)*$E70,0),IF($D70="B",(ROUND(VLOOKUP($C70,'[2]2.행정구역별 급수인구'!$C$7:$AD$997,28,FALSE)-VLOOKUP($C70,'[2]2.행정구역별 급수인구'!$C$7:$AD$997,28,FALSE)*(1-$E70),0)),VLOOKUP($C70,'[2]2.행정구역별 급수인구'!$C$7:$AD$997,28,FALSE)))</f>
        <v>0</v>
      </c>
      <c r="L70" s="302">
        <f>VLOOKUP($F70,'[3]5.급수원단위'!$B$31:$G$35,2,FALSE)</f>
        <v>365</v>
      </c>
      <c r="M70" s="302">
        <f>VLOOKUP($F70,'[3]5.급수원단위'!$B$31:$G$35,3,FALSE)</f>
        <v>390</v>
      </c>
      <c r="N70" s="302">
        <f>VLOOKUP($F70,'[3]5.급수원단위'!$B$31:$G$35,4,FALSE)</f>
        <v>417</v>
      </c>
      <c r="O70" s="302">
        <f>VLOOKUP($F70,'[3]5.급수원단위'!$B$31:$G$35,5,FALSE)</f>
        <v>439</v>
      </c>
      <c r="P70" s="302">
        <f>VLOOKUP($F70,'[3]5.급수원단위'!$B$31:$G$35,6,FALSE)</f>
        <v>454</v>
      </c>
      <c r="Q70" s="302">
        <f>ROUND(IF(G70=0,0,VLOOKUP(C70,'2013실사용량 정리'!$D$6:$F$381,3,FALSE)),0)</f>
        <v>0</v>
      </c>
      <c r="R70" s="302">
        <f t="shared" si="9"/>
        <v>0</v>
      </c>
      <c r="S70" s="302">
        <f t="shared" si="9"/>
        <v>0</v>
      </c>
      <c r="T70" s="302">
        <f t="shared" si="9"/>
        <v>0</v>
      </c>
      <c r="U70" s="302">
        <f t="shared" si="9"/>
        <v>0</v>
      </c>
      <c r="V70" s="327"/>
      <c r="W70" s="343" t="str">
        <f t="shared" si="8"/>
        <v/>
      </c>
      <c r="X70" s="327"/>
      <c r="Y70" s="327"/>
      <c r="Z70" s="327"/>
      <c r="AA70" s="327"/>
      <c r="AB70" s="327"/>
      <c r="AC70" s="327"/>
      <c r="AD70" s="327"/>
    </row>
    <row r="71" spans="1:30" ht="20.100000000000001" customHeight="1">
      <c r="A71" s="340"/>
      <c r="B71" s="340"/>
      <c r="C71" s="406" t="s">
        <v>1356</v>
      </c>
      <c r="D71" s="330" t="s">
        <v>1299</v>
      </c>
      <c r="E71" s="527">
        <v>0</v>
      </c>
      <c r="F71" s="527" t="s">
        <v>1331</v>
      </c>
      <c r="G71" s="302">
        <f>IF($D71="A",ROUND(VLOOKUP($C71,'[2]2.행정구역별 급수인구'!$C$7:$AD$997,17,FALSE)*$E71,0),IF($D71="B",(ROUND(VLOOKUP($C71,'[2]2.행정구역별 급수인구'!$C$7:$AD$997,17,FALSE)-VLOOKUP($C71,'[2]2.행정구역별 급수인구'!$C$7:$AD$997,17,FALSE)*(1-$E71),0)),VLOOKUP($C71,'[2]2.행정구역별 급수인구'!$C$7:$AD$997,17,FALSE)))</f>
        <v>0</v>
      </c>
      <c r="H71" s="302">
        <f>IF($D71="A",ROUND(VLOOKUP($C71,'[2]2.행정구역별 급수인구'!$C$7:$AD$997,25,FALSE)*$E71,0),IF($D71="B",(ROUND(VLOOKUP($C71,'[2]2.행정구역별 급수인구'!$C$7:$AD$997,25,FALSE)-VLOOKUP($C71,'[2]2.행정구역별 급수인구'!$C$7:$AD$997,25,FALSE)*(1-$E71),0)),VLOOKUP($C71,'[2]2.행정구역별 급수인구'!$C$7:$AD$997,25,FALSE)))</f>
        <v>0</v>
      </c>
      <c r="I71" s="302">
        <f>IF($D71="A",ROUND(VLOOKUP($C71,'[2]2.행정구역별 급수인구'!$C$7:$AD$997,26,FALSE)*$E71,0),IF($D71="B",(ROUND(VLOOKUP($C71,'[2]2.행정구역별 급수인구'!$C$7:$AD$997,26,FALSE)-VLOOKUP($C71,'[2]2.행정구역별 급수인구'!$C$7:$AD$997,26,FALSE)*(1-$E71),0)),VLOOKUP($C71,'[2]2.행정구역별 급수인구'!$C$7:$AD$997,26,FALSE)))</f>
        <v>0</v>
      </c>
      <c r="J71" s="302">
        <f>IF($D71="A",ROUND(VLOOKUP($C71,'[2]2.행정구역별 급수인구'!$C$7:$AD$997,27,FALSE)*$E71,0),IF($D71="B",(ROUND(VLOOKUP($C71,'[2]2.행정구역별 급수인구'!$C$7:$AD$997,27,FALSE)-VLOOKUP($C71,'[2]2.행정구역별 급수인구'!$C$7:$AD$997,27,FALSE)*(1-$E71),0)),VLOOKUP($C71,'[2]2.행정구역별 급수인구'!$C$7:$AD$997,27,FALSE)))</f>
        <v>0</v>
      </c>
      <c r="K71" s="302">
        <f>IF($D71="A",ROUND(VLOOKUP($C71,'[2]2.행정구역별 급수인구'!$C$7:$AD$997,28,FALSE)*$E71,0),IF($D71="B",(ROUND(VLOOKUP($C71,'[2]2.행정구역별 급수인구'!$C$7:$AD$997,28,FALSE)-VLOOKUP($C71,'[2]2.행정구역별 급수인구'!$C$7:$AD$997,28,FALSE)*(1-$E71),0)),VLOOKUP($C71,'[2]2.행정구역별 급수인구'!$C$7:$AD$997,28,FALSE)))</f>
        <v>0</v>
      </c>
      <c r="L71" s="302">
        <f>VLOOKUP($F71,'[3]5.급수원단위'!$B$31:$G$35,2,FALSE)</f>
        <v>365</v>
      </c>
      <c r="M71" s="302">
        <f>VLOOKUP($F71,'[3]5.급수원단위'!$B$31:$G$35,3,FALSE)</f>
        <v>390</v>
      </c>
      <c r="N71" s="302">
        <f>VLOOKUP($F71,'[3]5.급수원단위'!$B$31:$G$35,4,FALSE)</f>
        <v>417</v>
      </c>
      <c r="O71" s="302">
        <f>VLOOKUP($F71,'[3]5.급수원단위'!$B$31:$G$35,5,FALSE)</f>
        <v>439</v>
      </c>
      <c r="P71" s="302">
        <f>VLOOKUP($F71,'[3]5.급수원단위'!$B$31:$G$35,6,FALSE)</f>
        <v>454</v>
      </c>
      <c r="Q71" s="302">
        <f>ROUND(IF(G71=0,0,VLOOKUP(C71,'2013실사용량 정리'!$D$6:$F$381,3,FALSE)),0)</f>
        <v>0</v>
      </c>
      <c r="R71" s="302">
        <f t="shared" si="9"/>
        <v>0</v>
      </c>
      <c r="S71" s="302">
        <f t="shared" si="9"/>
        <v>0</v>
      </c>
      <c r="T71" s="302">
        <f t="shared" si="9"/>
        <v>0</v>
      </c>
      <c r="U71" s="302">
        <f t="shared" si="9"/>
        <v>0</v>
      </c>
      <c r="V71" s="327"/>
      <c r="W71" s="343" t="str">
        <f t="shared" si="8"/>
        <v/>
      </c>
      <c r="X71" s="327"/>
      <c r="Y71" s="327"/>
      <c r="Z71" s="327"/>
      <c r="AA71" s="327"/>
      <c r="AB71" s="327"/>
      <c r="AC71" s="327"/>
      <c r="AD71" s="327"/>
    </row>
    <row r="72" spans="1:30" ht="20.100000000000001" customHeight="1">
      <c r="A72" s="340"/>
      <c r="B72" s="340"/>
      <c r="C72" s="406" t="s">
        <v>1357</v>
      </c>
      <c r="D72" s="330" t="s">
        <v>1299</v>
      </c>
      <c r="E72" s="527">
        <v>0</v>
      </c>
      <c r="F72" s="527" t="s">
        <v>1331</v>
      </c>
      <c r="G72" s="302">
        <f>IF($D72="A",ROUND(VLOOKUP($C72,'[2]2.행정구역별 급수인구'!$C$7:$AD$997,17,FALSE)*$E72,0),IF($D72="B",(ROUND(VLOOKUP($C72,'[2]2.행정구역별 급수인구'!$C$7:$AD$997,17,FALSE)-VLOOKUP($C72,'[2]2.행정구역별 급수인구'!$C$7:$AD$997,17,FALSE)*(1-$E72),0)),VLOOKUP($C72,'[2]2.행정구역별 급수인구'!$C$7:$AD$997,17,FALSE)))</f>
        <v>0</v>
      </c>
      <c r="H72" s="302">
        <f>IF($D72="A",ROUND(VLOOKUP($C72,'[2]2.행정구역별 급수인구'!$C$7:$AD$997,25,FALSE)*$E72,0),IF($D72="B",(ROUND(VLOOKUP($C72,'[2]2.행정구역별 급수인구'!$C$7:$AD$997,25,FALSE)-VLOOKUP($C72,'[2]2.행정구역별 급수인구'!$C$7:$AD$997,25,FALSE)*(1-$E72),0)),VLOOKUP($C72,'[2]2.행정구역별 급수인구'!$C$7:$AD$997,25,FALSE)))</f>
        <v>0</v>
      </c>
      <c r="I72" s="302">
        <f>IF($D72="A",ROUND(VLOOKUP($C72,'[2]2.행정구역별 급수인구'!$C$7:$AD$997,26,FALSE)*$E72,0),IF($D72="B",(ROUND(VLOOKUP($C72,'[2]2.행정구역별 급수인구'!$C$7:$AD$997,26,FALSE)-VLOOKUP($C72,'[2]2.행정구역별 급수인구'!$C$7:$AD$997,26,FALSE)*(1-$E72),0)),VLOOKUP($C72,'[2]2.행정구역별 급수인구'!$C$7:$AD$997,26,FALSE)))</f>
        <v>0</v>
      </c>
      <c r="J72" s="302">
        <f>IF($D72="A",ROUND(VLOOKUP($C72,'[2]2.행정구역별 급수인구'!$C$7:$AD$997,27,FALSE)*$E72,0),IF($D72="B",(ROUND(VLOOKUP($C72,'[2]2.행정구역별 급수인구'!$C$7:$AD$997,27,FALSE)-VLOOKUP($C72,'[2]2.행정구역별 급수인구'!$C$7:$AD$997,27,FALSE)*(1-$E72),0)),VLOOKUP($C72,'[2]2.행정구역별 급수인구'!$C$7:$AD$997,27,FALSE)))</f>
        <v>0</v>
      </c>
      <c r="K72" s="302">
        <f>IF($D72="A",ROUND(VLOOKUP($C72,'[2]2.행정구역별 급수인구'!$C$7:$AD$997,28,FALSE)*$E72,0),IF($D72="B",(ROUND(VLOOKUP($C72,'[2]2.행정구역별 급수인구'!$C$7:$AD$997,28,FALSE)-VLOOKUP($C72,'[2]2.행정구역별 급수인구'!$C$7:$AD$997,28,FALSE)*(1-$E72),0)),VLOOKUP($C72,'[2]2.행정구역별 급수인구'!$C$7:$AD$997,28,FALSE)))</f>
        <v>0</v>
      </c>
      <c r="L72" s="302">
        <f>VLOOKUP($F72,'[3]5.급수원단위'!$B$31:$G$35,2,FALSE)</f>
        <v>365</v>
      </c>
      <c r="M72" s="302">
        <f>VLOOKUP($F72,'[3]5.급수원단위'!$B$31:$G$35,3,FALSE)</f>
        <v>390</v>
      </c>
      <c r="N72" s="302">
        <f>VLOOKUP($F72,'[3]5.급수원단위'!$B$31:$G$35,4,FALSE)</f>
        <v>417</v>
      </c>
      <c r="O72" s="302">
        <f>VLOOKUP($F72,'[3]5.급수원단위'!$B$31:$G$35,5,FALSE)</f>
        <v>439</v>
      </c>
      <c r="P72" s="302">
        <f>VLOOKUP($F72,'[3]5.급수원단위'!$B$31:$G$35,6,FALSE)</f>
        <v>454</v>
      </c>
      <c r="Q72" s="302">
        <f>ROUND(IF(G72=0,0,VLOOKUP(C72,'2013실사용량 정리'!$D$6:$F$381,3,FALSE)),0)</f>
        <v>0</v>
      </c>
      <c r="R72" s="302">
        <f t="shared" si="9"/>
        <v>0</v>
      </c>
      <c r="S72" s="302">
        <f t="shared" si="9"/>
        <v>0</v>
      </c>
      <c r="T72" s="302">
        <f t="shared" si="9"/>
        <v>0</v>
      </c>
      <c r="U72" s="302">
        <f t="shared" si="9"/>
        <v>0</v>
      </c>
      <c r="V72" s="327"/>
      <c r="W72" s="343" t="str">
        <f t="shared" si="8"/>
        <v/>
      </c>
      <c r="X72" s="327"/>
      <c r="Y72" s="327"/>
      <c r="Z72" s="327"/>
      <c r="AA72" s="327"/>
      <c r="AB72" s="327"/>
      <c r="AC72" s="327"/>
      <c r="AD72" s="327"/>
    </row>
    <row r="73" spans="1:30" ht="20.100000000000001" customHeight="1">
      <c r="A73" s="386"/>
      <c r="B73" s="386"/>
      <c r="C73" s="406" t="s">
        <v>1358</v>
      </c>
      <c r="D73" s="330" t="s">
        <v>1299</v>
      </c>
      <c r="E73" s="527">
        <v>0</v>
      </c>
      <c r="F73" s="527" t="s">
        <v>1331</v>
      </c>
      <c r="G73" s="302">
        <f>IF($D73="A",ROUND(VLOOKUP($C73,'[2]2.행정구역별 급수인구'!$C$7:$AD$997,17,FALSE)*$E73,0),IF($D73="B",(ROUND(VLOOKUP($C73,'[2]2.행정구역별 급수인구'!$C$7:$AD$997,17,FALSE)-VLOOKUP($C73,'[2]2.행정구역별 급수인구'!$C$7:$AD$997,17,FALSE)*(1-$E73),0)),VLOOKUP($C73,'[2]2.행정구역별 급수인구'!$C$7:$AD$997,17,FALSE)))</f>
        <v>0</v>
      </c>
      <c r="H73" s="302">
        <f>IF($D73="A",ROUND(VLOOKUP($C73,'[2]2.행정구역별 급수인구'!$C$7:$AD$997,25,FALSE)*$E73,0),IF($D73="B",(ROUND(VLOOKUP($C73,'[2]2.행정구역별 급수인구'!$C$7:$AD$997,25,FALSE)-VLOOKUP($C73,'[2]2.행정구역별 급수인구'!$C$7:$AD$997,25,FALSE)*(1-$E73),0)),VLOOKUP($C73,'[2]2.행정구역별 급수인구'!$C$7:$AD$997,25,FALSE)))</f>
        <v>0</v>
      </c>
      <c r="I73" s="302">
        <f>IF($D73="A",ROUND(VLOOKUP($C73,'[2]2.행정구역별 급수인구'!$C$7:$AD$997,26,FALSE)*$E73,0),IF($D73="B",(ROUND(VLOOKUP($C73,'[2]2.행정구역별 급수인구'!$C$7:$AD$997,26,FALSE)-VLOOKUP($C73,'[2]2.행정구역별 급수인구'!$C$7:$AD$997,26,FALSE)*(1-$E73),0)),VLOOKUP($C73,'[2]2.행정구역별 급수인구'!$C$7:$AD$997,26,FALSE)))</f>
        <v>0</v>
      </c>
      <c r="J73" s="302">
        <f>IF($D73="A",ROUND(VLOOKUP($C73,'[2]2.행정구역별 급수인구'!$C$7:$AD$997,27,FALSE)*$E73,0),IF($D73="B",(ROUND(VLOOKUP($C73,'[2]2.행정구역별 급수인구'!$C$7:$AD$997,27,FALSE)-VLOOKUP($C73,'[2]2.행정구역별 급수인구'!$C$7:$AD$997,27,FALSE)*(1-$E73),0)),VLOOKUP($C73,'[2]2.행정구역별 급수인구'!$C$7:$AD$997,27,FALSE)))</f>
        <v>0</v>
      </c>
      <c r="K73" s="302">
        <f>IF($D73="A",ROUND(VLOOKUP($C73,'[2]2.행정구역별 급수인구'!$C$7:$AD$997,28,FALSE)*$E73,0),IF($D73="B",(ROUND(VLOOKUP($C73,'[2]2.행정구역별 급수인구'!$C$7:$AD$997,28,FALSE)-VLOOKUP($C73,'[2]2.행정구역별 급수인구'!$C$7:$AD$997,28,FALSE)*(1-$E73),0)),VLOOKUP($C73,'[2]2.행정구역별 급수인구'!$C$7:$AD$997,28,FALSE)))</f>
        <v>0</v>
      </c>
      <c r="L73" s="302">
        <f>VLOOKUP($F73,'[3]5.급수원단위'!$B$31:$G$35,2,FALSE)</f>
        <v>365</v>
      </c>
      <c r="M73" s="302">
        <f>VLOOKUP($F73,'[3]5.급수원단위'!$B$31:$G$35,3,FALSE)</f>
        <v>390</v>
      </c>
      <c r="N73" s="302">
        <f>VLOOKUP($F73,'[3]5.급수원단위'!$B$31:$G$35,4,FALSE)</f>
        <v>417</v>
      </c>
      <c r="O73" s="302">
        <f>VLOOKUP($F73,'[3]5.급수원단위'!$B$31:$G$35,5,FALSE)</f>
        <v>439</v>
      </c>
      <c r="P73" s="302">
        <f>VLOOKUP($F73,'[3]5.급수원단위'!$B$31:$G$35,6,FALSE)</f>
        <v>454</v>
      </c>
      <c r="Q73" s="302">
        <f>ROUND(IF(G73=0,0,VLOOKUP(C73,'2013실사용량 정리'!$D$6:$F$381,3,FALSE)),0)</f>
        <v>0</v>
      </c>
      <c r="R73" s="302">
        <f t="shared" si="9"/>
        <v>0</v>
      </c>
      <c r="S73" s="302">
        <f t="shared" si="9"/>
        <v>0</v>
      </c>
      <c r="T73" s="302">
        <f t="shared" si="9"/>
        <v>0</v>
      </c>
      <c r="U73" s="302">
        <f t="shared" si="9"/>
        <v>0</v>
      </c>
      <c r="V73" s="327"/>
      <c r="W73" s="343" t="str">
        <f t="shared" si="8"/>
        <v/>
      </c>
      <c r="X73" s="327"/>
      <c r="Y73" s="327"/>
      <c r="Z73" s="327"/>
      <c r="AA73" s="327"/>
      <c r="AB73" s="327"/>
      <c r="AC73" s="327"/>
      <c r="AD73" s="327"/>
    </row>
    <row r="74" spans="1:30" ht="20.100000000000001" customHeight="1">
      <c r="A74" s="339"/>
      <c r="B74" s="339"/>
      <c r="C74" s="406" t="s">
        <v>1359</v>
      </c>
      <c r="D74" s="330" t="s">
        <v>1299</v>
      </c>
      <c r="E74" s="527">
        <v>0</v>
      </c>
      <c r="F74" s="527" t="s">
        <v>1331</v>
      </c>
      <c r="G74" s="302">
        <f>IF($D74="A",ROUND(VLOOKUP($C74,'[2]2.행정구역별 급수인구'!$C$7:$AD$997,17,FALSE)*$E74,0),IF($D74="B",(ROUND(VLOOKUP($C74,'[2]2.행정구역별 급수인구'!$C$7:$AD$997,17,FALSE)-VLOOKUP($C74,'[2]2.행정구역별 급수인구'!$C$7:$AD$997,17,FALSE)*(1-$E74),0)),VLOOKUP($C74,'[2]2.행정구역별 급수인구'!$C$7:$AD$997,17,FALSE)))</f>
        <v>0</v>
      </c>
      <c r="H74" s="302">
        <f>IF($D74="A",ROUND(VLOOKUP($C74,'[2]2.행정구역별 급수인구'!$C$7:$AD$997,25,FALSE)*$E74,0),IF($D74="B",(ROUND(VLOOKUP($C74,'[2]2.행정구역별 급수인구'!$C$7:$AD$997,25,FALSE)-VLOOKUP($C74,'[2]2.행정구역별 급수인구'!$C$7:$AD$997,25,FALSE)*(1-$E74),0)),VLOOKUP($C74,'[2]2.행정구역별 급수인구'!$C$7:$AD$997,25,FALSE)))</f>
        <v>0</v>
      </c>
      <c r="I74" s="302">
        <f>IF($D74="A",ROUND(VLOOKUP($C74,'[2]2.행정구역별 급수인구'!$C$7:$AD$997,26,FALSE)*$E74,0),IF($D74="B",(ROUND(VLOOKUP($C74,'[2]2.행정구역별 급수인구'!$C$7:$AD$997,26,FALSE)-VLOOKUP($C74,'[2]2.행정구역별 급수인구'!$C$7:$AD$997,26,FALSE)*(1-$E74),0)),VLOOKUP($C74,'[2]2.행정구역별 급수인구'!$C$7:$AD$997,26,FALSE)))</f>
        <v>0</v>
      </c>
      <c r="J74" s="302">
        <f>IF($D74="A",ROUND(VLOOKUP($C74,'[2]2.행정구역별 급수인구'!$C$7:$AD$997,27,FALSE)*$E74,0),IF($D74="B",(ROUND(VLOOKUP($C74,'[2]2.행정구역별 급수인구'!$C$7:$AD$997,27,FALSE)-VLOOKUP($C74,'[2]2.행정구역별 급수인구'!$C$7:$AD$997,27,FALSE)*(1-$E74),0)),VLOOKUP($C74,'[2]2.행정구역별 급수인구'!$C$7:$AD$997,27,FALSE)))</f>
        <v>0</v>
      </c>
      <c r="K74" s="302">
        <f>IF($D74="A",ROUND(VLOOKUP($C74,'[2]2.행정구역별 급수인구'!$C$7:$AD$997,28,FALSE)*$E74,0),IF($D74="B",(ROUND(VLOOKUP($C74,'[2]2.행정구역별 급수인구'!$C$7:$AD$997,28,FALSE)-VLOOKUP($C74,'[2]2.행정구역별 급수인구'!$C$7:$AD$997,28,FALSE)*(1-$E74),0)),VLOOKUP($C74,'[2]2.행정구역별 급수인구'!$C$7:$AD$997,28,FALSE)))</f>
        <v>0</v>
      </c>
      <c r="L74" s="302">
        <f>VLOOKUP($F74,'[3]5.급수원단위'!$B$31:$G$35,2,FALSE)</f>
        <v>365</v>
      </c>
      <c r="M74" s="302">
        <f>VLOOKUP($F74,'[3]5.급수원단위'!$B$31:$G$35,3,FALSE)</f>
        <v>390</v>
      </c>
      <c r="N74" s="302">
        <f>VLOOKUP($F74,'[3]5.급수원단위'!$B$31:$G$35,4,FALSE)</f>
        <v>417</v>
      </c>
      <c r="O74" s="302">
        <f>VLOOKUP($F74,'[3]5.급수원단위'!$B$31:$G$35,5,FALSE)</f>
        <v>439</v>
      </c>
      <c r="P74" s="302">
        <f>VLOOKUP($F74,'[3]5.급수원단위'!$B$31:$G$35,6,FALSE)</f>
        <v>454</v>
      </c>
      <c r="Q74" s="302">
        <f>ROUND(IF(G74=0,0,VLOOKUP(C74,'2013실사용량 정리'!$D$6:$F$381,3,FALSE)),0)</f>
        <v>0</v>
      </c>
      <c r="R74" s="302">
        <f t="shared" si="9"/>
        <v>0</v>
      </c>
      <c r="S74" s="302">
        <f t="shared" si="9"/>
        <v>0</v>
      </c>
      <c r="T74" s="302">
        <f t="shared" si="9"/>
        <v>0</v>
      </c>
      <c r="U74" s="302">
        <f t="shared" si="9"/>
        <v>0</v>
      </c>
      <c r="V74" s="327"/>
      <c r="W74" s="343" t="str">
        <f t="shared" si="8"/>
        <v/>
      </c>
      <c r="X74" s="327"/>
      <c r="Y74" s="327"/>
      <c r="Z74" s="327"/>
      <c r="AA74" s="327"/>
      <c r="AB74" s="327"/>
      <c r="AC74" s="327"/>
      <c r="AD74" s="327"/>
    </row>
    <row r="75" spans="1:30" ht="20.100000000000001" customHeight="1">
      <c r="A75" s="340"/>
      <c r="B75" s="340"/>
      <c r="C75" s="406" t="s">
        <v>1360</v>
      </c>
      <c r="D75" s="330" t="s">
        <v>1299</v>
      </c>
      <c r="E75" s="527">
        <v>0</v>
      </c>
      <c r="F75" s="527" t="s">
        <v>1331</v>
      </c>
      <c r="G75" s="302">
        <f>IF($D75="A",ROUND(VLOOKUP($C75,'[2]2.행정구역별 급수인구'!$C$7:$AD$997,17,FALSE)*$E75,0),IF($D75="B",(ROUND(VLOOKUP($C75,'[2]2.행정구역별 급수인구'!$C$7:$AD$997,17,FALSE)-VLOOKUP($C75,'[2]2.행정구역별 급수인구'!$C$7:$AD$997,17,FALSE)*(1-$E75),0)),VLOOKUP($C75,'[2]2.행정구역별 급수인구'!$C$7:$AD$997,17,FALSE)))</f>
        <v>0</v>
      </c>
      <c r="H75" s="302">
        <f>IF($D75="A",ROUND(VLOOKUP($C75,'[2]2.행정구역별 급수인구'!$C$7:$AD$997,25,FALSE)*$E75,0),IF($D75="B",(ROUND(VLOOKUP($C75,'[2]2.행정구역별 급수인구'!$C$7:$AD$997,25,FALSE)-VLOOKUP($C75,'[2]2.행정구역별 급수인구'!$C$7:$AD$997,25,FALSE)*(1-$E75),0)),VLOOKUP($C75,'[2]2.행정구역별 급수인구'!$C$7:$AD$997,25,FALSE)))</f>
        <v>0</v>
      </c>
      <c r="I75" s="302">
        <f>IF($D75="A",ROUND(VLOOKUP($C75,'[2]2.행정구역별 급수인구'!$C$7:$AD$997,26,FALSE)*$E75,0),IF($D75="B",(ROUND(VLOOKUP($C75,'[2]2.행정구역별 급수인구'!$C$7:$AD$997,26,FALSE)-VLOOKUP($C75,'[2]2.행정구역별 급수인구'!$C$7:$AD$997,26,FALSE)*(1-$E75),0)),VLOOKUP($C75,'[2]2.행정구역별 급수인구'!$C$7:$AD$997,26,FALSE)))</f>
        <v>0</v>
      </c>
      <c r="J75" s="302">
        <f>IF($D75="A",ROUND(VLOOKUP($C75,'[2]2.행정구역별 급수인구'!$C$7:$AD$997,27,FALSE)*$E75,0),IF($D75="B",(ROUND(VLOOKUP($C75,'[2]2.행정구역별 급수인구'!$C$7:$AD$997,27,FALSE)-VLOOKUP($C75,'[2]2.행정구역별 급수인구'!$C$7:$AD$997,27,FALSE)*(1-$E75),0)),VLOOKUP($C75,'[2]2.행정구역별 급수인구'!$C$7:$AD$997,27,FALSE)))</f>
        <v>0</v>
      </c>
      <c r="K75" s="302">
        <f>IF($D75="A",ROUND(VLOOKUP($C75,'[2]2.행정구역별 급수인구'!$C$7:$AD$997,28,FALSE)*$E75,0),IF($D75="B",(ROUND(VLOOKUP($C75,'[2]2.행정구역별 급수인구'!$C$7:$AD$997,28,FALSE)-VLOOKUP($C75,'[2]2.행정구역별 급수인구'!$C$7:$AD$997,28,FALSE)*(1-$E75),0)),VLOOKUP($C75,'[2]2.행정구역별 급수인구'!$C$7:$AD$997,28,FALSE)))</f>
        <v>0</v>
      </c>
      <c r="L75" s="302">
        <f>VLOOKUP($F75,'[3]5.급수원단위'!$B$31:$G$35,2,FALSE)</f>
        <v>365</v>
      </c>
      <c r="M75" s="302">
        <f>VLOOKUP($F75,'[3]5.급수원단위'!$B$31:$G$35,3,FALSE)</f>
        <v>390</v>
      </c>
      <c r="N75" s="302">
        <f>VLOOKUP($F75,'[3]5.급수원단위'!$B$31:$G$35,4,FALSE)</f>
        <v>417</v>
      </c>
      <c r="O75" s="302">
        <f>VLOOKUP($F75,'[3]5.급수원단위'!$B$31:$G$35,5,FALSE)</f>
        <v>439</v>
      </c>
      <c r="P75" s="302">
        <f>VLOOKUP($F75,'[3]5.급수원단위'!$B$31:$G$35,6,FALSE)</f>
        <v>454</v>
      </c>
      <c r="Q75" s="302">
        <f>ROUND(IF(G75=0,0,VLOOKUP(C75,'2013실사용량 정리'!$D$6:$F$381,3,FALSE)),0)</f>
        <v>0</v>
      </c>
      <c r="R75" s="302">
        <f t="shared" si="9"/>
        <v>0</v>
      </c>
      <c r="S75" s="302">
        <f t="shared" si="9"/>
        <v>0</v>
      </c>
      <c r="T75" s="302">
        <f t="shared" si="9"/>
        <v>0</v>
      </c>
      <c r="U75" s="302">
        <f t="shared" si="9"/>
        <v>0</v>
      </c>
      <c r="V75" s="327"/>
      <c r="W75" s="343" t="str">
        <f t="shared" si="8"/>
        <v/>
      </c>
      <c r="X75" s="327"/>
      <c r="Y75" s="327"/>
      <c r="Z75" s="327"/>
      <c r="AA75" s="327"/>
      <c r="AB75" s="327"/>
      <c r="AC75" s="327"/>
      <c r="AD75" s="327"/>
    </row>
    <row r="76" spans="1:30" ht="20.100000000000001" customHeight="1">
      <c r="A76" s="340"/>
      <c r="B76" s="340"/>
      <c r="C76" s="406" t="s">
        <v>1361</v>
      </c>
      <c r="D76" s="330" t="s">
        <v>1299</v>
      </c>
      <c r="E76" s="527">
        <v>0</v>
      </c>
      <c r="F76" s="527" t="s">
        <v>1331</v>
      </c>
      <c r="G76" s="302">
        <f>IF($D76="A",ROUND(VLOOKUP($C76,'[2]2.행정구역별 급수인구'!$C$7:$AD$997,17,FALSE)*$E76,0),IF($D76="B",(ROUND(VLOOKUP($C76,'[2]2.행정구역별 급수인구'!$C$7:$AD$997,17,FALSE)-VLOOKUP($C76,'[2]2.행정구역별 급수인구'!$C$7:$AD$997,17,FALSE)*(1-$E76),0)),VLOOKUP($C76,'[2]2.행정구역별 급수인구'!$C$7:$AD$997,17,FALSE)))</f>
        <v>0</v>
      </c>
      <c r="H76" s="302">
        <f>IF($D76="A",ROUND(VLOOKUP($C76,'[2]2.행정구역별 급수인구'!$C$7:$AD$997,25,FALSE)*$E76,0),IF($D76="B",(ROUND(VLOOKUP($C76,'[2]2.행정구역별 급수인구'!$C$7:$AD$997,25,FALSE)-VLOOKUP($C76,'[2]2.행정구역별 급수인구'!$C$7:$AD$997,25,FALSE)*(1-$E76),0)),VLOOKUP($C76,'[2]2.행정구역별 급수인구'!$C$7:$AD$997,25,FALSE)))</f>
        <v>0</v>
      </c>
      <c r="I76" s="302">
        <f>IF($D76="A",ROUND(VLOOKUP($C76,'[2]2.행정구역별 급수인구'!$C$7:$AD$997,26,FALSE)*$E76,0),IF($D76="B",(ROUND(VLOOKUP($C76,'[2]2.행정구역별 급수인구'!$C$7:$AD$997,26,FALSE)-VLOOKUP($C76,'[2]2.행정구역별 급수인구'!$C$7:$AD$997,26,FALSE)*(1-$E76),0)),VLOOKUP($C76,'[2]2.행정구역별 급수인구'!$C$7:$AD$997,26,FALSE)))</f>
        <v>0</v>
      </c>
      <c r="J76" s="302">
        <f>IF($D76="A",ROUND(VLOOKUP($C76,'[2]2.행정구역별 급수인구'!$C$7:$AD$997,27,FALSE)*$E76,0),IF($D76="B",(ROUND(VLOOKUP($C76,'[2]2.행정구역별 급수인구'!$C$7:$AD$997,27,FALSE)-VLOOKUP($C76,'[2]2.행정구역별 급수인구'!$C$7:$AD$997,27,FALSE)*(1-$E76),0)),VLOOKUP($C76,'[2]2.행정구역별 급수인구'!$C$7:$AD$997,27,FALSE)))</f>
        <v>0</v>
      </c>
      <c r="K76" s="302">
        <f>IF($D76="A",ROUND(VLOOKUP($C76,'[2]2.행정구역별 급수인구'!$C$7:$AD$997,28,FALSE)*$E76,0),IF($D76="B",(ROUND(VLOOKUP($C76,'[2]2.행정구역별 급수인구'!$C$7:$AD$997,28,FALSE)-VLOOKUP($C76,'[2]2.행정구역별 급수인구'!$C$7:$AD$997,28,FALSE)*(1-$E76),0)),VLOOKUP($C76,'[2]2.행정구역별 급수인구'!$C$7:$AD$997,28,FALSE)))</f>
        <v>0</v>
      </c>
      <c r="L76" s="302">
        <f>VLOOKUP($F76,'[3]5.급수원단위'!$B$31:$G$35,2,FALSE)</f>
        <v>365</v>
      </c>
      <c r="M76" s="302">
        <f>VLOOKUP($F76,'[3]5.급수원단위'!$B$31:$G$35,3,FALSE)</f>
        <v>390</v>
      </c>
      <c r="N76" s="302">
        <f>VLOOKUP($F76,'[3]5.급수원단위'!$B$31:$G$35,4,FALSE)</f>
        <v>417</v>
      </c>
      <c r="O76" s="302">
        <f>VLOOKUP($F76,'[3]5.급수원단위'!$B$31:$G$35,5,FALSE)</f>
        <v>439</v>
      </c>
      <c r="P76" s="302">
        <f>VLOOKUP($F76,'[3]5.급수원단위'!$B$31:$G$35,6,FALSE)</f>
        <v>454</v>
      </c>
      <c r="Q76" s="302">
        <f>ROUND(IF(G76=0,0,VLOOKUP(C76,'2013실사용량 정리'!$D$6:$F$381,3,FALSE)),0)</f>
        <v>0</v>
      </c>
      <c r="R76" s="302">
        <f t="shared" si="9"/>
        <v>0</v>
      </c>
      <c r="S76" s="302">
        <f t="shared" si="9"/>
        <v>0</v>
      </c>
      <c r="T76" s="302">
        <f t="shared" si="9"/>
        <v>0</v>
      </c>
      <c r="U76" s="302">
        <f t="shared" si="9"/>
        <v>0</v>
      </c>
      <c r="V76" s="327"/>
      <c r="W76" s="343" t="str">
        <f t="shared" si="8"/>
        <v/>
      </c>
      <c r="X76" s="327"/>
      <c r="Y76" s="327"/>
      <c r="Z76" s="327"/>
      <c r="AA76" s="327"/>
      <c r="AB76" s="327"/>
      <c r="AC76" s="327"/>
      <c r="AD76" s="327"/>
    </row>
    <row r="77" spans="1:30" ht="20.100000000000001" customHeight="1">
      <c r="A77" s="340"/>
      <c r="B77" s="340"/>
      <c r="C77" s="406" t="s">
        <v>1362</v>
      </c>
      <c r="D77" s="330" t="s">
        <v>1299</v>
      </c>
      <c r="E77" s="527">
        <v>0</v>
      </c>
      <c r="F77" s="527" t="s">
        <v>1331</v>
      </c>
      <c r="G77" s="302">
        <f>IF($D77="A",ROUND(VLOOKUP($C77,'[2]2.행정구역별 급수인구'!$C$7:$AD$997,17,FALSE)*$E77,0),IF($D77="B",(ROUND(VLOOKUP($C77,'[2]2.행정구역별 급수인구'!$C$7:$AD$997,17,FALSE)-VLOOKUP($C77,'[2]2.행정구역별 급수인구'!$C$7:$AD$997,17,FALSE)*(1-$E77),0)),VLOOKUP($C77,'[2]2.행정구역별 급수인구'!$C$7:$AD$997,17,FALSE)))</f>
        <v>0</v>
      </c>
      <c r="H77" s="302">
        <f>IF($D77="A",ROUND(VLOOKUP($C77,'[2]2.행정구역별 급수인구'!$C$7:$AD$997,25,FALSE)*$E77,0),IF($D77="B",(ROUND(VLOOKUP($C77,'[2]2.행정구역별 급수인구'!$C$7:$AD$997,25,FALSE)-VLOOKUP($C77,'[2]2.행정구역별 급수인구'!$C$7:$AD$997,25,FALSE)*(1-$E77),0)),VLOOKUP($C77,'[2]2.행정구역별 급수인구'!$C$7:$AD$997,25,FALSE)))</f>
        <v>0</v>
      </c>
      <c r="I77" s="302">
        <f>IF($D77="A",ROUND(VLOOKUP($C77,'[2]2.행정구역별 급수인구'!$C$7:$AD$997,26,FALSE)*$E77,0),IF($D77="B",(ROUND(VLOOKUP($C77,'[2]2.행정구역별 급수인구'!$C$7:$AD$997,26,FALSE)-VLOOKUP($C77,'[2]2.행정구역별 급수인구'!$C$7:$AD$997,26,FALSE)*(1-$E77),0)),VLOOKUP($C77,'[2]2.행정구역별 급수인구'!$C$7:$AD$997,26,FALSE)))</f>
        <v>0</v>
      </c>
      <c r="J77" s="302">
        <f>IF($D77="A",ROUND(VLOOKUP($C77,'[2]2.행정구역별 급수인구'!$C$7:$AD$997,27,FALSE)*$E77,0),IF($D77="B",(ROUND(VLOOKUP($C77,'[2]2.행정구역별 급수인구'!$C$7:$AD$997,27,FALSE)-VLOOKUP($C77,'[2]2.행정구역별 급수인구'!$C$7:$AD$997,27,FALSE)*(1-$E77),0)),VLOOKUP($C77,'[2]2.행정구역별 급수인구'!$C$7:$AD$997,27,FALSE)))</f>
        <v>0</v>
      </c>
      <c r="K77" s="302">
        <f>IF($D77="A",ROUND(VLOOKUP($C77,'[2]2.행정구역별 급수인구'!$C$7:$AD$997,28,FALSE)*$E77,0),IF($D77="B",(ROUND(VLOOKUP($C77,'[2]2.행정구역별 급수인구'!$C$7:$AD$997,28,FALSE)-VLOOKUP($C77,'[2]2.행정구역별 급수인구'!$C$7:$AD$997,28,FALSE)*(1-$E77),0)),VLOOKUP($C77,'[2]2.행정구역별 급수인구'!$C$7:$AD$997,28,FALSE)))</f>
        <v>0</v>
      </c>
      <c r="L77" s="302">
        <f>VLOOKUP($F77,'[3]5.급수원단위'!$B$31:$G$35,2,FALSE)</f>
        <v>365</v>
      </c>
      <c r="M77" s="302">
        <f>VLOOKUP($F77,'[3]5.급수원단위'!$B$31:$G$35,3,FALSE)</f>
        <v>390</v>
      </c>
      <c r="N77" s="302">
        <f>VLOOKUP($F77,'[3]5.급수원단위'!$B$31:$G$35,4,FALSE)</f>
        <v>417</v>
      </c>
      <c r="O77" s="302">
        <f>VLOOKUP($F77,'[3]5.급수원단위'!$B$31:$G$35,5,FALSE)</f>
        <v>439</v>
      </c>
      <c r="P77" s="302">
        <f>VLOOKUP($F77,'[3]5.급수원단위'!$B$31:$G$35,6,FALSE)</f>
        <v>454</v>
      </c>
      <c r="Q77" s="302">
        <f>ROUND(IF(G77=0,0,VLOOKUP(C77,'2013실사용량 정리'!$D$6:$F$381,3,FALSE)),0)</f>
        <v>0</v>
      </c>
      <c r="R77" s="302">
        <f t="shared" si="9"/>
        <v>0</v>
      </c>
      <c r="S77" s="302">
        <f t="shared" si="9"/>
        <v>0</v>
      </c>
      <c r="T77" s="302">
        <f t="shared" si="9"/>
        <v>0</v>
      </c>
      <c r="U77" s="302">
        <f t="shared" si="9"/>
        <v>0</v>
      </c>
      <c r="V77" s="327"/>
      <c r="W77" s="343" t="str">
        <f t="shared" si="8"/>
        <v/>
      </c>
      <c r="X77" s="327"/>
      <c r="Y77" s="327"/>
      <c r="Z77" s="327"/>
      <c r="AA77" s="327"/>
      <c r="AB77" s="327"/>
      <c r="AC77" s="327"/>
      <c r="AD77" s="327"/>
    </row>
    <row r="78" spans="1:30" ht="20.100000000000001" customHeight="1">
      <c r="A78" s="340"/>
      <c r="B78" s="340"/>
      <c r="C78" s="406" t="s">
        <v>1363</v>
      </c>
      <c r="D78" s="330" t="s">
        <v>1299</v>
      </c>
      <c r="E78" s="527">
        <v>0</v>
      </c>
      <c r="F78" s="527" t="s">
        <v>1331</v>
      </c>
      <c r="G78" s="302">
        <f>IF($D78="A",ROUND(VLOOKUP($C78,'[2]2.행정구역별 급수인구'!$C$7:$AD$997,17,FALSE)*$E78,0),IF($D78="B",(ROUND(VLOOKUP($C78,'[2]2.행정구역별 급수인구'!$C$7:$AD$997,17,FALSE)-VLOOKUP($C78,'[2]2.행정구역별 급수인구'!$C$7:$AD$997,17,FALSE)*(1-$E78),0)),VLOOKUP($C78,'[2]2.행정구역별 급수인구'!$C$7:$AD$997,17,FALSE)))</f>
        <v>0</v>
      </c>
      <c r="H78" s="302">
        <f>IF($D78="A",ROUND(VLOOKUP($C78,'[2]2.행정구역별 급수인구'!$C$7:$AD$997,25,FALSE)*$E78,0),IF($D78="B",(ROUND(VLOOKUP($C78,'[2]2.행정구역별 급수인구'!$C$7:$AD$997,25,FALSE)-VLOOKUP($C78,'[2]2.행정구역별 급수인구'!$C$7:$AD$997,25,FALSE)*(1-$E78),0)),VLOOKUP($C78,'[2]2.행정구역별 급수인구'!$C$7:$AD$997,25,FALSE)))</f>
        <v>0</v>
      </c>
      <c r="I78" s="302">
        <f>IF($D78="A",ROUND(VLOOKUP($C78,'[2]2.행정구역별 급수인구'!$C$7:$AD$997,26,FALSE)*$E78,0),IF($D78="B",(ROUND(VLOOKUP($C78,'[2]2.행정구역별 급수인구'!$C$7:$AD$997,26,FALSE)-VLOOKUP($C78,'[2]2.행정구역별 급수인구'!$C$7:$AD$997,26,FALSE)*(1-$E78),0)),VLOOKUP($C78,'[2]2.행정구역별 급수인구'!$C$7:$AD$997,26,FALSE)))</f>
        <v>0</v>
      </c>
      <c r="J78" s="302">
        <f>IF($D78="A",ROUND(VLOOKUP($C78,'[2]2.행정구역별 급수인구'!$C$7:$AD$997,27,FALSE)*$E78,0),IF($D78="B",(ROUND(VLOOKUP($C78,'[2]2.행정구역별 급수인구'!$C$7:$AD$997,27,FALSE)-VLOOKUP($C78,'[2]2.행정구역별 급수인구'!$C$7:$AD$997,27,FALSE)*(1-$E78),0)),VLOOKUP($C78,'[2]2.행정구역별 급수인구'!$C$7:$AD$997,27,FALSE)))</f>
        <v>0</v>
      </c>
      <c r="K78" s="302">
        <f>IF($D78="A",ROUND(VLOOKUP($C78,'[2]2.행정구역별 급수인구'!$C$7:$AD$997,28,FALSE)*$E78,0),IF($D78="B",(ROUND(VLOOKUP($C78,'[2]2.행정구역별 급수인구'!$C$7:$AD$997,28,FALSE)-VLOOKUP($C78,'[2]2.행정구역별 급수인구'!$C$7:$AD$997,28,FALSE)*(1-$E78),0)),VLOOKUP($C78,'[2]2.행정구역별 급수인구'!$C$7:$AD$997,28,FALSE)))</f>
        <v>0</v>
      </c>
      <c r="L78" s="302">
        <f>VLOOKUP($F78,'[3]5.급수원단위'!$B$31:$G$35,2,FALSE)</f>
        <v>365</v>
      </c>
      <c r="M78" s="302">
        <f>VLOOKUP($F78,'[3]5.급수원단위'!$B$31:$G$35,3,FALSE)</f>
        <v>390</v>
      </c>
      <c r="N78" s="302">
        <f>VLOOKUP($F78,'[3]5.급수원단위'!$B$31:$G$35,4,FALSE)</f>
        <v>417</v>
      </c>
      <c r="O78" s="302">
        <f>VLOOKUP($F78,'[3]5.급수원단위'!$B$31:$G$35,5,FALSE)</f>
        <v>439</v>
      </c>
      <c r="P78" s="302">
        <f>VLOOKUP($F78,'[3]5.급수원단위'!$B$31:$G$35,6,FALSE)</f>
        <v>454</v>
      </c>
      <c r="Q78" s="302">
        <f>ROUND(IF(G78=0,0,VLOOKUP(C78,'2013실사용량 정리'!$D$6:$F$381,3,FALSE)),0)</f>
        <v>0</v>
      </c>
      <c r="R78" s="302">
        <f t="shared" si="9"/>
        <v>0</v>
      </c>
      <c r="S78" s="302">
        <f t="shared" si="9"/>
        <v>0</v>
      </c>
      <c r="T78" s="302">
        <f t="shared" si="9"/>
        <v>0</v>
      </c>
      <c r="U78" s="302">
        <f t="shared" si="9"/>
        <v>0</v>
      </c>
      <c r="V78" s="327"/>
      <c r="W78" s="343" t="str">
        <f t="shared" si="8"/>
        <v/>
      </c>
      <c r="X78" s="327"/>
      <c r="Y78" s="327"/>
      <c r="Z78" s="327"/>
      <c r="AA78" s="327"/>
      <c r="AB78" s="327"/>
      <c r="AC78" s="327"/>
      <c r="AD78" s="327"/>
    </row>
    <row r="79" spans="1:30" ht="20.100000000000001" customHeight="1">
      <c r="A79" s="340"/>
      <c r="B79" s="340"/>
      <c r="C79" s="406" t="s">
        <v>1364</v>
      </c>
      <c r="D79" s="330" t="s">
        <v>1299</v>
      </c>
      <c r="E79" s="527">
        <v>0</v>
      </c>
      <c r="F79" s="527" t="s">
        <v>1331</v>
      </c>
      <c r="G79" s="302">
        <f>IF($D79="A",ROUND(VLOOKUP($C79,'[2]2.행정구역별 급수인구'!$C$7:$AD$997,17,FALSE)*$E79,0),IF($D79="B",(ROUND(VLOOKUP($C79,'[2]2.행정구역별 급수인구'!$C$7:$AD$997,17,FALSE)-VLOOKUP($C79,'[2]2.행정구역별 급수인구'!$C$7:$AD$997,17,FALSE)*(1-$E79),0)),VLOOKUP($C79,'[2]2.행정구역별 급수인구'!$C$7:$AD$997,17,FALSE)))</f>
        <v>0</v>
      </c>
      <c r="H79" s="302">
        <f>IF($D79="A",ROUND(VLOOKUP($C79,'[2]2.행정구역별 급수인구'!$C$7:$AD$997,25,FALSE)*$E79,0),IF($D79="B",(ROUND(VLOOKUP($C79,'[2]2.행정구역별 급수인구'!$C$7:$AD$997,25,FALSE)-VLOOKUP($C79,'[2]2.행정구역별 급수인구'!$C$7:$AD$997,25,FALSE)*(1-$E79),0)),VLOOKUP($C79,'[2]2.행정구역별 급수인구'!$C$7:$AD$997,25,FALSE)))</f>
        <v>0</v>
      </c>
      <c r="I79" s="302">
        <f>IF($D79="A",ROUND(VLOOKUP($C79,'[2]2.행정구역별 급수인구'!$C$7:$AD$997,26,FALSE)*$E79,0),IF($D79="B",(ROUND(VLOOKUP($C79,'[2]2.행정구역별 급수인구'!$C$7:$AD$997,26,FALSE)-VLOOKUP($C79,'[2]2.행정구역별 급수인구'!$C$7:$AD$997,26,FALSE)*(1-$E79),0)),VLOOKUP($C79,'[2]2.행정구역별 급수인구'!$C$7:$AD$997,26,FALSE)))</f>
        <v>0</v>
      </c>
      <c r="J79" s="302">
        <f>IF($D79="A",ROUND(VLOOKUP($C79,'[2]2.행정구역별 급수인구'!$C$7:$AD$997,27,FALSE)*$E79,0),IF($D79="B",(ROUND(VLOOKUP($C79,'[2]2.행정구역별 급수인구'!$C$7:$AD$997,27,FALSE)-VLOOKUP($C79,'[2]2.행정구역별 급수인구'!$C$7:$AD$997,27,FALSE)*(1-$E79),0)),VLOOKUP($C79,'[2]2.행정구역별 급수인구'!$C$7:$AD$997,27,FALSE)))</f>
        <v>0</v>
      </c>
      <c r="K79" s="302">
        <f>IF($D79="A",ROUND(VLOOKUP($C79,'[2]2.행정구역별 급수인구'!$C$7:$AD$997,28,FALSE)*$E79,0),IF($D79="B",(ROUND(VLOOKUP($C79,'[2]2.행정구역별 급수인구'!$C$7:$AD$997,28,FALSE)-VLOOKUP($C79,'[2]2.행정구역별 급수인구'!$C$7:$AD$997,28,FALSE)*(1-$E79),0)),VLOOKUP($C79,'[2]2.행정구역별 급수인구'!$C$7:$AD$997,28,FALSE)))</f>
        <v>0</v>
      </c>
      <c r="L79" s="302">
        <f>VLOOKUP($F79,'[3]5.급수원단위'!$B$31:$G$35,2,FALSE)</f>
        <v>365</v>
      </c>
      <c r="M79" s="302">
        <f>VLOOKUP($F79,'[3]5.급수원단위'!$B$31:$G$35,3,FALSE)</f>
        <v>390</v>
      </c>
      <c r="N79" s="302">
        <f>VLOOKUP($F79,'[3]5.급수원단위'!$B$31:$G$35,4,FALSE)</f>
        <v>417</v>
      </c>
      <c r="O79" s="302">
        <f>VLOOKUP($F79,'[3]5.급수원단위'!$B$31:$G$35,5,FALSE)</f>
        <v>439</v>
      </c>
      <c r="P79" s="302">
        <f>VLOOKUP($F79,'[3]5.급수원단위'!$B$31:$G$35,6,FALSE)</f>
        <v>454</v>
      </c>
      <c r="Q79" s="302">
        <f>ROUND(IF(G79=0,0,VLOOKUP(C79,'2013실사용량 정리'!$D$6:$F$381,3,FALSE)),0)</f>
        <v>0</v>
      </c>
      <c r="R79" s="302">
        <f t="shared" si="9"/>
        <v>0</v>
      </c>
      <c r="S79" s="302">
        <f t="shared" si="9"/>
        <v>0</v>
      </c>
      <c r="T79" s="302">
        <f t="shared" si="9"/>
        <v>0</v>
      </c>
      <c r="U79" s="302">
        <f t="shared" si="9"/>
        <v>0</v>
      </c>
      <c r="V79" s="327"/>
      <c r="W79" s="343" t="str">
        <f t="shared" si="8"/>
        <v/>
      </c>
      <c r="X79" s="327"/>
      <c r="Y79" s="327"/>
      <c r="Z79" s="327"/>
      <c r="AA79" s="327"/>
      <c r="AB79" s="327"/>
      <c r="AC79" s="327"/>
      <c r="AD79" s="327"/>
    </row>
    <row r="80" spans="1:30" ht="20.100000000000001" customHeight="1">
      <c r="A80" s="340"/>
      <c r="B80" s="340"/>
      <c r="C80" s="406" t="s">
        <v>1365</v>
      </c>
      <c r="D80" s="330" t="s">
        <v>1299</v>
      </c>
      <c r="E80" s="527">
        <v>0</v>
      </c>
      <c r="F80" s="527" t="s">
        <v>1331</v>
      </c>
      <c r="G80" s="302">
        <f>IF($D80="A",ROUND(VLOOKUP($C80,'[2]2.행정구역별 급수인구'!$C$7:$AD$997,17,FALSE)*$E80,0),IF($D80="B",(ROUND(VLOOKUP($C80,'[2]2.행정구역별 급수인구'!$C$7:$AD$997,17,FALSE)-VLOOKUP($C80,'[2]2.행정구역별 급수인구'!$C$7:$AD$997,17,FALSE)*(1-$E80),0)),VLOOKUP($C80,'[2]2.행정구역별 급수인구'!$C$7:$AD$997,17,FALSE)))</f>
        <v>0</v>
      </c>
      <c r="H80" s="302">
        <f>IF($D80="A",ROUND(VLOOKUP($C80,'[2]2.행정구역별 급수인구'!$C$7:$AD$997,25,FALSE)*$E80,0),IF($D80="B",(ROUND(VLOOKUP($C80,'[2]2.행정구역별 급수인구'!$C$7:$AD$997,25,FALSE)-VLOOKUP($C80,'[2]2.행정구역별 급수인구'!$C$7:$AD$997,25,FALSE)*(1-$E80),0)),VLOOKUP($C80,'[2]2.행정구역별 급수인구'!$C$7:$AD$997,25,FALSE)))</f>
        <v>0</v>
      </c>
      <c r="I80" s="302">
        <f>IF($D80="A",ROUND(VLOOKUP($C80,'[2]2.행정구역별 급수인구'!$C$7:$AD$997,26,FALSE)*$E80,0),IF($D80="B",(ROUND(VLOOKUP($C80,'[2]2.행정구역별 급수인구'!$C$7:$AD$997,26,FALSE)-VLOOKUP($C80,'[2]2.행정구역별 급수인구'!$C$7:$AD$997,26,FALSE)*(1-$E80),0)),VLOOKUP($C80,'[2]2.행정구역별 급수인구'!$C$7:$AD$997,26,FALSE)))</f>
        <v>0</v>
      </c>
      <c r="J80" s="302">
        <f>IF($D80="A",ROUND(VLOOKUP($C80,'[2]2.행정구역별 급수인구'!$C$7:$AD$997,27,FALSE)*$E80,0),IF($D80="B",(ROUND(VLOOKUP($C80,'[2]2.행정구역별 급수인구'!$C$7:$AD$997,27,FALSE)-VLOOKUP($C80,'[2]2.행정구역별 급수인구'!$C$7:$AD$997,27,FALSE)*(1-$E80),0)),VLOOKUP($C80,'[2]2.행정구역별 급수인구'!$C$7:$AD$997,27,FALSE)))</f>
        <v>0</v>
      </c>
      <c r="K80" s="302">
        <f>IF($D80="A",ROUND(VLOOKUP($C80,'[2]2.행정구역별 급수인구'!$C$7:$AD$997,28,FALSE)*$E80,0),IF($D80="B",(ROUND(VLOOKUP($C80,'[2]2.행정구역별 급수인구'!$C$7:$AD$997,28,FALSE)-VLOOKUP($C80,'[2]2.행정구역별 급수인구'!$C$7:$AD$997,28,FALSE)*(1-$E80),0)),VLOOKUP($C80,'[2]2.행정구역별 급수인구'!$C$7:$AD$997,28,FALSE)))</f>
        <v>0</v>
      </c>
      <c r="L80" s="302">
        <f>VLOOKUP($F80,'[3]5.급수원단위'!$B$31:$G$35,2,FALSE)</f>
        <v>365</v>
      </c>
      <c r="M80" s="302">
        <f>VLOOKUP($F80,'[3]5.급수원단위'!$B$31:$G$35,3,FALSE)</f>
        <v>390</v>
      </c>
      <c r="N80" s="302">
        <f>VLOOKUP($F80,'[3]5.급수원단위'!$B$31:$G$35,4,FALSE)</f>
        <v>417</v>
      </c>
      <c r="O80" s="302">
        <f>VLOOKUP($F80,'[3]5.급수원단위'!$B$31:$G$35,5,FALSE)</f>
        <v>439</v>
      </c>
      <c r="P80" s="302">
        <f>VLOOKUP($F80,'[3]5.급수원단위'!$B$31:$G$35,6,FALSE)</f>
        <v>454</v>
      </c>
      <c r="Q80" s="302">
        <f>ROUND(IF(G80=0,0,VLOOKUP(C80,'2013실사용량 정리'!$D$6:$F$381,3,FALSE)),0)</f>
        <v>0</v>
      </c>
      <c r="R80" s="302">
        <f t="shared" si="9"/>
        <v>0</v>
      </c>
      <c r="S80" s="302">
        <f t="shared" si="9"/>
        <v>0</v>
      </c>
      <c r="T80" s="302">
        <f t="shared" si="9"/>
        <v>0</v>
      </c>
      <c r="U80" s="302">
        <f t="shared" si="9"/>
        <v>0</v>
      </c>
      <c r="V80" s="327"/>
      <c r="W80" s="343" t="str">
        <f t="shared" si="8"/>
        <v/>
      </c>
      <c r="X80" s="327"/>
      <c r="Y80" s="327"/>
      <c r="Z80" s="327"/>
      <c r="AA80" s="327"/>
      <c r="AB80" s="327"/>
      <c r="AC80" s="327"/>
      <c r="AD80" s="327"/>
    </row>
    <row r="81" spans="1:45" ht="20.100000000000001" customHeight="1">
      <c r="A81" s="340"/>
      <c r="B81" s="340"/>
      <c r="C81" s="406" t="s">
        <v>1366</v>
      </c>
      <c r="D81" s="330" t="s">
        <v>1299</v>
      </c>
      <c r="E81" s="527">
        <v>0</v>
      </c>
      <c r="F81" s="527" t="s">
        <v>1331</v>
      </c>
      <c r="G81" s="302">
        <f>IF($D81="A",ROUND(VLOOKUP($C81,'[2]2.행정구역별 급수인구'!$C$7:$AD$997,17,FALSE)*$E81,0),IF($D81="B",(ROUND(VLOOKUP($C81,'[2]2.행정구역별 급수인구'!$C$7:$AD$997,17,FALSE)-VLOOKUP($C81,'[2]2.행정구역별 급수인구'!$C$7:$AD$997,17,FALSE)*(1-$E81),0)),VLOOKUP($C81,'[2]2.행정구역별 급수인구'!$C$7:$AD$997,17,FALSE)))</f>
        <v>0</v>
      </c>
      <c r="H81" s="302">
        <f>IF($D81="A",ROUND(VLOOKUP($C81,'[2]2.행정구역별 급수인구'!$C$7:$AD$997,25,FALSE)*$E81,0),IF($D81="B",(ROUND(VLOOKUP($C81,'[2]2.행정구역별 급수인구'!$C$7:$AD$997,25,FALSE)-VLOOKUP($C81,'[2]2.행정구역별 급수인구'!$C$7:$AD$997,25,FALSE)*(1-$E81),0)),VLOOKUP($C81,'[2]2.행정구역별 급수인구'!$C$7:$AD$997,25,FALSE)))</f>
        <v>0</v>
      </c>
      <c r="I81" s="302">
        <f>IF($D81="A",ROUND(VLOOKUP($C81,'[2]2.행정구역별 급수인구'!$C$7:$AD$997,26,FALSE)*$E81,0),IF($D81="B",(ROUND(VLOOKUP($C81,'[2]2.행정구역별 급수인구'!$C$7:$AD$997,26,FALSE)-VLOOKUP($C81,'[2]2.행정구역별 급수인구'!$C$7:$AD$997,26,FALSE)*(1-$E81),0)),VLOOKUP($C81,'[2]2.행정구역별 급수인구'!$C$7:$AD$997,26,FALSE)))</f>
        <v>0</v>
      </c>
      <c r="J81" s="302">
        <f>IF($D81="A",ROUND(VLOOKUP($C81,'[2]2.행정구역별 급수인구'!$C$7:$AD$997,27,FALSE)*$E81,0),IF($D81="B",(ROUND(VLOOKUP($C81,'[2]2.행정구역별 급수인구'!$C$7:$AD$997,27,FALSE)-VLOOKUP($C81,'[2]2.행정구역별 급수인구'!$C$7:$AD$997,27,FALSE)*(1-$E81),0)),VLOOKUP($C81,'[2]2.행정구역별 급수인구'!$C$7:$AD$997,27,FALSE)))</f>
        <v>0</v>
      </c>
      <c r="K81" s="302">
        <f>IF($D81="A",ROUND(VLOOKUP($C81,'[2]2.행정구역별 급수인구'!$C$7:$AD$997,28,FALSE)*$E81,0),IF($D81="B",(ROUND(VLOOKUP($C81,'[2]2.행정구역별 급수인구'!$C$7:$AD$997,28,FALSE)-VLOOKUP($C81,'[2]2.행정구역별 급수인구'!$C$7:$AD$997,28,FALSE)*(1-$E81),0)),VLOOKUP($C81,'[2]2.행정구역별 급수인구'!$C$7:$AD$997,28,FALSE)))</f>
        <v>0</v>
      </c>
      <c r="L81" s="302">
        <f>VLOOKUP($F81,'[3]5.급수원단위'!$B$31:$G$35,2,FALSE)</f>
        <v>365</v>
      </c>
      <c r="M81" s="302">
        <f>VLOOKUP($F81,'[3]5.급수원단위'!$B$31:$G$35,3,FALSE)</f>
        <v>390</v>
      </c>
      <c r="N81" s="302">
        <f>VLOOKUP($F81,'[3]5.급수원단위'!$B$31:$G$35,4,FALSE)</f>
        <v>417</v>
      </c>
      <c r="O81" s="302">
        <f>VLOOKUP($F81,'[3]5.급수원단위'!$B$31:$G$35,5,FALSE)</f>
        <v>439</v>
      </c>
      <c r="P81" s="302">
        <f>VLOOKUP($F81,'[3]5.급수원단위'!$B$31:$G$35,6,FALSE)</f>
        <v>454</v>
      </c>
      <c r="Q81" s="302">
        <f>ROUND(IF(G81=0,0,VLOOKUP(C81,'2013실사용량 정리'!$D$6:$F$381,3,FALSE)),0)</f>
        <v>0</v>
      </c>
      <c r="R81" s="302">
        <f t="shared" si="9"/>
        <v>0</v>
      </c>
      <c r="S81" s="302">
        <f t="shared" si="9"/>
        <v>0</v>
      </c>
      <c r="T81" s="302">
        <f t="shared" si="9"/>
        <v>0</v>
      </c>
      <c r="U81" s="302">
        <f t="shared" si="9"/>
        <v>0</v>
      </c>
      <c r="V81" s="327"/>
      <c r="W81" s="343" t="str">
        <f t="shared" si="8"/>
        <v/>
      </c>
      <c r="X81" s="327"/>
      <c r="Y81" s="327"/>
      <c r="Z81" s="327"/>
      <c r="AA81" s="327"/>
      <c r="AB81" s="327"/>
      <c r="AC81" s="327"/>
      <c r="AD81" s="327"/>
    </row>
    <row r="82" spans="1:45" ht="20.100000000000001" customHeight="1">
      <c r="A82" s="340"/>
      <c r="B82" s="340"/>
      <c r="C82" s="406" t="s">
        <v>1367</v>
      </c>
      <c r="D82" s="330" t="s">
        <v>1299</v>
      </c>
      <c r="E82" s="527">
        <v>0</v>
      </c>
      <c r="F82" s="527" t="s">
        <v>1331</v>
      </c>
      <c r="G82" s="302">
        <f>IF($D82="A",ROUND(VLOOKUP($C82,'[2]2.행정구역별 급수인구'!$C$7:$AD$997,17,FALSE)*$E82,0),IF($D82="B",(ROUND(VLOOKUP($C82,'[2]2.행정구역별 급수인구'!$C$7:$AD$997,17,FALSE)-VLOOKUP($C82,'[2]2.행정구역별 급수인구'!$C$7:$AD$997,17,FALSE)*(1-$E82),0)),VLOOKUP($C82,'[2]2.행정구역별 급수인구'!$C$7:$AD$997,17,FALSE)))</f>
        <v>0</v>
      </c>
      <c r="H82" s="302">
        <f>IF($D82="A",ROUND(VLOOKUP($C82,'[2]2.행정구역별 급수인구'!$C$7:$AD$997,25,FALSE)*$E82,0),IF($D82="B",(ROUND(VLOOKUP($C82,'[2]2.행정구역별 급수인구'!$C$7:$AD$997,25,FALSE)-VLOOKUP($C82,'[2]2.행정구역별 급수인구'!$C$7:$AD$997,25,FALSE)*(1-$E82),0)),VLOOKUP($C82,'[2]2.행정구역별 급수인구'!$C$7:$AD$997,25,FALSE)))</f>
        <v>0</v>
      </c>
      <c r="I82" s="302">
        <f>IF($D82="A",ROUND(VLOOKUP($C82,'[2]2.행정구역별 급수인구'!$C$7:$AD$997,26,FALSE)*$E82,0),IF($D82="B",(ROUND(VLOOKUP($C82,'[2]2.행정구역별 급수인구'!$C$7:$AD$997,26,FALSE)-VLOOKUP($C82,'[2]2.행정구역별 급수인구'!$C$7:$AD$997,26,FALSE)*(1-$E82),0)),VLOOKUP($C82,'[2]2.행정구역별 급수인구'!$C$7:$AD$997,26,FALSE)))</f>
        <v>0</v>
      </c>
      <c r="J82" s="302">
        <f>IF($D82="A",ROUND(VLOOKUP($C82,'[2]2.행정구역별 급수인구'!$C$7:$AD$997,27,FALSE)*$E82,0),IF($D82="B",(ROUND(VLOOKUP($C82,'[2]2.행정구역별 급수인구'!$C$7:$AD$997,27,FALSE)-VLOOKUP($C82,'[2]2.행정구역별 급수인구'!$C$7:$AD$997,27,FALSE)*(1-$E82),0)),VLOOKUP($C82,'[2]2.행정구역별 급수인구'!$C$7:$AD$997,27,FALSE)))</f>
        <v>0</v>
      </c>
      <c r="K82" s="302">
        <f>IF($D82="A",ROUND(VLOOKUP($C82,'[2]2.행정구역별 급수인구'!$C$7:$AD$997,28,FALSE)*$E82,0),IF($D82="B",(ROUND(VLOOKUP($C82,'[2]2.행정구역별 급수인구'!$C$7:$AD$997,28,FALSE)-VLOOKUP($C82,'[2]2.행정구역별 급수인구'!$C$7:$AD$997,28,FALSE)*(1-$E82),0)),VLOOKUP($C82,'[2]2.행정구역별 급수인구'!$C$7:$AD$997,28,FALSE)))</f>
        <v>0</v>
      </c>
      <c r="L82" s="302">
        <f>VLOOKUP($F82,'[3]5.급수원단위'!$B$31:$G$35,2,FALSE)</f>
        <v>365</v>
      </c>
      <c r="M82" s="302">
        <f>VLOOKUP($F82,'[3]5.급수원단위'!$B$31:$G$35,3,FALSE)</f>
        <v>390</v>
      </c>
      <c r="N82" s="302">
        <f>VLOOKUP($F82,'[3]5.급수원단위'!$B$31:$G$35,4,FALSE)</f>
        <v>417</v>
      </c>
      <c r="O82" s="302">
        <f>VLOOKUP($F82,'[3]5.급수원단위'!$B$31:$G$35,5,FALSE)</f>
        <v>439</v>
      </c>
      <c r="P82" s="302">
        <f>VLOOKUP($F82,'[3]5.급수원단위'!$B$31:$G$35,6,FALSE)</f>
        <v>454</v>
      </c>
      <c r="Q82" s="302">
        <f>ROUND(IF(G82=0,0,VLOOKUP(C82,'2013실사용량 정리'!$D$6:$F$381,3,FALSE)),0)</f>
        <v>0</v>
      </c>
      <c r="R82" s="302">
        <f t="shared" si="9"/>
        <v>0</v>
      </c>
      <c r="S82" s="302">
        <f t="shared" si="9"/>
        <v>0</v>
      </c>
      <c r="T82" s="302">
        <f t="shared" si="9"/>
        <v>0</v>
      </c>
      <c r="U82" s="302">
        <f t="shared" si="9"/>
        <v>0</v>
      </c>
      <c r="V82" s="327"/>
      <c r="W82" s="343" t="str">
        <f t="shared" si="8"/>
        <v/>
      </c>
      <c r="X82" s="327"/>
      <c r="Y82" s="327"/>
      <c r="Z82" s="327"/>
      <c r="AA82" s="327"/>
      <c r="AB82" s="327"/>
      <c r="AC82" s="327"/>
      <c r="AD82" s="327"/>
    </row>
    <row r="83" spans="1:45" ht="20.100000000000001" customHeight="1">
      <c r="A83" s="340"/>
      <c r="B83" s="340"/>
      <c r="C83" s="406" t="s">
        <v>1368</v>
      </c>
      <c r="D83" s="330" t="s">
        <v>1299</v>
      </c>
      <c r="E83" s="527">
        <v>0</v>
      </c>
      <c r="F83" s="527" t="s">
        <v>1331</v>
      </c>
      <c r="G83" s="302">
        <f>IF($D83="A",ROUND(VLOOKUP($C83,'[2]2.행정구역별 급수인구'!$C$7:$AD$997,17,FALSE)*$E83,0),IF($D83="B",(ROUND(VLOOKUP($C83,'[2]2.행정구역별 급수인구'!$C$7:$AD$997,17,FALSE)-VLOOKUP($C83,'[2]2.행정구역별 급수인구'!$C$7:$AD$997,17,FALSE)*(1-$E83),0)),VLOOKUP($C83,'[2]2.행정구역별 급수인구'!$C$7:$AD$997,17,FALSE)))</f>
        <v>0</v>
      </c>
      <c r="H83" s="302">
        <f>IF($D83="A",ROUND(VLOOKUP($C83,'[2]2.행정구역별 급수인구'!$C$7:$AD$997,25,FALSE)*$E83,0),IF($D83="B",(ROUND(VLOOKUP($C83,'[2]2.행정구역별 급수인구'!$C$7:$AD$997,25,FALSE)-VLOOKUP($C83,'[2]2.행정구역별 급수인구'!$C$7:$AD$997,25,FALSE)*(1-$E83),0)),VLOOKUP($C83,'[2]2.행정구역별 급수인구'!$C$7:$AD$997,25,FALSE)))</f>
        <v>0</v>
      </c>
      <c r="I83" s="302">
        <f>IF($D83="A",ROUND(VLOOKUP($C83,'[2]2.행정구역별 급수인구'!$C$7:$AD$997,26,FALSE)*$E83,0),IF($D83="B",(ROUND(VLOOKUP($C83,'[2]2.행정구역별 급수인구'!$C$7:$AD$997,26,FALSE)-VLOOKUP($C83,'[2]2.행정구역별 급수인구'!$C$7:$AD$997,26,FALSE)*(1-$E83),0)),VLOOKUP($C83,'[2]2.행정구역별 급수인구'!$C$7:$AD$997,26,FALSE)))</f>
        <v>0</v>
      </c>
      <c r="J83" s="302">
        <f>IF($D83="A",ROUND(VLOOKUP($C83,'[2]2.행정구역별 급수인구'!$C$7:$AD$997,27,FALSE)*$E83,0),IF($D83="B",(ROUND(VLOOKUP($C83,'[2]2.행정구역별 급수인구'!$C$7:$AD$997,27,FALSE)-VLOOKUP($C83,'[2]2.행정구역별 급수인구'!$C$7:$AD$997,27,FALSE)*(1-$E83),0)),VLOOKUP($C83,'[2]2.행정구역별 급수인구'!$C$7:$AD$997,27,FALSE)))</f>
        <v>0</v>
      </c>
      <c r="K83" s="302">
        <f>IF($D83="A",ROUND(VLOOKUP($C83,'[2]2.행정구역별 급수인구'!$C$7:$AD$997,28,FALSE)*$E83,0),IF($D83="B",(ROUND(VLOOKUP($C83,'[2]2.행정구역별 급수인구'!$C$7:$AD$997,28,FALSE)-VLOOKUP($C83,'[2]2.행정구역별 급수인구'!$C$7:$AD$997,28,FALSE)*(1-$E83),0)),VLOOKUP($C83,'[2]2.행정구역별 급수인구'!$C$7:$AD$997,28,FALSE)))</f>
        <v>0</v>
      </c>
      <c r="L83" s="302">
        <f>VLOOKUP($F83,'[3]5.급수원단위'!$B$31:$G$35,2,FALSE)</f>
        <v>365</v>
      </c>
      <c r="M83" s="302">
        <f>VLOOKUP($F83,'[3]5.급수원단위'!$B$31:$G$35,3,FALSE)</f>
        <v>390</v>
      </c>
      <c r="N83" s="302">
        <f>VLOOKUP($F83,'[3]5.급수원단위'!$B$31:$G$35,4,FALSE)</f>
        <v>417</v>
      </c>
      <c r="O83" s="302">
        <f>VLOOKUP($F83,'[3]5.급수원단위'!$B$31:$G$35,5,FALSE)</f>
        <v>439</v>
      </c>
      <c r="P83" s="302">
        <f>VLOOKUP($F83,'[3]5.급수원단위'!$B$31:$G$35,6,FALSE)</f>
        <v>454</v>
      </c>
      <c r="Q83" s="302">
        <f>ROUND(IF(G83=0,0,VLOOKUP(C83,'2013실사용량 정리'!$D$6:$F$381,3,FALSE)),0)</f>
        <v>0</v>
      </c>
      <c r="R83" s="302">
        <f t="shared" si="9"/>
        <v>0</v>
      </c>
      <c r="S83" s="302">
        <f t="shared" si="9"/>
        <v>0</v>
      </c>
      <c r="T83" s="302">
        <f t="shared" si="9"/>
        <v>0</v>
      </c>
      <c r="U83" s="302">
        <f t="shared" si="9"/>
        <v>0</v>
      </c>
      <c r="V83" s="327"/>
      <c r="W83" s="343" t="str">
        <f t="shared" si="8"/>
        <v/>
      </c>
      <c r="X83" s="327"/>
      <c r="Y83" s="327"/>
      <c r="Z83" s="327"/>
      <c r="AA83" s="327"/>
      <c r="AB83" s="327"/>
      <c r="AC83" s="327"/>
      <c r="AD83" s="327"/>
    </row>
    <row r="84" spans="1:45" ht="20.100000000000001" customHeight="1">
      <c r="A84" s="340"/>
      <c r="B84" s="340"/>
      <c r="C84" s="406" t="s">
        <v>1369</v>
      </c>
      <c r="D84" s="330" t="s">
        <v>1299</v>
      </c>
      <c r="E84" s="527">
        <v>0</v>
      </c>
      <c r="F84" s="527" t="s">
        <v>1331</v>
      </c>
      <c r="G84" s="302">
        <f>IF($D84="A",ROUND(VLOOKUP($C84,'[2]2.행정구역별 급수인구'!$C$7:$AD$997,17,FALSE)*$E84,0),IF($D84="B",(ROUND(VLOOKUP($C84,'[2]2.행정구역별 급수인구'!$C$7:$AD$997,17,FALSE)-VLOOKUP($C84,'[2]2.행정구역별 급수인구'!$C$7:$AD$997,17,FALSE)*(1-$E84),0)),VLOOKUP($C84,'[2]2.행정구역별 급수인구'!$C$7:$AD$997,17,FALSE)))</f>
        <v>0</v>
      </c>
      <c r="H84" s="302">
        <f>IF($D84="A",ROUND(VLOOKUP($C84,'[2]2.행정구역별 급수인구'!$C$7:$AD$997,25,FALSE)*$E84,0),IF($D84="B",(ROUND(VLOOKUP($C84,'[2]2.행정구역별 급수인구'!$C$7:$AD$997,25,FALSE)-VLOOKUP($C84,'[2]2.행정구역별 급수인구'!$C$7:$AD$997,25,FALSE)*(1-$E84),0)),VLOOKUP($C84,'[2]2.행정구역별 급수인구'!$C$7:$AD$997,25,FALSE)))</f>
        <v>0</v>
      </c>
      <c r="I84" s="302">
        <f>IF($D84="A",ROUND(VLOOKUP($C84,'[2]2.행정구역별 급수인구'!$C$7:$AD$997,26,FALSE)*$E84,0),IF($D84="B",(ROUND(VLOOKUP($C84,'[2]2.행정구역별 급수인구'!$C$7:$AD$997,26,FALSE)-VLOOKUP($C84,'[2]2.행정구역별 급수인구'!$C$7:$AD$997,26,FALSE)*(1-$E84),0)),VLOOKUP($C84,'[2]2.행정구역별 급수인구'!$C$7:$AD$997,26,FALSE)))</f>
        <v>0</v>
      </c>
      <c r="J84" s="302">
        <f>IF($D84="A",ROUND(VLOOKUP($C84,'[2]2.행정구역별 급수인구'!$C$7:$AD$997,27,FALSE)*$E84,0),IF($D84="B",(ROUND(VLOOKUP($C84,'[2]2.행정구역별 급수인구'!$C$7:$AD$997,27,FALSE)-VLOOKUP($C84,'[2]2.행정구역별 급수인구'!$C$7:$AD$997,27,FALSE)*(1-$E84),0)),VLOOKUP($C84,'[2]2.행정구역별 급수인구'!$C$7:$AD$997,27,FALSE)))</f>
        <v>0</v>
      </c>
      <c r="K84" s="302">
        <f>IF($D84="A",ROUND(VLOOKUP($C84,'[2]2.행정구역별 급수인구'!$C$7:$AD$997,28,FALSE)*$E84,0),IF($D84="B",(ROUND(VLOOKUP($C84,'[2]2.행정구역별 급수인구'!$C$7:$AD$997,28,FALSE)-VLOOKUP($C84,'[2]2.행정구역별 급수인구'!$C$7:$AD$997,28,FALSE)*(1-$E84),0)),VLOOKUP($C84,'[2]2.행정구역별 급수인구'!$C$7:$AD$997,28,FALSE)))</f>
        <v>0</v>
      </c>
      <c r="L84" s="302">
        <f>VLOOKUP($F84,'[3]5.급수원단위'!$B$31:$G$35,2,FALSE)</f>
        <v>365</v>
      </c>
      <c r="M84" s="302">
        <f>VLOOKUP($F84,'[3]5.급수원단위'!$B$31:$G$35,3,FALSE)</f>
        <v>390</v>
      </c>
      <c r="N84" s="302">
        <f>VLOOKUP($F84,'[3]5.급수원단위'!$B$31:$G$35,4,FALSE)</f>
        <v>417</v>
      </c>
      <c r="O84" s="302">
        <f>VLOOKUP($F84,'[3]5.급수원단위'!$B$31:$G$35,5,FALSE)</f>
        <v>439</v>
      </c>
      <c r="P84" s="302">
        <f>VLOOKUP($F84,'[3]5.급수원단위'!$B$31:$G$35,6,FALSE)</f>
        <v>454</v>
      </c>
      <c r="Q84" s="302">
        <f>ROUND(IF(G84=0,0,VLOOKUP(C84,'2013실사용량 정리'!$D$6:$F$381,3,FALSE)),0)</f>
        <v>0</v>
      </c>
      <c r="R84" s="302">
        <f t="shared" si="9"/>
        <v>0</v>
      </c>
      <c r="S84" s="302">
        <f t="shared" si="9"/>
        <v>0</v>
      </c>
      <c r="T84" s="302">
        <f t="shared" si="9"/>
        <v>0</v>
      </c>
      <c r="U84" s="302">
        <f t="shared" si="9"/>
        <v>0</v>
      </c>
      <c r="V84" s="327"/>
      <c r="W84" s="343" t="str">
        <f t="shared" si="8"/>
        <v/>
      </c>
      <c r="X84" s="327"/>
      <c r="Y84" s="327"/>
      <c r="Z84" s="327"/>
      <c r="AA84" s="327"/>
      <c r="AB84" s="327"/>
      <c r="AC84" s="327"/>
      <c r="AD84" s="327"/>
    </row>
    <row r="85" spans="1:45" ht="20.100000000000001" customHeight="1">
      <c r="A85" s="340"/>
      <c r="B85" s="340"/>
      <c r="C85" s="406" t="s">
        <v>1370</v>
      </c>
      <c r="D85" s="330" t="s">
        <v>1299</v>
      </c>
      <c r="E85" s="527">
        <v>0</v>
      </c>
      <c r="F85" s="527" t="s">
        <v>1331</v>
      </c>
      <c r="G85" s="302">
        <f>IF($D85="A",ROUND(VLOOKUP($C85,'[2]2.행정구역별 급수인구'!$C$7:$AD$997,17,FALSE)*$E85,0),IF($D85="B",(ROUND(VLOOKUP($C85,'[2]2.행정구역별 급수인구'!$C$7:$AD$997,17,FALSE)-VLOOKUP($C85,'[2]2.행정구역별 급수인구'!$C$7:$AD$997,17,FALSE)*(1-$E85),0)),VLOOKUP($C85,'[2]2.행정구역별 급수인구'!$C$7:$AD$997,17,FALSE)))</f>
        <v>0</v>
      </c>
      <c r="H85" s="302">
        <f>IF($D85="A",ROUND(VLOOKUP($C85,'[2]2.행정구역별 급수인구'!$C$7:$AD$997,25,FALSE)*$E85,0),IF($D85="B",(ROUND(VLOOKUP($C85,'[2]2.행정구역별 급수인구'!$C$7:$AD$997,25,FALSE)-VLOOKUP($C85,'[2]2.행정구역별 급수인구'!$C$7:$AD$997,25,FALSE)*(1-$E85),0)),VLOOKUP($C85,'[2]2.행정구역별 급수인구'!$C$7:$AD$997,25,FALSE)))</f>
        <v>0</v>
      </c>
      <c r="I85" s="302">
        <f>IF($D85="A",ROUND(VLOOKUP($C85,'[2]2.행정구역별 급수인구'!$C$7:$AD$997,26,FALSE)*$E85,0),IF($D85="B",(ROUND(VLOOKUP($C85,'[2]2.행정구역별 급수인구'!$C$7:$AD$997,26,FALSE)-VLOOKUP($C85,'[2]2.행정구역별 급수인구'!$C$7:$AD$997,26,FALSE)*(1-$E85),0)),VLOOKUP($C85,'[2]2.행정구역별 급수인구'!$C$7:$AD$997,26,FALSE)))</f>
        <v>0</v>
      </c>
      <c r="J85" s="302">
        <f>IF($D85="A",ROUND(VLOOKUP($C85,'[2]2.행정구역별 급수인구'!$C$7:$AD$997,27,FALSE)*$E85,0),IF($D85="B",(ROUND(VLOOKUP($C85,'[2]2.행정구역별 급수인구'!$C$7:$AD$997,27,FALSE)-VLOOKUP($C85,'[2]2.행정구역별 급수인구'!$C$7:$AD$997,27,FALSE)*(1-$E85),0)),VLOOKUP($C85,'[2]2.행정구역별 급수인구'!$C$7:$AD$997,27,FALSE)))</f>
        <v>0</v>
      </c>
      <c r="K85" s="302">
        <f>IF($D85="A",ROUND(VLOOKUP($C85,'[2]2.행정구역별 급수인구'!$C$7:$AD$997,28,FALSE)*$E85,0),IF($D85="B",(ROUND(VLOOKUP($C85,'[2]2.행정구역별 급수인구'!$C$7:$AD$997,28,FALSE)-VLOOKUP($C85,'[2]2.행정구역별 급수인구'!$C$7:$AD$997,28,FALSE)*(1-$E85),0)),VLOOKUP($C85,'[2]2.행정구역별 급수인구'!$C$7:$AD$997,28,FALSE)))</f>
        <v>0</v>
      </c>
      <c r="L85" s="302">
        <f>VLOOKUP($F85,'[3]5.급수원단위'!$B$31:$G$35,2,FALSE)</f>
        <v>365</v>
      </c>
      <c r="M85" s="302">
        <f>VLOOKUP($F85,'[3]5.급수원단위'!$B$31:$G$35,3,FALSE)</f>
        <v>390</v>
      </c>
      <c r="N85" s="302">
        <f>VLOOKUP($F85,'[3]5.급수원단위'!$B$31:$G$35,4,FALSE)</f>
        <v>417</v>
      </c>
      <c r="O85" s="302">
        <f>VLOOKUP($F85,'[3]5.급수원단위'!$B$31:$G$35,5,FALSE)</f>
        <v>439</v>
      </c>
      <c r="P85" s="302">
        <f>VLOOKUP($F85,'[3]5.급수원단위'!$B$31:$G$35,6,FALSE)</f>
        <v>454</v>
      </c>
      <c r="Q85" s="302">
        <f>ROUND(IF(G85=0,0,VLOOKUP(C85,'2013실사용량 정리'!$D$6:$F$381,3,FALSE)),0)</f>
        <v>0</v>
      </c>
      <c r="R85" s="302">
        <f t="shared" si="9"/>
        <v>0</v>
      </c>
      <c r="S85" s="302">
        <f t="shared" si="9"/>
        <v>0</v>
      </c>
      <c r="T85" s="302">
        <f t="shared" si="9"/>
        <v>0</v>
      </c>
      <c r="U85" s="302">
        <f t="shared" si="9"/>
        <v>0</v>
      </c>
      <c r="V85" s="327"/>
      <c r="W85" s="343" t="str">
        <f t="shared" si="8"/>
        <v/>
      </c>
      <c r="X85" s="327"/>
      <c r="Y85" s="327"/>
      <c r="Z85" s="327"/>
      <c r="AA85" s="327"/>
      <c r="AB85" s="327"/>
      <c r="AC85" s="327"/>
      <c r="AD85" s="327"/>
    </row>
    <row r="86" spans="1:45" ht="20.100000000000001" customHeight="1">
      <c r="A86" s="340"/>
      <c r="B86" s="340"/>
      <c r="C86" s="406" t="s">
        <v>1371</v>
      </c>
      <c r="D86" s="330" t="s">
        <v>1299</v>
      </c>
      <c r="E86" s="527">
        <v>0</v>
      </c>
      <c r="F86" s="527" t="s">
        <v>1331</v>
      </c>
      <c r="G86" s="302">
        <f>IF($D86="A",ROUND(VLOOKUP($C86,'[2]2.행정구역별 급수인구'!$C$7:$AD$997,17,FALSE)*$E86,0),IF($D86="B",(ROUND(VLOOKUP($C86,'[2]2.행정구역별 급수인구'!$C$7:$AD$997,17,FALSE)-VLOOKUP($C86,'[2]2.행정구역별 급수인구'!$C$7:$AD$997,17,FALSE)*(1-$E86),0)),VLOOKUP($C86,'[2]2.행정구역별 급수인구'!$C$7:$AD$997,17,FALSE)))</f>
        <v>0</v>
      </c>
      <c r="H86" s="302">
        <f>IF($D86="A",ROUND(VLOOKUP($C86,'[2]2.행정구역별 급수인구'!$C$7:$AD$997,25,FALSE)*$E86,0),IF($D86="B",(ROUND(VLOOKUP($C86,'[2]2.행정구역별 급수인구'!$C$7:$AD$997,25,FALSE)-VLOOKUP($C86,'[2]2.행정구역별 급수인구'!$C$7:$AD$997,25,FALSE)*(1-$E86),0)),VLOOKUP($C86,'[2]2.행정구역별 급수인구'!$C$7:$AD$997,25,FALSE)))</f>
        <v>0</v>
      </c>
      <c r="I86" s="302">
        <f>IF($D86="A",ROUND(VLOOKUP($C86,'[2]2.행정구역별 급수인구'!$C$7:$AD$997,26,FALSE)*$E86,0),IF($D86="B",(ROUND(VLOOKUP($C86,'[2]2.행정구역별 급수인구'!$C$7:$AD$997,26,FALSE)-VLOOKUP($C86,'[2]2.행정구역별 급수인구'!$C$7:$AD$997,26,FALSE)*(1-$E86),0)),VLOOKUP($C86,'[2]2.행정구역별 급수인구'!$C$7:$AD$997,26,FALSE)))</f>
        <v>0</v>
      </c>
      <c r="J86" s="302">
        <f>IF($D86="A",ROUND(VLOOKUP($C86,'[2]2.행정구역별 급수인구'!$C$7:$AD$997,27,FALSE)*$E86,0),IF($D86="B",(ROUND(VLOOKUP($C86,'[2]2.행정구역별 급수인구'!$C$7:$AD$997,27,FALSE)-VLOOKUP($C86,'[2]2.행정구역별 급수인구'!$C$7:$AD$997,27,FALSE)*(1-$E86),0)),VLOOKUP($C86,'[2]2.행정구역별 급수인구'!$C$7:$AD$997,27,FALSE)))</f>
        <v>0</v>
      </c>
      <c r="K86" s="302">
        <f>IF($D86="A",ROUND(VLOOKUP($C86,'[2]2.행정구역별 급수인구'!$C$7:$AD$997,28,FALSE)*$E86,0),IF($D86="B",(ROUND(VLOOKUP($C86,'[2]2.행정구역별 급수인구'!$C$7:$AD$997,28,FALSE)-VLOOKUP($C86,'[2]2.행정구역별 급수인구'!$C$7:$AD$997,28,FALSE)*(1-$E86),0)),VLOOKUP($C86,'[2]2.행정구역별 급수인구'!$C$7:$AD$997,28,FALSE)))</f>
        <v>0</v>
      </c>
      <c r="L86" s="302">
        <f>VLOOKUP($F86,'[3]5.급수원단위'!$B$31:$G$35,2,FALSE)</f>
        <v>365</v>
      </c>
      <c r="M86" s="302">
        <f>VLOOKUP($F86,'[3]5.급수원단위'!$B$31:$G$35,3,FALSE)</f>
        <v>390</v>
      </c>
      <c r="N86" s="302">
        <f>VLOOKUP($F86,'[3]5.급수원단위'!$B$31:$G$35,4,FALSE)</f>
        <v>417</v>
      </c>
      <c r="O86" s="302">
        <f>VLOOKUP($F86,'[3]5.급수원단위'!$B$31:$G$35,5,FALSE)</f>
        <v>439</v>
      </c>
      <c r="P86" s="302">
        <f>VLOOKUP($F86,'[3]5.급수원단위'!$B$31:$G$35,6,FALSE)</f>
        <v>454</v>
      </c>
      <c r="Q86" s="302">
        <f>ROUND(IF(G86=0,0,VLOOKUP(C86,'2013실사용량 정리'!$D$6:$F$381,3,FALSE)),0)</f>
        <v>0</v>
      </c>
      <c r="R86" s="302">
        <f t="shared" si="9"/>
        <v>0</v>
      </c>
      <c r="S86" s="302">
        <f t="shared" si="9"/>
        <v>0</v>
      </c>
      <c r="T86" s="302">
        <f t="shared" si="9"/>
        <v>0</v>
      </c>
      <c r="U86" s="302">
        <f t="shared" si="9"/>
        <v>0</v>
      </c>
      <c r="V86" s="327"/>
      <c r="W86" s="343" t="str">
        <f t="shared" si="8"/>
        <v/>
      </c>
      <c r="X86" s="327"/>
      <c r="Y86" s="327"/>
      <c r="Z86" s="327"/>
      <c r="AA86" s="327"/>
      <c r="AB86" s="327"/>
      <c r="AC86" s="327"/>
      <c r="AD86" s="327"/>
    </row>
    <row r="87" spans="1:45" ht="20.100000000000001" customHeight="1">
      <c r="A87" s="340"/>
      <c r="B87" s="340"/>
      <c r="C87" s="406" t="s">
        <v>1372</v>
      </c>
      <c r="D87" s="330" t="s">
        <v>1299</v>
      </c>
      <c r="E87" s="527">
        <v>0</v>
      </c>
      <c r="F87" s="527" t="s">
        <v>1331</v>
      </c>
      <c r="G87" s="302">
        <f>IF($D87="A",ROUND(VLOOKUP($C87,'[2]2.행정구역별 급수인구'!$C$7:$AD$997,17,FALSE)*$E87,0),IF($D87="B",(ROUND(VLOOKUP($C87,'[2]2.행정구역별 급수인구'!$C$7:$AD$997,17,FALSE)-VLOOKUP($C87,'[2]2.행정구역별 급수인구'!$C$7:$AD$997,17,FALSE)*(1-$E87),0)),VLOOKUP($C87,'[2]2.행정구역별 급수인구'!$C$7:$AD$997,17,FALSE)))</f>
        <v>0</v>
      </c>
      <c r="H87" s="302">
        <f>IF($D87="A",ROUND(VLOOKUP($C87,'[2]2.행정구역별 급수인구'!$C$7:$AD$997,25,FALSE)*$E87,0),IF($D87="B",(ROUND(VLOOKUP($C87,'[2]2.행정구역별 급수인구'!$C$7:$AD$997,25,FALSE)-VLOOKUP($C87,'[2]2.행정구역별 급수인구'!$C$7:$AD$997,25,FALSE)*(1-$E87),0)),VLOOKUP($C87,'[2]2.행정구역별 급수인구'!$C$7:$AD$997,25,FALSE)))</f>
        <v>0</v>
      </c>
      <c r="I87" s="302">
        <f>IF($D87="A",ROUND(VLOOKUP($C87,'[2]2.행정구역별 급수인구'!$C$7:$AD$997,26,FALSE)*$E87,0),IF($D87="B",(ROUND(VLOOKUP($C87,'[2]2.행정구역별 급수인구'!$C$7:$AD$997,26,FALSE)-VLOOKUP($C87,'[2]2.행정구역별 급수인구'!$C$7:$AD$997,26,FALSE)*(1-$E87),0)),VLOOKUP($C87,'[2]2.행정구역별 급수인구'!$C$7:$AD$997,26,FALSE)))</f>
        <v>0</v>
      </c>
      <c r="J87" s="302">
        <f>IF($D87="A",ROUND(VLOOKUP($C87,'[2]2.행정구역별 급수인구'!$C$7:$AD$997,27,FALSE)*$E87,0),IF($D87="B",(ROUND(VLOOKUP($C87,'[2]2.행정구역별 급수인구'!$C$7:$AD$997,27,FALSE)-VLOOKUP($C87,'[2]2.행정구역별 급수인구'!$C$7:$AD$997,27,FALSE)*(1-$E87),0)),VLOOKUP($C87,'[2]2.행정구역별 급수인구'!$C$7:$AD$997,27,FALSE)))</f>
        <v>0</v>
      </c>
      <c r="K87" s="302">
        <f>IF($D87="A",ROUND(VLOOKUP($C87,'[2]2.행정구역별 급수인구'!$C$7:$AD$997,28,FALSE)*$E87,0),IF($D87="B",(ROUND(VLOOKUP($C87,'[2]2.행정구역별 급수인구'!$C$7:$AD$997,28,FALSE)-VLOOKUP($C87,'[2]2.행정구역별 급수인구'!$C$7:$AD$997,28,FALSE)*(1-$E87),0)),VLOOKUP($C87,'[2]2.행정구역별 급수인구'!$C$7:$AD$997,28,FALSE)))</f>
        <v>0</v>
      </c>
      <c r="L87" s="302">
        <f>VLOOKUP($F87,'[3]5.급수원단위'!$B$31:$G$35,2,FALSE)</f>
        <v>365</v>
      </c>
      <c r="M87" s="302">
        <f>VLOOKUP($F87,'[3]5.급수원단위'!$B$31:$G$35,3,FALSE)</f>
        <v>390</v>
      </c>
      <c r="N87" s="302">
        <f>VLOOKUP($F87,'[3]5.급수원단위'!$B$31:$G$35,4,FALSE)</f>
        <v>417</v>
      </c>
      <c r="O87" s="302">
        <f>VLOOKUP($F87,'[3]5.급수원단위'!$B$31:$G$35,5,FALSE)</f>
        <v>439</v>
      </c>
      <c r="P87" s="302">
        <f>VLOOKUP($F87,'[3]5.급수원단위'!$B$31:$G$35,6,FALSE)</f>
        <v>454</v>
      </c>
      <c r="Q87" s="302">
        <f>ROUND(IF(G87=0,0,VLOOKUP(C87,'2013실사용량 정리'!$D$6:$F$381,3,FALSE)),0)</f>
        <v>0</v>
      </c>
      <c r="R87" s="302">
        <f t="shared" si="9"/>
        <v>0</v>
      </c>
      <c r="S87" s="302">
        <f t="shared" si="9"/>
        <v>0</v>
      </c>
      <c r="T87" s="302">
        <f t="shared" si="9"/>
        <v>0</v>
      </c>
      <c r="U87" s="302">
        <f t="shared" si="9"/>
        <v>0</v>
      </c>
      <c r="V87" s="327"/>
      <c r="W87" s="343" t="str">
        <f t="shared" si="8"/>
        <v/>
      </c>
      <c r="X87" s="327"/>
      <c r="Y87" s="327"/>
      <c r="Z87" s="327"/>
      <c r="AA87" s="327"/>
      <c r="AB87" s="327"/>
      <c r="AC87" s="327"/>
      <c r="AD87" s="327"/>
    </row>
    <row r="88" spans="1:45" ht="20.100000000000001" customHeight="1">
      <c r="A88" s="340"/>
      <c r="B88" s="340"/>
      <c r="C88" s="406" t="s">
        <v>1373</v>
      </c>
      <c r="D88" s="330" t="s">
        <v>1299</v>
      </c>
      <c r="E88" s="527">
        <v>0</v>
      </c>
      <c r="F88" s="527" t="s">
        <v>1331</v>
      </c>
      <c r="G88" s="302">
        <f>IF($D88="A",ROUND(VLOOKUP($C88,'[2]2.행정구역별 급수인구'!$C$7:$AD$997,17,FALSE)*$E88,0),IF($D88="B",(ROUND(VLOOKUP($C88,'[2]2.행정구역별 급수인구'!$C$7:$AD$997,17,FALSE)-VLOOKUP($C88,'[2]2.행정구역별 급수인구'!$C$7:$AD$997,17,FALSE)*(1-$E88),0)),VLOOKUP($C88,'[2]2.행정구역별 급수인구'!$C$7:$AD$997,17,FALSE)))</f>
        <v>0</v>
      </c>
      <c r="H88" s="302">
        <f>IF($D88="A",ROUND(VLOOKUP($C88,'[2]2.행정구역별 급수인구'!$C$7:$AD$997,25,FALSE)*$E88,0),IF($D88="B",(ROUND(VLOOKUP($C88,'[2]2.행정구역별 급수인구'!$C$7:$AD$997,25,FALSE)-VLOOKUP($C88,'[2]2.행정구역별 급수인구'!$C$7:$AD$997,25,FALSE)*(1-$E88),0)),VLOOKUP($C88,'[2]2.행정구역별 급수인구'!$C$7:$AD$997,25,FALSE)))</f>
        <v>0</v>
      </c>
      <c r="I88" s="302">
        <f>IF($D88="A",ROUND(VLOOKUP($C88,'[2]2.행정구역별 급수인구'!$C$7:$AD$997,26,FALSE)*$E88,0),IF($D88="B",(ROUND(VLOOKUP($C88,'[2]2.행정구역별 급수인구'!$C$7:$AD$997,26,FALSE)-VLOOKUP($C88,'[2]2.행정구역별 급수인구'!$C$7:$AD$997,26,FALSE)*(1-$E88),0)),VLOOKUP($C88,'[2]2.행정구역별 급수인구'!$C$7:$AD$997,26,FALSE)))</f>
        <v>0</v>
      </c>
      <c r="J88" s="302">
        <f>IF($D88="A",ROUND(VLOOKUP($C88,'[2]2.행정구역별 급수인구'!$C$7:$AD$997,27,FALSE)*$E88,0),IF($D88="B",(ROUND(VLOOKUP($C88,'[2]2.행정구역별 급수인구'!$C$7:$AD$997,27,FALSE)-VLOOKUP($C88,'[2]2.행정구역별 급수인구'!$C$7:$AD$997,27,FALSE)*(1-$E88),0)),VLOOKUP($C88,'[2]2.행정구역별 급수인구'!$C$7:$AD$997,27,FALSE)))</f>
        <v>0</v>
      </c>
      <c r="K88" s="302">
        <f>IF($D88="A",ROUND(VLOOKUP($C88,'[2]2.행정구역별 급수인구'!$C$7:$AD$997,28,FALSE)*$E88,0),IF($D88="B",(ROUND(VLOOKUP($C88,'[2]2.행정구역별 급수인구'!$C$7:$AD$997,28,FALSE)-VLOOKUP($C88,'[2]2.행정구역별 급수인구'!$C$7:$AD$997,28,FALSE)*(1-$E88),0)),VLOOKUP($C88,'[2]2.행정구역별 급수인구'!$C$7:$AD$997,28,FALSE)))</f>
        <v>0</v>
      </c>
      <c r="L88" s="302">
        <f>VLOOKUP($F88,'[3]5.급수원단위'!$B$31:$G$35,2,FALSE)</f>
        <v>365</v>
      </c>
      <c r="M88" s="302">
        <f>VLOOKUP($F88,'[3]5.급수원단위'!$B$31:$G$35,3,FALSE)</f>
        <v>390</v>
      </c>
      <c r="N88" s="302">
        <f>VLOOKUP($F88,'[3]5.급수원단위'!$B$31:$G$35,4,FALSE)</f>
        <v>417</v>
      </c>
      <c r="O88" s="302">
        <f>VLOOKUP($F88,'[3]5.급수원단위'!$B$31:$G$35,5,FALSE)</f>
        <v>439</v>
      </c>
      <c r="P88" s="302">
        <f>VLOOKUP($F88,'[3]5.급수원단위'!$B$31:$G$35,6,FALSE)</f>
        <v>454</v>
      </c>
      <c r="Q88" s="302">
        <f>ROUND(IF(G88=0,0,VLOOKUP(C88,'2013실사용량 정리'!$D$6:$F$381,3,FALSE)),0)</f>
        <v>0</v>
      </c>
      <c r="R88" s="302">
        <f t="shared" si="9"/>
        <v>0</v>
      </c>
      <c r="S88" s="302">
        <f t="shared" si="9"/>
        <v>0</v>
      </c>
      <c r="T88" s="302">
        <f t="shared" si="9"/>
        <v>0</v>
      </c>
      <c r="U88" s="302">
        <f t="shared" si="9"/>
        <v>0</v>
      </c>
      <c r="V88" s="327"/>
      <c r="W88" s="343" t="str">
        <f t="shared" si="8"/>
        <v/>
      </c>
      <c r="X88" s="327"/>
      <c r="Y88" s="327"/>
      <c r="Z88" s="327"/>
      <c r="AA88" s="327"/>
      <c r="AB88" s="327"/>
      <c r="AC88" s="327"/>
      <c r="AD88" s="327"/>
    </row>
    <row r="89" spans="1:45" ht="20.100000000000001" customHeight="1">
      <c r="A89" s="340"/>
      <c r="B89" s="340"/>
      <c r="C89" s="535" t="s">
        <v>1374</v>
      </c>
      <c r="D89" s="530" t="s">
        <v>1299</v>
      </c>
      <c r="E89" s="527">
        <v>0</v>
      </c>
      <c r="F89" s="527" t="s">
        <v>1331</v>
      </c>
      <c r="G89" s="302">
        <f>IF($D89="A",ROUND(VLOOKUP($C89,'[2]2.행정구역별 급수인구'!$C$7:$AD$997,17,FALSE)*$E89,0),IF($D89="B",(ROUND(VLOOKUP($C89,'[2]2.행정구역별 급수인구'!$C$7:$AD$997,17,FALSE)-VLOOKUP($C89,'[2]2.행정구역별 급수인구'!$C$7:$AD$997,17,FALSE)*(1-$E89),0)),VLOOKUP($C89,'[2]2.행정구역별 급수인구'!$C$7:$AD$997,17,FALSE)))</f>
        <v>0</v>
      </c>
      <c r="H89" s="536">
        <f>IF($D89="A",ROUND(VLOOKUP($C89,'[2]2.행정구역별 급수인구'!$C$7:$AD$997,25,FALSE)*$E89,0),IF($D89="B",(ROUND(VLOOKUP($C89,'[2]2.행정구역별 급수인구'!$C$7:$AD$997,25,FALSE)-VLOOKUP($C89,'[2]2.행정구역별 급수인구'!$C$7:$AD$997,25,FALSE)*(1-$E89),0)),VLOOKUP($C89,'[2]2.행정구역별 급수인구'!$C$7:$AD$997,25,FALSE)))</f>
        <v>0</v>
      </c>
      <c r="I89" s="536">
        <f>IF($D89="A",ROUND(VLOOKUP($C89,'[2]2.행정구역별 급수인구'!$C$7:$AD$997,26,FALSE)*$E89,0),IF($D89="B",(ROUND(VLOOKUP($C89,'[2]2.행정구역별 급수인구'!$C$7:$AD$997,26,FALSE)-VLOOKUP($C89,'[2]2.행정구역별 급수인구'!$C$7:$AD$997,26,FALSE)*(1-$E89),0)),VLOOKUP($C89,'[2]2.행정구역별 급수인구'!$C$7:$AD$997,26,FALSE)))</f>
        <v>0</v>
      </c>
      <c r="J89" s="536">
        <f>IF($D89="A",ROUND(VLOOKUP($C89,'[2]2.행정구역별 급수인구'!$C$7:$AD$997,27,FALSE)*$E89,0),IF($D89="B",(ROUND(VLOOKUP($C89,'[2]2.행정구역별 급수인구'!$C$7:$AD$997,27,FALSE)-VLOOKUP($C89,'[2]2.행정구역별 급수인구'!$C$7:$AD$997,27,FALSE)*(1-$E89),0)),VLOOKUP($C89,'[2]2.행정구역별 급수인구'!$C$7:$AD$997,27,FALSE)))</f>
        <v>0</v>
      </c>
      <c r="K89" s="536">
        <f>IF($D89="A",ROUND(VLOOKUP($C89,'[2]2.행정구역별 급수인구'!$C$7:$AD$997,28,FALSE)*$E89,0),IF($D89="B",(ROUND(VLOOKUP($C89,'[2]2.행정구역별 급수인구'!$C$7:$AD$997,28,FALSE)-VLOOKUP($C89,'[2]2.행정구역별 급수인구'!$C$7:$AD$997,28,FALSE)*(1-$E89),0)),VLOOKUP($C89,'[2]2.행정구역별 급수인구'!$C$7:$AD$997,28,FALSE)))</f>
        <v>0</v>
      </c>
      <c r="L89" s="302">
        <f>VLOOKUP($F89,'[3]5.급수원단위'!$B$31:$G$35,2,FALSE)</f>
        <v>365</v>
      </c>
      <c r="M89" s="536">
        <f>VLOOKUP($F89,'[3]5.급수원단위'!$B$31:$G$35,3,FALSE)</f>
        <v>390</v>
      </c>
      <c r="N89" s="536">
        <f>VLOOKUP($F89,'[3]5.급수원단위'!$B$31:$G$35,4,FALSE)</f>
        <v>417</v>
      </c>
      <c r="O89" s="536">
        <f>VLOOKUP($F89,'[3]5.급수원단위'!$B$31:$G$35,5,FALSE)</f>
        <v>439</v>
      </c>
      <c r="P89" s="536">
        <f>VLOOKUP($F89,'[3]5.급수원단위'!$B$31:$G$35,6,FALSE)</f>
        <v>454</v>
      </c>
      <c r="Q89" s="302">
        <f>ROUND(IF(G89=0,0,VLOOKUP(C89,'2013실사용량 정리'!$D$6:$F$381,3,FALSE)),0)</f>
        <v>0</v>
      </c>
      <c r="R89" s="536">
        <f t="shared" si="9"/>
        <v>0</v>
      </c>
      <c r="S89" s="536">
        <f t="shared" si="9"/>
        <v>0</v>
      </c>
      <c r="T89" s="536">
        <f t="shared" si="9"/>
        <v>0</v>
      </c>
      <c r="U89" s="536">
        <f t="shared" si="9"/>
        <v>0</v>
      </c>
      <c r="V89" s="327"/>
      <c r="W89" s="343" t="str">
        <f t="shared" si="8"/>
        <v/>
      </c>
      <c r="X89" s="327"/>
      <c r="Y89" s="327"/>
      <c r="Z89" s="327"/>
      <c r="AA89" s="327"/>
      <c r="AB89" s="327"/>
      <c r="AC89" s="327"/>
      <c r="AD89" s="327"/>
    </row>
    <row r="90" spans="1:45" ht="20.100000000000001" customHeight="1">
      <c r="A90" s="340"/>
      <c r="B90" s="716" t="s">
        <v>1209</v>
      </c>
      <c r="C90" s="717"/>
      <c r="D90" s="718"/>
      <c r="E90" s="331"/>
      <c r="F90" s="331"/>
      <c r="G90" s="336">
        <f>SUM(G91:G115)</f>
        <v>89</v>
      </c>
      <c r="H90" s="540">
        <f t="shared" ref="H90:K90" si="10">SUM(H91:H115)</f>
        <v>162</v>
      </c>
      <c r="I90" s="540">
        <f t="shared" si="10"/>
        <v>1790</v>
      </c>
      <c r="J90" s="540">
        <f t="shared" si="10"/>
        <v>1829</v>
      </c>
      <c r="K90" s="540">
        <f t="shared" si="10"/>
        <v>1862</v>
      </c>
      <c r="L90" s="336"/>
      <c r="M90" s="540"/>
      <c r="N90" s="540"/>
      <c r="O90" s="540"/>
      <c r="P90" s="540"/>
      <c r="Q90" s="336">
        <f t="shared" ref="Q90:U90" si="11">SUM(Q91:Q115)</f>
        <v>3</v>
      </c>
      <c r="R90" s="540">
        <f t="shared" si="11"/>
        <v>50</v>
      </c>
      <c r="S90" s="540">
        <f t="shared" si="11"/>
        <v>550</v>
      </c>
      <c r="T90" s="540">
        <f t="shared" si="11"/>
        <v>566</v>
      </c>
      <c r="U90" s="540">
        <f t="shared" si="11"/>
        <v>576</v>
      </c>
      <c r="V90" s="343">
        <f>VLOOKUP(B90,'2013년도 용수량 비율'!$A$5:$F$20,6,FALSE)</f>
        <v>0</v>
      </c>
      <c r="W90" s="343"/>
      <c r="X90" s="327"/>
      <c r="Y90" s="327"/>
      <c r="Z90" s="327"/>
      <c r="AA90" s="327"/>
      <c r="AB90" s="327"/>
      <c r="AC90" s="327"/>
      <c r="AD90" s="327"/>
    </row>
    <row r="91" spans="1:45" ht="20.100000000000001" customHeight="1">
      <c r="A91" s="340"/>
      <c r="B91" s="339"/>
      <c r="C91" s="406" t="s">
        <v>1396</v>
      </c>
      <c r="D91" s="330" t="s">
        <v>1299</v>
      </c>
      <c r="E91" s="527">
        <v>1</v>
      </c>
      <c r="F91" s="527" t="s">
        <v>1317</v>
      </c>
      <c r="G91" s="302">
        <f>IF($D91="A",ROUND(VLOOKUP($C91,'[2]2.행정구역별 급수인구'!$C$7:$AD$997,17,FALSE)*$E91,0),IF($D91="B",(ROUND(VLOOKUP($C91,'[2]2.행정구역별 급수인구'!$C$7:$AD$997,17,FALSE)-VLOOKUP($C91,'[2]2.행정구역별 급수인구'!$C$7:$AD$997,17,FALSE)*(1-$E91),0)),VLOOKUP($C91,'[2]2.행정구역별 급수인구'!$C$7:$AD$997,17,FALSE)))</f>
        <v>89</v>
      </c>
      <c r="H91" s="302">
        <f>IF($D91="A",ROUND(VLOOKUP($C91,'[2]2.행정구역별 급수인구'!$C$7:$AD$997,25,FALSE)*$E91,0),IF($D91="B",(ROUND(VLOOKUP($C91,'[2]2.행정구역별 급수인구'!$C$7:$AD$997,25,FALSE)-VLOOKUP($C91,'[2]2.행정구역별 급수인구'!$C$7:$AD$997,25,FALSE)*(1-$E91),0)),VLOOKUP($C91,'[2]2.행정구역별 급수인구'!$C$7:$AD$997,25,FALSE)))</f>
        <v>94</v>
      </c>
      <c r="I91" s="302">
        <f>IF($D91="A",ROUND(VLOOKUP($C91,'[2]2.행정구역별 급수인구'!$C$7:$AD$997,26,FALSE)*$E91,0),IF($D91="B",(ROUND(VLOOKUP($C91,'[2]2.행정구역별 급수인구'!$C$7:$AD$997,26,FALSE)-VLOOKUP($C91,'[2]2.행정구역별 급수인구'!$C$7:$AD$997,26,FALSE)*(1-$E91),0)),VLOOKUP($C91,'[2]2.행정구역별 급수인구'!$C$7:$AD$997,26,FALSE)))</f>
        <v>99</v>
      </c>
      <c r="J91" s="302">
        <f>IF($D91="A",ROUND(VLOOKUP($C91,'[2]2.행정구역별 급수인구'!$C$7:$AD$997,27,FALSE)*$E91,0),IF($D91="B",(ROUND(VLOOKUP($C91,'[2]2.행정구역별 급수인구'!$C$7:$AD$997,27,FALSE)-VLOOKUP($C91,'[2]2.행정구역별 급수인구'!$C$7:$AD$997,27,FALSE)*(1-$E91),0)),VLOOKUP($C91,'[2]2.행정구역별 급수인구'!$C$7:$AD$997,27,FALSE)))</f>
        <v>101</v>
      </c>
      <c r="K91" s="302">
        <f>IF($D91="A",ROUND(VLOOKUP($C91,'[2]2.행정구역별 급수인구'!$C$7:$AD$997,28,FALSE)*$E91,0),IF($D91="B",(ROUND(VLOOKUP($C91,'[2]2.행정구역별 급수인구'!$C$7:$AD$997,28,FALSE)-VLOOKUP($C91,'[2]2.행정구역별 급수인구'!$C$7:$AD$997,28,FALSE)*(1-$E91),0)),VLOOKUP($C91,'[2]2.행정구역별 급수인구'!$C$7:$AD$997,28,FALSE)))</f>
        <v>103</v>
      </c>
      <c r="L91" s="302">
        <f>VLOOKUP($F91,'[3]5.급수원단위'!$B$31:$G$35,2,FALSE)</f>
        <v>272</v>
      </c>
      <c r="M91" s="302">
        <f>VLOOKUP($F91,'[3]5.급수원단위'!$B$31:$G$35,3,FALSE)</f>
        <v>304</v>
      </c>
      <c r="N91" s="302">
        <f>VLOOKUP($F91,'[3]5.급수원단위'!$B$31:$G$35,4,FALSE)</f>
        <v>308</v>
      </c>
      <c r="O91" s="302">
        <f>VLOOKUP($F91,'[3]5.급수원단위'!$B$31:$G$35,5,FALSE)</f>
        <v>310</v>
      </c>
      <c r="P91" s="302">
        <f>VLOOKUP($F91,'[3]5.급수원단위'!$B$31:$G$35,6,FALSE)</f>
        <v>310</v>
      </c>
      <c r="Q91" s="302">
        <f>ROUND(IF(G91=0,0,VLOOKUP(C91,'2013실사용량 정리'!$D$6:$F$381,3,FALSE)),0)</f>
        <v>3</v>
      </c>
      <c r="R91" s="302">
        <f t="shared" ref="R91:U106" si="12">ROUND(H91*M91/1000,0)</f>
        <v>29</v>
      </c>
      <c r="S91" s="302">
        <f t="shared" si="12"/>
        <v>30</v>
      </c>
      <c r="T91" s="302">
        <f t="shared" si="12"/>
        <v>31</v>
      </c>
      <c r="U91" s="302">
        <f t="shared" si="12"/>
        <v>32</v>
      </c>
      <c r="V91" s="327"/>
      <c r="W91" s="343">
        <f t="shared" si="8"/>
        <v>10.666666666666666</v>
      </c>
      <c r="X91" s="327"/>
      <c r="Y91" s="327"/>
      <c r="Z91" s="327"/>
      <c r="AA91" s="327"/>
      <c r="AB91" s="327"/>
      <c r="AC91" s="327"/>
      <c r="AD91" s="327"/>
    </row>
    <row r="92" spans="1:45" ht="20.100000000000001" customHeight="1">
      <c r="A92" s="340"/>
      <c r="B92" s="340"/>
      <c r="C92" s="406" t="s">
        <v>1397</v>
      </c>
      <c r="D92" s="330" t="s">
        <v>1299</v>
      </c>
      <c r="E92" s="527">
        <v>1</v>
      </c>
      <c r="F92" s="527" t="s">
        <v>1317</v>
      </c>
      <c r="G92" s="302">
        <f>IF($D92="A",ROUND(VLOOKUP($C92,'[2]2.행정구역별 급수인구'!$C$7:$AD$997,17,FALSE)*$E92,0),IF($D92="B",(ROUND(VLOOKUP($C92,'[2]2.행정구역별 급수인구'!$C$7:$AD$997,17,FALSE)-VLOOKUP($C92,'[2]2.행정구역별 급수인구'!$C$7:$AD$997,17,FALSE)*(1-$E92),0)),VLOOKUP($C92,'[2]2.행정구역별 급수인구'!$C$7:$AD$997,17,FALSE)))</f>
        <v>0</v>
      </c>
      <c r="H92" s="302">
        <f>IF($D92="A",ROUND(VLOOKUP($C92,'[2]2.행정구역별 급수인구'!$C$7:$AD$997,25,FALSE)*$E92,0),IF($D92="B",(ROUND(VLOOKUP($C92,'[2]2.행정구역별 급수인구'!$C$7:$AD$997,25,FALSE)-VLOOKUP($C92,'[2]2.행정구역별 급수인구'!$C$7:$AD$997,25,FALSE)*(1-$E92),0)),VLOOKUP($C92,'[2]2.행정구역별 급수인구'!$C$7:$AD$997,25,FALSE)))</f>
        <v>68</v>
      </c>
      <c r="I92" s="302">
        <f>IF($D92="A",ROUND(VLOOKUP($C92,'[2]2.행정구역별 급수인구'!$C$7:$AD$997,26,FALSE)*$E92,0),IF($D92="B",(ROUND(VLOOKUP($C92,'[2]2.행정구역별 급수인구'!$C$7:$AD$997,26,FALSE)-VLOOKUP($C92,'[2]2.행정구역별 급수인구'!$C$7:$AD$997,26,FALSE)*(1-$E92),0)),VLOOKUP($C92,'[2]2.행정구역별 급수인구'!$C$7:$AD$997,26,FALSE)))</f>
        <v>102</v>
      </c>
      <c r="J92" s="302">
        <f>IF($D92="A",ROUND(VLOOKUP($C92,'[2]2.행정구역별 급수인구'!$C$7:$AD$997,27,FALSE)*$E92,0),IF($D92="B",(ROUND(VLOOKUP($C92,'[2]2.행정구역별 급수인구'!$C$7:$AD$997,27,FALSE)-VLOOKUP($C92,'[2]2.행정구역별 급수인구'!$C$7:$AD$997,27,FALSE)*(1-$E92),0)),VLOOKUP($C92,'[2]2.행정구역별 급수인구'!$C$7:$AD$997,27,FALSE)))</f>
        <v>104</v>
      </c>
      <c r="K92" s="302">
        <f>IF($D92="A",ROUND(VLOOKUP($C92,'[2]2.행정구역별 급수인구'!$C$7:$AD$997,28,FALSE)*$E92,0),IF($D92="B",(ROUND(VLOOKUP($C92,'[2]2.행정구역별 급수인구'!$C$7:$AD$997,28,FALSE)-VLOOKUP($C92,'[2]2.행정구역별 급수인구'!$C$7:$AD$997,28,FALSE)*(1-$E92),0)),VLOOKUP($C92,'[2]2.행정구역별 급수인구'!$C$7:$AD$997,28,FALSE)))</f>
        <v>106</v>
      </c>
      <c r="L92" s="302">
        <f>VLOOKUP($F92,'[3]5.급수원단위'!$B$31:$G$35,2,FALSE)</f>
        <v>272</v>
      </c>
      <c r="M92" s="302">
        <f>VLOOKUP($F92,'[3]5.급수원단위'!$B$31:$G$35,3,FALSE)</f>
        <v>304</v>
      </c>
      <c r="N92" s="302">
        <f>VLOOKUP($F92,'[3]5.급수원단위'!$B$31:$G$35,4,FALSE)</f>
        <v>308</v>
      </c>
      <c r="O92" s="302">
        <f>VLOOKUP($F92,'[3]5.급수원단위'!$B$31:$G$35,5,FALSE)</f>
        <v>310</v>
      </c>
      <c r="P92" s="302">
        <f>VLOOKUP($F92,'[3]5.급수원단위'!$B$31:$G$35,6,FALSE)</f>
        <v>310</v>
      </c>
      <c r="Q92" s="302">
        <f>ROUND(IF(G92=0,0,VLOOKUP(C92,'2013실사용량 정리'!$D$6:$F$381,3,FALSE)),0)</f>
        <v>0</v>
      </c>
      <c r="R92" s="302">
        <f t="shared" si="12"/>
        <v>21</v>
      </c>
      <c r="S92" s="302">
        <f t="shared" si="12"/>
        <v>31</v>
      </c>
      <c r="T92" s="302">
        <f t="shared" si="12"/>
        <v>32</v>
      </c>
      <c r="U92" s="302">
        <f t="shared" si="12"/>
        <v>33</v>
      </c>
      <c r="V92" s="327"/>
      <c r="W92" s="343" t="str">
        <f t="shared" si="8"/>
        <v/>
      </c>
      <c r="X92" s="327"/>
      <c r="Y92" s="327"/>
      <c r="Z92" s="327"/>
      <c r="AA92" s="327"/>
      <c r="AB92" s="327"/>
      <c r="AC92" s="327"/>
      <c r="AD92" s="327"/>
    </row>
    <row r="93" spans="1:45" ht="20.100000000000001" customHeight="1">
      <c r="A93" s="340"/>
      <c r="B93" s="340"/>
      <c r="C93" s="406" t="s">
        <v>1778</v>
      </c>
      <c r="D93" s="330" t="s">
        <v>1299</v>
      </c>
      <c r="E93" s="527">
        <v>1</v>
      </c>
      <c r="F93" s="527" t="s">
        <v>756</v>
      </c>
      <c r="G93" s="302">
        <f>IF($D93="A",ROUND(VLOOKUP($C93,'[2]2.행정구역별 급수인구'!$C$7:$AD$997,17,FALSE)*$E93,0),IF($D93="B",(ROUND(VLOOKUP($C93,'[2]2.행정구역별 급수인구'!$C$7:$AD$997,17,FALSE)-VLOOKUP($C93,'[2]2.행정구역별 급수인구'!$C$7:$AD$997,17,FALSE)*(1-$E93),0)),VLOOKUP($C93,'[2]2.행정구역별 급수인구'!$C$7:$AD$997,17,FALSE)))</f>
        <v>0</v>
      </c>
      <c r="H93" s="302">
        <f>IF($D93="A",ROUND(VLOOKUP($C93,'[2]2.행정구역별 급수인구'!$C$7:$AD$997,25,FALSE)*$E93,0),IF($D93="B",(ROUND(VLOOKUP($C93,'[2]2.행정구역별 급수인구'!$C$7:$AD$997,25,FALSE)-VLOOKUP($C93,'[2]2.행정구역별 급수인구'!$C$7:$AD$997,25,FALSE)*(1-$E93),0)),VLOOKUP($C93,'[2]2.행정구역별 급수인구'!$C$7:$AD$997,25,FALSE)))</f>
        <v>0</v>
      </c>
      <c r="I93" s="302">
        <f>IF($D93="A",ROUND(VLOOKUP($C93,'[2]2.행정구역별 급수인구'!$C$7:$AD$997,26,FALSE)*$E93,0),IF($D93="B",(ROUND(VLOOKUP($C93,'[2]2.행정구역별 급수인구'!$C$7:$AD$997,26,FALSE)-VLOOKUP($C93,'[2]2.행정구역별 급수인구'!$C$7:$AD$997,26,FALSE)*(1-$E93),0)),VLOOKUP($C93,'[2]2.행정구역별 급수인구'!$C$7:$AD$997,26,FALSE)))</f>
        <v>208</v>
      </c>
      <c r="J93" s="302">
        <f>IF($D93="A",ROUND(VLOOKUP($C93,'[2]2.행정구역별 급수인구'!$C$7:$AD$997,27,FALSE)*$E93,0),IF($D93="B",(ROUND(VLOOKUP($C93,'[2]2.행정구역별 급수인구'!$C$7:$AD$997,27,FALSE)-VLOOKUP($C93,'[2]2.행정구역별 급수인구'!$C$7:$AD$997,27,FALSE)*(1-$E93),0)),VLOOKUP($C93,'[2]2.행정구역별 급수인구'!$C$7:$AD$997,27,FALSE)))</f>
        <v>212</v>
      </c>
      <c r="K93" s="302">
        <f>IF($D93="A",ROUND(VLOOKUP($C93,'[2]2.행정구역별 급수인구'!$C$7:$AD$997,28,FALSE)*$E93,0),IF($D93="B",(ROUND(VLOOKUP($C93,'[2]2.행정구역별 급수인구'!$C$7:$AD$997,28,FALSE)-VLOOKUP($C93,'[2]2.행정구역별 급수인구'!$C$7:$AD$997,28,FALSE)*(1-$E93),0)),VLOOKUP($C93,'[2]2.행정구역별 급수인구'!$C$7:$AD$997,28,FALSE)))</f>
        <v>216</v>
      </c>
      <c r="L93" s="302">
        <f>VLOOKUP($F93,'[3]5.급수원단위'!$B$31:$G$35,2,FALSE)</f>
        <v>272</v>
      </c>
      <c r="M93" s="302">
        <f>VLOOKUP($F93,'[3]5.급수원단위'!$B$31:$G$35,3,FALSE)</f>
        <v>304</v>
      </c>
      <c r="N93" s="302">
        <f>VLOOKUP($F93,'[3]5.급수원단위'!$B$31:$G$35,4,FALSE)</f>
        <v>308</v>
      </c>
      <c r="O93" s="302">
        <f>VLOOKUP($F93,'[3]5.급수원단위'!$B$31:$G$35,5,FALSE)</f>
        <v>310</v>
      </c>
      <c r="P93" s="302">
        <f>VLOOKUP($F93,'[3]5.급수원단위'!$B$31:$G$35,6,FALSE)</f>
        <v>310</v>
      </c>
      <c r="Q93" s="302">
        <f>ROUND(IF(G93=0,0,VLOOKUP(C93,'2013실사용량 정리'!$D$6:$F$381,3,FALSE)),0)</f>
        <v>0</v>
      </c>
      <c r="R93" s="302">
        <f t="shared" si="12"/>
        <v>0</v>
      </c>
      <c r="S93" s="302">
        <f t="shared" si="12"/>
        <v>64</v>
      </c>
      <c r="T93" s="302">
        <f t="shared" si="12"/>
        <v>66</v>
      </c>
      <c r="U93" s="302">
        <f t="shared" si="12"/>
        <v>67</v>
      </c>
      <c r="V93" s="327"/>
      <c r="W93" s="343" t="str">
        <f t="shared" si="8"/>
        <v/>
      </c>
      <c r="X93" s="327"/>
      <c r="Y93" s="327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</row>
    <row r="94" spans="1:45" ht="20.100000000000001" customHeight="1">
      <c r="A94" s="340"/>
      <c r="B94" s="340"/>
      <c r="C94" s="537" t="s">
        <v>1376</v>
      </c>
      <c r="D94" s="532" t="s">
        <v>1299</v>
      </c>
      <c r="E94" s="527">
        <v>0</v>
      </c>
      <c r="F94" s="527" t="s">
        <v>1317</v>
      </c>
      <c r="G94" s="302">
        <f>IF($D94="A",ROUND(VLOOKUP($C94,'[2]2.행정구역별 급수인구'!$C$7:$AD$997,17,FALSE)*$E94,0),IF($D94="B",(ROUND(VLOOKUP($C94,'[2]2.행정구역별 급수인구'!$C$7:$AD$997,17,FALSE)-VLOOKUP($C94,'[2]2.행정구역별 급수인구'!$C$7:$AD$997,17,FALSE)*(1-$E94),0)),VLOOKUP($C94,'[2]2.행정구역별 급수인구'!$C$7:$AD$997,17,FALSE)))</f>
        <v>0</v>
      </c>
      <c r="H94" s="538">
        <f>IF($D94="A",ROUND(VLOOKUP($C94,'[2]2.행정구역별 급수인구'!$C$7:$AD$997,25,FALSE)*$E94,0),IF($D94="B",(ROUND(VLOOKUP($C94,'[2]2.행정구역별 급수인구'!$C$7:$AD$997,25,FALSE)-VLOOKUP($C94,'[2]2.행정구역별 급수인구'!$C$7:$AD$997,25,FALSE)*(1-$E94),0)),VLOOKUP($C94,'[2]2.행정구역별 급수인구'!$C$7:$AD$997,25,FALSE)))</f>
        <v>0</v>
      </c>
      <c r="I94" s="538">
        <f>IF($D94="A",ROUND(VLOOKUP($C94,'[2]2.행정구역별 급수인구'!$C$7:$AD$997,26,FALSE)*$E94,0),IF($D94="B",(ROUND(VLOOKUP($C94,'[2]2.행정구역별 급수인구'!$C$7:$AD$997,26,FALSE)-VLOOKUP($C94,'[2]2.행정구역별 급수인구'!$C$7:$AD$997,26,FALSE)*(1-$E94),0)),VLOOKUP($C94,'[2]2.행정구역별 급수인구'!$C$7:$AD$997,26,FALSE)))</f>
        <v>0</v>
      </c>
      <c r="J94" s="538">
        <f>IF($D94="A",ROUND(VLOOKUP($C94,'[2]2.행정구역별 급수인구'!$C$7:$AD$997,27,FALSE)*$E94,0),IF($D94="B",(ROUND(VLOOKUP($C94,'[2]2.행정구역별 급수인구'!$C$7:$AD$997,27,FALSE)-VLOOKUP($C94,'[2]2.행정구역별 급수인구'!$C$7:$AD$997,27,FALSE)*(1-$E94),0)),VLOOKUP($C94,'[2]2.행정구역별 급수인구'!$C$7:$AD$997,27,FALSE)))</f>
        <v>0</v>
      </c>
      <c r="K94" s="538">
        <f>IF($D94="A",ROUND(VLOOKUP($C94,'[2]2.행정구역별 급수인구'!$C$7:$AD$997,28,FALSE)*$E94,0),IF($D94="B",(ROUND(VLOOKUP($C94,'[2]2.행정구역별 급수인구'!$C$7:$AD$997,28,FALSE)-VLOOKUP($C94,'[2]2.행정구역별 급수인구'!$C$7:$AD$997,28,FALSE)*(1-$E94),0)),VLOOKUP($C94,'[2]2.행정구역별 급수인구'!$C$7:$AD$997,28,FALSE)))</f>
        <v>0</v>
      </c>
      <c r="L94" s="302">
        <f>VLOOKUP($F94,'[3]5.급수원단위'!$B$31:$G$35,2,FALSE)</f>
        <v>272</v>
      </c>
      <c r="M94" s="538">
        <f>VLOOKUP($F94,'[3]5.급수원단위'!$B$31:$G$35,3,FALSE)</f>
        <v>304</v>
      </c>
      <c r="N94" s="538">
        <f>VLOOKUP($F94,'[3]5.급수원단위'!$B$31:$G$35,4,FALSE)</f>
        <v>308</v>
      </c>
      <c r="O94" s="538">
        <f>VLOOKUP($F94,'[3]5.급수원단위'!$B$31:$G$35,5,FALSE)</f>
        <v>310</v>
      </c>
      <c r="P94" s="538">
        <f>VLOOKUP($F94,'[3]5.급수원단위'!$B$31:$G$35,6,FALSE)</f>
        <v>310</v>
      </c>
      <c r="Q94" s="302">
        <f>ROUND(IF(G94=0,0,VLOOKUP(C94,'2013실사용량 정리'!$D$6:$F$381,3,FALSE)),0)</f>
        <v>0</v>
      </c>
      <c r="R94" s="538">
        <f t="shared" si="12"/>
        <v>0</v>
      </c>
      <c r="S94" s="538">
        <f t="shared" si="12"/>
        <v>0</v>
      </c>
      <c r="T94" s="538">
        <f t="shared" si="12"/>
        <v>0</v>
      </c>
      <c r="U94" s="538">
        <f t="shared" si="12"/>
        <v>0</v>
      </c>
      <c r="V94" s="327"/>
      <c r="W94" s="343" t="str">
        <f t="shared" si="8"/>
        <v/>
      </c>
      <c r="X94" s="327"/>
      <c r="Y94" s="327"/>
      <c r="Z94" s="327"/>
      <c r="AA94" s="327"/>
      <c r="AB94" s="327"/>
      <c r="AC94" s="327"/>
      <c r="AD94" s="327"/>
    </row>
    <row r="95" spans="1:45" ht="20.100000000000001" customHeight="1">
      <c r="A95" s="340"/>
      <c r="B95" s="340"/>
      <c r="C95" s="406" t="s">
        <v>1377</v>
      </c>
      <c r="D95" s="330" t="s">
        <v>1299</v>
      </c>
      <c r="E95" s="527">
        <v>0</v>
      </c>
      <c r="F95" s="527" t="s">
        <v>1317</v>
      </c>
      <c r="G95" s="302">
        <f>IF($D95="A",ROUND(VLOOKUP($C95,'[2]2.행정구역별 급수인구'!$C$7:$AD$997,17,FALSE)*$E95,0),IF($D95="B",(ROUND(VLOOKUP($C95,'[2]2.행정구역별 급수인구'!$C$7:$AD$997,17,FALSE)-VLOOKUP($C95,'[2]2.행정구역별 급수인구'!$C$7:$AD$997,17,FALSE)*(1-$E95),0)),VLOOKUP($C95,'[2]2.행정구역별 급수인구'!$C$7:$AD$997,17,FALSE)))</f>
        <v>0</v>
      </c>
      <c r="H95" s="302">
        <f>IF($D95="A",ROUND(VLOOKUP($C95,'[2]2.행정구역별 급수인구'!$C$7:$AD$997,25,FALSE)*$E95,0),IF($D95="B",(ROUND(VLOOKUP($C95,'[2]2.행정구역별 급수인구'!$C$7:$AD$997,25,FALSE)-VLOOKUP($C95,'[2]2.행정구역별 급수인구'!$C$7:$AD$997,25,FALSE)*(1-$E95),0)),VLOOKUP($C95,'[2]2.행정구역별 급수인구'!$C$7:$AD$997,25,FALSE)))</f>
        <v>0</v>
      </c>
      <c r="I95" s="302">
        <f>IF($D95="A",ROUND(VLOOKUP($C95,'[2]2.행정구역별 급수인구'!$C$7:$AD$997,26,FALSE)*$E95,0),IF($D95="B",(ROUND(VLOOKUP($C95,'[2]2.행정구역별 급수인구'!$C$7:$AD$997,26,FALSE)-VLOOKUP($C95,'[2]2.행정구역별 급수인구'!$C$7:$AD$997,26,FALSE)*(1-$E95),0)),VLOOKUP($C95,'[2]2.행정구역별 급수인구'!$C$7:$AD$997,26,FALSE)))</f>
        <v>0</v>
      </c>
      <c r="J95" s="302">
        <f>IF($D95="A",ROUND(VLOOKUP($C95,'[2]2.행정구역별 급수인구'!$C$7:$AD$997,27,FALSE)*$E95,0),IF($D95="B",(ROUND(VLOOKUP($C95,'[2]2.행정구역별 급수인구'!$C$7:$AD$997,27,FALSE)-VLOOKUP($C95,'[2]2.행정구역별 급수인구'!$C$7:$AD$997,27,FALSE)*(1-$E95),0)),VLOOKUP($C95,'[2]2.행정구역별 급수인구'!$C$7:$AD$997,27,FALSE)))</f>
        <v>0</v>
      </c>
      <c r="K95" s="302">
        <f>IF($D95="A",ROUND(VLOOKUP($C95,'[2]2.행정구역별 급수인구'!$C$7:$AD$997,28,FALSE)*$E95,0),IF($D95="B",(ROUND(VLOOKUP($C95,'[2]2.행정구역별 급수인구'!$C$7:$AD$997,28,FALSE)-VLOOKUP($C95,'[2]2.행정구역별 급수인구'!$C$7:$AD$997,28,FALSE)*(1-$E95),0)),VLOOKUP($C95,'[2]2.행정구역별 급수인구'!$C$7:$AD$997,28,FALSE)))</f>
        <v>0</v>
      </c>
      <c r="L95" s="302">
        <f>VLOOKUP($F95,'[3]5.급수원단위'!$B$31:$G$35,2,FALSE)</f>
        <v>272</v>
      </c>
      <c r="M95" s="302">
        <f>VLOOKUP($F95,'[3]5.급수원단위'!$B$31:$G$35,3,FALSE)</f>
        <v>304</v>
      </c>
      <c r="N95" s="302">
        <f>VLOOKUP($F95,'[3]5.급수원단위'!$B$31:$G$35,4,FALSE)</f>
        <v>308</v>
      </c>
      <c r="O95" s="302">
        <f>VLOOKUP($F95,'[3]5.급수원단위'!$B$31:$G$35,5,FALSE)</f>
        <v>310</v>
      </c>
      <c r="P95" s="302">
        <f>VLOOKUP($F95,'[3]5.급수원단위'!$B$31:$G$35,6,FALSE)</f>
        <v>310</v>
      </c>
      <c r="Q95" s="302">
        <f>ROUND(IF(G95=0,0,VLOOKUP(C95,'2013실사용량 정리'!$D$6:$F$381,3,FALSE)),0)</f>
        <v>0</v>
      </c>
      <c r="R95" s="302">
        <f t="shared" si="12"/>
        <v>0</v>
      </c>
      <c r="S95" s="302">
        <f t="shared" si="12"/>
        <v>0</v>
      </c>
      <c r="T95" s="302">
        <f t="shared" si="12"/>
        <v>0</v>
      </c>
      <c r="U95" s="302">
        <f t="shared" si="12"/>
        <v>0</v>
      </c>
      <c r="V95" s="327"/>
      <c r="W95" s="343" t="str">
        <f t="shared" si="8"/>
        <v/>
      </c>
      <c r="X95" s="327"/>
      <c r="Y95" s="327"/>
      <c r="Z95" s="327"/>
      <c r="AA95" s="327"/>
      <c r="AB95" s="327"/>
      <c r="AC95" s="327"/>
      <c r="AD95" s="327"/>
    </row>
    <row r="96" spans="1:45" ht="20.100000000000001" customHeight="1">
      <c r="A96" s="340"/>
      <c r="B96" s="340"/>
      <c r="C96" s="406" t="s">
        <v>1378</v>
      </c>
      <c r="D96" s="330" t="s">
        <v>1299</v>
      </c>
      <c r="E96" s="527">
        <v>0</v>
      </c>
      <c r="F96" s="527" t="s">
        <v>1317</v>
      </c>
      <c r="G96" s="302">
        <f>IF($D96="A",ROUND(VLOOKUP($C96,'[2]2.행정구역별 급수인구'!$C$7:$AD$997,17,FALSE)*$E96,0),IF($D96="B",(ROUND(VLOOKUP($C96,'[2]2.행정구역별 급수인구'!$C$7:$AD$997,17,FALSE)-VLOOKUP($C96,'[2]2.행정구역별 급수인구'!$C$7:$AD$997,17,FALSE)*(1-$E96),0)),VLOOKUP($C96,'[2]2.행정구역별 급수인구'!$C$7:$AD$997,17,FALSE)))</f>
        <v>0</v>
      </c>
      <c r="H96" s="302">
        <f>IF($D96="A",ROUND(VLOOKUP($C96,'[2]2.행정구역별 급수인구'!$C$7:$AD$997,25,FALSE)*$E96,0),IF($D96="B",(ROUND(VLOOKUP($C96,'[2]2.행정구역별 급수인구'!$C$7:$AD$997,25,FALSE)-VLOOKUP($C96,'[2]2.행정구역별 급수인구'!$C$7:$AD$997,25,FALSE)*(1-$E96),0)),VLOOKUP($C96,'[2]2.행정구역별 급수인구'!$C$7:$AD$997,25,FALSE)))</f>
        <v>0</v>
      </c>
      <c r="I96" s="302">
        <f>IF($D96="A",ROUND(VLOOKUP($C96,'[2]2.행정구역별 급수인구'!$C$7:$AD$997,26,FALSE)*$E96,0),IF($D96="B",(ROUND(VLOOKUP($C96,'[2]2.행정구역별 급수인구'!$C$7:$AD$997,26,FALSE)-VLOOKUP($C96,'[2]2.행정구역별 급수인구'!$C$7:$AD$997,26,FALSE)*(1-$E96),0)),VLOOKUP($C96,'[2]2.행정구역별 급수인구'!$C$7:$AD$997,26,FALSE)))</f>
        <v>0</v>
      </c>
      <c r="J96" s="302">
        <f>IF($D96="A",ROUND(VLOOKUP($C96,'[2]2.행정구역별 급수인구'!$C$7:$AD$997,27,FALSE)*$E96,0),IF($D96="B",(ROUND(VLOOKUP($C96,'[2]2.행정구역별 급수인구'!$C$7:$AD$997,27,FALSE)-VLOOKUP($C96,'[2]2.행정구역별 급수인구'!$C$7:$AD$997,27,FALSE)*(1-$E96),0)),VLOOKUP($C96,'[2]2.행정구역별 급수인구'!$C$7:$AD$997,27,FALSE)))</f>
        <v>0</v>
      </c>
      <c r="K96" s="302">
        <f>IF($D96="A",ROUND(VLOOKUP($C96,'[2]2.행정구역별 급수인구'!$C$7:$AD$997,28,FALSE)*$E96,0),IF($D96="B",(ROUND(VLOOKUP($C96,'[2]2.행정구역별 급수인구'!$C$7:$AD$997,28,FALSE)-VLOOKUP($C96,'[2]2.행정구역별 급수인구'!$C$7:$AD$997,28,FALSE)*(1-$E96),0)),VLOOKUP($C96,'[2]2.행정구역별 급수인구'!$C$7:$AD$997,28,FALSE)))</f>
        <v>0</v>
      </c>
      <c r="L96" s="302">
        <f>VLOOKUP($F96,'[3]5.급수원단위'!$B$31:$G$35,2,FALSE)</f>
        <v>272</v>
      </c>
      <c r="M96" s="302">
        <f>VLOOKUP($F96,'[3]5.급수원단위'!$B$31:$G$35,3,FALSE)</f>
        <v>304</v>
      </c>
      <c r="N96" s="302">
        <f>VLOOKUP($F96,'[3]5.급수원단위'!$B$31:$G$35,4,FALSE)</f>
        <v>308</v>
      </c>
      <c r="O96" s="302">
        <f>VLOOKUP($F96,'[3]5.급수원단위'!$B$31:$G$35,5,FALSE)</f>
        <v>310</v>
      </c>
      <c r="P96" s="302">
        <f>VLOOKUP($F96,'[3]5.급수원단위'!$B$31:$G$35,6,FALSE)</f>
        <v>310</v>
      </c>
      <c r="Q96" s="302">
        <f>ROUND(IF(G96=0,0,VLOOKUP(C96,'2013실사용량 정리'!$D$6:$F$381,3,FALSE)),0)</f>
        <v>0</v>
      </c>
      <c r="R96" s="302">
        <f t="shared" si="12"/>
        <v>0</v>
      </c>
      <c r="S96" s="302">
        <f t="shared" si="12"/>
        <v>0</v>
      </c>
      <c r="T96" s="302">
        <f t="shared" si="12"/>
        <v>0</v>
      </c>
      <c r="U96" s="302">
        <f t="shared" si="12"/>
        <v>0</v>
      </c>
      <c r="V96" s="327"/>
      <c r="W96" s="343" t="str">
        <f t="shared" si="8"/>
        <v/>
      </c>
      <c r="X96" s="327"/>
      <c r="Y96" s="327"/>
      <c r="Z96" s="327"/>
      <c r="AA96" s="327"/>
      <c r="AB96" s="327"/>
      <c r="AC96" s="327"/>
      <c r="AD96" s="327"/>
    </row>
    <row r="97" spans="1:30" ht="20.100000000000001" customHeight="1">
      <c r="A97" s="340"/>
      <c r="B97" s="340"/>
      <c r="C97" s="406" t="s">
        <v>1379</v>
      </c>
      <c r="D97" s="330" t="s">
        <v>1299</v>
      </c>
      <c r="E97" s="527">
        <v>0</v>
      </c>
      <c r="F97" s="527" t="s">
        <v>1317</v>
      </c>
      <c r="G97" s="302">
        <f>IF($D97="A",ROUND(VLOOKUP($C97,'[2]2.행정구역별 급수인구'!$C$7:$AD$997,17,FALSE)*$E97,0),IF($D97="B",(ROUND(VLOOKUP($C97,'[2]2.행정구역별 급수인구'!$C$7:$AD$997,17,FALSE)-VLOOKUP($C97,'[2]2.행정구역별 급수인구'!$C$7:$AD$997,17,FALSE)*(1-$E97),0)),VLOOKUP($C97,'[2]2.행정구역별 급수인구'!$C$7:$AD$997,17,FALSE)))</f>
        <v>0</v>
      </c>
      <c r="H97" s="302">
        <f>IF($D97="A",ROUND(VLOOKUP($C97,'[2]2.행정구역별 급수인구'!$C$7:$AD$997,25,FALSE)*$E97,0),IF($D97="B",(ROUND(VLOOKUP($C97,'[2]2.행정구역별 급수인구'!$C$7:$AD$997,25,FALSE)-VLOOKUP($C97,'[2]2.행정구역별 급수인구'!$C$7:$AD$997,25,FALSE)*(1-$E97),0)),VLOOKUP($C97,'[2]2.행정구역별 급수인구'!$C$7:$AD$997,25,FALSE)))</f>
        <v>0</v>
      </c>
      <c r="I97" s="302">
        <f>IF($D97="A",ROUND(VLOOKUP($C97,'[2]2.행정구역별 급수인구'!$C$7:$AD$997,26,FALSE)*$E97,0),IF($D97="B",(ROUND(VLOOKUP($C97,'[2]2.행정구역별 급수인구'!$C$7:$AD$997,26,FALSE)-VLOOKUP($C97,'[2]2.행정구역별 급수인구'!$C$7:$AD$997,26,FALSE)*(1-$E97),0)),VLOOKUP($C97,'[2]2.행정구역별 급수인구'!$C$7:$AD$997,26,FALSE)))</f>
        <v>0</v>
      </c>
      <c r="J97" s="302">
        <f>IF($D97="A",ROUND(VLOOKUP($C97,'[2]2.행정구역별 급수인구'!$C$7:$AD$997,27,FALSE)*$E97,0),IF($D97="B",(ROUND(VLOOKUP($C97,'[2]2.행정구역별 급수인구'!$C$7:$AD$997,27,FALSE)-VLOOKUP($C97,'[2]2.행정구역별 급수인구'!$C$7:$AD$997,27,FALSE)*(1-$E97),0)),VLOOKUP($C97,'[2]2.행정구역별 급수인구'!$C$7:$AD$997,27,FALSE)))</f>
        <v>0</v>
      </c>
      <c r="K97" s="302">
        <f>IF($D97="A",ROUND(VLOOKUP($C97,'[2]2.행정구역별 급수인구'!$C$7:$AD$997,28,FALSE)*$E97,0),IF($D97="B",(ROUND(VLOOKUP($C97,'[2]2.행정구역별 급수인구'!$C$7:$AD$997,28,FALSE)-VLOOKUP($C97,'[2]2.행정구역별 급수인구'!$C$7:$AD$997,28,FALSE)*(1-$E97),0)),VLOOKUP($C97,'[2]2.행정구역별 급수인구'!$C$7:$AD$997,28,FALSE)))</f>
        <v>0</v>
      </c>
      <c r="L97" s="302">
        <f>VLOOKUP($F97,'[3]5.급수원단위'!$B$31:$G$35,2,FALSE)</f>
        <v>272</v>
      </c>
      <c r="M97" s="302">
        <f>VLOOKUP($F97,'[3]5.급수원단위'!$B$31:$G$35,3,FALSE)</f>
        <v>304</v>
      </c>
      <c r="N97" s="302">
        <f>VLOOKUP($F97,'[3]5.급수원단위'!$B$31:$G$35,4,FALSE)</f>
        <v>308</v>
      </c>
      <c r="O97" s="302">
        <f>VLOOKUP($F97,'[3]5.급수원단위'!$B$31:$G$35,5,FALSE)</f>
        <v>310</v>
      </c>
      <c r="P97" s="302">
        <f>VLOOKUP($F97,'[3]5.급수원단위'!$B$31:$G$35,6,FALSE)</f>
        <v>310</v>
      </c>
      <c r="Q97" s="302">
        <f>ROUND(IF(G97=0,0,VLOOKUP(C97,'2013실사용량 정리'!$D$6:$F$381,3,FALSE)),0)</f>
        <v>0</v>
      </c>
      <c r="R97" s="302">
        <f t="shared" si="12"/>
        <v>0</v>
      </c>
      <c r="S97" s="302">
        <f t="shared" si="12"/>
        <v>0</v>
      </c>
      <c r="T97" s="302">
        <f t="shared" si="12"/>
        <v>0</v>
      </c>
      <c r="U97" s="302">
        <f t="shared" si="12"/>
        <v>0</v>
      </c>
      <c r="V97" s="327"/>
      <c r="W97" s="343" t="str">
        <f t="shared" si="8"/>
        <v/>
      </c>
      <c r="X97" s="327"/>
      <c r="Y97" s="327"/>
      <c r="Z97" s="327"/>
      <c r="AA97" s="327"/>
      <c r="AB97" s="327"/>
      <c r="AC97" s="327"/>
      <c r="AD97" s="327"/>
    </row>
    <row r="98" spans="1:30" ht="20.100000000000001" customHeight="1">
      <c r="A98" s="340"/>
      <c r="B98" s="340"/>
      <c r="C98" s="406" t="s">
        <v>1380</v>
      </c>
      <c r="D98" s="330" t="s">
        <v>1299</v>
      </c>
      <c r="E98" s="527">
        <v>0</v>
      </c>
      <c r="F98" s="527" t="s">
        <v>1317</v>
      </c>
      <c r="G98" s="302">
        <f>IF($D98="A",ROUND(VLOOKUP($C98,'[2]2.행정구역별 급수인구'!$C$7:$AD$997,17,FALSE)*$E98,0),IF($D98="B",(ROUND(VLOOKUP($C98,'[2]2.행정구역별 급수인구'!$C$7:$AD$997,17,FALSE)-VLOOKUP($C98,'[2]2.행정구역별 급수인구'!$C$7:$AD$997,17,FALSE)*(1-$E98),0)),VLOOKUP($C98,'[2]2.행정구역별 급수인구'!$C$7:$AD$997,17,FALSE)))</f>
        <v>0</v>
      </c>
      <c r="H98" s="302">
        <f>IF($D98="A",ROUND(VLOOKUP($C98,'[2]2.행정구역별 급수인구'!$C$7:$AD$997,25,FALSE)*$E98,0),IF($D98="B",(ROUND(VLOOKUP($C98,'[2]2.행정구역별 급수인구'!$C$7:$AD$997,25,FALSE)-VLOOKUP($C98,'[2]2.행정구역별 급수인구'!$C$7:$AD$997,25,FALSE)*(1-$E98),0)),VLOOKUP($C98,'[2]2.행정구역별 급수인구'!$C$7:$AD$997,25,FALSE)))</f>
        <v>0</v>
      </c>
      <c r="I98" s="302">
        <f>IF($D98="A",ROUND(VLOOKUP($C98,'[2]2.행정구역별 급수인구'!$C$7:$AD$997,26,FALSE)*$E98,0),IF($D98="B",(ROUND(VLOOKUP($C98,'[2]2.행정구역별 급수인구'!$C$7:$AD$997,26,FALSE)-VLOOKUP($C98,'[2]2.행정구역별 급수인구'!$C$7:$AD$997,26,FALSE)*(1-$E98),0)),VLOOKUP($C98,'[2]2.행정구역별 급수인구'!$C$7:$AD$997,26,FALSE)))</f>
        <v>0</v>
      </c>
      <c r="J98" s="302">
        <f>IF($D98="A",ROUND(VLOOKUP($C98,'[2]2.행정구역별 급수인구'!$C$7:$AD$997,27,FALSE)*$E98,0),IF($D98="B",(ROUND(VLOOKUP($C98,'[2]2.행정구역별 급수인구'!$C$7:$AD$997,27,FALSE)-VLOOKUP($C98,'[2]2.행정구역별 급수인구'!$C$7:$AD$997,27,FALSE)*(1-$E98),0)),VLOOKUP($C98,'[2]2.행정구역별 급수인구'!$C$7:$AD$997,27,FALSE)))</f>
        <v>0</v>
      </c>
      <c r="K98" s="302">
        <f>IF($D98="A",ROUND(VLOOKUP($C98,'[2]2.행정구역별 급수인구'!$C$7:$AD$997,28,FALSE)*$E98,0),IF($D98="B",(ROUND(VLOOKUP($C98,'[2]2.행정구역별 급수인구'!$C$7:$AD$997,28,FALSE)-VLOOKUP($C98,'[2]2.행정구역별 급수인구'!$C$7:$AD$997,28,FALSE)*(1-$E98),0)),VLOOKUP($C98,'[2]2.행정구역별 급수인구'!$C$7:$AD$997,28,FALSE)))</f>
        <v>0</v>
      </c>
      <c r="L98" s="302">
        <f>VLOOKUP($F98,'[3]5.급수원단위'!$B$31:$G$35,2,FALSE)</f>
        <v>272</v>
      </c>
      <c r="M98" s="302">
        <f>VLOOKUP($F98,'[3]5.급수원단위'!$B$31:$G$35,3,FALSE)</f>
        <v>304</v>
      </c>
      <c r="N98" s="302">
        <f>VLOOKUP($F98,'[3]5.급수원단위'!$B$31:$G$35,4,FALSE)</f>
        <v>308</v>
      </c>
      <c r="O98" s="302">
        <f>VLOOKUP($F98,'[3]5.급수원단위'!$B$31:$G$35,5,FALSE)</f>
        <v>310</v>
      </c>
      <c r="P98" s="302">
        <f>VLOOKUP($F98,'[3]5.급수원단위'!$B$31:$G$35,6,FALSE)</f>
        <v>310</v>
      </c>
      <c r="Q98" s="302">
        <f>ROUND(IF(G98=0,0,VLOOKUP(C98,'2013실사용량 정리'!$D$6:$F$381,3,FALSE)),0)</f>
        <v>0</v>
      </c>
      <c r="R98" s="302">
        <f t="shared" si="12"/>
        <v>0</v>
      </c>
      <c r="S98" s="302">
        <f t="shared" si="12"/>
        <v>0</v>
      </c>
      <c r="T98" s="302">
        <f t="shared" si="12"/>
        <v>0</v>
      </c>
      <c r="U98" s="302">
        <f t="shared" si="12"/>
        <v>0</v>
      </c>
      <c r="V98" s="327"/>
      <c r="W98" s="343" t="str">
        <f t="shared" si="8"/>
        <v/>
      </c>
      <c r="X98" s="327"/>
      <c r="Y98" s="327"/>
      <c r="Z98" s="327"/>
      <c r="AA98" s="327"/>
      <c r="AB98" s="327"/>
      <c r="AC98" s="327"/>
      <c r="AD98" s="327"/>
    </row>
    <row r="99" spans="1:30" ht="20.100000000000001" customHeight="1">
      <c r="A99" s="340"/>
      <c r="B99" s="340"/>
      <c r="C99" s="406" t="s">
        <v>1381</v>
      </c>
      <c r="D99" s="330" t="s">
        <v>1299</v>
      </c>
      <c r="E99" s="527">
        <v>0</v>
      </c>
      <c r="F99" s="527" t="s">
        <v>1317</v>
      </c>
      <c r="G99" s="302">
        <f>IF($D99="A",ROUND(VLOOKUP($C99,'[2]2.행정구역별 급수인구'!$C$7:$AD$997,17,FALSE)*$E99,0),IF($D99="B",(ROUND(VLOOKUP($C99,'[2]2.행정구역별 급수인구'!$C$7:$AD$997,17,FALSE)-VLOOKUP($C99,'[2]2.행정구역별 급수인구'!$C$7:$AD$997,17,FALSE)*(1-$E99),0)),VLOOKUP($C99,'[2]2.행정구역별 급수인구'!$C$7:$AD$997,17,FALSE)))</f>
        <v>0</v>
      </c>
      <c r="H99" s="302">
        <f>IF($D99="A",ROUND(VLOOKUP($C99,'[2]2.행정구역별 급수인구'!$C$7:$AD$997,25,FALSE)*$E99,0),IF($D99="B",(ROUND(VLOOKUP($C99,'[2]2.행정구역별 급수인구'!$C$7:$AD$997,25,FALSE)-VLOOKUP($C99,'[2]2.행정구역별 급수인구'!$C$7:$AD$997,25,FALSE)*(1-$E99),0)),VLOOKUP($C99,'[2]2.행정구역별 급수인구'!$C$7:$AD$997,25,FALSE)))</f>
        <v>0</v>
      </c>
      <c r="I99" s="302">
        <f>IF($D99="A",ROUND(VLOOKUP($C99,'[2]2.행정구역별 급수인구'!$C$7:$AD$997,26,FALSE)*$E99,0),IF($D99="B",(ROUND(VLOOKUP($C99,'[2]2.행정구역별 급수인구'!$C$7:$AD$997,26,FALSE)-VLOOKUP($C99,'[2]2.행정구역별 급수인구'!$C$7:$AD$997,26,FALSE)*(1-$E99),0)),VLOOKUP($C99,'[2]2.행정구역별 급수인구'!$C$7:$AD$997,26,FALSE)))</f>
        <v>0</v>
      </c>
      <c r="J99" s="302">
        <f>IF($D99="A",ROUND(VLOOKUP($C99,'[2]2.행정구역별 급수인구'!$C$7:$AD$997,27,FALSE)*$E99,0),IF($D99="B",(ROUND(VLOOKUP($C99,'[2]2.행정구역별 급수인구'!$C$7:$AD$997,27,FALSE)-VLOOKUP($C99,'[2]2.행정구역별 급수인구'!$C$7:$AD$997,27,FALSE)*(1-$E99),0)),VLOOKUP($C99,'[2]2.행정구역별 급수인구'!$C$7:$AD$997,27,FALSE)))</f>
        <v>0</v>
      </c>
      <c r="K99" s="302">
        <f>IF($D99="A",ROUND(VLOOKUP($C99,'[2]2.행정구역별 급수인구'!$C$7:$AD$997,28,FALSE)*$E99,0),IF($D99="B",(ROUND(VLOOKUP($C99,'[2]2.행정구역별 급수인구'!$C$7:$AD$997,28,FALSE)-VLOOKUP($C99,'[2]2.행정구역별 급수인구'!$C$7:$AD$997,28,FALSE)*(1-$E99),0)),VLOOKUP($C99,'[2]2.행정구역별 급수인구'!$C$7:$AD$997,28,FALSE)))</f>
        <v>0</v>
      </c>
      <c r="L99" s="302">
        <f>VLOOKUP($F99,'[3]5.급수원단위'!$B$31:$G$35,2,FALSE)</f>
        <v>272</v>
      </c>
      <c r="M99" s="302">
        <f>VLOOKUP($F99,'[3]5.급수원단위'!$B$31:$G$35,3,FALSE)</f>
        <v>304</v>
      </c>
      <c r="N99" s="302">
        <f>VLOOKUP($F99,'[3]5.급수원단위'!$B$31:$G$35,4,FALSE)</f>
        <v>308</v>
      </c>
      <c r="O99" s="302">
        <f>VLOOKUP($F99,'[3]5.급수원단위'!$B$31:$G$35,5,FALSE)</f>
        <v>310</v>
      </c>
      <c r="P99" s="302">
        <f>VLOOKUP($F99,'[3]5.급수원단위'!$B$31:$G$35,6,FALSE)</f>
        <v>310</v>
      </c>
      <c r="Q99" s="302">
        <f>ROUND(IF(G99=0,0,VLOOKUP(C99,'2013실사용량 정리'!$D$6:$F$381,3,FALSE)),0)</f>
        <v>0</v>
      </c>
      <c r="R99" s="302">
        <f t="shared" si="12"/>
        <v>0</v>
      </c>
      <c r="S99" s="302">
        <f t="shared" si="12"/>
        <v>0</v>
      </c>
      <c r="T99" s="302">
        <f t="shared" si="12"/>
        <v>0</v>
      </c>
      <c r="U99" s="302">
        <f t="shared" si="12"/>
        <v>0</v>
      </c>
      <c r="V99" s="327"/>
      <c r="W99" s="343" t="str">
        <f t="shared" si="8"/>
        <v/>
      </c>
      <c r="X99" s="327"/>
      <c r="Y99" s="327"/>
      <c r="Z99" s="327"/>
      <c r="AA99" s="327"/>
      <c r="AB99" s="327"/>
      <c r="AC99" s="327"/>
      <c r="AD99" s="327"/>
    </row>
    <row r="100" spans="1:30" ht="20.100000000000001" customHeight="1">
      <c r="A100" s="340"/>
      <c r="B100" s="340"/>
      <c r="C100" s="406" t="s">
        <v>1382</v>
      </c>
      <c r="D100" s="330" t="s">
        <v>1299</v>
      </c>
      <c r="E100" s="527">
        <v>0</v>
      </c>
      <c r="F100" s="527" t="s">
        <v>1317</v>
      </c>
      <c r="G100" s="302">
        <f>IF($D100="A",ROUND(VLOOKUP($C100,'[2]2.행정구역별 급수인구'!$C$7:$AD$997,17,FALSE)*$E100,0),IF($D100="B",(ROUND(VLOOKUP($C100,'[2]2.행정구역별 급수인구'!$C$7:$AD$997,17,FALSE)-VLOOKUP($C100,'[2]2.행정구역별 급수인구'!$C$7:$AD$997,17,FALSE)*(1-$E100),0)),VLOOKUP($C100,'[2]2.행정구역별 급수인구'!$C$7:$AD$997,17,FALSE)))</f>
        <v>0</v>
      </c>
      <c r="H100" s="302">
        <f>IF($D100="A",ROUND(VLOOKUP($C100,'[2]2.행정구역별 급수인구'!$C$7:$AD$997,25,FALSE)*$E100,0),IF($D100="B",(ROUND(VLOOKUP($C100,'[2]2.행정구역별 급수인구'!$C$7:$AD$997,25,FALSE)-VLOOKUP($C100,'[2]2.행정구역별 급수인구'!$C$7:$AD$997,25,FALSE)*(1-$E100),0)),VLOOKUP($C100,'[2]2.행정구역별 급수인구'!$C$7:$AD$997,25,FALSE)))</f>
        <v>0</v>
      </c>
      <c r="I100" s="302">
        <f>IF($D100="A",ROUND(VLOOKUP($C100,'[2]2.행정구역별 급수인구'!$C$7:$AD$997,26,FALSE)*$E100,0),IF($D100="B",(ROUND(VLOOKUP($C100,'[2]2.행정구역별 급수인구'!$C$7:$AD$997,26,FALSE)-VLOOKUP($C100,'[2]2.행정구역별 급수인구'!$C$7:$AD$997,26,FALSE)*(1-$E100),0)),VLOOKUP($C100,'[2]2.행정구역별 급수인구'!$C$7:$AD$997,26,FALSE)))</f>
        <v>0</v>
      </c>
      <c r="J100" s="302">
        <f>IF($D100="A",ROUND(VLOOKUP($C100,'[2]2.행정구역별 급수인구'!$C$7:$AD$997,27,FALSE)*$E100,0),IF($D100="B",(ROUND(VLOOKUP($C100,'[2]2.행정구역별 급수인구'!$C$7:$AD$997,27,FALSE)-VLOOKUP($C100,'[2]2.행정구역별 급수인구'!$C$7:$AD$997,27,FALSE)*(1-$E100),0)),VLOOKUP($C100,'[2]2.행정구역별 급수인구'!$C$7:$AD$997,27,FALSE)))</f>
        <v>0</v>
      </c>
      <c r="K100" s="302">
        <f>IF($D100="A",ROUND(VLOOKUP($C100,'[2]2.행정구역별 급수인구'!$C$7:$AD$997,28,FALSE)*$E100,0),IF($D100="B",(ROUND(VLOOKUP($C100,'[2]2.행정구역별 급수인구'!$C$7:$AD$997,28,FALSE)-VLOOKUP($C100,'[2]2.행정구역별 급수인구'!$C$7:$AD$997,28,FALSE)*(1-$E100),0)),VLOOKUP($C100,'[2]2.행정구역별 급수인구'!$C$7:$AD$997,28,FALSE)))</f>
        <v>0</v>
      </c>
      <c r="L100" s="302">
        <f>VLOOKUP($F100,'[3]5.급수원단위'!$B$31:$G$35,2,FALSE)</f>
        <v>272</v>
      </c>
      <c r="M100" s="302">
        <f>VLOOKUP($F100,'[3]5.급수원단위'!$B$31:$G$35,3,FALSE)</f>
        <v>304</v>
      </c>
      <c r="N100" s="302">
        <f>VLOOKUP($F100,'[3]5.급수원단위'!$B$31:$G$35,4,FALSE)</f>
        <v>308</v>
      </c>
      <c r="O100" s="302">
        <f>VLOOKUP($F100,'[3]5.급수원단위'!$B$31:$G$35,5,FALSE)</f>
        <v>310</v>
      </c>
      <c r="P100" s="302">
        <f>VLOOKUP($F100,'[3]5.급수원단위'!$B$31:$G$35,6,FALSE)</f>
        <v>310</v>
      </c>
      <c r="Q100" s="302">
        <f>ROUND(IF(G100=0,0,VLOOKUP(C100,'2013실사용량 정리'!$D$6:$F$381,3,FALSE)),0)</f>
        <v>0</v>
      </c>
      <c r="R100" s="302">
        <f t="shared" si="12"/>
        <v>0</v>
      </c>
      <c r="S100" s="302">
        <f t="shared" si="12"/>
        <v>0</v>
      </c>
      <c r="T100" s="302">
        <f t="shared" si="12"/>
        <v>0</v>
      </c>
      <c r="U100" s="302">
        <f t="shared" si="12"/>
        <v>0</v>
      </c>
      <c r="V100" s="327"/>
      <c r="W100" s="343" t="str">
        <f t="shared" si="8"/>
        <v/>
      </c>
      <c r="X100" s="327"/>
      <c r="Y100" s="327"/>
      <c r="Z100" s="327"/>
      <c r="AA100" s="327"/>
      <c r="AB100" s="327"/>
      <c r="AC100" s="327"/>
      <c r="AD100" s="327"/>
    </row>
    <row r="101" spans="1:30" ht="20.100000000000001" customHeight="1">
      <c r="A101" s="340"/>
      <c r="B101" s="340"/>
      <c r="C101" s="406" t="s">
        <v>1383</v>
      </c>
      <c r="D101" s="330" t="s">
        <v>1299</v>
      </c>
      <c r="E101" s="527">
        <v>0</v>
      </c>
      <c r="F101" s="527" t="s">
        <v>1317</v>
      </c>
      <c r="G101" s="302">
        <f>IF($D101="A",ROUND(VLOOKUP($C101,'[2]2.행정구역별 급수인구'!$C$7:$AD$997,17,FALSE)*$E101,0),IF($D101="B",(ROUND(VLOOKUP($C101,'[2]2.행정구역별 급수인구'!$C$7:$AD$997,17,FALSE)-VLOOKUP($C101,'[2]2.행정구역별 급수인구'!$C$7:$AD$997,17,FALSE)*(1-$E101),0)),VLOOKUP($C101,'[2]2.행정구역별 급수인구'!$C$7:$AD$997,17,FALSE)))</f>
        <v>0</v>
      </c>
      <c r="H101" s="302">
        <f>IF($D101="A",ROUND(VLOOKUP($C101,'[2]2.행정구역별 급수인구'!$C$7:$AD$997,25,FALSE)*$E101,0),IF($D101="B",(ROUND(VLOOKUP($C101,'[2]2.행정구역별 급수인구'!$C$7:$AD$997,25,FALSE)-VLOOKUP($C101,'[2]2.행정구역별 급수인구'!$C$7:$AD$997,25,FALSE)*(1-$E101),0)),VLOOKUP($C101,'[2]2.행정구역별 급수인구'!$C$7:$AD$997,25,FALSE)))</f>
        <v>0</v>
      </c>
      <c r="I101" s="302">
        <f>IF($D101="A",ROUND(VLOOKUP($C101,'[2]2.행정구역별 급수인구'!$C$7:$AD$997,26,FALSE)*$E101,0),IF($D101="B",(ROUND(VLOOKUP($C101,'[2]2.행정구역별 급수인구'!$C$7:$AD$997,26,FALSE)-VLOOKUP($C101,'[2]2.행정구역별 급수인구'!$C$7:$AD$997,26,FALSE)*(1-$E101),0)),VLOOKUP($C101,'[2]2.행정구역별 급수인구'!$C$7:$AD$997,26,FALSE)))</f>
        <v>0</v>
      </c>
      <c r="J101" s="302">
        <f>IF($D101="A",ROUND(VLOOKUP($C101,'[2]2.행정구역별 급수인구'!$C$7:$AD$997,27,FALSE)*$E101,0),IF($D101="B",(ROUND(VLOOKUP($C101,'[2]2.행정구역별 급수인구'!$C$7:$AD$997,27,FALSE)-VLOOKUP($C101,'[2]2.행정구역별 급수인구'!$C$7:$AD$997,27,FALSE)*(1-$E101),0)),VLOOKUP($C101,'[2]2.행정구역별 급수인구'!$C$7:$AD$997,27,FALSE)))</f>
        <v>0</v>
      </c>
      <c r="K101" s="302">
        <f>IF($D101="A",ROUND(VLOOKUP($C101,'[2]2.행정구역별 급수인구'!$C$7:$AD$997,28,FALSE)*$E101,0),IF($D101="B",(ROUND(VLOOKUP($C101,'[2]2.행정구역별 급수인구'!$C$7:$AD$997,28,FALSE)-VLOOKUP($C101,'[2]2.행정구역별 급수인구'!$C$7:$AD$997,28,FALSE)*(1-$E101),0)),VLOOKUP($C101,'[2]2.행정구역별 급수인구'!$C$7:$AD$997,28,FALSE)))</f>
        <v>0</v>
      </c>
      <c r="L101" s="302">
        <f>VLOOKUP($F101,'[3]5.급수원단위'!$B$31:$G$35,2,FALSE)</f>
        <v>272</v>
      </c>
      <c r="M101" s="302">
        <f>VLOOKUP($F101,'[3]5.급수원단위'!$B$31:$G$35,3,FALSE)</f>
        <v>304</v>
      </c>
      <c r="N101" s="302">
        <f>VLOOKUP($F101,'[3]5.급수원단위'!$B$31:$G$35,4,FALSE)</f>
        <v>308</v>
      </c>
      <c r="O101" s="302">
        <f>VLOOKUP($F101,'[3]5.급수원단위'!$B$31:$G$35,5,FALSE)</f>
        <v>310</v>
      </c>
      <c r="P101" s="302">
        <f>VLOOKUP($F101,'[3]5.급수원단위'!$B$31:$G$35,6,FALSE)</f>
        <v>310</v>
      </c>
      <c r="Q101" s="302">
        <f>ROUND(IF(G101=0,0,VLOOKUP(C101,'2013실사용량 정리'!$D$6:$F$381,3,FALSE)),0)</f>
        <v>0</v>
      </c>
      <c r="R101" s="302">
        <f t="shared" si="12"/>
        <v>0</v>
      </c>
      <c r="S101" s="302">
        <f t="shared" si="12"/>
        <v>0</v>
      </c>
      <c r="T101" s="302">
        <f t="shared" si="12"/>
        <v>0</v>
      </c>
      <c r="U101" s="302">
        <f t="shared" si="12"/>
        <v>0</v>
      </c>
      <c r="V101" s="327"/>
      <c r="W101" s="343" t="str">
        <f t="shared" si="8"/>
        <v/>
      </c>
      <c r="X101" s="327"/>
      <c r="Y101" s="327"/>
      <c r="Z101" s="327"/>
      <c r="AA101" s="327"/>
      <c r="AB101" s="327"/>
      <c r="AC101" s="327"/>
      <c r="AD101" s="327"/>
    </row>
    <row r="102" spans="1:30" ht="20.100000000000001" customHeight="1">
      <c r="A102" s="340"/>
      <c r="B102" s="340"/>
      <c r="C102" s="535" t="s">
        <v>1384</v>
      </c>
      <c r="D102" s="530" t="s">
        <v>1299</v>
      </c>
      <c r="E102" s="527">
        <v>0</v>
      </c>
      <c r="F102" s="527" t="s">
        <v>1317</v>
      </c>
      <c r="G102" s="302">
        <f>IF($D102="A",ROUND(VLOOKUP($C102,'[2]2.행정구역별 급수인구'!$C$7:$AD$997,17,FALSE)*$E102,0),IF($D102="B",(ROUND(VLOOKUP($C102,'[2]2.행정구역별 급수인구'!$C$7:$AD$997,17,FALSE)-VLOOKUP($C102,'[2]2.행정구역별 급수인구'!$C$7:$AD$997,17,FALSE)*(1-$E102),0)),VLOOKUP($C102,'[2]2.행정구역별 급수인구'!$C$7:$AD$997,17,FALSE)))</f>
        <v>0</v>
      </c>
      <c r="H102" s="536">
        <f>IF($D102="A",ROUND(VLOOKUP($C102,'[2]2.행정구역별 급수인구'!$C$7:$AD$997,25,FALSE)*$E102,0),IF($D102="B",(ROUND(VLOOKUP($C102,'[2]2.행정구역별 급수인구'!$C$7:$AD$997,25,FALSE)-VLOOKUP($C102,'[2]2.행정구역별 급수인구'!$C$7:$AD$997,25,FALSE)*(1-$E102),0)),VLOOKUP($C102,'[2]2.행정구역별 급수인구'!$C$7:$AD$997,25,FALSE)))</f>
        <v>0</v>
      </c>
      <c r="I102" s="536">
        <f>IF($D102="A",ROUND(VLOOKUP($C102,'[2]2.행정구역별 급수인구'!$C$7:$AD$997,26,FALSE)*$E102,0),IF($D102="B",(ROUND(VLOOKUP($C102,'[2]2.행정구역별 급수인구'!$C$7:$AD$997,26,FALSE)-VLOOKUP($C102,'[2]2.행정구역별 급수인구'!$C$7:$AD$997,26,FALSE)*(1-$E102),0)),VLOOKUP($C102,'[2]2.행정구역별 급수인구'!$C$7:$AD$997,26,FALSE)))</f>
        <v>0</v>
      </c>
      <c r="J102" s="536">
        <f>IF($D102="A",ROUND(VLOOKUP($C102,'[2]2.행정구역별 급수인구'!$C$7:$AD$997,27,FALSE)*$E102,0),IF($D102="B",(ROUND(VLOOKUP($C102,'[2]2.행정구역별 급수인구'!$C$7:$AD$997,27,FALSE)-VLOOKUP($C102,'[2]2.행정구역별 급수인구'!$C$7:$AD$997,27,FALSE)*(1-$E102),0)),VLOOKUP($C102,'[2]2.행정구역별 급수인구'!$C$7:$AD$997,27,FALSE)))</f>
        <v>0</v>
      </c>
      <c r="K102" s="536">
        <f>IF($D102="A",ROUND(VLOOKUP($C102,'[2]2.행정구역별 급수인구'!$C$7:$AD$997,28,FALSE)*$E102,0),IF($D102="B",(ROUND(VLOOKUP($C102,'[2]2.행정구역별 급수인구'!$C$7:$AD$997,28,FALSE)-VLOOKUP($C102,'[2]2.행정구역별 급수인구'!$C$7:$AD$997,28,FALSE)*(1-$E102),0)),VLOOKUP($C102,'[2]2.행정구역별 급수인구'!$C$7:$AD$997,28,FALSE)))</f>
        <v>0</v>
      </c>
      <c r="L102" s="302">
        <f>VLOOKUP($F102,'[3]5.급수원단위'!$B$31:$G$35,2,FALSE)</f>
        <v>272</v>
      </c>
      <c r="M102" s="536">
        <f>VLOOKUP($F102,'[3]5.급수원단위'!$B$31:$G$35,3,FALSE)</f>
        <v>304</v>
      </c>
      <c r="N102" s="536">
        <f>VLOOKUP($F102,'[3]5.급수원단위'!$B$31:$G$35,4,FALSE)</f>
        <v>308</v>
      </c>
      <c r="O102" s="536">
        <f>VLOOKUP($F102,'[3]5.급수원단위'!$B$31:$G$35,5,FALSE)</f>
        <v>310</v>
      </c>
      <c r="P102" s="536">
        <f>VLOOKUP($F102,'[3]5.급수원단위'!$B$31:$G$35,6,FALSE)</f>
        <v>310</v>
      </c>
      <c r="Q102" s="302">
        <f>ROUND(IF(G102=0,0,VLOOKUP(C102,'2013실사용량 정리'!$D$6:$F$381,3,FALSE)),0)</f>
        <v>0</v>
      </c>
      <c r="R102" s="536">
        <f t="shared" si="12"/>
        <v>0</v>
      </c>
      <c r="S102" s="536">
        <f t="shared" si="12"/>
        <v>0</v>
      </c>
      <c r="T102" s="536">
        <f t="shared" si="12"/>
        <v>0</v>
      </c>
      <c r="U102" s="536">
        <f t="shared" si="12"/>
        <v>0</v>
      </c>
      <c r="V102" s="327"/>
      <c r="W102" s="343" t="str">
        <f t="shared" si="8"/>
        <v/>
      </c>
      <c r="X102" s="327"/>
      <c r="Y102" s="327"/>
      <c r="Z102" s="327"/>
      <c r="AA102" s="327"/>
      <c r="AB102" s="327"/>
      <c r="AC102" s="327"/>
      <c r="AD102" s="327"/>
    </row>
    <row r="103" spans="1:30" ht="20.100000000000001" customHeight="1">
      <c r="A103" s="340"/>
      <c r="B103" s="340"/>
      <c r="C103" s="406" t="s">
        <v>1390</v>
      </c>
      <c r="D103" s="330" t="s">
        <v>1299</v>
      </c>
      <c r="E103" s="527">
        <v>1</v>
      </c>
      <c r="F103" s="527" t="s">
        <v>1317</v>
      </c>
      <c r="G103" s="302">
        <f>IF($D103="A",ROUND(VLOOKUP($C103,'[2]2.행정구역별 급수인구'!$C$7:$AD$997,17,FALSE)*$E103,0),IF($D103="B",(ROUND(VLOOKUP($C103,'[2]2.행정구역별 급수인구'!$C$7:$AD$997,17,FALSE)-VLOOKUP($C103,'[2]2.행정구역별 급수인구'!$C$7:$AD$997,17,FALSE)*(1-$E103),0)),VLOOKUP($C103,'[2]2.행정구역별 급수인구'!$C$7:$AD$997,17,FALSE)))</f>
        <v>0</v>
      </c>
      <c r="H103" s="302">
        <f>IF($D103="A",ROUND(VLOOKUP($C103,'[2]2.행정구역별 급수인구'!$C$7:$AD$997,25,FALSE)*$E103,0),IF($D103="B",(ROUND(VLOOKUP($C103,'[2]2.행정구역별 급수인구'!$C$7:$AD$997,25,FALSE)-VLOOKUP($C103,'[2]2.행정구역별 급수인구'!$C$7:$AD$997,25,FALSE)*(1-$E103),0)),VLOOKUP($C103,'[2]2.행정구역별 급수인구'!$C$7:$AD$997,25,FALSE)))</f>
        <v>0</v>
      </c>
      <c r="I103" s="302">
        <f>IF($D103="A",ROUND(VLOOKUP($C103,'[2]2.행정구역별 급수인구'!$C$7:$AD$997,26,FALSE)*$E103,0),IF($D103="B",(ROUND(VLOOKUP($C103,'[2]2.행정구역별 급수인구'!$C$7:$AD$997,26,FALSE)-VLOOKUP($C103,'[2]2.행정구역별 급수인구'!$C$7:$AD$997,26,FALSE)*(1-$E103),0)),VLOOKUP($C103,'[2]2.행정구역별 급수인구'!$C$7:$AD$997,26,FALSE)))</f>
        <v>135</v>
      </c>
      <c r="J103" s="302">
        <f>IF($D103="A",ROUND(VLOOKUP($C103,'[2]2.행정구역별 급수인구'!$C$7:$AD$997,27,FALSE)*$E103,0),IF($D103="B",(ROUND(VLOOKUP($C103,'[2]2.행정구역별 급수인구'!$C$7:$AD$997,27,FALSE)-VLOOKUP($C103,'[2]2.행정구역별 급수인구'!$C$7:$AD$997,27,FALSE)*(1-$E103),0)),VLOOKUP($C103,'[2]2.행정구역별 급수인구'!$C$7:$AD$997,27,FALSE)))</f>
        <v>138</v>
      </c>
      <c r="K103" s="302">
        <f>IF($D103="A",ROUND(VLOOKUP($C103,'[2]2.행정구역별 급수인구'!$C$7:$AD$997,28,FALSE)*$E103,0),IF($D103="B",(ROUND(VLOOKUP($C103,'[2]2.행정구역별 급수인구'!$C$7:$AD$997,28,FALSE)-VLOOKUP($C103,'[2]2.행정구역별 급수인구'!$C$7:$AD$997,28,FALSE)*(1-$E103),0)),VLOOKUP($C103,'[2]2.행정구역별 급수인구'!$C$7:$AD$997,28,FALSE)))</f>
        <v>141</v>
      </c>
      <c r="L103" s="302">
        <f>VLOOKUP($F103,'[3]5.급수원단위'!$B$31:$G$35,2,FALSE)</f>
        <v>272</v>
      </c>
      <c r="M103" s="302">
        <f>VLOOKUP($F103,'[3]5.급수원단위'!$B$31:$G$35,3,FALSE)</f>
        <v>304</v>
      </c>
      <c r="N103" s="302">
        <f>VLOOKUP($F103,'[3]5.급수원단위'!$B$31:$G$35,4,FALSE)</f>
        <v>308</v>
      </c>
      <c r="O103" s="302">
        <f>VLOOKUP($F103,'[3]5.급수원단위'!$B$31:$G$35,5,FALSE)</f>
        <v>310</v>
      </c>
      <c r="P103" s="302">
        <f>VLOOKUP($F103,'[3]5.급수원단위'!$B$31:$G$35,6,FALSE)</f>
        <v>310</v>
      </c>
      <c r="Q103" s="302">
        <f>ROUND(IF(G103=0,0,VLOOKUP(C103,'2013실사용량 정리'!$D$6:$F$381,3,FALSE)),0)</f>
        <v>0</v>
      </c>
      <c r="R103" s="302">
        <f t="shared" si="12"/>
        <v>0</v>
      </c>
      <c r="S103" s="302">
        <f t="shared" si="12"/>
        <v>42</v>
      </c>
      <c r="T103" s="302">
        <f t="shared" si="12"/>
        <v>43</v>
      </c>
      <c r="U103" s="302">
        <f t="shared" si="12"/>
        <v>44</v>
      </c>
      <c r="V103" s="327"/>
      <c r="W103" s="343" t="str">
        <f t="shared" si="8"/>
        <v/>
      </c>
      <c r="X103" s="327"/>
      <c r="Y103" s="327"/>
      <c r="Z103" s="327"/>
      <c r="AA103" s="327"/>
      <c r="AB103" s="327"/>
      <c r="AC103" s="327"/>
      <c r="AD103" s="327"/>
    </row>
    <row r="104" spans="1:30" ht="20.100000000000001" customHeight="1">
      <c r="A104" s="340"/>
      <c r="B104" s="340"/>
      <c r="C104" s="406" t="s">
        <v>1391</v>
      </c>
      <c r="D104" s="330" t="s">
        <v>1299</v>
      </c>
      <c r="E104" s="527">
        <v>1</v>
      </c>
      <c r="F104" s="527" t="s">
        <v>1317</v>
      </c>
      <c r="G104" s="302">
        <f>IF($D104="A",ROUND(VLOOKUP($C104,'[2]2.행정구역별 급수인구'!$C$7:$AD$997,17,FALSE)*$E104,0),IF($D104="B",(ROUND(VLOOKUP($C104,'[2]2.행정구역별 급수인구'!$C$7:$AD$997,17,FALSE)-VLOOKUP($C104,'[2]2.행정구역별 급수인구'!$C$7:$AD$997,17,FALSE)*(1-$E104),0)),VLOOKUP($C104,'[2]2.행정구역별 급수인구'!$C$7:$AD$997,17,FALSE)))</f>
        <v>0</v>
      </c>
      <c r="H104" s="302">
        <f>IF($D104="A",ROUND(VLOOKUP($C104,'[2]2.행정구역별 급수인구'!$C$7:$AD$997,25,FALSE)*$E104,0),IF($D104="B",(ROUND(VLOOKUP($C104,'[2]2.행정구역별 급수인구'!$C$7:$AD$997,25,FALSE)-VLOOKUP($C104,'[2]2.행정구역별 급수인구'!$C$7:$AD$997,25,FALSE)*(1-$E104),0)),VLOOKUP($C104,'[2]2.행정구역별 급수인구'!$C$7:$AD$997,25,FALSE)))</f>
        <v>0</v>
      </c>
      <c r="I104" s="302">
        <f>IF($D104="A",ROUND(VLOOKUP($C104,'[2]2.행정구역별 급수인구'!$C$7:$AD$997,26,FALSE)*$E104,0),IF($D104="B",(ROUND(VLOOKUP($C104,'[2]2.행정구역별 급수인구'!$C$7:$AD$997,26,FALSE)-VLOOKUP($C104,'[2]2.행정구역별 급수인구'!$C$7:$AD$997,26,FALSE)*(1-$E104),0)),VLOOKUP($C104,'[2]2.행정구역별 급수인구'!$C$7:$AD$997,26,FALSE)))</f>
        <v>82</v>
      </c>
      <c r="J104" s="302">
        <f>IF($D104="A",ROUND(VLOOKUP($C104,'[2]2.행정구역별 급수인구'!$C$7:$AD$997,27,FALSE)*$E104,0),IF($D104="B",(ROUND(VLOOKUP($C104,'[2]2.행정구역별 급수인구'!$C$7:$AD$997,27,FALSE)-VLOOKUP($C104,'[2]2.행정구역별 급수인구'!$C$7:$AD$997,27,FALSE)*(1-$E104),0)),VLOOKUP($C104,'[2]2.행정구역별 급수인구'!$C$7:$AD$997,27,FALSE)))</f>
        <v>84</v>
      </c>
      <c r="K104" s="302">
        <f>IF($D104="A",ROUND(VLOOKUP($C104,'[2]2.행정구역별 급수인구'!$C$7:$AD$997,28,FALSE)*$E104,0),IF($D104="B",(ROUND(VLOOKUP($C104,'[2]2.행정구역별 급수인구'!$C$7:$AD$997,28,FALSE)-VLOOKUP($C104,'[2]2.행정구역별 급수인구'!$C$7:$AD$997,28,FALSE)*(1-$E104),0)),VLOOKUP($C104,'[2]2.행정구역별 급수인구'!$C$7:$AD$997,28,FALSE)))</f>
        <v>85</v>
      </c>
      <c r="L104" s="302">
        <f>VLOOKUP($F104,'[3]5.급수원단위'!$B$31:$G$35,2,FALSE)</f>
        <v>272</v>
      </c>
      <c r="M104" s="302">
        <f>VLOOKUP($F104,'[3]5.급수원단위'!$B$31:$G$35,3,FALSE)</f>
        <v>304</v>
      </c>
      <c r="N104" s="302">
        <f>VLOOKUP($F104,'[3]5.급수원단위'!$B$31:$G$35,4,FALSE)</f>
        <v>308</v>
      </c>
      <c r="O104" s="302">
        <f>VLOOKUP($F104,'[3]5.급수원단위'!$B$31:$G$35,5,FALSE)</f>
        <v>310</v>
      </c>
      <c r="P104" s="302">
        <f>VLOOKUP($F104,'[3]5.급수원단위'!$B$31:$G$35,6,FALSE)</f>
        <v>310</v>
      </c>
      <c r="Q104" s="302">
        <f>ROUND(IF(G104=0,0,VLOOKUP(C104,'2013실사용량 정리'!$D$6:$F$381,3,FALSE)),0)</f>
        <v>0</v>
      </c>
      <c r="R104" s="302">
        <f t="shared" si="12"/>
        <v>0</v>
      </c>
      <c r="S104" s="302">
        <f t="shared" si="12"/>
        <v>25</v>
      </c>
      <c r="T104" s="302">
        <f t="shared" si="12"/>
        <v>26</v>
      </c>
      <c r="U104" s="302">
        <f t="shared" si="12"/>
        <v>26</v>
      </c>
      <c r="V104" s="327"/>
      <c r="W104" s="343" t="str">
        <f t="shared" si="8"/>
        <v/>
      </c>
      <c r="X104" s="327"/>
      <c r="Y104" s="327"/>
      <c r="Z104" s="327"/>
      <c r="AA104" s="327"/>
      <c r="AB104" s="327"/>
      <c r="AC104" s="327"/>
      <c r="AD104" s="327"/>
    </row>
    <row r="105" spans="1:30" ht="20.100000000000001" customHeight="1">
      <c r="A105" s="340"/>
      <c r="B105" s="340"/>
      <c r="C105" s="406" t="s">
        <v>1392</v>
      </c>
      <c r="D105" s="330" t="s">
        <v>1299</v>
      </c>
      <c r="E105" s="527">
        <v>1</v>
      </c>
      <c r="F105" s="527" t="s">
        <v>1317</v>
      </c>
      <c r="G105" s="302">
        <f>IF($D105="A",ROUND(VLOOKUP($C105,'[2]2.행정구역별 급수인구'!$C$7:$AD$997,17,FALSE)*$E105,0),IF($D105="B",(ROUND(VLOOKUP($C105,'[2]2.행정구역별 급수인구'!$C$7:$AD$997,17,FALSE)-VLOOKUP($C105,'[2]2.행정구역별 급수인구'!$C$7:$AD$997,17,FALSE)*(1-$E105),0)),VLOOKUP($C105,'[2]2.행정구역별 급수인구'!$C$7:$AD$997,17,FALSE)))</f>
        <v>0</v>
      </c>
      <c r="H105" s="302">
        <f>IF($D105="A",ROUND(VLOOKUP($C105,'[2]2.행정구역별 급수인구'!$C$7:$AD$997,25,FALSE)*$E105,0),IF($D105="B",(ROUND(VLOOKUP($C105,'[2]2.행정구역별 급수인구'!$C$7:$AD$997,25,FALSE)-VLOOKUP($C105,'[2]2.행정구역별 급수인구'!$C$7:$AD$997,25,FALSE)*(1-$E105),0)),VLOOKUP($C105,'[2]2.행정구역별 급수인구'!$C$7:$AD$997,25,FALSE)))</f>
        <v>0</v>
      </c>
      <c r="I105" s="302">
        <f>IF($D105="A",ROUND(VLOOKUP($C105,'[2]2.행정구역별 급수인구'!$C$7:$AD$997,26,FALSE)*$E105,0),IF($D105="B",(ROUND(VLOOKUP($C105,'[2]2.행정구역별 급수인구'!$C$7:$AD$997,26,FALSE)-VLOOKUP($C105,'[2]2.행정구역별 급수인구'!$C$7:$AD$997,26,FALSE)*(1-$E105),0)),VLOOKUP($C105,'[2]2.행정구역별 급수인구'!$C$7:$AD$997,26,FALSE)))</f>
        <v>133</v>
      </c>
      <c r="J105" s="302">
        <f>IF($D105="A",ROUND(VLOOKUP($C105,'[2]2.행정구역별 급수인구'!$C$7:$AD$997,27,FALSE)*$E105,0),IF($D105="B",(ROUND(VLOOKUP($C105,'[2]2.행정구역별 급수인구'!$C$7:$AD$997,27,FALSE)-VLOOKUP($C105,'[2]2.행정구역별 급수인구'!$C$7:$AD$997,27,FALSE)*(1-$E105),0)),VLOOKUP($C105,'[2]2.행정구역별 급수인구'!$C$7:$AD$997,27,FALSE)))</f>
        <v>136</v>
      </c>
      <c r="K105" s="302">
        <f>IF($D105="A",ROUND(VLOOKUP($C105,'[2]2.행정구역별 급수인구'!$C$7:$AD$997,28,FALSE)*$E105,0),IF($D105="B",(ROUND(VLOOKUP($C105,'[2]2.행정구역별 급수인구'!$C$7:$AD$997,28,FALSE)-VLOOKUP($C105,'[2]2.행정구역별 급수인구'!$C$7:$AD$997,28,FALSE)*(1-$E105),0)),VLOOKUP($C105,'[2]2.행정구역별 급수인구'!$C$7:$AD$997,28,FALSE)))</f>
        <v>139</v>
      </c>
      <c r="L105" s="302">
        <f>VLOOKUP($F105,'[3]5.급수원단위'!$B$31:$G$35,2,FALSE)</f>
        <v>272</v>
      </c>
      <c r="M105" s="302">
        <f>VLOOKUP($F105,'[3]5.급수원단위'!$B$31:$G$35,3,FALSE)</f>
        <v>304</v>
      </c>
      <c r="N105" s="302">
        <f>VLOOKUP($F105,'[3]5.급수원단위'!$B$31:$G$35,4,FALSE)</f>
        <v>308</v>
      </c>
      <c r="O105" s="302">
        <f>VLOOKUP($F105,'[3]5.급수원단위'!$B$31:$G$35,5,FALSE)</f>
        <v>310</v>
      </c>
      <c r="P105" s="302">
        <f>VLOOKUP($F105,'[3]5.급수원단위'!$B$31:$G$35,6,FALSE)</f>
        <v>310</v>
      </c>
      <c r="Q105" s="302">
        <f>ROUND(IF(G105=0,0,VLOOKUP(C105,'2013실사용량 정리'!$D$6:$F$381,3,FALSE)),0)</f>
        <v>0</v>
      </c>
      <c r="R105" s="302">
        <f t="shared" si="12"/>
        <v>0</v>
      </c>
      <c r="S105" s="302">
        <f t="shared" si="12"/>
        <v>41</v>
      </c>
      <c r="T105" s="302">
        <f t="shared" si="12"/>
        <v>42</v>
      </c>
      <c r="U105" s="302">
        <f t="shared" si="12"/>
        <v>43</v>
      </c>
      <c r="V105" s="327"/>
      <c r="W105" s="343" t="str">
        <f t="shared" si="8"/>
        <v/>
      </c>
      <c r="X105" s="327"/>
      <c r="Y105" s="327"/>
      <c r="Z105" s="327"/>
      <c r="AA105" s="327"/>
      <c r="AB105" s="327"/>
      <c r="AC105" s="327"/>
      <c r="AD105" s="327"/>
    </row>
    <row r="106" spans="1:30" ht="20.100000000000001" customHeight="1">
      <c r="A106" s="340"/>
      <c r="B106" s="340"/>
      <c r="C106" s="406" t="s">
        <v>1393</v>
      </c>
      <c r="D106" s="330" t="s">
        <v>1299</v>
      </c>
      <c r="E106" s="527">
        <v>1</v>
      </c>
      <c r="F106" s="527" t="s">
        <v>1317</v>
      </c>
      <c r="G106" s="302">
        <f>IF($D106="A",ROUND(VLOOKUP($C106,'[2]2.행정구역별 급수인구'!$C$7:$AD$997,17,FALSE)*$E106,0),IF($D106="B",(ROUND(VLOOKUP($C106,'[2]2.행정구역별 급수인구'!$C$7:$AD$997,17,FALSE)-VLOOKUP($C106,'[2]2.행정구역별 급수인구'!$C$7:$AD$997,17,FALSE)*(1-$E106),0)),VLOOKUP($C106,'[2]2.행정구역별 급수인구'!$C$7:$AD$997,17,FALSE)))</f>
        <v>0</v>
      </c>
      <c r="H106" s="302">
        <f>IF($D106="A",ROUND(VLOOKUP($C106,'[2]2.행정구역별 급수인구'!$C$7:$AD$997,25,FALSE)*$E106,0),IF($D106="B",(ROUND(VLOOKUP($C106,'[2]2.행정구역별 급수인구'!$C$7:$AD$997,25,FALSE)-VLOOKUP($C106,'[2]2.행정구역별 급수인구'!$C$7:$AD$997,25,FALSE)*(1-$E106),0)),VLOOKUP($C106,'[2]2.행정구역별 급수인구'!$C$7:$AD$997,25,FALSE)))</f>
        <v>0</v>
      </c>
      <c r="I106" s="302">
        <f>IF($D106="A",ROUND(VLOOKUP($C106,'[2]2.행정구역별 급수인구'!$C$7:$AD$997,26,FALSE)*$E106,0),IF($D106="B",(ROUND(VLOOKUP($C106,'[2]2.행정구역별 급수인구'!$C$7:$AD$997,26,FALSE)-VLOOKUP($C106,'[2]2.행정구역별 급수인구'!$C$7:$AD$997,26,FALSE)*(1-$E106),0)),VLOOKUP($C106,'[2]2.행정구역별 급수인구'!$C$7:$AD$997,26,FALSE)))</f>
        <v>36</v>
      </c>
      <c r="J106" s="302">
        <f>IF($D106="A",ROUND(VLOOKUP($C106,'[2]2.행정구역별 급수인구'!$C$7:$AD$997,27,FALSE)*$E106,0),IF($D106="B",(ROUND(VLOOKUP($C106,'[2]2.행정구역별 급수인구'!$C$7:$AD$997,27,FALSE)-VLOOKUP($C106,'[2]2.행정구역별 급수인구'!$C$7:$AD$997,27,FALSE)*(1-$E106),0)),VLOOKUP($C106,'[2]2.행정구역별 급수인구'!$C$7:$AD$997,27,FALSE)))</f>
        <v>37</v>
      </c>
      <c r="K106" s="302">
        <f>IF($D106="A",ROUND(VLOOKUP($C106,'[2]2.행정구역별 급수인구'!$C$7:$AD$997,28,FALSE)*$E106,0),IF($D106="B",(ROUND(VLOOKUP($C106,'[2]2.행정구역별 급수인구'!$C$7:$AD$997,28,FALSE)-VLOOKUP($C106,'[2]2.행정구역별 급수인구'!$C$7:$AD$997,28,FALSE)*(1-$E106),0)),VLOOKUP($C106,'[2]2.행정구역별 급수인구'!$C$7:$AD$997,28,FALSE)))</f>
        <v>37</v>
      </c>
      <c r="L106" s="302">
        <f>VLOOKUP($F106,'[3]5.급수원단위'!$B$31:$G$35,2,FALSE)</f>
        <v>272</v>
      </c>
      <c r="M106" s="302">
        <f>VLOOKUP($F106,'[3]5.급수원단위'!$B$31:$G$35,3,FALSE)</f>
        <v>304</v>
      </c>
      <c r="N106" s="302">
        <f>VLOOKUP($F106,'[3]5.급수원단위'!$B$31:$G$35,4,FALSE)</f>
        <v>308</v>
      </c>
      <c r="O106" s="302">
        <f>VLOOKUP($F106,'[3]5.급수원단위'!$B$31:$G$35,5,FALSE)</f>
        <v>310</v>
      </c>
      <c r="P106" s="302">
        <f>VLOOKUP($F106,'[3]5.급수원단위'!$B$31:$G$35,6,FALSE)</f>
        <v>310</v>
      </c>
      <c r="Q106" s="302">
        <f>ROUND(IF(G106=0,0,VLOOKUP(C106,'2013실사용량 정리'!$D$6:$F$381,3,FALSE)),0)</f>
        <v>0</v>
      </c>
      <c r="R106" s="302">
        <f t="shared" si="12"/>
        <v>0</v>
      </c>
      <c r="S106" s="302">
        <f t="shared" si="12"/>
        <v>11</v>
      </c>
      <c r="T106" s="302">
        <f t="shared" si="12"/>
        <v>11</v>
      </c>
      <c r="U106" s="302">
        <f t="shared" si="12"/>
        <v>11</v>
      </c>
      <c r="V106" s="327"/>
      <c r="W106" s="343" t="str">
        <f t="shared" si="8"/>
        <v/>
      </c>
      <c r="X106" s="327"/>
      <c r="Y106" s="327"/>
      <c r="Z106" s="327"/>
      <c r="AA106" s="327"/>
      <c r="AB106" s="327"/>
      <c r="AC106" s="327"/>
      <c r="AD106" s="327"/>
    </row>
    <row r="107" spans="1:30" ht="20.100000000000001" customHeight="1">
      <c r="A107" s="386"/>
      <c r="B107" s="386"/>
      <c r="C107" s="406" t="s">
        <v>1394</v>
      </c>
      <c r="D107" s="330" t="s">
        <v>1299</v>
      </c>
      <c r="E107" s="527">
        <v>1</v>
      </c>
      <c r="F107" s="527" t="s">
        <v>1317</v>
      </c>
      <c r="G107" s="302">
        <f>IF($D107="A",ROUND(VLOOKUP($C107,'[2]2.행정구역별 급수인구'!$C$7:$AD$997,17,FALSE)*$E107,0),IF($D107="B",(ROUND(VLOOKUP($C107,'[2]2.행정구역별 급수인구'!$C$7:$AD$997,17,FALSE)-VLOOKUP($C107,'[2]2.행정구역별 급수인구'!$C$7:$AD$997,17,FALSE)*(1-$E107),0)),VLOOKUP($C107,'[2]2.행정구역별 급수인구'!$C$7:$AD$997,17,FALSE)))</f>
        <v>0</v>
      </c>
      <c r="H107" s="302">
        <f>IF($D107="A",ROUND(VLOOKUP($C107,'[2]2.행정구역별 급수인구'!$C$7:$AD$997,25,FALSE)*$E107,0),IF($D107="B",(ROUND(VLOOKUP($C107,'[2]2.행정구역별 급수인구'!$C$7:$AD$997,25,FALSE)-VLOOKUP($C107,'[2]2.행정구역별 급수인구'!$C$7:$AD$997,25,FALSE)*(1-$E107),0)),VLOOKUP($C107,'[2]2.행정구역별 급수인구'!$C$7:$AD$997,25,FALSE)))</f>
        <v>0</v>
      </c>
      <c r="I107" s="302">
        <f>IF($D107="A",ROUND(VLOOKUP($C107,'[2]2.행정구역별 급수인구'!$C$7:$AD$997,26,FALSE)*$E107,0),IF($D107="B",(ROUND(VLOOKUP($C107,'[2]2.행정구역별 급수인구'!$C$7:$AD$997,26,FALSE)-VLOOKUP($C107,'[2]2.행정구역별 급수인구'!$C$7:$AD$997,26,FALSE)*(1-$E107),0)),VLOOKUP($C107,'[2]2.행정구역별 급수인구'!$C$7:$AD$997,26,FALSE)))</f>
        <v>158</v>
      </c>
      <c r="J107" s="302">
        <f>IF($D107="A",ROUND(VLOOKUP($C107,'[2]2.행정구역별 급수인구'!$C$7:$AD$997,27,FALSE)*$E107,0),IF($D107="B",(ROUND(VLOOKUP($C107,'[2]2.행정구역별 급수인구'!$C$7:$AD$997,27,FALSE)-VLOOKUP($C107,'[2]2.행정구역별 급수인구'!$C$7:$AD$997,27,FALSE)*(1-$E107),0)),VLOOKUP($C107,'[2]2.행정구역별 급수인구'!$C$7:$AD$997,27,FALSE)))</f>
        <v>163</v>
      </c>
      <c r="K107" s="302">
        <f>IF($D107="A",ROUND(VLOOKUP($C107,'[2]2.행정구역별 급수인구'!$C$7:$AD$997,28,FALSE)*$E107,0),IF($D107="B",(ROUND(VLOOKUP($C107,'[2]2.행정구역별 급수인구'!$C$7:$AD$997,28,FALSE)-VLOOKUP($C107,'[2]2.행정구역별 급수인구'!$C$7:$AD$997,28,FALSE)*(1-$E107),0)),VLOOKUP($C107,'[2]2.행정구역별 급수인구'!$C$7:$AD$997,28,FALSE)))</f>
        <v>165</v>
      </c>
      <c r="L107" s="302">
        <f>VLOOKUP($F107,'[3]5.급수원단위'!$B$31:$G$35,2,FALSE)</f>
        <v>272</v>
      </c>
      <c r="M107" s="302">
        <f>VLOOKUP($F107,'[3]5.급수원단위'!$B$31:$G$35,3,FALSE)</f>
        <v>304</v>
      </c>
      <c r="N107" s="302">
        <f>VLOOKUP($F107,'[3]5.급수원단위'!$B$31:$G$35,4,FALSE)</f>
        <v>308</v>
      </c>
      <c r="O107" s="302">
        <f>VLOOKUP($F107,'[3]5.급수원단위'!$B$31:$G$35,5,FALSE)</f>
        <v>310</v>
      </c>
      <c r="P107" s="302">
        <f>VLOOKUP($F107,'[3]5.급수원단위'!$B$31:$G$35,6,FALSE)</f>
        <v>310</v>
      </c>
      <c r="Q107" s="302">
        <f>ROUND(IF(G107=0,0,VLOOKUP(C107,'2013실사용량 정리'!$D$6:$F$381,3,FALSE)),0)</f>
        <v>0</v>
      </c>
      <c r="R107" s="302">
        <f t="shared" ref="R107:U115" si="13">ROUND(H107*M107/1000,0)</f>
        <v>0</v>
      </c>
      <c r="S107" s="302">
        <f t="shared" si="13"/>
        <v>49</v>
      </c>
      <c r="T107" s="302">
        <f t="shared" si="13"/>
        <v>51</v>
      </c>
      <c r="U107" s="302">
        <f t="shared" si="13"/>
        <v>51</v>
      </c>
      <c r="V107" s="327"/>
      <c r="W107" s="343" t="str">
        <f t="shared" si="8"/>
        <v/>
      </c>
      <c r="X107" s="327"/>
      <c r="Y107" s="327"/>
      <c r="Z107" s="327"/>
      <c r="AA107" s="327"/>
      <c r="AB107" s="327"/>
      <c r="AC107" s="327"/>
      <c r="AD107" s="327"/>
    </row>
    <row r="108" spans="1:30" ht="20.100000000000001" customHeight="1">
      <c r="A108" s="339"/>
      <c r="B108" s="339"/>
      <c r="C108" s="406" t="s">
        <v>1395</v>
      </c>
      <c r="D108" s="330" t="s">
        <v>1299</v>
      </c>
      <c r="E108" s="527">
        <v>1</v>
      </c>
      <c r="F108" s="527" t="s">
        <v>1317</v>
      </c>
      <c r="G108" s="302">
        <f>IF($D108="A",ROUND(VLOOKUP($C108,'[2]2.행정구역별 급수인구'!$C$7:$AD$997,17,FALSE)*$E108,0),IF($D108="B",(ROUND(VLOOKUP($C108,'[2]2.행정구역별 급수인구'!$C$7:$AD$997,17,FALSE)-VLOOKUP($C108,'[2]2.행정구역별 급수인구'!$C$7:$AD$997,17,FALSE)*(1-$E108),0)),VLOOKUP($C108,'[2]2.행정구역별 급수인구'!$C$7:$AD$997,17,FALSE)))</f>
        <v>0</v>
      </c>
      <c r="H108" s="302">
        <f>IF($D108="A",ROUND(VLOOKUP($C108,'[2]2.행정구역별 급수인구'!$C$7:$AD$997,25,FALSE)*$E108,0),IF($D108="B",(ROUND(VLOOKUP($C108,'[2]2.행정구역별 급수인구'!$C$7:$AD$997,25,FALSE)-VLOOKUP($C108,'[2]2.행정구역별 급수인구'!$C$7:$AD$997,25,FALSE)*(1-$E108),0)),VLOOKUP($C108,'[2]2.행정구역별 급수인구'!$C$7:$AD$997,25,FALSE)))</f>
        <v>0</v>
      </c>
      <c r="I108" s="302">
        <f>IF($D108="A",ROUND(VLOOKUP($C108,'[2]2.행정구역별 급수인구'!$C$7:$AD$997,26,FALSE)*$E108,0),IF($D108="B",(ROUND(VLOOKUP($C108,'[2]2.행정구역별 급수인구'!$C$7:$AD$997,26,FALSE)-VLOOKUP($C108,'[2]2.행정구역별 급수인구'!$C$7:$AD$997,26,FALSE)*(1-$E108),0)),VLOOKUP($C108,'[2]2.행정구역별 급수인구'!$C$7:$AD$997,26,FALSE)))</f>
        <v>149</v>
      </c>
      <c r="J108" s="302">
        <f>IF($D108="A",ROUND(VLOOKUP($C108,'[2]2.행정구역별 급수인구'!$C$7:$AD$997,27,FALSE)*$E108,0),IF($D108="B",(ROUND(VLOOKUP($C108,'[2]2.행정구역별 급수인구'!$C$7:$AD$997,27,FALSE)-VLOOKUP($C108,'[2]2.행정구역별 급수인구'!$C$7:$AD$997,27,FALSE)*(1-$E108),0)),VLOOKUP($C108,'[2]2.행정구역별 급수인구'!$C$7:$AD$997,27,FALSE)))</f>
        <v>152</v>
      </c>
      <c r="K108" s="302">
        <f>IF($D108="A",ROUND(VLOOKUP($C108,'[2]2.행정구역별 급수인구'!$C$7:$AD$997,28,FALSE)*$E108,0),IF($D108="B",(ROUND(VLOOKUP($C108,'[2]2.행정구역별 급수인구'!$C$7:$AD$997,28,FALSE)-VLOOKUP($C108,'[2]2.행정구역별 급수인구'!$C$7:$AD$997,28,FALSE)*(1-$E108),0)),VLOOKUP($C108,'[2]2.행정구역별 급수인구'!$C$7:$AD$997,28,FALSE)))</f>
        <v>155</v>
      </c>
      <c r="L108" s="302">
        <f>VLOOKUP($F108,'[3]5.급수원단위'!$B$31:$G$35,2,FALSE)</f>
        <v>272</v>
      </c>
      <c r="M108" s="302">
        <f>VLOOKUP($F108,'[3]5.급수원단위'!$B$31:$G$35,3,FALSE)</f>
        <v>304</v>
      </c>
      <c r="N108" s="302">
        <f>VLOOKUP($F108,'[3]5.급수원단위'!$B$31:$G$35,4,FALSE)</f>
        <v>308</v>
      </c>
      <c r="O108" s="302">
        <f>VLOOKUP($F108,'[3]5.급수원단위'!$B$31:$G$35,5,FALSE)</f>
        <v>310</v>
      </c>
      <c r="P108" s="302">
        <f>VLOOKUP($F108,'[3]5.급수원단위'!$B$31:$G$35,6,FALSE)</f>
        <v>310</v>
      </c>
      <c r="Q108" s="302">
        <f>ROUND(IF(G108=0,0,VLOOKUP(C108,'2013실사용량 정리'!$D$6:$F$381,3,FALSE)),0)</f>
        <v>0</v>
      </c>
      <c r="R108" s="302">
        <f t="shared" si="13"/>
        <v>0</v>
      </c>
      <c r="S108" s="302">
        <f t="shared" si="13"/>
        <v>46</v>
      </c>
      <c r="T108" s="302">
        <f t="shared" si="13"/>
        <v>47</v>
      </c>
      <c r="U108" s="302">
        <f t="shared" si="13"/>
        <v>48</v>
      </c>
      <c r="V108" s="327"/>
      <c r="W108" s="343" t="str">
        <f t="shared" si="8"/>
        <v/>
      </c>
      <c r="X108" s="327"/>
      <c r="Y108" s="327"/>
      <c r="Z108" s="327"/>
      <c r="AA108" s="327"/>
      <c r="AB108" s="327"/>
      <c r="AC108" s="327"/>
      <c r="AD108" s="327"/>
    </row>
    <row r="109" spans="1:30" ht="20.100000000000001" customHeight="1">
      <c r="A109" s="340"/>
      <c r="B109" s="340"/>
      <c r="C109" s="406" t="s">
        <v>1398</v>
      </c>
      <c r="D109" s="330" t="s">
        <v>1299</v>
      </c>
      <c r="E109" s="527">
        <v>1</v>
      </c>
      <c r="F109" s="527" t="s">
        <v>1317</v>
      </c>
      <c r="G109" s="302">
        <f>IF($D109="A",ROUND(VLOOKUP($C109,'[2]2.행정구역별 급수인구'!$C$7:$AD$997,17,FALSE)*$E109,0),IF($D109="B",(ROUND(VLOOKUP($C109,'[2]2.행정구역별 급수인구'!$C$7:$AD$997,17,FALSE)-VLOOKUP($C109,'[2]2.행정구역별 급수인구'!$C$7:$AD$997,17,FALSE)*(1-$E109),0)),VLOOKUP($C109,'[2]2.행정구역별 급수인구'!$C$7:$AD$997,17,FALSE)))</f>
        <v>0</v>
      </c>
      <c r="H109" s="302">
        <f>IF($D109="A",ROUND(VLOOKUP($C109,'[2]2.행정구역별 급수인구'!$C$7:$AD$997,25,FALSE)*$E109,0),IF($D109="B",(ROUND(VLOOKUP($C109,'[2]2.행정구역별 급수인구'!$C$7:$AD$997,25,FALSE)-VLOOKUP($C109,'[2]2.행정구역별 급수인구'!$C$7:$AD$997,25,FALSE)*(1-$E109),0)),VLOOKUP($C109,'[2]2.행정구역별 급수인구'!$C$7:$AD$997,25,FALSE)))</f>
        <v>0</v>
      </c>
      <c r="I109" s="302">
        <f>IF($D109="A",ROUND(VLOOKUP($C109,'[2]2.행정구역별 급수인구'!$C$7:$AD$997,26,FALSE)*$E109,0),IF($D109="B",(ROUND(VLOOKUP($C109,'[2]2.행정구역별 급수인구'!$C$7:$AD$997,26,FALSE)-VLOOKUP($C109,'[2]2.행정구역별 급수인구'!$C$7:$AD$997,26,FALSE)*(1-$E109),0)),VLOOKUP($C109,'[2]2.행정구역별 급수인구'!$C$7:$AD$997,26,FALSE)))</f>
        <v>130</v>
      </c>
      <c r="J109" s="302">
        <f>IF($D109="A",ROUND(VLOOKUP($C109,'[2]2.행정구역별 급수인구'!$C$7:$AD$997,27,FALSE)*$E109,0),IF($D109="B",(ROUND(VLOOKUP($C109,'[2]2.행정구역별 급수인구'!$C$7:$AD$997,27,FALSE)-VLOOKUP($C109,'[2]2.행정구역별 급수인구'!$C$7:$AD$997,27,FALSE)*(1-$E109),0)),VLOOKUP($C109,'[2]2.행정구역별 급수인구'!$C$7:$AD$997,27,FALSE)))</f>
        <v>133</v>
      </c>
      <c r="K109" s="302">
        <f>IF($D109="A",ROUND(VLOOKUP($C109,'[2]2.행정구역별 급수인구'!$C$7:$AD$997,28,FALSE)*$E109,0),IF($D109="B",(ROUND(VLOOKUP($C109,'[2]2.행정구역별 급수인구'!$C$7:$AD$997,28,FALSE)-VLOOKUP($C109,'[2]2.행정구역별 급수인구'!$C$7:$AD$997,28,FALSE)*(1-$E109),0)),VLOOKUP($C109,'[2]2.행정구역별 급수인구'!$C$7:$AD$997,28,FALSE)))</f>
        <v>136</v>
      </c>
      <c r="L109" s="302">
        <f>VLOOKUP($F109,'[3]5.급수원단위'!$B$31:$G$35,2,FALSE)</f>
        <v>272</v>
      </c>
      <c r="M109" s="302">
        <f>VLOOKUP($F109,'[3]5.급수원단위'!$B$31:$G$35,3,FALSE)</f>
        <v>304</v>
      </c>
      <c r="N109" s="302">
        <f>VLOOKUP($F109,'[3]5.급수원단위'!$B$31:$G$35,4,FALSE)</f>
        <v>308</v>
      </c>
      <c r="O109" s="302">
        <f>VLOOKUP($F109,'[3]5.급수원단위'!$B$31:$G$35,5,FALSE)</f>
        <v>310</v>
      </c>
      <c r="P109" s="302">
        <f>VLOOKUP($F109,'[3]5.급수원단위'!$B$31:$G$35,6,FALSE)</f>
        <v>310</v>
      </c>
      <c r="Q109" s="302">
        <f>ROUND(IF(G109=0,0,VLOOKUP(C109,'2013실사용량 정리'!$D$6:$F$381,3,FALSE)),0)</f>
        <v>0</v>
      </c>
      <c r="R109" s="302">
        <f t="shared" si="13"/>
        <v>0</v>
      </c>
      <c r="S109" s="302">
        <f t="shared" si="13"/>
        <v>40</v>
      </c>
      <c r="T109" s="302">
        <f t="shared" si="13"/>
        <v>41</v>
      </c>
      <c r="U109" s="302">
        <f t="shared" si="13"/>
        <v>42</v>
      </c>
      <c r="V109" s="327"/>
      <c r="W109" s="343" t="str">
        <f t="shared" si="8"/>
        <v/>
      </c>
      <c r="X109" s="327"/>
      <c r="Y109" s="327"/>
      <c r="Z109" s="327"/>
      <c r="AA109" s="327"/>
      <c r="AB109" s="327"/>
      <c r="AC109" s="327"/>
      <c r="AD109" s="327"/>
    </row>
    <row r="110" spans="1:30" ht="20.100000000000001" customHeight="1">
      <c r="A110" s="340"/>
      <c r="B110" s="340"/>
      <c r="C110" s="406" t="s">
        <v>1399</v>
      </c>
      <c r="D110" s="330" t="s">
        <v>1299</v>
      </c>
      <c r="E110" s="527">
        <v>1</v>
      </c>
      <c r="F110" s="527" t="s">
        <v>1317</v>
      </c>
      <c r="G110" s="302">
        <f>IF($D110="A",ROUND(VLOOKUP($C110,'[2]2.행정구역별 급수인구'!$C$7:$AD$997,17,FALSE)*$E110,0),IF($D110="B",(ROUND(VLOOKUP($C110,'[2]2.행정구역별 급수인구'!$C$7:$AD$997,17,FALSE)-VLOOKUP($C110,'[2]2.행정구역별 급수인구'!$C$7:$AD$997,17,FALSE)*(1-$E110),0)),VLOOKUP($C110,'[2]2.행정구역별 급수인구'!$C$7:$AD$997,17,FALSE)))</f>
        <v>0</v>
      </c>
      <c r="H110" s="302">
        <f>IF($D110="A",ROUND(VLOOKUP($C110,'[2]2.행정구역별 급수인구'!$C$7:$AD$997,25,FALSE)*$E110,0),IF($D110="B",(ROUND(VLOOKUP($C110,'[2]2.행정구역별 급수인구'!$C$7:$AD$997,25,FALSE)-VLOOKUP($C110,'[2]2.행정구역별 급수인구'!$C$7:$AD$997,25,FALSE)*(1-$E110),0)),VLOOKUP($C110,'[2]2.행정구역별 급수인구'!$C$7:$AD$997,25,FALSE)))</f>
        <v>0</v>
      </c>
      <c r="I110" s="302">
        <f>IF($D110="A",ROUND(VLOOKUP($C110,'[2]2.행정구역별 급수인구'!$C$7:$AD$997,26,FALSE)*$E110,0),IF($D110="B",(ROUND(VLOOKUP($C110,'[2]2.행정구역별 급수인구'!$C$7:$AD$997,26,FALSE)-VLOOKUP($C110,'[2]2.행정구역별 급수인구'!$C$7:$AD$997,26,FALSE)*(1-$E110),0)),VLOOKUP($C110,'[2]2.행정구역별 급수인구'!$C$7:$AD$997,26,FALSE)))</f>
        <v>165</v>
      </c>
      <c r="J110" s="302">
        <f>IF($D110="A",ROUND(VLOOKUP($C110,'[2]2.행정구역별 급수인구'!$C$7:$AD$997,27,FALSE)*$E110,0),IF($D110="B",(ROUND(VLOOKUP($C110,'[2]2.행정구역별 급수인구'!$C$7:$AD$997,27,FALSE)-VLOOKUP($C110,'[2]2.행정구역별 급수인구'!$C$7:$AD$997,27,FALSE)*(1-$E110),0)),VLOOKUP($C110,'[2]2.행정구역별 급수인구'!$C$7:$AD$997,27,FALSE)))</f>
        <v>169</v>
      </c>
      <c r="K110" s="302">
        <f>IF($D110="A",ROUND(VLOOKUP($C110,'[2]2.행정구역별 급수인구'!$C$7:$AD$997,28,FALSE)*$E110,0),IF($D110="B",(ROUND(VLOOKUP($C110,'[2]2.행정구역별 급수인구'!$C$7:$AD$997,28,FALSE)-VLOOKUP($C110,'[2]2.행정구역별 급수인구'!$C$7:$AD$997,28,FALSE)*(1-$E110),0)),VLOOKUP($C110,'[2]2.행정구역별 급수인구'!$C$7:$AD$997,28,FALSE)))</f>
        <v>171</v>
      </c>
      <c r="L110" s="302">
        <f>VLOOKUP($F110,'[3]5.급수원단위'!$B$31:$G$35,2,FALSE)</f>
        <v>272</v>
      </c>
      <c r="M110" s="302">
        <f>VLOOKUP($F110,'[3]5.급수원단위'!$B$31:$G$35,3,FALSE)</f>
        <v>304</v>
      </c>
      <c r="N110" s="302">
        <f>VLOOKUP($F110,'[3]5.급수원단위'!$B$31:$G$35,4,FALSE)</f>
        <v>308</v>
      </c>
      <c r="O110" s="302">
        <f>VLOOKUP($F110,'[3]5.급수원단위'!$B$31:$G$35,5,FALSE)</f>
        <v>310</v>
      </c>
      <c r="P110" s="302">
        <f>VLOOKUP($F110,'[3]5.급수원단위'!$B$31:$G$35,6,FALSE)</f>
        <v>310</v>
      </c>
      <c r="Q110" s="302">
        <f>ROUND(IF(G110=0,0,VLOOKUP(C110,'2013실사용량 정리'!$D$6:$F$381,3,FALSE)),0)</f>
        <v>0</v>
      </c>
      <c r="R110" s="302">
        <f t="shared" si="13"/>
        <v>0</v>
      </c>
      <c r="S110" s="302">
        <f t="shared" si="13"/>
        <v>51</v>
      </c>
      <c r="T110" s="302">
        <f t="shared" si="13"/>
        <v>52</v>
      </c>
      <c r="U110" s="302">
        <f t="shared" si="13"/>
        <v>53</v>
      </c>
      <c r="V110" s="327"/>
      <c r="W110" s="343" t="str">
        <f t="shared" si="8"/>
        <v/>
      </c>
      <c r="X110" s="327"/>
      <c r="Y110" s="327"/>
      <c r="Z110" s="327"/>
      <c r="AA110" s="327"/>
      <c r="AB110" s="327"/>
      <c r="AC110" s="327"/>
      <c r="AD110" s="327"/>
    </row>
    <row r="111" spans="1:30" ht="20.100000000000001" customHeight="1">
      <c r="A111" s="340"/>
      <c r="B111" s="340"/>
      <c r="C111" s="406" t="s">
        <v>1400</v>
      </c>
      <c r="D111" s="330" t="s">
        <v>1299</v>
      </c>
      <c r="E111" s="527">
        <v>1</v>
      </c>
      <c r="F111" s="527" t="s">
        <v>1317</v>
      </c>
      <c r="G111" s="302">
        <f>IF($D111="A",ROUND(VLOOKUP($C111,'[2]2.행정구역별 급수인구'!$C$7:$AD$997,17,FALSE)*$E111,0),IF($D111="B",(ROUND(VLOOKUP($C111,'[2]2.행정구역별 급수인구'!$C$7:$AD$997,17,FALSE)-VLOOKUP($C111,'[2]2.행정구역별 급수인구'!$C$7:$AD$997,17,FALSE)*(1-$E111),0)),VLOOKUP($C111,'[2]2.행정구역별 급수인구'!$C$7:$AD$997,17,FALSE)))</f>
        <v>0</v>
      </c>
      <c r="H111" s="302">
        <f>IF($D111="A",ROUND(VLOOKUP($C111,'[2]2.행정구역별 급수인구'!$C$7:$AD$997,25,FALSE)*$E111,0),IF($D111="B",(ROUND(VLOOKUP($C111,'[2]2.행정구역별 급수인구'!$C$7:$AD$997,25,FALSE)-VLOOKUP($C111,'[2]2.행정구역별 급수인구'!$C$7:$AD$997,25,FALSE)*(1-$E111),0)),VLOOKUP($C111,'[2]2.행정구역별 급수인구'!$C$7:$AD$997,25,FALSE)))</f>
        <v>0</v>
      </c>
      <c r="I111" s="302">
        <f>IF($D111="A",ROUND(VLOOKUP($C111,'[2]2.행정구역별 급수인구'!$C$7:$AD$997,26,FALSE)*$E111,0),IF($D111="B",(ROUND(VLOOKUP($C111,'[2]2.행정구역별 급수인구'!$C$7:$AD$997,26,FALSE)-VLOOKUP($C111,'[2]2.행정구역별 급수인구'!$C$7:$AD$997,26,FALSE)*(1-$E111),0)),VLOOKUP($C111,'[2]2.행정구역별 급수인구'!$C$7:$AD$997,26,FALSE)))</f>
        <v>95</v>
      </c>
      <c r="J111" s="302">
        <f>IF($D111="A",ROUND(VLOOKUP($C111,'[2]2.행정구역별 급수인구'!$C$7:$AD$997,27,FALSE)*$E111,0),IF($D111="B",(ROUND(VLOOKUP($C111,'[2]2.행정구역별 급수인구'!$C$7:$AD$997,27,FALSE)-VLOOKUP($C111,'[2]2.행정구역별 급수인구'!$C$7:$AD$997,27,FALSE)*(1-$E111),0)),VLOOKUP($C111,'[2]2.행정구역별 급수인구'!$C$7:$AD$997,27,FALSE)))</f>
        <v>96</v>
      </c>
      <c r="K111" s="302">
        <f>IF($D111="A",ROUND(VLOOKUP($C111,'[2]2.행정구역별 급수인구'!$C$7:$AD$997,28,FALSE)*$E111,0),IF($D111="B",(ROUND(VLOOKUP($C111,'[2]2.행정구역별 급수인구'!$C$7:$AD$997,28,FALSE)-VLOOKUP($C111,'[2]2.행정구역별 급수인구'!$C$7:$AD$997,28,FALSE)*(1-$E111),0)),VLOOKUP($C111,'[2]2.행정구역별 급수인구'!$C$7:$AD$997,28,FALSE)))</f>
        <v>98</v>
      </c>
      <c r="L111" s="302">
        <f>VLOOKUP($F111,'[3]5.급수원단위'!$B$31:$G$35,2,FALSE)</f>
        <v>272</v>
      </c>
      <c r="M111" s="302">
        <f>VLOOKUP($F111,'[3]5.급수원단위'!$B$31:$G$35,3,FALSE)</f>
        <v>304</v>
      </c>
      <c r="N111" s="302">
        <f>VLOOKUP($F111,'[3]5.급수원단위'!$B$31:$G$35,4,FALSE)</f>
        <v>308</v>
      </c>
      <c r="O111" s="302">
        <f>VLOOKUP($F111,'[3]5.급수원단위'!$B$31:$G$35,5,FALSE)</f>
        <v>310</v>
      </c>
      <c r="P111" s="302">
        <f>VLOOKUP($F111,'[3]5.급수원단위'!$B$31:$G$35,6,FALSE)</f>
        <v>310</v>
      </c>
      <c r="Q111" s="302">
        <f>ROUND(IF(G111=0,0,VLOOKUP(C111,'2013실사용량 정리'!$D$6:$F$381,3,FALSE)),0)</f>
        <v>0</v>
      </c>
      <c r="R111" s="302">
        <f t="shared" si="13"/>
        <v>0</v>
      </c>
      <c r="S111" s="302">
        <f t="shared" si="13"/>
        <v>29</v>
      </c>
      <c r="T111" s="302">
        <f t="shared" si="13"/>
        <v>30</v>
      </c>
      <c r="U111" s="302">
        <f t="shared" si="13"/>
        <v>30</v>
      </c>
      <c r="V111" s="327"/>
      <c r="W111" s="343" t="str">
        <f t="shared" si="8"/>
        <v/>
      </c>
      <c r="X111" s="327"/>
      <c r="Y111" s="327"/>
      <c r="Z111" s="327"/>
      <c r="AA111" s="327"/>
      <c r="AB111" s="327"/>
      <c r="AC111" s="327"/>
      <c r="AD111" s="327"/>
    </row>
    <row r="112" spans="1:30" ht="20.100000000000001" customHeight="1">
      <c r="A112" s="340"/>
      <c r="B112" s="340"/>
      <c r="C112" s="406" t="s">
        <v>1401</v>
      </c>
      <c r="D112" s="330" t="s">
        <v>1299</v>
      </c>
      <c r="E112" s="527">
        <v>1</v>
      </c>
      <c r="F112" s="527" t="s">
        <v>1317</v>
      </c>
      <c r="G112" s="302">
        <f>IF($D112="A",ROUND(VLOOKUP($C112,'[2]2.행정구역별 급수인구'!$C$7:$AD$997,17,FALSE)*$E112,0),IF($D112="B",(ROUND(VLOOKUP($C112,'[2]2.행정구역별 급수인구'!$C$7:$AD$997,17,FALSE)-VLOOKUP($C112,'[2]2.행정구역별 급수인구'!$C$7:$AD$997,17,FALSE)*(1-$E112),0)),VLOOKUP($C112,'[2]2.행정구역별 급수인구'!$C$7:$AD$997,17,FALSE)))</f>
        <v>0</v>
      </c>
      <c r="H112" s="302">
        <f>IF($D112="A",ROUND(VLOOKUP($C112,'[2]2.행정구역별 급수인구'!$C$7:$AD$997,25,FALSE)*$E112,0),IF($D112="B",(ROUND(VLOOKUP($C112,'[2]2.행정구역별 급수인구'!$C$7:$AD$997,25,FALSE)-VLOOKUP($C112,'[2]2.행정구역별 급수인구'!$C$7:$AD$997,25,FALSE)*(1-$E112),0)),VLOOKUP($C112,'[2]2.행정구역별 급수인구'!$C$7:$AD$997,25,FALSE)))</f>
        <v>0</v>
      </c>
      <c r="I112" s="302">
        <f>IF($D112="A",ROUND(VLOOKUP($C112,'[2]2.행정구역별 급수인구'!$C$7:$AD$997,26,FALSE)*$E112,0),IF($D112="B",(ROUND(VLOOKUP($C112,'[2]2.행정구역별 급수인구'!$C$7:$AD$997,26,FALSE)-VLOOKUP($C112,'[2]2.행정구역별 급수인구'!$C$7:$AD$997,26,FALSE)*(1-$E112),0)),VLOOKUP($C112,'[2]2.행정구역별 급수인구'!$C$7:$AD$997,26,FALSE)))</f>
        <v>53</v>
      </c>
      <c r="J112" s="302">
        <f>IF($D112="A",ROUND(VLOOKUP($C112,'[2]2.행정구역별 급수인구'!$C$7:$AD$997,27,FALSE)*$E112,0),IF($D112="B",(ROUND(VLOOKUP($C112,'[2]2.행정구역별 급수인구'!$C$7:$AD$997,27,FALSE)-VLOOKUP($C112,'[2]2.행정구역별 급수인구'!$C$7:$AD$997,27,FALSE)*(1-$E112),0)),VLOOKUP($C112,'[2]2.행정구역별 급수인구'!$C$7:$AD$997,27,FALSE)))</f>
        <v>54</v>
      </c>
      <c r="K112" s="302">
        <f>IF($D112="A",ROUND(VLOOKUP($C112,'[2]2.행정구역별 급수인구'!$C$7:$AD$997,28,FALSE)*$E112,0),IF($D112="B",(ROUND(VLOOKUP($C112,'[2]2.행정구역별 급수인구'!$C$7:$AD$997,28,FALSE)-VLOOKUP($C112,'[2]2.행정구역별 급수인구'!$C$7:$AD$997,28,FALSE)*(1-$E112),0)),VLOOKUP($C112,'[2]2.행정구역별 급수인구'!$C$7:$AD$997,28,FALSE)))</f>
        <v>55</v>
      </c>
      <c r="L112" s="302">
        <f>VLOOKUP($F112,'[3]5.급수원단위'!$B$31:$G$35,2,FALSE)</f>
        <v>272</v>
      </c>
      <c r="M112" s="302">
        <f>VLOOKUP($F112,'[3]5.급수원단위'!$B$31:$G$35,3,FALSE)</f>
        <v>304</v>
      </c>
      <c r="N112" s="302">
        <f>VLOOKUP($F112,'[3]5.급수원단위'!$B$31:$G$35,4,FALSE)</f>
        <v>308</v>
      </c>
      <c r="O112" s="302">
        <f>VLOOKUP($F112,'[3]5.급수원단위'!$B$31:$G$35,5,FALSE)</f>
        <v>310</v>
      </c>
      <c r="P112" s="302">
        <f>VLOOKUP($F112,'[3]5.급수원단위'!$B$31:$G$35,6,FALSE)</f>
        <v>310</v>
      </c>
      <c r="Q112" s="302">
        <f>ROUND(IF(G112=0,0,VLOOKUP(C112,'2013실사용량 정리'!$D$6:$F$381,3,FALSE)),0)</f>
        <v>0</v>
      </c>
      <c r="R112" s="302">
        <f t="shared" si="13"/>
        <v>0</v>
      </c>
      <c r="S112" s="302">
        <f t="shared" si="13"/>
        <v>16</v>
      </c>
      <c r="T112" s="302">
        <f t="shared" si="13"/>
        <v>17</v>
      </c>
      <c r="U112" s="302">
        <f t="shared" si="13"/>
        <v>17</v>
      </c>
      <c r="V112" s="327"/>
      <c r="W112" s="343" t="str">
        <f t="shared" ref="W112:W115" si="14">IF(ISERROR(U112/Q112),"",U112/Q112)</f>
        <v/>
      </c>
      <c r="X112" s="327"/>
      <c r="Y112" s="327"/>
      <c r="Z112" s="327"/>
      <c r="AA112" s="327"/>
      <c r="AB112" s="327"/>
      <c r="AC112" s="327"/>
      <c r="AD112" s="327"/>
    </row>
    <row r="113" spans="1:30" ht="20.100000000000001" customHeight="1">
      <c r="A113" s="340"/>
      <c r="B113" s="340"/>
      <c r="C113" s="406" t="s">
        <v>1402</v>
      </c>
      <c r="D113" s="330" t="s">
        <v>1299</v>
      </c>
      <c r="E113" s="527">
        <v>1</v>
      </c>
      <c r="F113" s="527" t="s">
        <v>1317</v>
      </c>
      <c r="G113" s="302">
        <f>IF($D113="A",ROUND(VLOOKUP($C113,'[2]2.행정구역별 급수인구'!$C$7:$AD$997,17,FALSE)*$E113,0),IF($D113="B",(ROUND(VLOOKUP($C113,'[2]2.행정구역별 급수인구'!$C$7:$AD$997,17,FALSE)-VLOOKUP($C113,'[2]2.행정구역별 급수인구'!$C$7:$AD$997,17,FALSE)*(1-$E113),0)),VLOOKUP($C113,'[2]2.행정구역별 급수인구'!$C$7:$AD$997,17,FALSE)))</f>
        <v>0</v>
      </c>
      <c r="H113" s="302">
        <f>IF($D113="A",ROUND(VLOOKUP($C113,'[2]2.행정구역별 급수인구'!$C$7:$AD$997,25,FALSE)*$E113,0),IF($D113="B",(ROUND(VLOOKUP($C113,'[2]2.행정구역별 급수인구'!$C$7:$AD$997,25,FALSE)-VLOOKUP($C113,'[2]2.행정구역별 급수인구'!$C$7:$AD$997,25,FALSE)*(1-$E113),0)),VLOOKUP($C113,'[2]2.행정구역별 급수인구'!$C$7:$AD$997,25,FALSE)))</f>
        <v>0</v>
      </c>
      <c r="I113" s="302">
        <f>IF($D113="A",ROUND(VLOOKUP($C113,'[2]2.행정구역별 급수인구'!$C$7:$AD$997,26,FALSE)*$E113,0),IF($D113="B",(ROUND(VLOOKUP($C113,'[2]2.행정구역별 급수인구'!$C$7:$AD$997,26,FALSE)-VLOOKUP($C113,'[2]2.행정구역별 급수인구'!$C$7:$AD$997,26,FALSE)*(1-$E113),0)),VLOOKUP($C113,'[2]2.행정구역별 급수인구'!$C$7:$AD$997,26,FALSE)))</f>
        <v>95</v>
      </c>
      <c r="J113" s="302">
        <f>IF($D113="A",ROUND(VLOOKUP($C113,'[2]2.행정구역별 급수인구'!$C$7:$AD$997,27,FALSE)*$E113,0),IF($D113="B",(ROUND(VLOOKUP($C113,'[2]2.행정구역별 급수인구'!$C$7:$AD$997,27,FALSE)-VLOOKUP($C113,'[2]2.행정구역별 급수인구'!$C$7:$AD$997,27,FALSE)*(1-$E113),0)),VLOOKUP($C113,'[2]2.행정구역별 급수인구'!$C$7:$AD$997,27,FALSE)))</f>
        <v>97</v>
      </c>
      <c r="K113" s="302">
        <f>IF($D113="A",ROUND(VLOOKUP($C113,'[2]2.행정구역별 급수인구'!$C$7:$AD$997,28,FALSE)*$E113,0),IF($D113="B",(ROUND(VLOOKUP($C113,'[2]2.행정구역별 급수인구'!$C$7:$AD$997,28,FALSE)-VLOOKUP($C113,'[2]2.행정구역별 급수인구'!$C$7:$AD$997,28,FALSE)*(1-$E113),0)),VLOOKUP($C113,'[2]2.행정구역별 급수인구'!$C$7:$AD$997,28,FALSE)))</f>
        <v>99</v>
      </c>
      <c r="L113" s="302">
        <f>VLOOKUP($F113,'[3]5.급수원단위'!$B$31:$G$35,2,FALSE)</f>
        <v>272</v>
      </c>
      <c r="M113" s="302">
        <f>VLOOKUP($F113,'[3]5.급수원단위'!$B$31:$G$35,3,FALSE)</f>
        <v>304</v>
      </c>
      <c r="N113" s="302">
        <f>VLOOKUP($F113,'[3]5.급수원단위'!$B$31:$G$35,4,FALSE)</f>
        <v>308</v>
      </c>
      <c r="O113" s="302">
        <f>VLOOKUP($F113,'[3]5.급수원단위'!$B$31:$G$35,5,FALSE)</f>
        <v>310</v>
      </c>
      <c r="P113" s="302">
        <f>VLOOKUP($F113,'[3]5.급수원단위'!$B$31:$G$35,6,FALSE)</f>
        <v>310</v>
      </c>
      <c r="Q113" s="302">
        <f>ROUND(IF(G113=0,0,VLOOKUP(C113,'2013실사용량 정리'!$D$6:$F$381,3,FALSE)),0)</f>
        <v>0</v>
      </c>
      <c r="R113" s="302">
        <f t="shared" si="13"/>
        <v>0</v>
      </c>
      <c r="S113" s="302">
        <f t="shared" si="13"/>
        <v>29</v>
      </c>
      <c r="T113" s="302">
        <f t="shared" si="13"/>
        <v>30</v>
      </c>
      <c r="U113" s="302">
        <f t="shared" si="13"/>
        <v>31</v>
      </c>
      <c r="V113" s="327"/>
      <c r="W113" s="343" t="str">
        <f t="shared" si="14"/>
        <v/>
      </c>
      <c r="X113" s="327"/>
      <c r="Y113" s="327"/>
      <c r="Z113" s="327"/>
      <c r="AA113" s="327"/>
      <c r="AB113" s="327"/>
      <c r="AC113" s="327"/>
      <c r="AD113" s="327"/>
    </row>
    <row r="114" spans="1:30" ht="20.100000000000001" customHeight="1">
      <c r="A114" s="340"/>
      <c r="B114" s="340"/>
      <c r="C114" s="406" t="s">
        <v>1403</v>
      </c>
      <c r="D114" s="330" t="s">
        <v>1299</v>
      </c>
      <c r="E114" s="527">
        <v>1</v>
      </c>
      <c r="F114" s="527" t="s">
        <v>1317</v>
      </c>
      <c r="G114" s="302">
        <f>IF($D114="A",ROUND(VLOOKUP($C114,'[2]2.행정구역별 급수인구'!$C$7:$AD$997,17,FALSE)*$E114,0),IF($D114="B",(ROUND(VLOOKUP($C114,'[2]2.행정구역별 급수인구'!$C$7:$AD$997,17,FALSE)-VLOOKUP($C114,'[2]2.행정구역별 급수인구'!$C$7:$AD$997,17,FALSE)*(1-$E114),0)),VLOOKUP($C114,'[2]2.행정구역별 급수인구'!$C$7:$AD$997,17,FALSE)))</f>
        <v>0</v>
      </c>
      <c r="H114" s="302">
        <f>IF($D114="A",ROUND(VLOOKUP($C114,'[2]2.행정구역별 급수인구'!$C$7:$AD$997,25,FALSE)*$E114,0),IF($D114="B",(ROUND(VLOOKUP($C114,'[2]2.행정구역별 급수인구'!$C$7:$AD$997,25,FALSE)-VLOOKUP($C114,'[2]2.행정구역별 급수인구'!$C$7:$AD$997,25,FALSE)*(1-$E114),0)),VLOOKUP($C114,'[2]2.행정구역별 급수인구'!$C$7:$AD$997,25,FALSE)))</f>
        <v>0</v>
      </c>
      <c r="I114" s="302">
        <f>IF($D114="A",ROUND(VLOOKUP($C114,'[2]2.행정구역별 급수인구'!$C$7:$AD$997,26,FALSE)*$E114,0),IF($D114="B",(ROUND(VLOOKUP($C114,'[2]2.행정구역별 급수인구'!$C$7:$AD$997,26,FALSE)-VLOOKUP($C114,'[2]2.행정구역별 급수인구'!$C$7:$AD$997,26,FALSE)*(1-$E114),0)),VLOOKUP($C114,'[2]2.행정구역별 급수인구'!$C$7:$AD$997,26,FALSE)))</f>
        <v>115</v>
      </c>
      <c r="J114" s="302">
        <f>IF($D114="A",ROUND(VLOOKUP($C114,'[2]2.행정구역별 급수인구'!$C$7:$AD$997,27,FALSE)*$E114,0),IF($D114="B",(ROUND(VLOOKUP($C114,'[2]2.행정구역별 급수인구'!$C$7:$AD$997,27,FALSE)-VLOOKUP($C114,'[2]2.행정구역별 급수인구'!$C$7:$AD$997,27,FALSE)*(1-$E114),0)),VLOOKUP($C114,'[2]2.행정구역별 급수인구'!$C$7:$AD$997,27,FALSE)))</f>
        <v>117</v>
      </c>
      <c r="K114" s="302">
        <f>IF($D114="A",ROUND(VLOOKUP($C114,'[2]2.행정구역별 급수인구'!$C$7:$AD$997,28,FALSE)*$E114,0),IF($D114="B",(ROUND(VLOOKUP($C114,'[2]2.행정구역별 급수인구'!$C$7:$AD$997,28,FALSE)-VLOOKUP($C114,'[2]2.행정구역별 급수인구'!$C$7:$AD$997,28,FALSE)*(1-$E114),0)),VLOOKUP($C114,'[2]2.행정구역별 급수인구'!$C$7:$AD$997,28,FALSE)))</f>
        <v>119</v>
      </c>
      <c r="L114" s="302">
        <f>VLOOKUP($F114,'[3]5.급수원단위'!$B$31:$G$35,2,FALSE)</f>
        <v>272</v>
      </c>
      <c r="M114" s="302">
        <f>VLOOKUP($F114,'[3]5.급수원단위'!$B$31:$G$35,3,FALSE)</f>
        <v>304</v>
      </c>
      <c r="N114" s="302">
        <f>VLOOKUP($F114,'[3]5.급수원단위'!$B$31:$G$35,4,FALSE)</f>
        <v>308</v>
      </c>
      <c r="O114" s="302">
        <f>VLOOKUP($F114,'[3]5.급수원단위'!$B$31:$G$35,5,FALSE)</f>
        <v>310</v>
      </c>
      <c r="P114" s="302">
        <f>VLOOKUP($F114,'[3]5.급수원단위'!$B$31:$G$35,6,FALSE)</f>
        <v>310</v>
      </c>
      <c r="Q114" s="302">
        <f>ROUND(IF(G114=0,0,VLOOKUP(C114,'2013실사용량 정리'!$D$6:$F$381,3,FALSE)),0)</f>
        <v>0</v>
      </c>
      <c r="R114" s="302">
        <f t="shared" si="13"/>
        <v>0</v>
      </c>
      <c r="S114" s="302">
        <f t="shared" si="13"/>
        <v>35</v>
      </c>
      <c r="T114" s="302">
        <f t="shared" si="13"/>
        <v>36</v>
      </c>
      <c r="U114" s="302">
        <f t="shared" si="13"/>
        <v>37</v>
      </c>
      <c r="V114" s="327"/>
      <c r="W114" s="343" t="str">
        <f t="shared" si="14"/>
        <v/>
      </c>
      <c r="X114" s="327"/>
      <c r="Y114" s="327"/>
      <c r="Z114" s="327"/>
      <c r="AA114" s="327"/>
      <c r="AB114" s="327"/>
      <c r="AC114" s="327"/>
      <c r="AD114" s="327"/>
    </row>
    <row r="115" spans="1:30" ht="20.100000000000001" customHeight="1">
      <c r="A115" s="340"/>
      <c r="B115" s="386"/>
      <c r="C115" s="406" t="s">
        <v>1404</v>
      </c>
      <c r="D115" s="330" t="s">
        <v>1299</v>
      </c>
      <c r="E115" s="527">
        <v>1</v>
      </c>
      <c r="F115" s="527" t="s">
        <v>1317</v>
      </c>
      <c r="G115" s="302">
        <f>IF($D115="A",ROUND(VLOOKUP($C115,'[2]2.행정구역별 급수인구'!$C$7:$AD$997,17,FALSE)*$E115,0),IF($D115="B",(ROUND(VLOOKUP($C115,'[2]2.행정구역별 급수인구'!$C$7:$AD$997,17,FALSE)-VLOOKUP($C115,'[2]2.행정구역별 급수인구'!$C$7:$AD$997,17,FALSE)*(1-$E115),0)),VLOOKUP($C115,'[2]2.행정구역별 급수인구'!$C$7:$AD$997,17,FALSE)))</f>
        <v>0</v>
      </c>
      <c r="H115" s="302">
        <f>IF($D115="A",ROUND(VLOOKUP($C115,'[2]2.행정구역별 급수인구'!$C$7:$AD$997,25,FALSE)*$E115,0),IF($D115="B",(ROUND(VLOOKUP($C115,'[2]2.행정구역별 급수인구'!$C$7:$AD$997,25,FALSE)-VLOOKUP($C115,'[2]2.행정구역별 급수인구'!$C$7:$AD$997,25,FALSE)*(1-$E115),0)),VLOOKUP($C115,'[2]2.행정구역별 급수인구'!$C$7:$AD$997,25,FALSE)))</f>
        <v>0</v>
      </c>
      <c r="I115" s="302">
        <f>IF($D115="A",ROUND(VLOOKUP($C115,'[2]2.행정구역별 급수인구'!$C$7:$AD$997,26,FALSE)*$E115,0),IF($D115="B",(ROUND(VLOOKUP($C115,'[2]2.행정구역별 급수인구'!$C$7:$AD$997,26,FALSE)-VLOOKUP($C115,'[2]2.행정구역별 급수인구'!$C$7:$AD$997,26,FALSE)*(1-$E115),0)),VLOOKUP($C115,'[2]2.행정구역별 급수인구'!$C$7:$AD$997,26,FALSE)))</f>
        <v>35</v>
      </c>
      <c r="J115" s="302">
        <f>IF($D115="A",ROUND(VLOOKUP($C115,'[2]2.행정구역별 급수인구'!$C$7:$AD$997,27,FALSE)*$E115,0),IF($D115="B",(ROUND(VLOOKUP($C115,'[2]2.행정구역별 급수인구'!$C$7:$AD$997,27,FALSE)-VLOOKUP($C115,'[2]2.행정구역별 급수인구'!$C$7:$AD$997,27,FALSE)*(1-$E115),0)),VLOOKUP($C115,'[2]2.행정구역별 급수인구'!$C$7:$AD$997,27,FALSE)))</f>
        <v>36</v>
      </c>
      <c r="K115" s="302">
        <f>IF($D115="A",ROUND(VLOOKUP($C115,'[2]2.행정구역별 급수인구'!$C$7:$AD$997,28,FALSE)*$E115,0),IF($D115="B",(ROUND(VLOOKUP($C115,'[2]2.행정구역별 급수인구'!$C$7:$AD$997,28,FALSE)-VLOOKUP($C115,'[2]2.행정구역별 급수인구'!$C$7:$AD$997,28,FALSE)*(1-$E115),0)),VLOOKUP($C115,'[2]2.행정구역별 급수인구'!$C$7:$AD$997,28,FALSE)))</f>
        <v>37</v>
      </c>
      <c r="L115" s="302">
        <f>VLOOKUP($F115,'[3]5.급수원단위'!$B$31:$G$35,2,FALSE)</f>
        <v>272</v>
      </c>
      <c r="M115" s="302">
        <f>VLOOKUP($F115,'[3]5.급수원단위'!$B$31:$G$35,3,FALSE)</f>
        <v>304</v>
      </c>
      <c r="N115" s="302">
        <f>VLOOKUP($F115,'[3]5.급수원단위'!$B$31:$G$35,4,FALSE)</f>
        <v>308</v>
      </c>
      <c r="O115" s="302">
        <f>VLOOKUP($F115,'[3]5.급수원단위'!$B$31:$G$35,5,FALSE)</f>
        <v>310</v>
      </c>
      <c r="P115" s="302">
        <f>VLOOKUP($F115,'[3]5.급수원단위'!$B$31:$G$35,6,FALSE)</f>
        <v>310</v>
      </c>
      <c r="Q115" s="302">
        <f>ROUND(IF(G115=0,0,VLOOKUP(C115,'2013실사용량 정리'!$D$6:$F$381,3,FALSE)),0)</f>
        <v>0</v>
      </c>
      <c r="R115" s="302">
        <f t="shared" si="13"/>
        <v>0</v>
      </c>
      <c r="S115" s="302">
        <f t="shared" si="13"/>
        <v>11</v>
      </c>
      <c r="T115" s="302">
        <f t="shared" si="13"/>
        <v>11</v>
      </c>
      <c r="U115" s="302">
        <f t="shared" si="13"/>
        <v>11</v>
      </c>
      <c r="V115" s="327"/>
      <c r="W115" s="343" t="str">
        <f t="shared" si="14"/>
        <v/>
      </c>
      <c r="X115" s="327"/>
      <c r="Y115" s="327"/>
      <c r="Z115" s="327"/>
      <c r="AA115" s="327"/>
      <c r="AB115" s="327"/>
      <c r="AC115" s="327"/>
      <c r="AD115" s="327"/>
    </row>
    <row r="116" spans="1:30" ht="20.100000000000001" customHeight="1">
      <c r="A116" s="340"/>
      <c r="B116" s="701" t="s">
        <v>1285</v>
      </c>
      <c r="C116" s="702"/>
      <c r="D116" s="703"/>
      <c r="E116" s="331"/>
      <c r="F116" s="331"/>
      <c r="G116" s="336">
        <f>SUM(G117:G123)</f>
        <v>1666</v>
      </c>
      <c r="H116" s="336">
        <f t="shared" ref="H116:K116" si="15">SUM(H117:H123)</f>
        <v>1887</v>
      </c>
      <c r="I116" s="336">
        <f t="shared" si="15"/>
        <v>2608</v>
      </c>
      <c r="J116" s="336">
        <f t="shared" si="15"/>
        <v>2675</v>
      </c>
      <c r="K116" s="336">
        <f t="shared" si="15"/>
        <v>2734</v>
      </c>
      <c r="L116" s="336"/>
      <c r="M116" s="336"/>
      <c r="N116" s="336"/>
      <c r="O116" s="336"/>
      <c r="P116" s="336"/>
      <c r="Q116" s="336">
        <f t="shared" ref="Q116:U116" si="16">SUM(Q117:Q123)</f>
        <v>738</v>
      </c>
      <c r="R116" s="336">
        <f t="shared" si="16"/>
        <v>796</v>
      </c>
      <c r="S116" s="336">
        <f t="shared" si="16"/>
        <v>1129</v>
      </c>
      <c r="T116" s="336">
        <f t="shared" si="16"/>
        <v>1193</v>
      </c>
      <c r="U116" s="336">
        <f t="shared" si="16"/>
        <v>1274</v>
      </c>
      <c r="V116" s="343">
        <f>VLOOKUP(B116,'2013년도 용수량 비율'!$A$5:$F$20,6,FALSE)</f>
        <v>0</v>
      </c>
      <c r="W116" s="343"/>
    </row>
    <row r="117" spans="1:30" ht="20.100000000000001" customHeight="1">
      <c r="A117" s="340"/>
      <c r="B117" s="339"/>
      <c r="C117" s="406" t="s">
        <v>1292</v>
      </c>
      <c r="D117" s="330"/>
      <c r="E117" s="527"/>
      <c r="F117" s="527" t="s">
        <v>1286</v>
      </c>
      <c r="G117" s="302"/>
      <c r="H117" s="302"/>
      <c r="I117" s="302"/>
      <c r="J117" s="302"/>
      <c r="K117" s="302"/>
      <c r="L117" s="302">
        <f>VLOOKUP($F117,'[3]5.급수원단위'!$B$31:$G$35,2,FALSE)</f>
        <v>420</v>
      </c>
      <c r="M117" s="302">
        <f>VLOOKUP($F117,'[3]5.급수원단위'!$B$31:$G$35,3,FALSE)</f>
        <v>422</v>
      </c>
      <c r="N117" s="302">
        <f>VLOOKUP($F117,'[3]5.급수원단위'!$B$31:$G$35,4,FALSE)</f>
        <v>433</v>
      </c>
      <c r="O117" s="302">
        <f>VLOOKUP($F117,'[3]5.급수원단위'!$B$31:$G$35,5,FALSE)</f>
        <v>446</v>
      </c>
      <c r="P117" s="302">
        <f>VLOOKUP($F117,'[3]5.급수원단위'!$B$31:$G$35,6,FALSE)</f>
        <v>466</v>
      </c>
      <c r="Q117" s="302">
        <f>ROUND(IF(G117=0,0,VLOOKUP(C117,'2013실사용량 정리'!$D$6:$F$381,3,FALSE)),0)</f>
        <v>0</v>
      </c>
      <c r="R117" s="302">
        <f>ROUND(H117*M117/1000,0)</f>
        <v>0</v>
      </c>
      <c r="S117" s="302">
        <f>ROUND(I117*N117/1000,0)</f>
        <v>0</v>
      </c>
      <c r="T117" s="302">
        <f>ROUND(J117*O117/1000,0)</f>
        <v>0</v>
      </c>
      <c r="U117" s="302">
        <f>ROUND(K117*P117/1000,0)</f>
        <v>0</v>
      </c>
      <c r="W117" s="343" t="str">
        <f t="shared" ref="W117:W123" si="17">IF(ISERROR(U117/Q117),"",U117/Q117)</f>
        <v/>
      </c>
    </row>
    <row r="118" spans="1:30" ht="20.100000000000001" customHeight="1">
      <c r="A118" s="340"/>
      <c r="B118" s="340"/>
      <c r="C118" s="406" t="s">
        <v>1298</v>
      </c>
      <c r="D118" s="330"/>
      <c r="E118" s="527"/>
      <c r="F118" s="527" t="s">
        <v>1286</v>
      </c>
      <c r="G118" s="302"/>
      <c r="H118" s="302"/>
      <c r="I118" s="302"/>
      <c r="J118" s="302"/>
      <c r="K118" s="302"/>
      <c r="L118" s="302">
        <f>VLOOKUP($F118,'[3]5.급수원단위'!$B$31:$G$35,2,FALSE)</f>
        <v>420</v>
      </c>
      <c r="M118" s="302">
        <f>VLOOKUP($F118,'[3]5.급수원단위'!$B$31:$G$35,3,FALSE)</f>
        <v>422</v>
      </c>
      <c r="N118" s="302">
        <f>VLOOKUP($F118,'[3]5.급수원단위'!$B$31:$G$35,4,FALSE)</f>
        <v>433</v>
      </c>
      <c r="O118" s="302">
        <f>VLOOKUP($F118,'[3]5.급수원단위'!$B$31:$G$35,5,FALSE)</f>
        <v>446</v>
      </c>
      <c r="P118" s="302">
        <f>VLOOKUP($F118,'[3]5.급수원단위'!$B$31:$G$35,6,FALSE)</f>
        <v>466</v>
      </c>
      <c r="Q118" s="302">
        <f>ROUND(IF(G118=0,0,VLOOKUP(C118,'2013실사용량 정리'!$D$6:$F$381,3,FALSE)),0)</f>
        <v>0</v>
      </c>
      <c r="R118" s="302">
        <f t="shared" ref="R118:U123" si="18">ROUND(H118*M118/1000,0)</f>
        <v>0</v>
      </c>
      <c r="S118" s="302">
        <f t="shared" si="18"/>
        <v>0</v>
      </c>
      <c r="T118" s="302">
        <f t="shared" si="18"/>
        <v>0</v>
      </c>
      <c r="U118" s="302">
        <f t="shared" si="18"/>
        <v>0</v>
      </c>
      <c r="W118" s="343" t="str">
        <f t="shared" si="17"/>
        <v/>
      </c>
    </row>
    <row r="119" spans="1:30" ht="20.100000000000001" customHeight="1">
      <c r="A119" s="340"/>
      <c r="B119" s="340"/>
      <c r="C119" s="406" t="s">
        <v>712</v>
      </c>
      <c r="D119" s="330"/>
      <c r="E119" s="527"/>
      <c r="F119" s="527" t="s">
        <v>1286</v>
      </c>
      <c r="G119" s="302"/>
      <c r="H119" s="302"/>
      <c r="I119" s="302"/>
      <c r="J119" s="302"/>
      <c r="K119" s="302"/>
      <c r="L119" s="302">
        <f>VLOOKUP($F119,'[3]5.급수원단위'!$B$31:$G$35,2,FALSE)</f>
        <v>420</v>
      </c>
      <c r="M119" s="302">
        <f>VLOOKUP($F119,'[3]5.급수원단위'!$B$31:$G$35,3,FALSE)</f>
        <v>422</v>
      </c>
      <c r="N119" s="302">
        <f>VLOOKUP($F119,'[3]5.급수원단위'!$B$31:$G$35,4,FALSE)</f>
        <v>433</v>
      </c>
      <c r="O119" s="302">
        <f>VLOOKUP($F119,'[3]5.급수원단위'!$B$31:$G$35,5,FALSE)</f>
        <v>446</v>
      </c>
      <c r="P119" s="302">
        <f>VLOOKUP($F119,'[3]5.급수원단위'!$B$31:$G$35,6,FALSE)</f>
        <v>466</v>
      </c>
      <c r="Q119" s="302">
        <f>ROUND(IF(G119=0,0,VLOOKUP(C119,'2013실사용량 정리'!$D$6:$F$381,3,FALSE)),0)</f>
        <v>0</v>
      </c>
      <c r="R119" s="302">
        <f t="shared" si="18"/>
        <v>0</v>
      </c>
      <c r="S119" s="302">
        <f t="shared" si="18"/>
        <v>0</v>
      </c>
      <c r="T119" s="302">
        <f t="shared" si="18"/>
        <v>0</v>
      </c>
      <c r="U119" s="302">
        <f t="shared" si="18"/>
        <v>0</v>
      </c>
      <c r="W119" s="343" t="str">
        <f t="shared" si="17"/>
        <v/>
      </c>
    </row>
    <row r="120" spans="1:30" ht="20.100000000000001" customHeight="1">
      <c r="A120" s="340"/>
      <c r="B120" s="340"/>
      <c r="C120" s="406" t="s">
        <v>1849</v>
      </c>
      <c r="D120" s="330"/>
      <c r="E120" s="527"/>
      <c r="F120" s="527" t="s">
        <v>1286</v>
      </c>
      <c r="G120" s="302"/>
      <c r="H120" s="302"/>
      <c r="I120" s="302"/>
      <c r="J120" s="302"/>
      <c r="K120" s="302"/>
      <c r="L120" s="302">
        <f>VLOOKUP($F120,'[3]5.급수원단위'!$B$31:$G$35,2,FALSE)</f>
        <v>420</v>
      </c>
      <c r="M120" s="302">
        <f>VLOOKUP($F120,'[3]5.급수원단위'!$B$31:$G$35,3,FALSE)</f>
        <v>422</v>
      </c>
      <c r="N120" s="302">
        <f>VLOOKUP($F120,'[3]5.급수원단위'!$B$31:$G$35,4,FALSE)</f>
        <v>433</v>
      </c>
      <c r="O120" s="302">
        <f>VLOOKUP($F120,'[3]5.급수원단위'!$B$31:$G$35,5,FALSE)</f>
        <v>446</v>
      </c>
      <c r="P120" s="302">
        <f>VLOOKUP($F120,'[3]5.급수원단위'!$B$31:$G$35,6,FALSE)</f>
        <v>466</v>
      </c>
      <c r="Q120" s="302">
        <f>ROUND(IF(G120=0,0,VLOOKUP(C120,'2013실사용량 정리'!$D$6:$F$381,3,FALSE)),0)</f>
        <v>0</v>
      </c>
      <c r="R120" s="302">
        <f t="shared" si="18"/>
        <v>0</v>
      </c>
      <c r="S120" s="302">
        <f t="shared" si="18"/>
        <v>0</v>
      </c>
      <c r="T120" s="302">
        <f t="shared" si="18"/>
        <v>0</v>
      </c>
      <c r="U120" s="302">
        <f t="shared" si="18"/>
        <v>0</v>
      </c>
      <c r="W120" s="343" t="str">
        <f t="shared" si="17"/>
        <v/>
      </c>
    </row>
    <row r="121" spans="1:30" ht="20.100000000000001" customHeight="1">
      <c r="A121" s="340"/>
      <c r="B121" s="340"/>
      <c r="C121" s="406" t="s">
        <v>1850</v>
      </c>
      <c r="D121" s="330"/>
      <c r="E121" s="527"/>
      <c r="F121" s="527" t="s">
        <v>1286</v>
      </c>
      <c r="G121" s="302"/>
      <c r="H121" s="302"/>
      <c r="I121" s="302"/>
      <c r="J121" s="302"/>
      <c r="K121" s="302"/>
      <c r="L121" s="302">
        <f>VLOOKUP($F121,'[3]5.급수원단위'!$B$31:$G$35,2,FALSE)</f>
        <v>420</v>
      </c>
      <c r="M121" s="302">
        <f>VLOOKUP($F121,'[3]5.급수원단위'!$B$31:$G$35,3,FALSE)</f>
        <v>422</v>
      </c>
      <c r="N121" s="302">
        <f>VLOOKUP($F121,'[3]5.급수원단위'!$B$31:$G$35,4,FALSE)</f>
        <v>433</v>
      </c>
      <c r="O121" s="302">
        <f>VLOOKUP($F121,'[3]5.급수원단위'!$B$31:$G$35,5,FALSE)</f>
        <v>446</v>
      </c>
      <c r="P121" s="302">
        <f>VLOOKUP($F121,'[3]5.급수원단위'!$B$31:$G$35,6,FALSE)</f>
        <v>466</v>
      </c>
      <c r="Q121" s="302">
        <f>ROUND(IF(G121=0,0,VLOOKUP(C121,'2013실사용량 정리'!$D$6:$F$381,3,FALSE)),0)</f>
        <v>0</v>
      </c>
      <c r="R121" s="302">
        <f t="shared" si="18"/>
        <v>0</v>
      </c>
      <c r="S121" s="302">
        <f t="shared" si="18"/>
        <v>0</v>
      </c>
      <c r="T121" s="302">
        <f t="shared" si="18"/>
        <v>0</v>
      </c>
      <c r="U121" s="302">
        <f t="shared" si="18"/>
        <v>0</v>
      </c>
      <c r="W121" s="343" t="str">
        <f t="shared" si="17"/>
        <v/>
      </c>
    </row>
    <row r="122" spans="1:30" ht="20.100000000000001" customHeight="1">
      <c r="A122" s="340"/>
      <c r="B122" s="340"/>
      <c r="C122" s="406" t="s">
        <v>1851</v>
      </c>
      <c r="D122" s="330" t="s">
        <v>2475</v>
      </c>
      <c r="E122" s="527">
        <f>'[4]급수구역별 용수량정리'!$I$168</f>
        <v>0.14799999999999999</v>
      </c>
      <c r="F122" s="527" t="s">
        <v>1286</v>
      </c>
      <c r="G122" s="302">
        <f>IF($D122="A",ROUND(VLOOKUP($C122,'[2]2.행정구역별 급수인구'!$C$7:$AD$997,23,FALSE)*$E122,0),IF($D122="B",(ROUND(VLOOKUP($C122,'[2]2.행정구역별 급수인구'!$C$7:$AD$997,23,FALSE)-ROUND(VLOOKUP($C122,'[2]2.행정구역별 급수인구'!$C$7:$AD$997,23,FALSE)*(1-$E122),0),0)),VLOOKUP($C122,'[2]2.행정구역별 급수인구'!$C$7:$AD$997,23,FALSE)))-G125</f>
        <v>1666</v>
      </c>
      <c r="H122" s="302">
        <f>IF($D122="A",ROUND(VLOOKUP($C122,'[2]2.행정구역별 급수인구'!$C$7:$AD$997,25,FALSE)*$E122,0),IF($D122="B",(ROUND(VLOOKUP($C122,'[2]2.행정구역별 급수인구'!$C$7:$AD$997,25,FALSE)-ROUND(VLOOKUP($C122,'[2]2.행정구역별 급수인구'!$C$7:$AD$997,25,FALSE)*(1-$E122),0),0)),VLOOKUP($C122,'[2]2.행정구역별 급수인구'!$C$7:$AD$997,25,FALSE)))-H125</f>
        <v>1887</v>
      </c>
      <c r="I122" s="302">
        <f>IF($D122="A",ROUND(VLOOKUP($C122,'[2]2.행정구역별 급수인구'!$C$7:$AD$997,26,FALSE)*$E122,0),IF($D122="B",(ROUND(VLOOKUP($C122,'[2]2.행정구역별 급수인구'!$C$7:$AD$997,26,FALSE)-ROUND(VLOOKUP($C122,'[2]2.행정구역별 급수인구'!$C$7:$AD$997,26,FALSE)*(1-$E122),0),0)),VLOOKUP($C122,'[2]2.행정구역별 급수인구'!$C$7:$AD$997,26,FALSE)))-I125</f>
        <v>2608</v>
      </c>
      <c r="J122" s="302">
        <f>IF($D122="A",ROUND(VLOOKUP($C122,'[2]2.행정구역별 급수인구'!$C$7:$AD$997,27,FALSE)*$E122,0),IF($D122="B",(ROUND(VLOOKUP($C122,'[2]2.행정구역별 급수인구'!$C$7:$AD$997,27,FALSE)-ROUND(VLOOKUP($C122,'[2]2.행정구역별 급수인구'!$C$7:$AD$997,27,FALSE)*(1-$E122),0),0)),VLOOKUP($C122,'[2]2.행정구역별 급수인구'!$C$7:$AD$997,27,FALSE)))-J125</f>
        <v>2675</v>
      </c>
      <c r="K122" s="302">
        <f>IF($D122="A",ROUND(VLOOKUP($C122,'[2]2.행정구역별 급수인구'!$C$7:$AD$997,28,FALSE)*$E122,0),IF($D122="B",(ROUND(VLOOKUP($C122,'[2]2.행정구역별 급수인구'!$C$7:$AD$997,28,FALSE)-ROUND(VLOOKUP($C122,'[2]2.행정구역별 급수인구'!$C$7:$AD$997,28,FALSE)*(1-$E122),0),0)),VLOOKUP($C122,'[2]2.행정구역별 급수인구'!$C$7:$AD$997,28,FALSE)))-K125</f>
        <v>2734</v>
      </c>
      <c r="L122" s="302">
        <f>VLOOKUP($F122,'[3]5.급수원단위'!$B$31:$G$35,2,FALSE)</f>
        <v>420</v>
      </c>
      <c r="M122" s="302">
        <f>VLOOKUP($F122,'[3]5.급수원단위'!$B$31:$G$35,3,FALSE)</f>
        <v>422</v>
      </c>
      <c r="N122" s="302">
        <f>VLOOKUP($F122,'[3]5.급수원단위'!$B$31:$G$35,4,FALSE)</f>
        <v>433</v>
      </c>
      <c r="O122" s="302">
        <f>VLOOKUP($F122,'[3]5.급수원단위'!$B$31:$G$35,5,FALSE)</f>
        <v>446</v>
      </c>
      <c r="P122" s="302">
        <f>VLOOKUP($F122,'[3]5.급수원단위'!$B$31:$G$35,6,FALSE)</f>
        <v>466</v>
      </c>
      <c r="Q122" s="302">
        <f>'2013실사용량 정리'!F140</f>
        <v>738</v>
      </c>
      <c r="R122" s="302">
        <f t="shared" si="18"/>
        <v>796</v>
      </c>
      <c r="S122" s="302">
        <f t="shared" si="18"/>
        <v>1129</v>
      </c>
      <c r="T122" s="302">
        <f t="shared" si="18"/>
        <v>1193</v>
      </c>
      <c r="U122" s="302">
        <f t="shared" si="18"/>
        <v>1274</v>
      </c>
      <c r="W122" s="343">
        <f t="shared" si="17"/>
        <v>1.7262872628726287</v>
      </c>
    </row>
    <row r="123" spans="1:30" ht="20.100000000000001" customHeight="1">
      <c r="A123" s="386"/>
      <c r="B123" s="386"/>
      <c r="C123" s="406" t="s">
        <v>1852</v>
      </c>
      <c r="D123" s="330"/>
      <c r="E123" s="527"/>
      <c r="F123" s="527" t="s">
        <v>1286</v>
      </c>
      <c r="G123" s="302"/>
      <c r="H123" s="302"/>
      <c r="I123" s="302"/>
      <c r="J123" s="302"/>
      <c r="K123" s="302"/>
      <c r="L123" s="302">
        <f>VLOOKUP($F123,'[3]5.급수원단위'!$B$31:$G$35,2,FALSE)</f>
        <v>420</v>
      </c>
      <c r="M123" s="302">
        <f>VLOOKUP($F123,'[3]5.급수원단위'!$B$31:$G$35,3,FALSE)</f>
        <v>422</v>
      </c>
      <c r="N123" s="302">
        <f>VLOOKUP($F123,'[3]5.급수원단위'!$B$31:$G$35,4,FALSE)</f>
        <v>433</v>
      </c>
      <c r="O123" s="302">
        <f>VLOOKUP($F123,'[3]5.급수원단위'!$B$31:$G$35,5,FALSE)</f>
        <v>446</v>
      </c>
      <c r="P123" s="302">
        <f>VLOOKUP($F123,'[3]5.급수원단위'!$B$31:$G$35,6,FALSE)</f>
        <v>466</v>
      </c>
      <c r="Q123" s="302">
        <f>ROUND(IF(G123=0,0,VLOOKUP(C123,'2013실사용량 정리'!$D$6:$F$381,3,FALSE)),0)</f>
        <v>0</v>
      </c>
      <c r="R123" s="302">
        <f t="shared" si="18"/>
        <v>0</v>
      </c>
      <c r="S123" s="302">
        <f t="shared" si="18"/>
        <v>0</v>
      </c>
      <c r="T123" s="302">
        <f t="shared" si="18"/>
        <v>0</v>
      </c>
      <c r="U123" s="302">
        <f t="shared" si="18"/>
        <v>0</v>
      </c>
      <c r="W123" s="343" t="str">
        <f t="shared" si="17"/>
        <v/>
      </c>
    </row>
    <row r="128" spans="1:30" ht="20.100000000000001" customHeight="1">
      <c r="G128" s="479">
        <f>G122+'2.생활용수(논산)'!G25+'2.생활용수(논산)'!G28+'2.생활용수(논산)'!G13</f>
        <v>11260</v>
      </c>
      <c r="H128" s="479">
        <f>H122+'2.생활용수(논산)'!H25+'2.생활용수(논산)'!H28+'2.생활용수(논산)'!H13</f>
        <v>12752</v>
      </c>
      <c r="I128" s="479">
        <f>I122+'2.생활용수(논산)'!I25+'2.생활용수(논산)'!I28+'2.생활용수(논산)'!I13</f>
        <v>17623</v>
      </c>
      <c r="J128" s="479">
        <f>J122+'2.생활용수(논산)'!J25+'2.생활용수(논산)'!J28+'2.생활용수(논산)'!J13</f>
        <v>18073</v>
      </c>
      <c r="K128" s="479">
        <f>K122+'2.생활용수(논산)'!K25+'2.생활용수(논산)'!K28+'2.생활용수(논산)'!K13</f>
        <v>18473</v>
      </c>
    </row>
  </sheetData>
  <autoFilter ref="A4:BB123">
    <filterColumn colId="0" showButton="0"/>
    <filterColumn colId="1" showButton="0"/>
    <filterColumn colId="2" showButton="0"/>
  </autoFilter>
  <mergeCells count="12">
    <mergeCell ref="B116:D116"/>
    <mergeCell ref="B90:D90"/>
    <mergeCell ref="B6:D6"/>
    <mergeCell ref="B34:D34"/>
    <mergeCell ref="A5:D5"/>
    <mergeCell ref="W2:Y2"/>
    <mergeCell ref="A3:D4"/>
    <mergeCell ref="E3:E4"/>
    <mergeCell ref="F3:F4"/>
    <mergeCell ref="G3:K3"/>
    <mergeCell ref="L3:P3"/>
    <mergeCell ref="Q3:U3"/>
  </mergeCells>
  <phoneticPr fontId="3" type="noConversion"/>
  <printOptions horizontalCentered="1"/>
  <pageMargins left="0.62992125984251968" right="0.62992125984251968" top="0.62992125984251968" bottom="0.62992125984251968" header="0.31496062992125984" footer="0.31496062992125984"/>
  <pageSetup paperSize="9" scale="9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C000"/>
  </sheetPr>
  <dimension ref="A1:AS117"/>
  <sheetViews>
    <sheetView view="pageBreakPreview" zoomScale="85" zoomScaleNormal="100" zoomScaleSheetLayoutView="85" workbookViewId="0">
      <selection activeCell="Z16" sqref="Z16"/>
    </sheetView>
  </sheetViews>
  <sheetFormatPr defaultColWidth="7.6640625" defaultRowHeight="20.100000000000001" customHeight="1" outlineLevelCol="1"/>
  <cols>
    <col min="1" max="2" width="1.77734375" style="327" customWidth="1"/>
    <col min="3" max="3" width="6.33203125" style="327" customWidth="1"/>
    <col min="4" max="4" width="2.33203125" style="327" customWidth="1"/>
    <col min="5" max="6" width="6.77734375" style="327" hidden="1" customWidth="1" outlineLevel="1"/>
    <col min="7" max="7" width="6.33203125" style="327" hidden="1" customWidth="1" outlineLevel="1"/>
    <col min="8" max="8" width="6.33203125" style="327" customWidth="1" collapsed="1"/>
    <col min="9" max="11" width="6.33203125" style="327" customWidth="1"/>
    <col min="12" max="12" width="4.33203125" style="327" hidden="1" customWidth="1" outlineLevel="1"/>
    <col min="13" max="13" width="4.33203125" style="327" customWidth="1" collapsed="1"/>
    <col min="14" max="16" width="4.33203125" style="327" customWidth="1"/>
    <col min="17" max="17" width="6.33203125" style="327" hidden="1" customWidth="1" outlineLevel="1"/>
    <col min="18" max="18" width="6.33203125" style="327" customWidth="1" collapsed="1"/>
    <col min="19" max="21" width="6.33203125" style="327" customWidth="1"/>
    <col min="22" max="22" width="8" style="327" bestFit="1" customWidth="1"/>
    <col min="23" max="25" width="7.6640625" style="327"/>
    <col min="26" max="26" width="7.88671875" style="327" customWidth="1"/>
    <col min="27" max="16384" width="7.6640625" style="327"/>
  </cols>
  <sheetData>
    <row r="1" spans="1:30" s="204" customFormat="1" ht="20.100000000000001" customHeight="1">
      <c r="A1" s="204" t="s">
        <v>804</v>
      </c>
    </row>
    <row r="2" spans="1:30" s="208" customFormat="1" ht="19.5" customHeight="1">
      <c r="A2" s="207" t="s">
        <v>1861</v>
      </c>
      <c r="G2" s="209"/>
      <c r="H2" s="209"/>
      <c r="J2" s="209"/>
      <c r="K2" s="209"/>
      <c r="L2" s="209"/>
      <c r="V2" s="334"/>
      <c r="W2" s="692" t="s">
        <v>1919</v>
      </c>
      <c r="X2" s="692"/>
      <c r="Y2" s="692"/>
      <c r="Z2" s="440" t="s">
        <v>2405</v>
      </c>
    </row>
    <row r="3" spans="1:30" ht="20.100000000000001" customHeight="1">
      <c r="A3" s="693" t="s">
        <v>1279</v>
      </c>
      <c r="B3" s="693"/>
      <c r="C3" s="693"/>
      <c r="D3" s="693"/>
      <c r="E3" s="696" t="s">
        <v>1290</v>
      </c>
      <c r="F3" s="696" t="s">
        <v>1280</v>
      </c>
      <c r="G3" s="693" t="s">
        <v>1281</v>
      </c>
      <c r="H3" s="693"/>
      <c r="I3" s="693"/>
      <c r="J3" s="693"/>
      <c r="K3" s="693"/>
      <c r="L3" s="693" t="s">
        <v>1282</v>
      </c>
      <c r="M3" s="693"/>
      <c r="N3" s="693"/>
      <c r="O3" s="693"/>
      <c r="P3" s="693"/>
      <c r="Q3" s="693" t="s">
        <v>1283</v>
      </c>
      <c r="R3" s="693"/>
      <c r="S3" s="693"/>
      <c r="T3" s="693"/>
      <c r="U3" s="693"/>
      <c r="W3" s="434">
        <v>5033</v>
      </c>
      <c r="X3" s="439">
        <f>14841-10439</f>
        <v>4402</v>
      </c>
      <c r="Y3" s="440">
        <f>X3/W3</f>
        <v>0.87462745877210413</v>
      </c>
      <c r="Z3" s="440">
        <f>ROUND(AVERAGE(W6:W139),2)</f>
        <v>1.72</v>
      </c>
    </row>
    <row r="4" spans="1:30" ht="20.100000000000001" customHeight="1">
      <c r="A4" s="693"/>
      <c r="B4" s="693"/>
      <c r="C4" s="693"/>
      <c r="D4" s="693"/>
      <c r="E4" s="693"/>
      <c r="F4" s="693"/>
      <c r="G4" s="527">
        <v>2013</v>
      </c>
      <c r="H4" s="527">
        <v>2015</v>
      </c>
      <c r="I4" s="527">
        <v>2020</v>
      </c>
      <c r="J4" s="527">
        <v>2025</v>
      </c>
      <c r="K4" s="527">
        <v>2030</v>
      </c>
      <c r="L4" s="527">
        <v>2013</v>
      </c>
      <c r="M4" s="527">
        <v>2015</v>
      </c>
      <c r="N4" s="527">
        <v>2020</v>
      </c>
      <c r="O4" s="527">
        <v>2025</v>
      </c>
      <c r="P4" s="527">
        <v>2030</v>
      </c>
      <c r="Q4" s="527">
        <v>2013</v>
      </c>
      <c r="R4" s="527">
        <v>2015</v>
      </c>
      <c r="S4" s="527">
        <v>2020</v>
      </c>
      <c r="T4" s="527">
        <v>2025</v>
      </c>
      <c r="U4" s="527">
        <v>2030</v>
      </c>
    </row>
    <row r="5" spans="1:30" ht="20.100000000000001" customHeight="1">
      <c r="A5" s="695" t="s">
        <v>1862</v>
      </c>
      <c r="B5" s="695"/>
      <c r="C5" s="695"/>
      <c r="D5" s="695"/>
      <c r="E5" s="407"/>
      <c r="F5" s="407"/>
      <c r="G5" s="408">
        <f>G6+G89</f>
        <v>9303</v>
      </c>
      <c r="H5" s="408">
        <f t="shared" ref="H5:K5" si="0">H6+H89</f>
        <v>10956</v>
      </c>
      <c r="I5" s="408">
        <f t="shared" si="0"/>
        <v>11849</v>
      </c>
      <c r="J5" s="408">
        <f t="shared" si="0"/>
        <v>12125</v>
      </c>
      <c r="K5" s="408">
        <f t="shared" si="0"/>
        <v>12343</v>
      </c>
      <c r="L5" s="408"/>
      <c r="M5" s="408"/>
      <c r="N5" s="408"/>
      <c r="O5" s="408"/>
      <c r="P5" s="408"/>
      <c r="Q5" s="408">
        <f t="shared" ref="Q5:U5" si="1">Q6+Q89</f>
        <v>3062</v>
      </c>
      <c r="R5" s="408">
        <f t="shared" si="1"/>
        <v>4202</v>
      </c>
      <c r="S5" s="408">
        <f t="shared" si="1"/>
        <v>4777</v>
      </c>
      <c r="T5" s="408">
        <f t="shared" si="1"/>
        <v>5125</v>
      </c>
      <c r="U5" s="408">
        <f t="shared" si="1"/>
        <v>5379</v>
      </c>
      <c r="V5" s="341"/>
      <c r="W5" s="335"/>
    </row>
    <row r="6" spans="1:30" ht="20.100000000000001" customHeight="1">
      <c r="A6" s="713" t="s">
        <v>1863</v>
      </c>
      <c r="B6" s="714"/>
      <c r="C6" s="714"/>
      <c r="D6" s="715"/>
      <c r="E6" s="332"/>
      <c r="F6" s="332"/>
      <c r="G6" s="298">
        <f>G7+G63</f>
        <v>9303</v>
      </c>
      <c r="H6" s="298">
        <f t="shared" ref="H6:K6" si="2">H7+H63</f>
        <v>10956</v>
      </c>
      <c r="I6" s="298">
        <f t="shared" si="2"/>
        <v>10351</v>
      </c>
      <c r="J6" s="298">
        <f t="shared" si="2"/>
        <v>10595</v>
      </c>
      <c r="K6" s="298">
        <f t="shared" si="2"/>
        <v>10781</v>
      </c>
      <c r="L6" s="298"/>
      <c r="M6" s="298"/>
      <c r="N6" s="298"/>
      <c r="O6" s="298"/>
      <c r="P6" s="298"/>
      <c r="Q6" s="298">
        <f t="shared" ref="Q6:U6" si="3">Q7+Q63</f>
        <v>3062</v>
      </c>
      <c r="R6" s="298">
        <f t="shared" si="3"/>
        <v>4202</v>
      </c>
      <c r="S6" s="298">
        <f t="shared" si="3"/>
        <v>4316</v>
      </c>
      <c r="T6" s="298">
        <f t="shared" si="3"/>
        <v>4651</v>
      </c>
      <c r="U6" s="298">
        <f t="shared" si="3"/>
        <v>4894</v>
      </c>
      <c r="V6" s="335"/>
      <c r="W6"/>
      <c r="X6"/>
      <c r="Y6"/>
      <c r="Z6"/>
      <c r="AA6"/>
      <c r="AB6"/>
      <c r="AC6"/>
      <c r="AD6"/>
    </row>
    <row r="7" spans="1:30" ht="20.100000000000001" customHeight="1">
      <c r="A7" s="339"/>
      <c r="B7" s="694" t="s">
        <v>1318</v>
      </c>
      <c r="C7" s="694"/>
      <c r="D7" s="694"/>
      <c r="E7" s="331"/>
      <c r="F7" s="331"/>
      <c r="G7" s="336">
        <f>SUM(G8:G62)</f>
        <v>8882</v>
      </c>
      <c r="H7" s="336">
        <f t="shared" ref="H7:K7" si="4">SUM(H8:H62)</f>
        <v>10112</v>
      </c>
      <c r="I7" s="336">
        <f t="shared" si="4"/>
        <v>10351</v>
      </c>
      <c r="J7" s="336">
        <f t="shared" si="4"/>
        <v>10595</v>
      </c>
      <c r="K7" s="336">
        <f t="shared" si="4"/>
        <v>10781</v>
      </c>
      <c r="L7" s="336"/>
      <c r="M7" s="336"/>
      <c r="N7" s="336"/>
      <c r="O7" s="336"/>
      <c r="P7" s="336"/>
      <c r="Q7" s="336">
        <f t="shared" ref="Q7:U7" si="5">SUM(Q8:Q62)</f>
        <v>2972</v>
      </c>
      <c r="R7" s="336">
        <f t="shared" si="5"/>
        <v>3945</v>
      </c>
      <c r="S7" s="336">
        <f t="shared" si="5"/>
        <v>4316</v>
      </c>
      <c r="T7" s="336">
        <f t="shared" si="5"/>
        <v>4651</v>
      </c>
      <c r="U7" s="336">
        <f t="shared" si="5"/>
        <v>4894</v>
      </c>
      <c r="V7" s="343">
        <f>VLOOKUP(B7,'2013년도 용수량 비율'!$A$5:$F$20,6,FALSE)</f>
        <v>-0.31</v>
      </c>
    </row>
    <row r="8" spans="1:30" ht="20.100000000000001" customHeight="1">
      <c r="A8" s="340"/>
      <c r="B8" s="339"/>
      <c r="C8" s="406" t="s">
        <v>1319</v>
      </c>
      <c r="D8" s="330" t="s">
        <v>1808</v>
      </c>
      <c r="E8" s="527">
        <f>1-'2.생활용수(연무)'!E35</f>
        <v>0</v>
      </c>
      <c r="F8" s="527" t="s">
        <v>1331</v>
      </c>
      <c r="G8" s="302">
        <f>IF($D8="A",ROUND(VLOOKUP($C8,'[2]2.행정구역별 급수인구'!$C$7:$AD$997,17,FALSE)*$E8,0),IF($D8="B",(ROUND(VLOOKUP($C8,'[2]2.행정구역별 급수인구'!$C$7:$AD$997,17,FALSE)-VLOOKUP($C8,'[2]2.행정구역별 급수인구'!$C$7:$AD$997,17,FALSE)*(1-$E8),0)),VLOOKUP($C8,'[2]2.행정구역별 급수인구'!$C$7:$AD$997,17,FALSE)))</f>
        <v>0</v>
      </c>
      <c r="H8" s="302">
        <f>IF($D8="A",ROUND(VLOOKUP($C8,'[2]2.행정구역별 급수인구'!$C$7:$AD$997,25,FALSE)*$E8,0),IF($D8="B",(ROUND(VLOOKUP($C8,'[2]2.행정구역별 급수인구'!$C$7:$AD$997,25,FALSE)-VLOOKUP($C8,'[2]2.행정구역별 급수인구'!$C$7:$AD$997,25,FALSE)*(1-$E8),0)),VLOOKUP($C8,'[2]2.행정구역별 급수인구'!$C$7:$AD$997,25,FALSE)))</f>
        <v>0</v>
      </c>
      <c r="I8" s="302">
        <f>IF($D8="A",ROUND(VLOOKUP($C8,'[2]2.행정구역별 급수인구'!$C$7:$AD$997,26,FALSE)*$E8,0),IF($D8="B",(ROUND(VLOOKUP($C8,'[2]2.행정구역별 급수인구'!$C$7:$AD$997,26,FALSE)-VLOOKUP($C8,'[2]2.행정구역별 급수인구'!$C$7:$AD$997,26,FALSE)*(1-$E8),0)),VLOOKUP($C8,'[2]2.행정구역별 급수인구'!$C$7:$AD$997,26,FALSE)))</f>
        <v>0</v>
      </c>
      <c r="J8" s="302">
        <f>IF($D8="A",ROUND(VLOOKUP($C8,'[2]2.행정구역별 급수인구'!$C$7:$AD$997,27,FALSE)*$E8,0),IF($D8="B",(ROUND(VLOOKUP($C8,'[2]2.행정구역별 급수인구'!$C$7:$AD$997,27,FALSE)-VLOOKUP($C8,'[2]2.행정구역별 급수인구'!$C$7:$AD$997,27,FALSE)*(1-$E8),0)),VLOOKUP($C8,'[2]2.행정구역별 급수인구'!$C$7:$AD$997,27,FALSE)))</f>
        <v>0</v>
      </c>
      <c r="K8" s="302">
        <f>IF($D8="A",ROUND(VLOOKUP($C8,'[2]2.행정구역별 급수인구'!$C$7:$AD$997,28,FALSE)*$E8,0),IF($D8="B",(ROUND(VLOOKUP($C8,'[2]2.행정구역별 급수인구'!$C$7:$AD$997,28,FALSE)-VLOOKUP($C8,'[2]2.행정구역별 급수인구'!$C$7:$AD$997,28,FALSE)*(1-$E8),0)),VLOOKUP($C8,'[2]2.행정구역별 급수인구'!$C$7:$AD$997,28,FALSE)))</f>
        <v>0</v>
      </c>
      <c r="L8" s="302">
        <f>VLOOKUP($F8,'[3]5.급수원단위'!$B$31:$G$35,2,FALSE)</f>
        <v>365</v>
      </c>
      <c r="M8" s="302">
        <f>VLOOKUP($F8,'[3]5.급수원단위'!$B$31:$G$35,3,FALSE)</f>
        <v>390</v>
      </c>
      <c r="N8" s="302">
        <f>VLOOKUP($F8,'[3]5.급수원단위'!$B$31:$G$35,4,FALSE)</f>
        <v>417</v>
      </c>
      <c r="O8" s="302">
        <f>VLOOKUP($F8,'[3]5.급수원단위'!$B$31:$G$35,5,FALSE)</f>
        <v>439</v>
      </c>
      <c r="P8" s="302">
        <f>VLOOKUP($F8,'[3]5.급수원단위'!$B$31:$G$35,6,FALSE)</f>
        <v>454</v>
      </c>
      <c r="Q8" s="302">
        <f>ROUND(IF(G8=0,0,VLOOKUP(C8,'2013실사용량 정리'!$D$6:$F$381,3,FALSE)),0)</f>
        <v>0</v>
      </c>
      <c r="R8" s="302">
        <f t="shared" ref="R8:U23" si="6">ROUND(H8*M8/1000,0)</f>
        <v>0</v>
      </c>
      <c r="S8" s="302">
        <f t="shared" si="6"/>
        <v>0</v>
      </c>
      <c r="T8" s="302">
        <f t="shared" si="6"/>
        <v>0</v>
      </c>
      <c r="U8" s="302">
        <f t="shared" si="6"/>
        <v>0</v>
      </c>
      <c r="W8" s="343" t="str">
        <f t="shared" ref="W8:W71" si="7">IF(ISERROR(U8/Q8),"",U8/Q8)</f>
        <v/>
      </c>
    </row>
    <row r="9" spans="1:30" ht="20.100000000000001" customHeight="1">
      <c r="A9" s="340"/>
      <c r="B9" s="340"/>
      <c r="C9" s="406" t="s">
        <v>1320</v>
      </c>
      <c r="D9" s="330" t="s">
        <v>1808</v>
      </c>
      <c r="E9" s="527">
        <f>1-'2.생활용수(연무)'!E36</f>
        <v>0</v>
      </c>
      <c r="F9" s="527" t="s">
        <v>1331</v>
      </c>
      <c r="G9" s="302">
        <f>IF($D9="A",ROUND(VLOOKUP($C9,'[2]2.행정구역별 급수인구'!$C$7:$AD$997,17,FALSE)*$E9,0),IF($D9="B",(ROUND(VLOOKUP($C9,'[2]2.행정구역별 급수인구'!$C$7:$AD$997,17,FALSE)-VLOOKUP($C9,'[2]2.행정구역별 급수인구'!$C$7:$AD$997,17,FALSE)*(1-$E9),0)),VLOOKUP($C9,'[2]2.행정구역별 급수인구'!$C$7:$AD$997,17,FALSE)))</f>
        <v>0</v>
      </c>
      <c r="H9" s="302">
        <f>IF($D9="A",ROUND(VLOOKUP($C9,'[2]2.행정구역별 급수인구'!$C$7:$AD$997,25,FALSE)*$E9,0),IF($D9="B",(ROUND(VLOOKUP($C9,'[2]2.행정구역별 급수인구'!$C$7:$AD$997,25,FALSE)-VLOOKUP($C9,'[2]2.행정구역별 급수인구'!$C$7:$AD$997,25,FALSE)*(1-$E9),0)),VLOOKUP($C9,'[2]2.행정구역별 급수인구'!$C$7:$AD$997,25,FALSE)))</f>
        <v>0</v>
      </c>
      <c r="I9" s="302">
        <f>IF($D9="A",ROUND(VLOOKUP($C9,'[2]2.행정구역별 급수인구'!$C$7:$AD$997,26,FALSE)*$E9,0),IF($D9="B",(ROUND(VLOOKUP($C9,'[2]2.행정구역별 급수인구'!$C$7:$AD$997,26,FALSE)-VLOOKUP($C9,'[2]2.행정구역별 급수인구'!$C$7:$AD$997,26,FALSE)*(1-$E9),0)),VLOOKUP($C9,'[2]2.행정구역별 급수인구'!$C$7:$AD$997,26,FALSE)))</f>
        <v>0</v>
      </c>
      <c r="J9" s="302">
        <f>IF($D9="A",ROUND(VLOOKUP($C9,'[2]2.행정구역별 급수인구'!$C$7:$AD$997,27,FALSE)*$E9,0),IF($D9="B",(ROUND(VLOOKUP($C9,'[2]2.행정구역별 급수인구'!$C$7:$AD$997,27,FALSE)-VLOOKUP($C9,'[2]2.행정구역별 급수인구'!$C$7:$AD$997,27,FALSE)*(1-$E9),0)),VLOOKUP($C9,'[2]2.행정구역별 급수인구'!$C$7:$AD$997,27,FALSE)))</f>
        <v>0</v>
      </c>
      <c r="K9" s="302">
        <f>IF($D9="A",ROUND(VLOOKUP($C9,'[2]2.행정구역별 급수인구'!$C$7:$AD$997,28,FALSE)*$E9,0),IF($D9="B",(ROUND(VLOOKUP($C9,'[2]2.행정구역별 급수인구'!$C$7:$AD$997,28,FALSE)-VLOOKUP($C9,'[2]2.행정구역별 급수인구'!$C$7:$AD$997,28,FALSE)*(1-$E9),0)),VLOOKUP($C9,'[2]2.행정구역별 급수인구'!$C$7:$AD$997,28,FALSE)))</f>
        <v>0</v>
      </c>
      <c r="L9" s="302">
        <f>VLOOKUP($F9,'[3]5.급수원단위'!$B$31:$G$35,2,FALSE)</f>
        <v>365</v>
      </c>
      <c r="M9" s="302">
        <f>VLOOKUP($F9,'[3]5.급수원단위'!$B$31:$G$35,3,FALSE)</f>
        <v>390</v>
      </c>
      <c r="N9" s="302">
        <f>VLOOKUP($F9,'[3]5.급수원단위'!$B$31:$G$35,4,FALSE)</f>
        <v>417</v>
      </c>
      <c r="O9" s="302">
        <f>VLOOKUP($F9,'[3]5.급수원단위'!$B$31:$G$35,5,FALSE)</f>
        <v>439</v>
      </c>
      <c r="P9" s="302">
        <f>VLOOKUP($F9,'[3]5.급수원단위'!$B$31:$G$35,6,FALSE)</f>
        <v>454</v>
      </c>
      <c r="Q9" s="302">
        <f>ROUND(IF(G9=0,0,VLOOKUP(C9,'2013실사용량 정리'!$D$6:$F$381,3,FALSE)),0)</f>
        <v>0</v>
      </c>
      <c r="R9" s="302">
        <f t="shared" si="6"/>
        <v>0</v>
      </c>
      <c r="S9" s="302">
        <f t="shared" si="6"/>
        <v>0</v>
      </c>
      <c r="T9" s="302">
        <f t="shared" si="6"/>
        <v>0</v>
      </c>
      <c r="U9" s="302">
        <f t="shared" si="6"/>
        <v>0</v>
      </c>
      <c r="W9" s="343" t="str">
        <f t="shared" si="7"/>
        <v/>
      </c>
    </row>
    <row r="10" spans="1:30" ht="20.100000000000001" customHeight="1">
      <c r="A10" s="340"/>
      <c r="B10" s="340"/>
      <c r="C10" s="406" t="s">
        <v>1321</v>
      </c>
      <c r="D10" s="330" t="s">
        <v>1808</v>
      </c>
      <c r="E10" s="527">
        <f>1-'2.생활용수(연무)'!E37</f>
        <v>0</v>
      </c>
      <c r="F10" s="527" t="s">
        <v>1331</v>
      </c>
      <c r="G10" s="302">
        <f>IF($D10="A",ROUND(VLOOKUP($C10,'[2]2.행정구역별 급수인구'!$C$7:$AD$997,17,FALSE)*$E10,0),IF($D10="B",(ROUND(VLOOKUP($C10,'[2]2.행정구역별 급수인구'!$C$7:$AD$997,17,FALSE)-VLOOKUP($C10,'[2]2.행정구역별 급수인구'!$C$7:$AD$997,17,FALSE)*(1-$E10),0)),VLOOKUP($C10,'[2]2.행정구역별 급수인구'!$C$7:$AD$997,17,FALSE)))</f>
        <v>0</v>
      </c>
      <c r="H10" s="302">
        <f>IF($D10="A",ROUND(VLOOKUP($C10,'[2]2.행정구역별 급수인구'!$C$7:$AD$997,25,FALSE)*$E10,0),IF($D10="B",(ROUND(VLOOKUP($C10,'[2]2.행정구역별 급수인구'!$C$7:$AD$997,25,FALSE)-VLOOKUP($C10,'[2]2.행정구역별 급수인구'!$C$7:$AD$997,25,FALSE)*(1-$E10),0)),VLOOKUP($C10,'[2]2.행정구역별 급수인구'!$C$7:$AD$997,25,FALSE)))</f>
        <v>0</v>
      </c>
      <c r="I10" s="302">
        <f>IF($D10="A",ROUND(VLOOKUP($C10,'[2]2.행정구역별 급수인구'!$C$7:$AD$997,26,FALSE)*$E10,0),IF($D10="B",(ROUND(VLOOKUP($C10,'[2]2.행정구역별 급수인구'!$C$7:$AD$997,26,FALSE)-VLOOKUP($C10,'[2]2.행정구역별 급수인구'!$C$7:$AD$997,26,FALSE)*(1-$E10),0)),VLOOKUP($C10,'[2]2.행정구역별 급수인구'!$C$7:$AD$997,26,FALSE)))</f>
        <v>0</v>
      </c>
      <c r="J10" s="302">
        <f>IF($D10="A",ROUND(VLOOKUP($C10,'[2]2.행정구역별 급수인구'!$C$7:$AD$997,27,FALSE)*$E10,0),IF($D10="B",(ROUND(VLOOKUP($C10,'[2]2.행정구역별 급수인구'!$C$7:$AD$997,27,FALSE)-VLOOKUP($C10,'[2]2.행정구역별 급수인구'!$C$7:$AD$997,27,FALSE)*(1-$E10),0)),VLOOKUP($C10,'[2]2.행정구역별 급수인구'!$C$7:$AD$997,27,FALSE)))</f>
        <v>0</v>
      </c>
      <c r="K10" s="302">
        <f>IF($D10="A",ROUND(VLOOKUP($C10,'[2]2.행정구역별 급수인구'!$C$7:$AD$997,28,FALSE)*$E10,0),IF($D10="B",(ROUND(VLOOKUP($C10,'[2]2.행정구역별 급수인구'!$C$7:$AD$997,28,FALSE)-VLOOKUP($C10,'[2]2.행정구역별 급수인구'!$C$7:$AD$997,28,FALSE)*(1-$E10),0)),VLOOKUP($C10,'[2]2.행정구역별 급수인구'!$C$7:$AD$997,28,FALSE)))</f>
        <v>0</v>
      </c>
      <c r="L10" s="302">
        <f>VLOOKUP($F10,'[3]5.급수원단위'!$B$31:$G$35,2,FALSE)</f>
        <v>365</v>
      </c>
      <c r="M10" s="302">
        <f>VLOOKUP($F10,'[3]5.급수원단위'!$B$31:$G$35,3,FALSE)</f>
        <v>390</v>
      </c>
      <c r="N10" s="302">
        <f>VLOOKUP($F10,'[3]5.급수원단위'!$B$31:$G$35,4,FALSE)</f>
        <v>417</v>
      </c>
      <c r="O10" s="302">
        <f>VLOOKUP($F10,'[3]5.급수원단위'!$B$31:$G$35,5,FALSE)</f>
        <v>439</v>
      </c>
      <c r="P10" s="302">
        <f>VLOOKUP($F10,'[3]5.급수원단위'!$B$31:$G$35,6,FALSE)</f>
        <v>454</v>
      </c>
      <c r="Q10" s="302">
        <f>ROUND(IF(G10=0,0,VLOOKUP(C10,'2013실사용량 정리'!$D$6:$F$381,3,FALSE)),0)</f>
        <v>0</v>
      </c>
      <c r="R10" s="302">
        <f t="shared" si="6"/>
        <v>0</v>
      </c>
      <c r="S10" s="302">
        <f t="shared" si="6"/>
        <v>0</v>
      </c>
      <c r="T10" s="302">
        <f t="shared" si="6"/>
        <v>0</v>
      </c>
      <c r="U10" s="302">
        <f t="shared" si="6"/>
        <v>0</v>
      </c>
      <c r="W10" s="343" t="str">
        <f t="shared" si="7"/>
        <v/>
      </c>
    </row>
    <row r="11" spans="1:30" ht="20.100000000000001" customHeight="1">
      <c r="A11" s="340"/>
      <c r="B11" s="340"/>
      <c r="C11" s="406" t="s">
        <v>1322</v>
      </c>
      <c r="D11" s="330" t="s">
        <v>1808</v>
      </c>
      <c r="E11" s="527">
        <f>1-'2.생활용수(연무)'!E38</f>
        <v>0</v>
      </c>
      <c r="F11" s="527" t="s">
        <v>1331</v>
      </c>
      <c r="G11" s="302">
        <f>IF($D11="A",ROUND(VLOOKUP($C11,'[2]2.행정구역별 급수인구'!$C$7:$AD$997,17,FALSE)*$E11,0),IF($D11="B",(ROUND(VLOOKUP($C11,'[2]2.행정구역별 급수인구'!$C$7:$AD$997,17,FALSE)-VLOOKUP($C11,'[2]2.행정구역별 급수인구'!$C$7:$AD$997,17,FALSE)*(1-$E11),0)),VLOOKUP($C11,'[2]2.행정구역별 급수인구'!$C$7:$AD$997,17,FALSE)))</f>
        <v>0</v>
      </c>
      <c r="H11" s="302">
        <f>IF($D11="A",ROUND(VLOOKUP($C11,'[2]2.행정구역별 급수인구'!$C$7:$AD$997,25,FALSE)*$E11,0),IF($D11="B",(ROUND(VLOOKUP($C11,'[2]2.행정구역별 급수인구'!$C$7:$AD$997,25,FALSE)-VLOOKUP($C11,'[2]2.행정구역별 급수인구'!$C$7:$AD$997,25,FALSE)*(1-$E11),0)),VLOOKUP($C11,'[2]2.행정구역별 급수인구'!$C$7:$AD$997,25,FALSE)))</f>
        <v>0</v>
      </c>
      <c r="I11" s="302">
        <f>IF($D11="A",ROUND(VLOOKUP($C11,'[2]2.행정구역별 급수인구'!$C$7:$AD$997,26,FALSE)*$E11,0),IF($D11="B",(ROUND(VLOOKUP($C11,'[2]2.행정구역별 급수인구'!$C$7:$AD$997,26,FALSE)-VLOOKUP($C11,'[2]2.행정구역별 급수인구'!$C$7:$AD$997,26,FALSE)*(1-$E11),0)),VLOOKUP($C11,'[2]2.행정구역별 급수인구'!$C$7:$AD$997,26,FALSE)))</f>
        <v>0</v>
      </c>
      <c r="J11" s="302">
        <f>IF($D11="A",ROUND(VLOOKUP($C11,'[2]2.행정구역별 급수인구'!$C$7:$AD$997,27,FALSE)*$E11,0),IF($D11="B",(ROUND(VLOOKUP($C11,'[2]2.행정구역별 급수인구'!$C$7:$AD$997,27,FALSE)-VLOOKUP($C11,'[2]2.행정구역별 급수인구'!$C$7:$AD$997,27,FALSE)*(1-$E11),0)),VLOOKUP($C11,'[2]2.행정구역별 급수인구'!$C$7:$AD$997,27,FALSE)))</f>
        <v>0</v>
      </c>
      <c r="K11" s="302">
        <f>IF($D11="A",ROUND(VLOOKUP($C11,'[2]2.행정구역별 급수인구'!$C$7:$AD$997,28,FALSE)*$E11,0),IF($D11="B",(ROUND(VLOOKUP($C11,'[2]2.행정구역별 급수인구'!$C$7:$AD$997,28,FALSE)-VLOOKUP($C11,'[2]2.행정구역별 급수인구'!$C$7:$AD$997,28,FALSE)*(1-$E11),0)),VLOOKUP($C11,'[2]2.행정구역별 급수인구'!$C$7:$AD$997,28,FALSE)))</f>
        <v>0</v>
      </c>
      <c r="L11" s="302">
        <f>VLOOKUP($F11,'[3]5.급수원단위'!$B$31:$G$35,2,FALSE)</f>
        <v>365</v>
      </c>
      <c r="M11" s="302">
        <f>VLOOKUP($F11,'[3]5.급수원단위'!$B$31:$G$35,3,FALSE)</f>
        <v>390</v>
      </c>
      <c r="N11" s="302">
        <f>VLOOKUP($F11,'[3]5.급수원단위'!$B$31:$G$35,4,FALSE)</f>
        <v>417</v>
      </c>
      <c r="O11" s="302">
        <f>VLOOKUP($F11,'[3]5.급수원단위'!$B$31:$G$35,5,FALSE)</f>
        <v>439</v>
      </c>
      <c r="P11" s="302">
        <f>VLOOKUP($F11,'[3]5.급수원단위'!$B$31:$G$35,6,FALSE)</f>
        <v>454</v>
      </c>
      <c r="Q11" s="302">
        <f>ROUND(IF(G11=0,0,VLOOKUP(C11,'2013실사용량 정리'!$D$6:$F$381,3,FALSE)),0)</f>
        <v>0</v>
      </c>
      <c r="R11" s="302">
        <f t="shared" si="6"/>
        <v>0</v>
      </c>
      <c r="S11" s="302">
        <f t="shared" si="6"/>
        <v>0</v>
      </c>
      <c r="T11" s="302">
        <f t="shared" si="6"/>
        <v>0</v>
      </c>
      <c r="U11" s="302">
        <f t="shared" si="6"/>
        <v>0</v>
      </c>
      <c r="W11" s="343" t="str">
        <f t="shared" si="7"/>
        <v/>
      </c>
    </row>
    <row r="12" spans="1:30" ht="20.100000000000001" customHeight="1">
      <c r="A12" s="340"/>
      <c r="B12" s="340"/>
      <c r="C12" s="406" t="s">
        <v>1323</v>
      </c>
      <c r="D12" s="330" t="s">
        <v>1808</v>
      </c>
      <c r="E12" s="527">
        <f>1-'2.생활용수(연무)'!E39</f>
        <v>0</v>
      </c>
      <c r="F12" s="527" t="s">
        <v>1331</v>
      </c>
      <c r="G12" s="302">
        <f>IF($D12="A",ROUND(VLOOKUP($C12,'[2]2.행정구역별 급수인구'!$C$7:$AD$997,17,FALSE)*$E12,0),IF($D12="B",(ROUND(VLOOKUP($C12,'[2]2.행정구역별 급수인구'!$C$7:$AD$997,17,FALSE)-VLOOKUP($C12,'[2]2.행정구역별 급수인구'!$C$7:$AD$997,17,FALSE)*(1-$E12),0)),VLOOKUP($C12,'[2]2.행정구역별 급수인구'!$C$7:$AD$997,17,FALSE)))</f>
        <v>0</v>
      </c>
      <c r="H12" s="302">
        <f>IF($D12="A",ROUND(VLOOKUP($C12,'[2]2.행정구역별 급수인구'!$C$7:$AD$997,25,FALSE)*$E12,0),IF($D12="B",(ROUND(VLOOKUP($C12,'[2]2.행정구역별 급수인구'!$C$7:$AD$997,25,FALSE)-VLOOKUP($C12,'[2]2.행정구역별 급수인구'!$C$7:$AD$997,25,FALSE)*(1-$E12),0)),VLOOKUP($C12,'[2]2.행정구역별 급수인구'!$C$7:$AD$997,25,FALSE)))</f>
        <v>0</v>
      </c>
      <c r="I12" s="302">
        <f>IF($D12="A",ROUND(VLOOKUP($C12,'[2]2.행정구역별 급수인구'!$C$7:$AD$997,26,FALSE)*$E12,0),IF($D12="B",(ROUND(VLOOKUP($C12,'[2]2.행정구역별 급수인구'!$C$7:$AD$997,26,FALSE)-VLOOKUP($C12,'[2]2.행정구역별 급수인구'!$C$7:$AD$997,26,FALSE)*(1-$E12),0)),VLOOKUP($C12,'[2]2.행정구역별 급수인구'!$C$7:$AD$997,26,FALSE)))</f>
        <v>0</v>
      </c>
      <c r="J12" s="302">
        <f>IF($D12="A",ROUND(VLOOKUP($C12,'[2]2.행정구역별 급수인구'!$C$7:$AD$997,27,FALSE)*$E12,0),IF($D12="B",(ROUND(VLOOKUP($C12,'[2]2.행정구역별 급수인구'!$C$7:$AD$997,27,FALSE)-VLOOKUP($C12,'[2]2.행정구역별 급수인구'!$C$7:$AD$997,27,FALSE)*(1-$E12),0)),VLOOKUP($C12,'[2]2.행정구역별 급수인구'!$C$7:$AD$997,27,FALSE)))</f>
        <v>0</v>
      </c>
      <c r="K12" s="302">
        <f>IF($D12="A",ROUND(VLOOKUP($C12,'[2]2.행정구역별 급수인구'!$C$7:$AD$997,28,FALSE)*$E12,0),IF($D12="B",(ROUND(VLOOKUP($C12,'[2]2.행정구역별 급수인구'!$C$7:$AD$997,28,FALSE)-VLOOKUP($C12,'[2]2.행정구역별 급수인구'!$C$7:$AD$997,28,FALSE)*(1-$E12),0)),VLOOKUP($C12,'[2]2.행정구역별 급수인구'!$C$7:$AD$997,28,FALSE)))</f>
        <v>0</v>
      </c>
      <c r="L12" s="302">
        <f>VLOOKUP($F12,'[3]5.급수원단위'!$B$31:$G$35,2,FALSE)</f>
        <v>365</v>
      </c>
      <c r="M12" s="302">
        <f>VLOOKUP($F12,'[3]5.급수원단위'!$B$31:$G$35,3,FALSE)</f>
        <v>390</v>
      </c>
      <c r="N12" s="302">
        <f>VLOOKUP($F12,'[3]5.급수원단위'!$B$31:$G$35,4,FALSE)</f>
        <v>417</v>
      </c>
      <c r="O12" s="302">
        <f>VLOOKUP($F12,'[3]5.급수원단위'!$B$31:$G$35,5,FALSE)</f>
        <v>439</v>
      </c>
      <c r="P12" s="302">
        <f>VLOOKUP($F12,'[3]5.급수원단위'!$B$31:$G$35,6,FALSE)</f>
        <v>454</v>
      </c>
      <c r="Q12" s="302">
        <f>ROUND(IF(G12=0,0,VLOOKUP(C12,'2013실사용량 정리'!$D$6:$F$381,3,FALSE)),0)</f>
        <v>0</v>
      </c>
      <c r="R12" s="302">
        <f t="shared" si="6"/>
        <v>0</v>
      </c>
      <c r="S12" s="302">
        <f t="shared" si="6"/>
        <v>0</v>
      </c>
      <c r="T12" s="302">
        <f t="shared" si="6"/>
        <v>0</v>
      </c>
      <c r="U12" s="302">
        <f t="shared" si="6"/>
        <v>0</v>
      </c>
      <c r="W12" s="343" t="str">
        <f t="shared" si="7"/>
        <v/>
      </c>
    </row>
    <row r="13" spans="1:30" ht="20.100000000000001" customHeight="1">
      <c r="A13" s="340"/>
      <c r="B13" s="340"/>
      <c r="C13" s="406" t="s">
        <v>1324</v>
      </c>
      <c r="D13" s="330" t="s">
        <v>1808</v>
      </c>
      <c r="E13" s="527">
        <f>1-'2.생활용수(연무)'!E40</f>
        <v>0</v>
      </c>
      <c r="F13" s="527" t="s">
        <v>1331</v>
      </c>
      <c r="G13" s="302">
        <f>IF($D13="A",ROUND(VLOOKUP($C13,'[2]2.행정구역별 급수인구'!$C$7:$AD$997,17,FALSE)*$E13,0),IF($D13="B",(ROUND(VLOOKUP($C13,'[2]2.행정구역별 급수인구'!$C$7:$AD$997,17,FALSE)-VLOOKUP($C13,'[2]2.행정구역별 급수인구'!$C$7:$AD$997,17,FALSE)*(1-$E13),0)),VLOOKUP($C13,'[2]2.행정구역별 급수인구'!$C$7:$AD$997,17,FALSE)))</f>
        <v>0</v>
      </c>
      <c r="H13" s="302">
        <f>IF($D13="A",ROUND(VLOOKUP($C13,'[2]2.행정구역별 급수인구'!$C$7:$AD$997,25,FALSE)*$E13,0),IF($D13="B",(ROUND(VLOOKUP($C13,'[2]2.행정구역별 급수인구'!$C$7:$AD$997,25,FALSE)-VLOOKUP($C13,'[2]2.행정구역별 급수인구'!$C$7:$AD$997,25,FALSE)*(1-$E13),0)),VLOOKUP($C13,'[2]2.행정구역별 급수인구'!$C$7:$AD$997,25,FALSE)))</f>
        <v>0</v>
      </c>
      <c r="I13" s="302">
        <f>IF($D13="A",ROUND(VLOOKUP($C13,'[2]2.행정구역별 급수인구'!$C$7:$AD$997,26,FALSE)*$E13,0),IF($D13="B",(ROUND(VLOOKUP($C13,'[2]2.행정구역별 급수인구'!$C$7:$AD$997,26,FALSE)-VLOOKUP($C13,'[2]2.행정구역별 급수인구'!$C$7:$AD$997,26,FALSE)*(1-$E13),0)),VLOOKUP($C13,'[2]2.행정구역별 급수인구'!$C$7:$AD$997,26,FALSE)))</f>
        <v>0</v>
      </c>
      <c r="J13" s="302">
        <f>IF($D13="A",ROUND(VLOOKUP($C13,'[2]2.행정구역별 급수인구'!$C$7:$AD$997,27,FALSE)*$E13,0),IF($D13="B",(ROUND(VLOOKUP($C13,'[2]2.행정구역별 급수인구'!$C$7:$AD$997,27,FALSE)-VLOOKUP($C13,'[2]2.행정구역별 급수인구'!$C$7:$AD$997,27,FALSE)*(1-$E13),0)),VLOOKUP($C13,'[2]2.행정구역별 급수인구'!$C$7:$AD$997,27,FALSE)))</f>
        <v>0</v>
      </c>
      <c r="K13" s="302">
        <f>IF($D13="A",ROUND(VLOOKUP($C13,'[2]2.행정구역별 급수인구'!$C$7:$AD$997,28,FALSE)*$E13,0),IF($D13="B",(ROUND(VLOOKUP($C13,'[2]2.행정구역별 급수인구'!$C$7:$AD$997,28,FALSE)-VLOOKUP($C13,'[2]2.행정구역별 급수인구'!$C$7:$AD$997,28,FALSE)*(1-$E13),0)),VLOOKUP($C13,'[2]2.행정구역별 급수인구'!$C$7:$AD$997,28,FALSE)))</f>
        <v>0</v>
      </c>
      <c r="L13" s="302">
        <f>VLOOKUP($F13,'[3]5.급수원단위'!$B$31:$G$35,2,FALSE)</f>
        <v>365</v>
      </c>
      <c r="M13" s="302">
        <f>VLOOKUP($F13,'[3]5.급수원단위'!$B$31:$G$35,3,FALSE)</f>
        <v>390</v>
      </c>
      <c r="N13" s="302">
        <f>VLOOKUP($F13,'[3]5.급수원단위'!$B$31:$G$35,4,FALSE)</f>
        <v>417</v>
      </c>
      <c r="O13" s="302">
        <f>VLOOKUP($F13,'[3]5.급수원단위'!$B$31:$G$35,5,FALSE)</f>
        <v>439</v>
      </c>
      <c r="P13" s="302">
        <f>VLOOKUP($F13,'[3]5.급수원단위'!$B$31:$G$35,6,FALSE)</f>
        <v>454</v>
      </c>
      <c r="Q13" s="302">
        <f>ROUND(IF(G13=0,0,VLOOKUP(C13,'2013실사용량 정리'!$D$6:$F$381,3,FALSE)),0)</f>
        <v>0</v>
      </c>
      <c r="R13" s="302">
        <f t="shared" si="6"/>
        <v>0</v>
      </c>
      <c r="S13" s="302">
        <f t="shared" si="6"/>
        <v>0</v>
      </c>
      <c r="T13" s="302">
        <f t="shared" si="6"/>
        <v>0</v>
      </c>
      <c r="U13" s="302">
        <f t="shared" si="6"/>
        <v>0</v>
      </c>
      <c r="W13" s="343" t="str">
        <f t="shared" si="7"/>
        <v/>
      </c>
    </row>
    <row r="14" spans="1:30" ht="20.100000000000001" customHeight="1">
      <c r="A14" s="340"/>
      <c r="B14" s="340"/>
      <c r="C14" s="406" t="s">
        <v>1325</v>
      </c>
      <c r="D14" s="330" t="s">
        <v>1808</v>
      </c>
      <c r="E14" s="527">
        <f>1-'2.생활용수(연무)'!E41</f>
        <v>0</v>
      </c>
      <c r="F14" s="527" t="s">
        <v>1331</v>
      </c>
      <c r="G14" s="302">
        <f>IF($D14="A",ROUND(VLOOKUP($C14,'[2]2.행정구역별 급수인구'!$C$7:$AD$997,17,FALSE)*$E14,0),IF($D14="B",(ROUND(VLOOKUP($C14,'[2]2.행정구역별 급수인구'!$C$7:$AD$997,17,FALSE)-VLOOKUP($C14,'[2]2.행정구역별 급수인구'!$C$7:$AD$997,17,FALSE)*(1-$E14),0)),VLOOKUP($C14,'[2]2.행정구역별 급수인구'!$C$7:$AD$997,17,FALSE)))</f>
        <v>0</v>
      </c>
      <c r="H14" s="302">
        <f>IF($D14="A",ROUND(VLOOKUP($C14,'[2]2.행정구역별 급수인구'!$C$7:$AD$997,25,FALSE)*$E14,0),IF($D14="B",(ROUND(VLOOKUP($C14,'[2]2.행정구역별 급수인구'!$C$7:$AD$997,25,FALSE)-VLOOKUP($C14,'[2]2.행정구역별 급수인구'!$C$7:$AD$997,25,FALSE)*(1-$E14),0)),VLOOKUP($C14,'[2]2.행정구역별 급수인구'!$C$7:$AD$997,25,FALSE)))</f>
        <v>0</v>
      </c>
      <c r="I14" s="302">
        <f>IF($D14="A",ROUND(VLOOKUP($C14,'[2]2.행정구역별 급수인구'!$C$7:$AD$997,26,FALSE)*$E14,0),IF($D14="B",(ROUND(VLOOKUP($C14,'[2]2.행정구역별 급수인구'!$C$7:$AD$997,26,FALSE)-VLOOKUP($C14,'[2]2.행정구역별 급수인구'!$C$7:$AD$997,26,FALSE)*(1-$E14),0)),VLOOKUP($C14,'[2]2.행정구역별 급수인구'!$C$7:$AD$997,26,FALSE)))</f>
        <v>0</v>
      </c>
      <c r="J14" s="302">
        <f>IF($D14="A",ROUND(VLOOKUP($C14,'[2]2.행정구역별 급수인구'!$C$7:$AD$997,27,FALSE)*$E14,0),IF($D14="B",(ROUND(VLOOKUP($C14,'[2]2.행정구역별 급수인구'!$C$7:$AD$997,27,FALSE)-VLOOKUP($C14,'[2]2.행정구역별 급수인구'!$C$7:$AD$997,27,FALSE)*(1-$E14),0)),VLOOKUP($C14,'[2]2.행정구역별 급수인구'!$C$7:$AD$997,27,FALSE)))</f>
        <v>0</v>
      </c>
      <c r="K14" s="302">
        <f>IF($D14="A",ROUND(VLOOKUP($C14,'[2]2.행정구역별 급수인구'!$C$7:$AD$997,28,FALSE)*$E14,0),IF($D14="B",(ROUND(VLOOKUP($C14,'[2]2.행정구역별 급수인구'!$C$7:$AD$997,28,FALSE)-VLOOKUP($C14,'[2]2.행정구역별 급수인구'!$C$7:$AD$997,28,FALSE)*(1-$E14),0)),VLOOKUP($C14,'[2]2.행정구역별 급수인구'!$C$7:$AD$997,28,FALSE)))</f>
        <v>0</v>
      </c>
      <c r="L14" s="302">
        <f>VLOOKUP($F14,'[3]5.급수원단위'!$B$31:$G$35,2,FALSE)</f>
        <v>365</v>
      </c>
      <c r="M14" s="302">
        <f>VLOOKUP($F14,'[3]5.급수원단위'!$B$31:$G$35,3,FALSE)</f>
        <v>390</v>
      </c>
      <c r="N14" s="302">
        <f>VLOOKUP($F14,'[3]5.급수원단위'!$B$31:$G$35,4,FALSE)</f>
        <v>417</v>
      </c>
      <c r="O14" s="302">
        <f>VLOOKUP($F14,'[3]5.급수원단위'!$B$31:$G$35,5,FALSE)</f>
        <v>439</v>
      </c>
      <c r="P14" s="302">
        <f>VLOOKUP($F14,'[3]5.급수원단위'!$B$31:$G$35,6,FALSE)</f>
        <v>454</v>
      </c>
      <c r="Q14" s="302">
        <f>ROUND(IF(G14=0,0,VLOOKUP(C14,'2013실사용량 정리'!$D$6:$F$381,3,FALSE)),0)</f>
        <v>0</v>
      </c>
      <c r="R14" s="302">
        <f t="shared" si="6"/>
        <v>0</v>
      </c>
      <c r="S14" s="302">
        <f t="shared" si="6"/>
        <v>0</v>
      </c>
      <c r="T14" s="302">
        <f t="shared" si="6"/>
        <v>0</v>
      </c>
      <c r="U14" s="302">
        <f t="shared" si="6"/>
        <v>0</v>
      </c>
      <c r="W14" s="343" t="str">
        <f t="shared" si="7"/>
        <v/>
      </c>
    </row>
    <row r="15" spans="1:30" ht="20.100000000000001" customHeight="1">
      <c r="A15" s="340"/>
      <c r="B15" s="340"/>
      <c r="C15" s="406" t="s">
        <v>1326</v>
      </c>
      <c r="D15" s="330" t="s">
        <v>1808</v>
      </c>
      <c r="E15" s="527">
        <f>1-'2.생활용수(연무)'!E42</f>
        <v>0</v>
      </c>
      <c r="F15" s="527" t="s">
        <v>1331</v>
      </c>
      <c r="G15" s="302">
        <f>IF($D15="A",ROUND(VLOOKUP($C15,'[2]2.행정구역별 급수인구'!$C$7:$AD$997,17,FALSE)*$E15,0),IF($D15="B",(ROUND(VLOOKUP($C15,'[2]2.행정구역별 급수인구'!$C$7:$AD$997,17,FALSE)-VLOOKUP($C15,'[2]2.행정구역별 급수인구'!$C$7:$AD$997,17,FALSE)*(1-$E15),0)),VLOOKUP($C15,'[2]2.행정구역별 급수인구'!$C$7:$AD$997,17,FALSE)))</f>
        <v>0</v>
      </c>
      <c r="H15" s="302">
        <f>IF($D15="A",ROUND(VLOOKUP($C15,'[2]2.행정구역별 급수인구'!$C$7:$AD$997,25,FALSE)*$E15,0),IF($D15="B",(ROUND(VLOOKUP($C15,'[2]2.행정구역별 급수인구'!$C$7:$AD$997,25,FALSE)-VLOOKUP($C15,'[2]2.행정구역별 급수인구'!$C$7:$AD$997,25,FALSE)*(1-$E15),0)),VLOOKUP($C15,'[2]2.행정구역별 급수인구'!$C$7:$AD$997,25,FALSE)))</f>
        <v>0</v>
      </c>
      <c r="I15" s="302">
        <f>IF($D15="A",ROUND(VLOOKUP($C15,'[2]2.행정구역별 급수인구'!$C$7:$AD$997,26,FALSE)*$E15,0),IF($D15="B",(ROUND(VLOOKUP($C15,'[2]2.행정구역별 급수인구'!$C$7:$AD$997,26,FALSE)-VLOOKUP($C15,'[2]2.행정구역별 급수인구'!$C$7:$AD$997,26,FALSE)*(1-$E15),0)),VLOOKUP($C15,'[2]2.행정구역별 급수인구'!$C$7:$AD$997,26,FALSE)))</f>
        <v>0</v>
      </c>
      <c r="J15" s="302">
        <f>IF($D15="A",ROUND(VLOOKUP($C15,'[2]2.행정구역별 급수인구'!$C$7:$AD$997,27,FALSE)*$E15,0),IF($D15="B",(ROUND(VLOOKUP($C15,'[2]2.행정구역별 급수인구'!$C$7:$AD$997,27,FALSE)-VLOOKUP($C15,'[2]2.행정구역별 급수인구'!$C$7:$AD$997,27,FALSE)*(1-$E15),0)),VLOOKUP($C15,'[2]2.행정구역별 급수인구'!$C$7:$AD$997,27,FALSE)))</f>
        <v>0</v>
      </c>
      <c r="K15" s="302">
        <f>IF($D15="A",ROUND(VLOOKUP($C15,'[2]2.행정구역별 급수인구'!$C$7:$AD$997,28,FALSE)*$E15,0),IF($D15="B",(ROUND(VLOOKUP($C15,'[2]2.행정구역별 급수인구'!$C$7:$AD$997,28,FALSE)-VLOOKUP($C15,'[2]2.행정구역별 급수인구'!$C$7:$AD$997,28,FALSE)*(1-$E15),0)),VLOOKUP($C15,'[2]2.행정구역별 급수인구'!$C$7:$AD$997,28,FALSE)))</f>
        <v>0</v>
      </c>
      <c r="L15" s="302">
        <f>VLOOKUP($F15,'[3]5.급수원단위'!$B$31:$G$35,2,FALSE)</f>
        <v>365</v>
      </c>
      <c r="M15" s="302">
        <f>VLOOKUP($F15,'[3]5.급수원단위'!$B$31:$G$35,3,FALSE)</f>
        <v>390</v>
      </c>
      <c r="N15" s="302">
        <f>VLOOKUP($F15,'[3]5.급수원단위'!$B$31:$G$35,4,FALSE)</f>
        <v>417</v>
      </c>
      <c r="O15" s="302">
        <f>VLOOKUP($F15,'[3]5.급수원단위'!$B$31:$G$35,5,FALSE)</f>
        <v>439</v>
      </c>
      <c r="P15" s="302">
        <f>VLOOKUP($F15,'[3]5.급수원단위'!$B$31:$G$35,6,FALSE)</f>
        <v>454</v>
      </c>
      <c r="Q15" s="302">
        <f>ROUND(IF(G15=0,0,VLOOKUP(C15,'2013실사용량 정리'!$D$6:$F$381,3,FALSE)),0)</f>
        <v>0</v>
      </c>
      <c r="R15" s="302">
        <f t="shared" si="6"/>
        <v>0</v>
      </c>
      <c r="S15" s="302">
        <f t="shared" si="6"/>
        <v>0</v>
      </c>
      <c r="T15" s="302">
        <f t="shared" si="6"/>
        <v>0</v>
      </c>
      <c r="U15" s="302">
        <f t="shared" si="6"/>
        <v>0</v>
      </c>
      <c r="W15" s="343" t="str">
        <f t="shared" si="7"/>
        <v/>
      </c>
    </row>
    <row r="16" spans="1:30" ht="20.100000000000001" customHeight="1">
      <c r="A16" s="340"/>
      <c r="B16" s="340"/>
      <c r="C16" s="406" t="s">
        <v>1327</v>
      </c>
      <c r="D16" s="330" t="s">
        <v>1808</v>
      </c>
      <c r="E16" s="527">
        <f>1-'2.생활용수(연무)'!E43</f>
        <v>0</v>
      </c>
      <c r="F16" s="527" t="s">
        <v>1331</v>
      </c>
      <c r="G16" s="302">
        <f>IF($D16="A",ROUND(VLOOKUP($C16,'[2]2.행정구역별 급수인구'!$C$7:$AD$997,17,FALSE)*$E16,0),IF($D16="B",(ROUND(VLOOKUP($C16,'[2]2.행정구역별 급수인구'!$C$7:$AD$997,17,FALSE)-VLOOKUP($C16,'[2]2.행정구역별 급수인구'!$C$7:$AD$997,17,FALSE)*(1-$E16),0)),VLOOKUP($C16,'[2]2.행정구역별 급수인구'!$C$7:$AD$997,17,FALSE)))</f>
        <v>0</v>
      </c>
      <c r="H16" s="302">
        <f>IF($D16="A",ROUND(VLOOKUP($C16,'[2]2.행정구역별 급수인구'!$C$7:$AD$997,25,FALSE)*$E16,0),IF($D16="B",(ROUND(VLOOKUP($C16,'[2]2.행정구역별 급수인구'!$C$7:$AD$997,25,FALSE)-VLOOKUP($C16,'[2]2.행정구역별 급수인구'!$C$7:$AD$997,25,FALSE)*(1-$E16),0)),VLOOKUP($C16,'[2]2.행정구역별 급수인구'!$C$7:$AD$997,25,FALSE)))</f>
        <v>0</v>
      </c>
      <c r="I16" s="302">
        <f>IF($D16="A",ROUND(VLOOKUP($C16,'[2]2.행정구역별 급수인구'!$C$7:$AD$997,26,FALSE)*$E16,0),IF($D16="B",(ROUND(VLOOKUP($C16,'[2]2.행정구역별 급수인구'!$C$7:$AD$997,26,FALSE)-VLOOKUP($C16,'[2]2.행정구역별 급수인구'!$C$7:$AD$997,26,FALSE)*(1-$E16),0)),VLOOKUP($C16,'[2]2.행정구역별 급수인구'!$C$7:$AD$997,26,FALSE)))</f>
        <v>0</v>
      </c>
      <c r="J16" s="302">
        <f>IF($D16="A",ROUND(VLOOKUP($C16,'[2]2.행정구역별 급수인구'!$C$7:$AD$997,27,FALSE)*$E16,0),IF($D16="B",(ROUND(VLOOKUP($C16,'[2]2.행정구역별 급수인구'!$C$7:$AD$997,27,FALSE)-VLOOKUP($C16,'[2]2.행정구역별 급수인구'!$C$7:$AD$997,27,FALSE)*(1-$E16),0)),VLOOKUP($C16,'[2]2.행정구역별 급수인구'!$C$7:$AD$997,27,FALSE)))</f>
        <v>0</v>
      </c>
      <c r="K16" s="302">
        <f>IF($D16="A",ROUND(VLOOKUP($C16,'[2]2.행정구역별 급수인구'!$C$7:$AD$997,28,FALSE)*$E16,0),IF($D16="B",(ROUND(VLOOKUP($C16,'[2]2.행정구역별 급수인구'!$C$7:$AD$997,28,FALSE)-VLOOKUP($C16,'[2]2.행정구역별 급수인구'!$C$7:$AD$997,28,FALSE)*(1-$E16),0)),VLOOKUP($C16,'[2]2.행정구역별 급수인구'!$C$7:$AD$997,28,FALSE)))</f>
        <v>0</v>
      </c>
      <c r="L16" s="302">
        <f>VLOOKUP($F16,'[3]5.급수원단위'!$B$31:$G$35,2,FALSE)</f>
        <v>365</v>
      </c>
      <c r="M16" s="302">
        <f>VLOOKUP($F16,'[3]5.급수원단위'!$B$31:$G$35,3,FALSE)</f>
        <v>390</v>
      </c>
      <c r="N16" s="302">
        <f>VLOOKUP($F16,'[3]5.급수원단위'!$B$31:$G$35,4,FALSE)</f>
        <v>417</v>
      </c>
      <c r="O16" s="302">
        <f>VLOOKUP($F16,'[3]5.급수원단위'!$B$31:$G$35,5,FALSE)</f>
        <v>439</v>
      </c>
      <c r="P16" s="302">
        <f>VLOOKUP($F16,'[3]5.급수원단위'!$B$31:$G$35,6,FALSE)</f>
        <v>454</v>
      </c>
      <c r="Q16" s="302">
        <f>ROUND(IF(G16=0,0,VLOOKUP(C16,'2013실사용량 정리'!$D$6:$F$381,3,FALSE)),0)</f>
        <v>0</v>
      </c>
      <c r="R16" s="302">
        <f t="shared" si="6"/>
        <v>0</v>
      </c>
      <c r="S16" s="302">
        <f t="shared" si="6"/>
        <v>0</v>
      </c>
      <c r="T16" s="302">
        <f t="shared" si="6"/>
        <v>0</v>
      </c>
      <c r="U16" s="302">
        <f t="shared" si="6"/>
        <v>0</v>
      </c>
      <c r="W16" s="343" t="str">
        <f t="shared" si="7"/>
        <v/>
      </c>
    </row>
    <row r="17" spans="1:23" ht="20.100000000000001" customHeight="1">
      <c r="A17" s="340"/>
      <c r="B17" s="340"/>
      <c r="C17" s="406" t="s">
        <v>1328</v>
      </c>
      <c r="D17" s="330" t="s">
        <v>1808</v>
      </c>
      <c r="E17" s="527">
        <f>1-'2.생활용수(연무)'!E44</f>
        <v>0</v>
      </c>
      <c r="F17" s="527" t="s">
        <v>1331</v>
      </c>
      <c r="G17" s="302">
        <f>IF($D17="A",ROUND(VLOOKUP($C17,'[2]2.행정구역별 급수인구'!$C$7:$AD$997,17,FALSE)*$E17,0),IF($D17="B",(ROUND(VLOOKUP($C17,'[2]2.행정구역별 급수인구'!$C$7:$AD$997,17,FALSE)-VLOOKUP($C17,'[2]2.행정구역별 급수인구'!$C$7:$AD$997,17,FALSE)*(1-$E17),0)),VLOOKUP($C17,'[2]2.행정구역별 급수인구'!$C$7:$AD$997,17,FALSE)))</f>
        <v>0</v>
      </c>
      <c r="H17" s="302">
        <f>IF($D17="A",ROUND(VLOOKUP($C17,'[2]2.행정구역별 급수인구'!$C$7:$AD$997,25,FALSE)*$E17,0),IF($D17="B",(ROUND(VLOOKUP($C17,'[2]2.행정구역별 급수인구'!$C$7:$AD$997,25,FALSE)-VLOOKUP($C17,'[2]2.행정구역별 급수인구'!$C$7:$AD$997,25,FALSE)*(1-$E17),0)),VLOOKUP($C17,'[2]2.행정구역별 급수인구'!$C$7:$AD$997,25,FALSE)))</f>
        <v>0</v>
      </c>
      <c r="I17" s="302">
        <f>IF($D17="A",ROUND(VLOOKUP($C17,'[2]2.행정구역별 급수인구'!$C$7:$AD$997,26,FALSE)*$E17,0),IF($D17="B",(ROUND(VLOOKUP($C17,'[2]2.행정구역별 급수인구'!$C$7:$AD$997,26,FALSE)-VLOOKUP($C17,'[2]2.행정구역별 급수인구'!$C$7:$AD$997,26,FALSE)*(1-$E17),0)),VLOOKUP($C17,'[2]2.행정구역별 급수인구'!$C$7:$AD$997,26,FALSE)))</f>
        <v>0</v>
      </c>
      <c r="J17" s="302">
        <f>IF($D17="A",ROUND(VLOOKUP($C17,'[2]2.행정구역별 급수인구'!$C$7:$AD$997,27,FALSE)*$E17,0),IF($D17="B",(ROUND(VLOOKUP($C17,'[2]2.행정구역별 급수인구'!$C$7:$AD$997,27,FALSE)-VLOOKUP($C17,'[2]2.행정구역별 급수인구'!$C$7:$AD$997,27,FALSE)*(1-$E17),0)),VLOOKUP($C17,'[2]2.행정구역별 급수인구'!$C$7:$AD$997,27,FALSE)))</f>
        <v>0</v>
      </c>
      <c r="K17" s="302">
        <f>IF($D17="A",ROUND(VLOOKUP($C17,'[2]2.행정구역별 급수인구'!$C$7:$AD$997,28,FALSE)*$E17,0),IF($D17="B",(ROUND(VLOOKUP($C17,'[2]2.행정구역별 급수인구'!$C$7:$AD$997,28,FALSE)-VLOOKUP($C17,'[2]2.행정구역별 급수인구'!$C$7:$AD$997,28,FALSE)*(1-$E17),0)),VLOOKUP($C17,'[2]2.행정구역별 급수인구'!$C$7:$AD$997,28,FALSE)))</f>
        <v>0</v>
      </c>
      <c r="L17" s="302">
        <f>VLOOKUP($F17,'[3]5.급수원단위'!$B$31:$G$35,2,FALSE)</f>
        <v>365</v>
      </c>
      <c r="M17" s="302">
        <f>VLOOKUP($F17,'[3]5.급수원단위'!$B$31:$G$35,3,FALSE)</f>
        <v>390</v>
      </c>
      <c r="N17" s="302">
        <f>VLOOKUP($F17,'[3]5.급수원단위'!$B$31:$G$35,4,FALSE)</f>
        <v>417</v>
      </c>
      <c r="O17" s="302">
        <f>VLOOKUP($F17,'[3]5.급수원단위'!$B$31:$G$35,5,FALSE)</f>
        <v>439</v>
      </c>
      <c r="P17" s="302">
        <f>VLOOKUP($F17,'[3]5.급수원단위'!$B$31:$G$35,6,FALSE)</f>
        <v>454</v>
      </c>
      <c r="Q17" s="302">
        <f>ROUND(IF(G17=0,0,VLOOKUP(C17,'2013실사용량 정리'!$D$6:$F$381,3,FALSE)),0)</f>
        <v>0</v>
      </c>
      <c r="R17" s="302">
        <f t="shared" si="6"/>
        <v>0</v>
      </c>
      <c r="S17" s="302">
        <f t="shared" si="6"/>
        <v>0</v>
      </c>
      <c r="T17" s="302">
        <f t="shared" si="6"/>
        <v>0</v>
      </c>
      <c r="U17" s="302">
        <f t="shared" si="6"/>
        <v>0</v>
      </c>
      <c r="W17" s="343" t="str">
        <f t="shared" si="7"/>
        <v/>
      </c>
    </row>
    <row r="18" spans="1:23" ht="20.100000000000001" customHeight="1">
      <c r="A18" s="340"/>
      <c r="B18" s="340"/>
      <c r="C18" s="406" t="s">
        <v>1329</v>
      </c>
      <c r="D18" s="330" t="s">
        <v>1808</v>
      </c>
      <c r="E18" s="527">
        <f>1-'2.생활용수(연무)'!E45</f>
        <v>0</v>
      </c>
      <c r="F18" s="527" t="s">
        <v>1331</v>
      </c>
      <c r="G18" s="302">
        <f>IF($D18="A",ROUND(VLOOKUP($C18,'[2]2.행정구역별 급수인구'!$C$7:$AD$997,17,FALSE)*$E18,0),IF($D18="B",(ROUND(VLOOKUP($C18,'[2]2.행정구역별 급수인구'!$C$7:$AD$997,17,FALSE)-VLOOKUP($C18,'[2]2.행정구역별 급수인구'!$C$7:$AD$997,17,FALSE)*(1-$E18),0)),VLOOKUP($C18,'[2]2.행정구역별 급수인구'!$C$7:$AD$997,17,FALSE)))</f>
        <v>0</v>
      </c>
      <c r="H18" s="302">
        <f>IF($D18="A",ROUND(VLOOKUP($C18,'[2]2.행정구역별 급수인구'!$C$7:$AD$997,25,FALSE)*$E18,0),IF($D18="B",(ROUND(VLOOKUP($C18,'[2]2.행정구역별 급수인구'!$C$7:$AD$997,25,FALSE)-VLOOKUP($C18,'[2]2.행정구역별 급수인구'!$C$7:$AD$997,25,FALSE)*(1-$E18),0)),VLOOKUP($C18,'[2]2.행정구역별 급수인구'!$C$7:$AD$997,25,FALSE)))</f>
        <v>0</v>
      </c>
      <c r="I18" s="302">
        <f>IF($D18="A",ROUND(VLOOKUP($C18,'[2]2.행정구역별 급수인구'!$C$7:$AD$997,26,FALSE)*$E18,0),IF($D18="B",(ROUND(VLOOKUP($C18,'[2]2.행정구역별 급수인구'!$C$7:$AD$997,26,FALSE)-VLOOKUP($C18,'[2]2.행정구역별 급수인구'!$C$7:$AD$997,26,FALSE)*(1-$E18),0)),VLOOKUP($C18,'[2]2.행정구역별 급수인구'!$C$7:$AD$997,26,FALSE)))</f>
        <v>0</v>
      </c>
      <c r="J18" s="302">
        <f>IF($D18="A",ROUND(VLOOKUP($C18,'[2]2.행정구역별 급수인구'!$C$7:$AD$997,27,FALSE)*$E18,0),IF($D18="B",(ROUND(VLOOKUP($C18,'[2]2.행정구역별 급수인구'!$C$7:$AD$997,27,FALSE)-VLOOKUP($C18,'[2]2.행정구역별 급수인구'!$C$7:$AD$997,27,FALSE)*(1-$E18),0)),VLOOKUP($C18,'[2]2.행정구역별 급수인구'!$C$7:$AD$997,27,FALSE)))</f>
        <v>0</v>
      </c>
      <c r="K18" s="302">
        <f>IF($D18="A",ROUND(VLOOKUP($C18,'[2]2.행정구역별 급수인구'!$C$7:$AD$997,28,FALSE)*$E18,0),IF($D18="B",(ROUND(VLOOKUP($C18,'[2]2.행정구역별 급수인구'!$C$7:$AD$997,28,FALSE)-VLOOKUP($C18,'[2]2.행정구역별 급수인구'!$C$7:$AD$997,28,FALSE)*(1-$E18),0)),VLOOKUP($C18,'[2]2.행정구역별 급수인구'!$C$7:$AD$997,28,FALSE)))</f>
        <v>0</v>
      </c>
      <c r="L18" s="302">
        <f>VLOOKUP($F18,'[3]5.급수원단위'!$B$31:$G$35,2,FALSE)</f>
        <v>365</v>
      </c>
      <c r="M18" s="302">
        <f>VLOOKUP($F18,'[3]5.급수원단위'!$B$31:$G$35,3,FALSE)</f>
        <v>390</v>
      </c>
      <c r="N18" s="302">
        <f>VLOOKUP($F18,'[3]5.급수원단위'!$B$31:$G$35,4,FALSE)</f>
        <v>417</v>
      </c>
      <c r="O18" s="302">
        <f>VLOOKUP($F18,'[3]5.급수원단위'!$B$31:$G$35,5,FALSE)</f>
        <v>439</v>
      </c>
      <c r="P18" s="302">
        <f>VLOOKUP($F18,'[3]5.급수원단위'!$B$31:$G$35,6,FALSE)</f>
        <v>454</v>
      </c>
      <c r="Q18" s="302">
        <f>ROUND(IF(G18=0,0,VLOOKUP(C18,'2013실사용량 정리'!$D$6:$F$381,3,FALSE)),0)</f>
        <v>0</v>
      </c>
      <c r="R18" s="302">
        <f t="shared" si="6"/>
        <v>0</v>
      </c>
      <c r="S18" s="302">
        <f t="shared" si="6"/>
        <v>0</v>
      </c>
      <c r="T18" s="302">
        <f t="shared" si="6"/>
        <v>0</v>
      </c>
      <c r="U18" s="302">
        <f t="shared" si="6"/>
        <v>0</v>
      </c>
      <c r="W18" s="343" t="str">
        <f t="shared" si="7"/>
        <v/>
      </c>
    </row>
    <row r="19" spans="1:23" ht="20.100000000000001" customHeight="1">
      <c r="A19" s="340"/>
      <c r="B19" s="340"/>
      <c r="C19" s="406" t="s">
        <v>1330</v>
      </c>
      <c r="D19" s="330" t="s">
        <v>1808</v>
      </c>
      <c r="E19" s="527">
        <f>1-'2.생활용수(연무)'!E46</f>
        <v>0</v>
      </c>
      <c r="F19" s="527" t="s">
        <v>1331</v>
      </c>
      <c r="G19" s="302">
        <f>IF($D19="A",ROUND(VLOOKUP($C19,'[2]2.행정구역별 급수인구'!$C$7:$AD$997,17,FALSE)*$E19,0),IF($D19="B",(ROUND(VLOOKUP($C19,'[2]2.행정구역별 급수인구'!$C$7:$AD$997,17,FALSE)-VLOOKUP($C19,'[2]2.행정구역별 급수인구'!$C$7:$AD$997,17,FALSE)*(1-$E19),0)),VLOOKUP($C19,'[2]2.행정구역별 급수인구'!$C$7:$AD$997,17,FALSE)))</f>
        <v>0</v>
      </c>
      <c r="H19" s="302">
        <f>IF($D19="A",ROUND(VLOOKUP($C19,'[2]2.행정구역별 급수인구'!$C$7:$AD$997,25,FALSE)*$E19,0),IF($D19="B",(ROUND(VLOOKUP($C19,'[2]2.행정구역별 급수인구'!$C$7:$AD$997,25,FALSE)-VLOOKUP($C19,'[2]2.행정구역별 급수인구'!$C$7:$AD$997,25,FALSE)*(1-$E19),0)),VLOOKUP($C19,'[2]2.행정구역별 급수인구'!$C$7:$AD$997,25,FALSE)))</f>
        <v>0</v>
      </c>
      <c r="I19" s="302">
        <f>IF($D19="A",ROUND(VLOOKUP($C19,'[2]2.행정구역별 급수인구'!$C$7:$AD$997,26,FALSE)*$E19,0),IF($D19="B",(ROUND(VLOOKUP($C19,'[2]2.행정구역별 급수인구'!$C$7:$AD$997,26,FALSE)-VLOOKUP($C19,'[2]2.행정구역별 급수인구'!$C$7:$AD$997,26,FALSE)*(1-$E19),0)),VLOOKUP($C19,'[2]2.행정구역별 급수인구'!$C$7:$AD$997,26,FALSE)))</f>
        <v>0</v>
      </c>
      <c r="J19" s="302">
        <f>IF($D19="A",ROUND(VLOOKUP($C19,'[2]2.행정구역별 급수인구'!$C$7:$AD$997,27,FALSE)*$E19,0),IF($D19="B",(ROUND(VLOOKUP($C19,'[2]2.행정구역별 급수인구'!$C$7:$AD$997,27,FALSE)-VLOOKUP($C19,'[2]2.행정구역별 급수인구'!$C$7:$AD$997,27,FALSE)*(1-$E19),0)),VLOOKUP($C19,'[2]2.행정구역별 급수인구'!$C$7:$AD$997,27,FALSE)))</f>
        <v>0</v>
      </c>
      <c r="K19" s="302">
        <f>IF($D19="A",ROUND(VLOOKUP($C19,'[2]2.행정구역별 급수인구'!$C$7:$AD$997,28,FALSE)*$E19,0),IF($D19="B",(ROUND(VLOOKUP($C19,'[2]2.행정구역별 급수인구'!$C$7:$AD$997,28,FALSE)-VLOOKUP($C19,'[2]2.행정구역별 급수인구'!$C$7:$AD$997,28,FALSE)*(1-$E19),0)),VLOOKUP($C19,'[2]2.행정구역별 급수인구'!$C$7:$AD$997,28,FALSE)))</f>
        <v>0</v>
      </c>
      <c r="L19" s="302">
        <f>VLOOKUP($F19,'[3]5.급수원단위'!$B$31:$G$35,2,FALSE)</f>
        <v>365</v>
      </c>
      <c r="M19" s="302">
        <f>VLOOKUP($F19,'[3]5.급수원단위'!$B$31:$G$35,3,FALSE)</f>
        <v>390</v>
      </c>
      <c r="N19" s="302">
        <f>VLOOKUP($F19,'[3]5.급수원단위'!$B$31:$G$35,4,FALSE)</f>
        <v>417</v>
      </c>
      <c r="O19" s="302">
        <f>VLOOKUP($F19,'[3]5.급수원단위'!$B$31:$G$35,5,FALSE)</f>
        <v>439</v>
      </c>
      <c r="P19" s="302">
        <f>VLOOKUP($F19,'[3]5.급수원단위'!$B$31:$G$35,6,FALSE)</f>
        <v>454</v>
      </c>
      <c r="Q19" s="302">
        <f>ROUND(IF(G19=0,0,VLOOKUP(C19,'2013실사용량 정리'!$D$6:$F$381,3,FALSE)),0)</f>
        <v>0</v>
      </c>
      <c r="R19" s="302">
        <f t="shared" si="6"/>
        <v>0</v>
      </c>
      <c r="S19" s="302">
        <f t="shared" si="6"/>
        <v>0</v>
      </c>
      <c r="T19" s="302">
        <f t="shared" si="6"/>
        <v>0</v>
      </c>
      <c r="U19" s="302">
        <f t="shared" si="6"/>
        <v>0</v>
      </c>
      <c r="W19" s="343" t="str">
        <f t="shared" si="7"/>
        <v/>
      </c>
    </row>
    <row r="20" spans="1:23" ht="20.100000000000001" customHeight="1">
      <c r="A20" s="340"/>
      <c r="B20" s="340"/>
      <c r="C20" s="406" t="s">
        <v>1332</v>
      </c>
      <c r="D20" s="330" t="s">
        <v>1808</v>
      </c>
      <c r="E20" s="527">
        <f>1-'2.생활용수(연무)'!E47</f>
        <v>1</v>
      </c>
      <c r="F20" s="527" t="s">
        <v>1331</v>
      </c>
      <c r="G20" s="302">
        <f>IF($D20="A",ROUND(VLOOKUP($C20,'[2]2.행정구역별 급수인구'!$C$7:$AD$997,17,FALSE)*$E20,0),IF($D20="B",(ROUND(VLOOKUP($C20,'[2]2.행정구역별 급수인구'!$C$7:$AD$997,17,FALSE)-VLOOKUP($C20,'[2]2.행정구역별 급수인구'!$C$7:$AD$997,17,FALSE)*(1-$E20),0)),VLOOKUP($C20,'[2]2.행정구역별 급수인구'!$C$7:$AD$997,17,FALSE)))</f>
        <v>605</v>
      </c>
      <c r="H20" s="302">
        <f>IF($D20="A",ROUND(VLOOKUP($C20,'[2]2.행정구역별 급수인구'!$C$7:$AD$997,25,FALSE)*$E20,0),IF($D20="B",(ROUND(VLOOKUP($C20,'[2]2.행정구역별 급수인구'!$C$7:$AD$997,25,FALSE)-VLOOKUP($C20,'[2]2.행정구역별 급수인구'!$C$7:$AD$997,25,FALSE)*(1-$E20),0)),VLOOKUP($C20,'[2]2.행정구역별 급수인구'!$C$7:$AD$997,25,FALSE)))</f>
        <v>770</v>
      </c>
      <c r="I20" s="302">
        <f>IF($D20="A",ROUND(VLOOKUP($C20,'[2]2.행정구역별 급수인구'!$C$7:$AD$997,26,FALSE)*$E20,0),IF($D20="B",(ROUND(VLOOKUP($C20,'[2]2.행정구역별 급수인구'!$C$7:$AD$997,26,FALSE)-VLOOKUP($C20,'[2]2.행정구역별 급수인구'!$C$7:$AD$997,26,FALSE)*(1-$E20),0)),VLOOKUP($C20,'[2]2.행정구역별 급수인구'!$C$7:$AD$997,26,FALSE)))</f>
        <v>796</v>
      </c>
      <c r="J20" s="302">
        <f>IF($D20="A",ROUND(VLOOKUP($C20,'[2]2.행정구역별 급수인구'!$C$7:$AD$997,27,FALSE)*$E20,0),IF($D20="B",(ROUND(VLOOKUP($C20,'[2]2.행정구역별 급수인구'!$C$7:$AD$997,27,FALSE)-VLOOKUP($C20,'[2]2.행정구역별 급수인구'!$C$7:$AD$997,27,FALSE)*(1-$E20),0)),VLOOKUP($C20,'[2]2.행정구역별 급수인구'!$C$7:$AD$997,27,FALSE)))</f>
        <v>811</v>
      </c>
      <c r="K20" s="302">
        <f>IF($D20="A",ROUND(VLOOKUP($C20,'[2]2.행정구역별 급수인구'!$C$7:$AD$997,28,FALSE)*$E20,0),IF($D20="B",(ROUND(VLOOKUP($C20,'[2]2.행정구역별 급수인구'!$C$7:$AD$997,28,FALSE)-VLOOKUP($C20,'[2]2.행정구역별 급수인구'!$C$7:$AD$997,28,FALSE)*(1-$E20),0)),VLOOKUP($C20,'[2]2.행정구역별 급수인구'!$C$7:$AD$997,28,FALSE)))</f>
        <v>822</v>
      </c>
      <c r="L20" s="302">
        <f>VLOOKUP($F20,'[3]5.급수원단위'!$B$31:$G$35,2,FALSE)</f>
        <v>365</v>
      </c>
      <c r="M20" s="302">
        <f>VLOOKUP($F20,'[3]5.급수원단위'!$B$31:$G$35,3,FALSE)</f>
        <v>390</v>
      </c>
      <c r="N20" s="302">
        <f>VLOOKUP($F20,'[3]5.급수원단위'!$B$31:$G$35,4,FALSE)</f>
        <v>417</v>
      </c>
      <c r="O20" s="302">
        <f>VLOOKUP($F20,'[3]5.급수원단위'!$B$31:$G$35,5,FALSE)</f>
        <v>439</v>
      </c>
      <c r="P20" s="302">
        <f>VLOOKUP($F20,'[3]5.급수원단위'!$B$31:$G$35,6,FALSE)</f>
        <v>454</v>
      </c>
      <c r="Q20" s="302">
        <f>ROUND(IF(G20=0,0,VLOOKUP(C20,'2013실사용량 정리'!$D$6:$F$381,3,FALSE)),0)</f>
        <v>262</v>
      </c>
      <c r="R20" s="302">
        <f t="shared" si="6"/>
        <v>300</v>
      </c>
      <c r="S20" s="302">
        <f t="shared" si="6"/>
        <v>332</v>
      </c>
      <c r="T20" s="302">
        <f t="shared" si="6"/>
        <v>356</v>
      </c>
      <c r="U20" s="302">
        <f t="shared" si="6"/>
        <v>373</v>
      </c>
      <c r="W20" s="343">
        <f t="shared" si="7"/>
        <v>1.4236641221374047</v>
      </c>
    </row>
    <row r="21" spans="1:23" ht="20.100000000000001" customHeight="1">
      <c r="A21" s="340"/>
      <c r="B21" s="340"/>
      <c r="C21" s="406" t="s">
        <v>1333</v>
      </c>
      <c r="D21" s="330" t="s">
        <v>1808</v>
      </c>
      <c r="E21" s="527">
        <f>1-'2.생활용수(연무)'!E48</f>
        <v>1</v>
      </c>
      <c r="F21" s="527" t="s">
        <v>1331</v>
      </c>
      <c r="G21" s="302">
        <f>IF($D21="A",ROUND(VLOOKUP($C21,'[2]2.행정구역별 급수인구'!$C$7:$AD$997,17,FALSE)*$E21,0),IF($D21="B",(ROUND(VLOOKUP($C21,'[2]2.행정구역별 급수인구'!$C$7:$AD$997,17,FALSE)-VLOOKUP($C21,'[2]2.행정구역별 급수인구'!$C$7:$AD$997,17,FALSE)*(1-$E21),0)),VLOOKUP($C21,'[2]2.행정구역별 급수인구'!$C$7:$AD$997,17,FALSE)))</f>
        <v>451</v>
      </c>
      <c r="H21" s="302">
        <f>IF($D21="A",ROUND(VLOOKUP($C21,'[2]2.행정구역별 급수인구'!$C$7:$AD$997,25,FALSE)*$E21,0),IF($D21="B",(ROUND(VLOOKUP($C21,'[2]2.행정구역별 급수인구'!$C$7:$AD$997,25,FALSE)-VLOOKUP($C21,'[2]2.행정구역별 급수인구'!$C$7:$AD$997,25,FALSE)*(1-$E21),0)),VLOOKUP($C21,'[2]2.행정구역별 급수인구'!$C$7:$AD$997,25,FALSE)))</f>
        <v>446</v>
      </c>
      <c r="I21" s="302">
        <f>IF($D21="A",ROUND(VLOOKUP($C21,'[2]2.행정구역별 급수인구'!$C$7:$AD$997,26,FALSE)*$E21,0),IF($D21="B",(ROUND(VLOOKUP($C21,'[2]2.행정구역별 급수인구'!$C$7:$AD$997,26,FALSE)-VLOOKUP($C21,'[2]2.행정구역별 급수인구'!$C$7:$AD$997,26,FALSE)*(1-$E21),0)),VLOOKUP($C21,'[2]2.행정구역별 급수인구'!$C$7:$AD$997,26,FALSE)))</f>
        <v>459</v>
      </c>
      <c r="J21" s="302">
        <f>IF($D21="A",ROUND(VLOOKUP($C21,'[2]2.행정구역별 급수인구'!$C$7:$AD$997,27,FALSE)*$E21,0),IF($D21="B",(ROUND(VLOOKUP($C21,'[2]2.행정구역별 급수인구'!$C$7:$AD$997,27,FALSE)-VLOOKUP($C21,'[2]2.행정구역별 급수인구'!$C$7:$AD$997,27,FALSE)*(1-$E21),0)),VLOOKUP($C21,'[2]2.행정구역별 급수인구'!$C$7:$AD$997,27,FALSE)))</f>
        <v>470</v>
      </c>
      <c r="K21" s="302">
        <f>IF($D21="A",ROUND(VLOOKUP($C21,'[2]2.행정구역별 급수인구'!$C$7:$AD$997,28,FALSE)*$E21,0),IF($D21="B",(ROUND(VLOOKUP($C21,'[2]2.행정구역별 급수인구'!$C$7:$AD$997,28,FALSE)-VLOOKUP($C21,'[2]2.행정구역별 급수인구'!$C$7:$AD$997,28,FALSE)*(1-$E21),0)),VLOOKUP($C21,'[2]2.행정구역별 급수인구'!$C$7:$AD$997,28,FALSE)))</f>
        <v>478</v>
      </c>
      <c r="L21" s="302">
        <f>VLOOKUP($F21,'[3]5.급수원단위'!$B$31:$G$35,2,FALSE)</f>
        <v>365</v>
      </c>
      <c r="M21" s="302">
        <f>VLOOKUP($F21,'[3]5.급수원단위'!$B$31:$G$35,3,FALSE)</f>
        <v>390</v>
      </c>
      <c r="N21" s="302">
        <f>VLOOKUP($F21,'[3]5.급수원단위'!$B$31:$G$35,4,FALSE)</f>
        <v>417</v>
      </c>
      <c r="O21" s="302">
        <f>VLOOKUP($F21,'[3]5.급수원단위'!$B$31:$G$35,5,FALSE)</f>
        <v>439</v>
      </c>
      <c r="P21" s="302">
        <f>VLOOKUP($F21,'[3]5.급수원단위'!$B$31:$G$35,6,FALSE)</f>
        <v>454</v>
      </c>
      <c r="Q21" s="302">
        <f>ROUND(IF(G21=0,0,VLOOKUP(C21,'2013실사용량 정리'!$D$6:$F$381,3,FALSE)),0)</f>
        <v>152</v>
      </c>
      <c r="R21" s="302">
        <f t="shared" si="6"/>
        <v>174</v>
      </c>
      <c r="S21" s="302">
        <f t="shared" si="6"/>
        <v>191</v>
      </c>
      <c r="T21" s="302">
        <f t="shared" si="6"/>
        <v>206</v>
      </c>
      <c r="U21" s="302">
        <f t="shared" si="6"/>
        <v>217</v>
      </c>
      <c r="W21" s="343">
        <f t="shared" si="7"/>
        <v>1.4276315789473684</v>
      </c>
    </row>
    <row r="22" spans="1:23" ht="20.100000000000001" customHeight="1">
      <c r="A22" s="340"/>
      <c r="B22" s="340"/>
      <c r="C22" s="406" t="s">
        <v>1334</v>
      </c>
      <c r="D22" s="330" t="s">
        <v>1808</v>
      </c>
      <c r="E22" s="527">
        <f>1-'2.생활용수(연무)'!E49</f>
        <v>1</v>
      </c>
      <c r="F22" s="527" t="s">
        <v>1331</v>
      </c>
      <c r="G22" s="302">
        <f>IF($D22="A",ROUND(VLOOKUP($C22,'[2]2.행정구역별 급수인구'!$C$7:$AD$997,17,FALSE)*$E22,0),IF($D22="B",(ROUND(VLOOKUP($C22,'[2]2.행정구역별 급수인구'!$C$7:$AD$997,17,FALSE)-VLOOKUP($C22,'[2]2.행정구역별 급수인구'!$C$7:$AD$997,17,FALSE)*(1-$E22),0)),VLOOKUP($C22,'[2]2.행정구역별 급수인구'!$C$7:$AD$997,17,FALSE)))</f>
        <v>142</v>
      </c>
      <c r="H22" s="302">
        <f>IF($D22="A",ROUND(VLOOKUP($C22,'[2]2.행정구역별 급수인구'!$C$7:$AD$997,25,FALSE)*$E22,0),IF($D22="B",(ROUND(VLOOKUP($C22,'[2]2.행정구역별 급수인구'!$C$7:$AD$997,25,FALSE)-VLOOKUP($C22,'[2]2.행정구역별 급수인구'!$C$7:$AD$997,25,FALSE)*(1-$E22),0)),VLOOKUP($C22,'[2]2.행정구역별 급수인구'!$C$7:$AD$997,25,FALSE)))</f>
        <v>140</v>
      </c>
      <c r="I22" s="302">
        <f>IF($D22="A",ROUND(VLOOKUP($C22,'[2]2.행정구역별 급수인구'!$C$7:$AD$997,26,FALSE)*$E22,0),IF($D22="B",(ROUND(VLOOKUP($C22,'[2]2.행정구역별 급수인구'!$C$7:$AD$997,26,FALSE)-VLOOKUP($C22,'[2]2.행정구역별 급수인구'!$C$7:$AD$997,26,FALSE)*(1-$E22),0)),VLOOKUP($C22,'[2]2.행정구역별 급수인구'!$C$7:$AD$997,26,FALSE)))</f>
        <v>144</v>
      </c>
      <c r="J22" s="302">
        <f>IF($D22="A",ROUND(VLOOKUP($C22,'[2]2.행정구역별 급수인구'!$C$7:$AD$997,27,FALSE)*$E22,0),IF($D22="B",(ROUND(VLOOKUP($C22,'[2]2.행정구역별 급수인구'!$C$7:$AD$997,27,FALSE)-VLOOKUP($C22,'[2]2.행정구역별 급수인구'!$C$7:$AD$997,27,FALSE)*(1-$E22),0)),VLOOKUP($C22,'[2]2.행정구역별 급수인구'!$C$7:$AD$997,27,FALSE)))</f>
        <v>147</v>
      </c>
      <c r="K22" s="302">
        <f>IF($D22="A",ROUND(VLOOKUP($C22,'[2]2.행정구역별 급수인구'!$C$7:$AD$997,28,FALSE)*$E22,0),IF($D22="B",(ROUND(VLOOKUP($C22,'[2]2.행정구역별 급수인구'!$C$7:$AD$997,28,FALSE)-VLOOKUP($C22,'[2]2.행정구역별 급수인구'!$C$7:$AD$997,28,FALSE)*(1-$E22),0)),VLOOKUP($C22,'[2]2.행정구역별 급수인구'!$C$7:$AD$997,28,FALSE)))</f>
        <v>149</v>
      </c>
      <c r="L22" s="302">
        <f>VLOOKUP($F22,'[3]5.급수원단위'!$B$31:$G$35,2,FALSE)</f>
        <v>365</v>
      </c>
      <c r="M22" s="302">
        <f>VLOOKUP($F22,'[3]5.급수원단위'!$B$31:$G$35,3,FALSE)</f>
        <v>390</v>
      </c>
      <c r="N22" s="302">
        <f>VLOOKUP($F22,'[3]5.급수원단위'!$B$31:$G$35,4,FALSE)</f>
        <v>417</v>
      </c>
      <c r="O22" s="302">
        <f>VLOOKUP($F22,'[3]5.급수원단위'!$B$31:$G$35,5,FALSE)</f>
        <v>439</v>
      </c>
      <c r="P22" s="302">
        <f>VLOOKUP($F22,'[3]5.급수원단위'!$B$31:$G$35,6,FALSE)</f>
        <v>454</v>
      </c>
      <c r="Q22" s="302">
        <f>ROUND(IF(G22=0,0,VLOOKUP(C22,'2013실사용량 정리'!$D$6:$F$381,3,FALSE)),0)</f>
        <v>48</v>
      </c>
      <c r="R22" s="302">
        <f t="shared" si="6"/>
        <v>55</v>
      </c>
      <c r="S22" s="302">
        <f t="shared" si="6"/>
        <v>60</v>
      </c>
      <c r="T22" s="302">
        <f t="shared" si="6"/>
        <v>65</v>
      </c>
      <c r="U22" s="302">
        <f t="shared" si="6"/>
        <v>68</v>
      </c>
      <c r="W22" s="343">
        <f t="shared" si="7"/>
        <v>1.4166666666666667</v>
      </c>
    </row>
    <row r="23" spans="1:23" ht="20.100000000000001" customHeight="1">
      <c r="A23" s="340"/>
      <c r="B23" s="340"/>
      <c r="C23" s="406" t="s">
        <v>1335</v>
      </c>
      <c r="D23" s="330" t="s">
        <v>1808</v>
      </c>
      <c r="E23" s="527">
        <f>1-'2.생활용수(연무)'!E50</f>
        <v>1</v>
      </c>
      <c r="F23" s="527" t="s">
        <v>1331</v>
      </c>
      <c r="G23" s="302">
        <f>IF($D23="A",ROUND(VLOOKUP($C23,'[2]2.행정구역별 급수인구'!$C$7:$AD$997,17,FALSE)*$E23,0),IF($D23="B",(ROUND(VLOOKUP($C23,'[2]2.행정구역별 급수인구'!$C$7:$AD$997,17,FALSE)-VLOOKUP($C23,'[2]2.행정구역별 급수인구'!$C$7:$AD$997,17,FALSE)*(1-$E23),0)),VLOOKUP($C23,'[2]2.행정구역별 급수인구'!$C$7:$AD$997,17,FALSE)))</f>
        <v>251</v>
      </c>
      <c r="H23" s="302">
        <f>IF($D23="A",ROUND(VLOOKUP($C23,'[2]2.행정구역별 급수인구'!$C$7:$AD$997,25,FALSE)*$E23,0),IF($D23="B",(ROUND(VLOOKUP($C23,'[2]2.행정구역별 급수인구'!$C$7:$AD$997,25,FALSE)-VLOOKUP($C23,'[2]2.행정구역별 급수인구'!$C$7:$AD$997,25,FALSE)*(1-$E23),0)),VLOOKUP($C23,'[2]2.행정구역별 급수인구'!$C$7:$AD$997,25,FALSE)))</f>
        <v>247</v>
      </c>
      <c r="I23" s="302">
        <f>IF($D23="A",ROUND(VLOOKUP($C23,'[2]2.행정구역별 급수인구'!$C$7:$AD$997,26,FALSE)*$E23,0),IF($D23="B",(ROUND(VLOOKUP($C23,'[2]2.행정구역별 급수인구'!$C$7:$AD$997,26,FALSE)-VLOOKUP($C23,'[2]2.행정구역별 급수인구'!$C$7:$AD$997,26,FALSE)*(1-$E23),0)),VLOOKUP($C23,'[2]2.행정구역별 급수인구'!$C$7:$AD$997,26,FALSE)))</f>
        <v>255</v>
      </c>
      <c r="J23" s="302">
        <f>IF($D23="A",ROUND(VLOOKUP($C23,'[2]2.행정구역별 급수인구'!$C$7:$AD$997,27,FALSE)*$E23,0),IF($D23="B",(ROUND(VLOOKUP($C23,'[2]2.행정구역별 급수인구'!$C$7:$AD$997,27,FALSE)-VLOOKUP($C23,'[2]2.행정구역별 급수인구'!$C$7:$AD$997,27,FALSE)*(1-$E23),0)),VLOOKUP($C23,'[2]2.행정구역별 급수인구'!$C$7:$AD$997,27,FALSE)))</f>
        <v>261</v>
      </c>
      <c r="K23" s="302">
        <f>IF($D23="A",ROUND(VLOOKUP($C23,'[2]2.행정구역별 급수인구'!$C$7:$AD$997,28,FALSE)*$E23,0),IF($D23="B",(ROUND(VLOOKUP($C23,'[2]2.행정구역별 급수인구'!$C$7:$AD$997,28,FALSE)-VLOOKUP($C23,'[2]2.행정구역별 급수인구'!$C$7:$AD$997,28,FALSE)*(1-$E23),0)),VLOOKUP($C23,'[2]2.행정구역별 급수인구'!$C$7:$AD$997,28,FALSE)))</f>
        <v>266</v>
      </c>
      <c r="L23" s="302">
        <f>VLOOKUP($F23,'[3]5.급수원단위'!$B$31:$G$35,2,FALSE)</f>
        <v>365</v>
      </c>
      <c r="M23" s="302">
        <f>VLOOKUP($F23,'[3]5.급수원단위'!$B$31:$G$35,3,FALSE)</f>
        <v>390</v>
      </c>
      <c r="N23" s="302">
        <f>VLOOKUP($F23,'[3]5.급수원단위'!$B$31:$G$35,4,FALSE)</f>
        <v>417</v>
      </c>
      <c r="O23" s="302">
        <f>VLOOKUP($F23,'[3]5.급수원단위'!$B$31:$G$35,5,FALSE)</f>
        <v>439</v>
      </c>
      <c r="P23" s="302">
        <f>VLOOKUP($F23,'[3]5.급수원단위'!$B$31:$G$35,6,FALSE)</f>
        <v>454</v>
      </c>
      <c r="Q23" s="302">
        <f>ROUND(IF(G23=0,0,VLOOKUP(C23,'2013실사용량 정리'!$D$6:$F$381,3,FALSE)),0)</f>
        <v>84</v>
      </c>
      <c r="R23" s="302">
        <f t="shared" si="6"/>
        <v>96</v>
      </c>
      <c r="S23" s="302">
        <f t="shared" si="6"/>
        <v>106</v>
      </c>
      <c r="T23" s="302">
        <f t="shared" si="6"/>
        <v>115</v>
      </c>
      <c r="U23" s="302">
        <f t="shared" si="6"/>
        <v>121</v>
      </c>
      <c r="W23" s="343">
        <f t="shared" si="7"/>
        <v>1.4404761904761905</v>
      </c>
    </row>
    <row r="24" spans="1:23" ht="20.100000000000001" customHeight="1">
      <c r="A24" s="340"/>
      <c r="B24" s="340"/>
      <c r="C24" s="406" t="s">
        <v>1336</v>
      </c>
      <c r="D24" s="330" t="s">
        <v>1808</v>
      </c>
      <c r="E24" s="527">
        <f>1-'2.생활용수(연무)'!E51</f>
        <v>1</v>
      </c>
      <c r="F24" s="527" t="s">
        <v>1331</v>
      </c>
      <c r="G24" s="302">
        <f>IF($D24="A",ROUND(VLOOKUP($C24,'[2]2.행정구역별 급수인구'!$C$7:$AD$997,17,FALSE)*$E24,0),IF($D24="B",(ROUND(VLOOKUP($C24,'[2]2.행정구역별 급수인구'!$C$7:$AD$997,17,FALSE)-VLOOKUP($C24,'[2]2.행정구역별 급수인구'!$C$7:$AD$997,17,FALSE)*(1-$E24),0)),VLOOKUP($C24,'[2]2.행정구역별 급수인구'!$C$7:$AD$997,17,FALSE)))</f>
        <v>206</v>
      </c>
      <c r="H24" s="302">
        <f>IF($D24="A",ROUND(VLOOKUP($C24,'[2]2.행정구역별 급수인구'!$C$7:$AD$997,25,FALSE)*$E24,0),IF($D24="B",(ROUND(VLOOKUP($C24,'[2]2.행정구역별 급수인구'!$C$7:$AD$997,25,FALSE)-VLOOKUP($C24,'[2]2.행정구역별 급수인구'!$C$7:$AD$997,25,FALSE)*(1-$E24),0)),VLOOKUP($C24,'[2]2.행정구역별 급수인구'!$C$7:$AD$997,25,FALSE)))</f>
        <v>203</v>
      </c>
      <c r="I24" s="302">
        <f>IF($D24="A",ROUND(VLOOKUP($C24,'[2]2.행정구역별 급수인구'!$C$7:$AD$997,26,FALSE)*$E24,0),IF($D24="B",(ROUND(VLOOKUP($C24,'[2]2.행정구역별 급수인구'!$C$7:$AD$997,26,FALSE)-VLOOKUP($C24,'[2]2.행정구역별 급수인구'!$C$7:$AD$997,26,FALSE)*(1-$E24),0)),VLOOKUP($C24,'[2]2.행정구역별 급수인구'!$C$7:$AD$997,26,FALSE)))</f>
        <v>209</v>
      </c>
      <c r="J24" s="302">
        <f>IF($D24="A",ROUND(VLOOKUP($C24,'[2]2.행정구역별 급수인구'!$C$7:$AD$997,27,FALSE)*$E24,0),IF($D24="B",(ROUND(VLOOKUP($C24,'[2]2.행정구역별 급수인구'!$C$7:$AD$997,27,FALSE)-VLOOKUP($C24,'[2]2.행정구역별 급수인구'!$C$7:$AD$997,27,FALSE)*(1-$E24),0)),VLOOKUP($C24,'[2]2.행정구역별 급수인구'!$C$7:$AD$997,27,FALSE)))</f>
        <v>214</v>
      </c>
      <c r="K24" s="302">
        <f>IF($D24="A",ROUND(VLOOKUP($C24,'[2]2.행정구역별 급수인구'!$C$7:$AD$997,28,FALSE)*$E24,0),IF($D24="B",(ROUND(VLOOKUP($C24,'[2]2.행정구역별 급수인구'!$C$7:$AD$997,28,FALSE)-VLOOKUP($C24,'[2]2.행정구역별 급수인구'!$C$7:$AD$997,28,FALSE)*(1-$E24),0)),VLOOKUP($C24,'[2]2.행정구역별 급수인구'!$C$7:$AD$997,28,FALSE)))</f>
        <v>218</v>
      </c>
      <c r="L24" s="302">
        <f>VLOOKUP($F24,'[3]5.급수원단위'!$B$31:$G$35,2,FALSE)</f>
        <v>365</v>
      </c>
      <c r="M24" s="302">
        <f>VLOOKUP($F24,'[3]5.급수원단위'!$B$31:$G$35,3,FALSE)</f>
        <v>390</v>
      </c>
      <c r="N24" s="302">
        <f>VLOOKUP($F24,'[3]5.급수원단위'!$B$31:$G$35,4,FALSE)</f>
        <v>417</v>
      </c>
      <c r="O24" s="302">
        <f>VLOOKUP($F24,'[3]5.급수원단위'!$B$31:$G$35,5,FALSE)</f>
        <v>439</v>
      </c>
      <c r="P24" s="302">
        <f>VLOOKUP($F24,'[3]5.급수원단위'!$B$31:$G$35,6,FALSE)</f>
        <v>454</v>
      </c>
      <c r="Q24" s="302">
        <f>ROUND(IF(G24=0,0,VLOOKUP(C24,'2013실사용량 정리'!$D$6:$F$381,3,FALSE)),0)</f>
        <v>69</v>
      </c>
      <c r="R24" s="302">
        <f t="shared" ref="R24:U62" si="8">ROUND(H24*M24/1000,0)</f>
        <v>79</v>
      </c>
      <c r="S24" s="302">
        <f t="shared" si="8"/>
        <v>87</v>
      </c>
      <c r="T24" s="302">
        <f t="shared" si="8"/>
        <v>94</v>
      </c>
      <c r="U24" s="302">
        <f t="shared" si="8"/>
        <v>99</v>
      </c>
      <c r="W24" s="343">
        <f t="shared" si="7"/>
        <v>1.4347826086956521</v>
      </c>
    </row>
    <row r="25" spans="1:23" ht="20.100000000000001" customHeight="1">
      <c r="A25" s="340"/>
      <c r="B25" s="340"/>
      <c r="C25" s="406" t="s">
        <v>1337</v>
      </c>
      <c r="D25" s="330" t="s">
        <v>1808</v>
      </c>
      <c r="E25" s="527">
        <f>1-'2.생활용수(연무)'!E52</f>
        <v>1</v>
      </c>
      <c r="F25" s="527" t="s">
        <v>1331</v>
      </c>
      <c r="G25" s="302">
        <f>IF($D25="A",ROUND(VLOOKUP($C25,'[2]2.행정구역별 급수인구'!$C$7:$AD$997,17,FALSE)*$E25,0),IF($D25="B",(ROUND(VLOOKUP($C25,'[2]2.행정구역별 급수인구'!$C$7:$AD$997,17,FALSE)-VLOOKUP($C25,'[2]2.행정구역별 급수인구'!$C$7:$AD$997,17,FALSE)*(1-$E25),0)),VLOOKUP($C25,'[2]2.행정구역별 급수인구'!$C$7:$AD$997,17,FALSE)))</f>
        <v>152</v>
      </c>
      <c r="H25" s="302">
        <f>IF($D25="A",ROUND(VLOOKUP($C25,'[2]2.행정구역별 급수인구'!$C$7:$AD$997,25,FALSE)*$E25,0),IF($D25="B",(ROUND(VLOOKUP($C25,'[2]2.행정구역별 급수인구'!$C$7:$AD$997,25,FALSE)-VLOOKUP($C25,'[2]2.행정구역별 급수인구'!$C$7:$AD$997,25,FALSE)*(1-$E25),0)),VLOOKUP($C25,'[2]2.행정구역별 급수인구'!$C$7:$AD$997,25,FALSE)))</f>
        <v>150</v>
      </c>
      <c r="I25" s="302">
        <f>IF($D25="A",ROUND(VLOOKUP($C25,'[2]2.행정구역별 급수인구'!$C$7:$AD$997,26,FALSE)*$E25,0),IF($D25="B",(ROUND(VLOOKUP($C25,'[2]2.행정구역별 급수인구'!$C$7:$AD$997,26,FALSE)-VLOOKUP($C25,'[2]2.행정구역별 급수인구'!$C$7:$AD$997,26,FALSE)*(1-$E25),0)),VLOOKUP($C25,'[2]2.행정구역별 급수인구'!$C$7:$AD$997,26,FALSE)))</f>
        <v>154</v>
      </c>
      <c r="J25" s="302">
        <f>IF($D25="A",ROUND(VLOOKUP($C25,'[2]2.행정구역별 급수인구'!$C$7:$AD$997,27,FALSE)*$E25,0),IF($D25="B",(ROUND(VLOOKUP($C25,'[2]2.행정구역별 급수인구'!$C$7:$AD$997,27,FALSE)-VLOOKUP($C25,'[2]2.행정구역별 급수인구'!$C$7:$AD$997,27,FALSE)*(1-$E25),0)),VLOOKUP($C25,'[2]2.행정구역별 급수인구'!$C$7:$AD$997,27,FALSE)))</f>
        <v>158</v>
      </c>
      <c r="K25" s="302">
        <f>IF($D25="A",ROUND(VLOOKUP($C25,'[2]2.행정구역별 급수인구'!$C$7:$AD$997,28,FALSE)*$E25,0),IF($D25="B",(ROUND(VLOOKUP($C25,'[2]2.행정구역별 급수인구'!$C$7:$AD$997,28,FALSE)-VLOOKUP($C25,'[2]2.행정구역별 급수인구'!$C$7:$AD$997,28,FALSE)*(1-$E25),0)),VLOOKUP($C25,'[2]2.행정구역별 급수인구'!$C$7:$AD$997,28,FALSE)))</f>
        <v>161</v>
      </c>
      <c r="L25" s="302">
        <f>VLOOKUP($F25,'[3]5.급수원단위'!$B$31:$G$35,2,FALSE)</f>
        <v>365</v>
      </c>
      <c r="M25" s="302">
        <f>VLOOKUP($F25,'[3]5.급수원단위'!$B$31:$G$35,3,FALSE)</f>
        <v>390</v>
      </c>
      <c r="N25" s="302">
        <f>VLOOKUP($F25,'[3]5.급수원단위'!$B$31:$G$35,4,FALSE)</f>
        <v>417</v>
      </c>
      <c r="O25" s="302">
        <f>VLOOKUP($F25,'[3]5.급수원단위'!$B$31:$G$35,5,FALSE)</f>
        <v>439</v>
      </c>
      <c r="P25" s="302">
        <f>VLOOKUP($F25,'[3]5.급수원단위'!$B$31:$G$35,6,FALSE)</f>
        <v>454</v>
      </c>
      <c r="Q25" s="302">
        <f>ROUND(IF(G25=0,0,VLOOKUP(C25,'2013실사용량 정리'!$D$6:$F$381,3,FALSE)),0)</f>
        <v>51</v>
      </c>
      <c r="R25" s="302">
        <f t="shared" si="8"/>
        <v>59</v>
      </c>
      <c r="S25" s="302">
        <f t="shared" si="8"/>
        <v>64</v>
      </c>
      <c r="T25" s="302">
        <f t="shared" si="8"/>
        <v>69</v>
      </c>
      <c r="U25" s="302">
        <f t="shared" si="8"/>
        <v>73</v>
      </c>
      <c r="W25" s="343">
        <f t="shared" si="7"/>
        <v>1.4313725490196079</v>
      </c>
    </row>
    <row r="26" spans="1:23" ht="20.100000000000001" customHeight="1">
      <c r="A26" s="340"/>
      <c r="B26" s="340"/>
      <c r="C26" s="406" t="s">
        <v>1338</v>
      </c>
      <c r="D26" s="330" t="s">
        <v>1808</v>
      </c>
      <c r="E26" s="527">
        <f>1-'2.생활용수(연무)'!E53</f>
        <v>1</v>
      </c>
      <c r="F26" s="527" t="s">
        <v>1331</v>
      </c>
      <c r="G26" s="302">
        <f>IF($D26="A",ROUND(VLOOKUP($C26,'[2]2.행정구역별 급수인구'!$C$7:$AD$997,17,FALSE)*$E26,0),IF($D26="B",(ROUND(VLOOKUP($C26,'[2]2.행정구역별 급수인구'!$C$7:$AD$997,17,FALSE)-VLOOKUP($C26,'[2]2.행정구역별 급수인구'!$C$7:$AD$997,17,FALSE)*(1-$E26),0)),VLOOKUP($C26,'[2]2.행정구역별 급수인구'!$C$7:$AD$997,17,FALSE)))</f>
        <v>1677</v>
      </c>
      <c r="H26" s="302">
        <f>IF($D26="A",ROUND(VLOOKUP($C26,'[2]2.행정구역별 급수인구'!$C$7:$AD$997,25,FALSE)*$E26,0),IF($D26="B",(ROUND(VLOOKUP($C26,'[2]2.행정구역별 급수인구'!$C$7:$AD$997,25,FALSE)-VLOOKUP($C26,'[2]2.행정구역별 급수인구'!$C$7:$AD$997,25,FALSE)*(1-$E26),0)),VLOOKUP($C26,'[2]2.행정구역별 급수인구'!$C$7:$AD$997,25,FALSE)))</f>
        <v>1741</v>
      </c>
      <c r="I26" s="302">
        <f>IF($D26="A",ROUND(VLOOKUP($C26,'[2]2.행정구역별 급수인구'!$C$7:$AD$997,26,FALSE)*$E26,0),IF($D26="B",(ROUND(VLOOKUP($C26,'[2]2.행정구역별 급수인구'!$C$7:$AD$997,26,FALSE)-VLOOKUP($C26,'[2]2.행정구역별 급수인구'!$C$7:$AD$997,26,FALSE)*(1-$E26),0)),VLOOKUP($C26,'[2]2.행정구역별 급수인구'!$C$7:$AD$997,26,FALSE)))</f>
        <v>1722</v>
      </c>
      <c r="J26" s="302">
        <f>IF($D26="A",ROUND(VLOOKUP($C26,'[2]2.행정구역별 급수인구'!$C$7:$AD$997,27,FALSE)*$E26,0),IF($D26="B",(ROUND(VLOOKUP($C26,'[2]2.행정구역별 급수인구'!$C$7:$AD$997,27,FALSE)-VLOOKUP($C26,'[2]2.행정구역별 급수인구'!$C$7:$AD$997,27,FALSE)*(1-$E26),0)),VLOOKUP($C26,'[2]2.행정구역별 급수인구'!$C$7:$AD$997,27,FALSE)))</f>
        <v>1763</v>
      </c>
      <c r="K26" s="302">
        <f>IF($D26="A",ROUND(VLOOKUP($C26,'[2]2.행정구역별 급수인구'!$C$7:$AD$997,28,FALSE)*$E26,0),IF($D26="B",(ROUND(VLOOKUP($C26,'[2]2.행정구역별 급수인구'!$C$7:$AD$997,28,FALSE)-VLOOKUP($C26,'[2]2.행정구역별 급수인구'!$C$7:$AD$997,28,FALSE)*(1-$E26),0)),VLOOKUP($C26,'[2]2.행정구역별 급수인구'!$C$7:$AD$997,28,FALSE)))</f>
        <v>1795</v>
      </c>
      <c r="L26" s="302">
        <f>VLOOKUP($F26,'[3]5.급수원단위'!$B$31:$G$35,2,FALSE)</f>
        <v>365</v>
      </c>
      <c r="M26" s="302">
        <f>VLOOKUP($F26,'[3]5.급수원단위'!$B$31:$G$35,3,FALSE)</f>
        <v>390</v>
      </c>
      <c r="N26" s="302">
        <f>VLOOKUP($F26,'[3]5.급수원단위'!$B$31:$G$35,4,FALSE)</f>
        <v>417</v>
      </c>
      <c r="O26" s="302">
        <f>VLOOKUP($F26,'[3]5.급수원단위'!$B$31:$G$35,5,FALSE)</f>
        <v>439</v>
      </c>
      <c r="P26" s="302">
        <f>VLOOKUP($F26,'[3]5.급수원단위'!$B$31:$G$35,6,FALSE)</f>
        <v>454</v>
      </c>
      <c r="Q26" s="302">
        <f>ROUND(IF(G26=0,0,VLOOKUP(C26,'2013실사용량 정리'!$D$6:$F$381,3,FALSE)),0)</f>
        <v>563</v>
      </c>
      <c r="R26" s="302">
        <f t="shared" si="8"/>
        <v>679</v>
      </c>
      <c r="S26" s="302">
        <f t="shared" si="8"/>
        <v>718</v>
      </c>
      <c r="T26" s="302">
        <f t="shared" si="8"/>
        <v>774</v>
      </c>
      <c r="U26" s="302">
        <f t="shared" si="8"/>
        <v>815</v>
      </c>
      <c r="W26" s="343">
        <f t="shared" si="7"/>
        <v>1.4476021314387211</v>
      </c>
    </row>
    <row r="27" spans="1:23" ht="20.100000000000001" customHeight="1">
      <c r="A27" s="340"/>
      <c r="B27" s="340"/>
      <c r="C27" s="406" t="s">
        <v>1339</v>
      </c>
      <c r="D27" s="330" t="s">
        <v>1808</v>
      </c>
      <c r="E27" s="527">
        <f>1-'2.생활용수(연무)'!E54</f>
        <v>1</v>
      </c>
      <c r="F27" s="527" t="s">
        <v>1331</v>
      </c>
      <c r="G27" s="302">
        <f>IF($D27="A",ROUND(VLOOKUP($C27,'[2]2.행정구역별 급수인구'!$C$7:$AD$997,17,FALSE)*$E27,0),IF($D27="B",(ROUND(VLOOKUP($C27,'[2]2.행정구역별 급수인구'!$C$7:$AD$997,17,FALSE)-VLOOKUP($C27,'[2]2.행정구역별 급수인구'!$C$7:$AD$997,17,FALSE)*(1-$E27),0)),VLOOKUP($C27,'[2]2.행정구역별 급수인구'!$C$7:$AD$997,17,FALSE)))</f>
        <v>205</v>
      </c>
      <c r="H27" s="302">
        <f>IF($D27="A",ROUND(VLOOKUP($C27,'[2]2.행정구역별 급수인구'!$C$7:$AD$997,25,FALSE)*$E27,0),IF($D27="B",(ROUND(VLOOKUP($C27,'[2]2.행정구역별 급수인구'!$C$7:$AD$997,25,FALSE)-VLOOKUP($C27,'[2]2.행정구역별 급수인구'!$C$7:$AD$997,25,FALSE)*(1-$E27),0)),VLOOKUP($C27,'[2]2.행정구역별 급수인구'!$C$7:$AD$997,25,FALSE)))</f>
        <v>202</v>
      </c>
      <c r="I27" s="302">
        <f>IF($D27="A",ROUND(VLOOKUP($C27,'[2]2.행정구역별 급수인구'!$C$7:$AD$997,26,FALSE)*$E27,0),IF($D27="B",(ROUND(VLOOKUP($C27,'[2]2.행정구역별 급수인구'!$C$7:$AD$997,26,FALSE)-VLOOKUP($C27,'[2]2.행정구역별 급수인구'!$C$7:$AD$997,26,FALSE)*(1-$E27),0)),VLOOKUP($C27,'[2]2.행정구역별 급수인구'!$C$7:$AD$997,26,FALSE)))</f>
        <v>209</v>
      </c>
      <c r="J27" s="302">
        <f>IF($D27="A",ROUND(VLOOKUP($C27,'[2]2.행정구역별 급수인구'!$C$7:$AD$997,27,FALSE)*$E27,0),IF($D27="B",(ROUND(VLOOKUP($C27,'[2]2.행정구역별 급수인구'!$C$7:$AD$997,27,FALSE)-VLOOKUP($C27,'[2]2.행정구역별 급수인구'!$C$7:$AD$997,27,FALSE)*(1-$E27),0)),VLOOKUP($C27,'[2]2.행정구역별 급수인구'!$C$7:$AD$997,27,FALSE)))</f>
        <v>214</v>
      </c>
      <c r="K27" s="302">
        <f>IF($D27="A",ROUND(VLOOKUP($C27,'[2]2.행정구역별 급수인구'!$C$7:$AD$997,28,FALSE)*$E27,0),IF($D27="B",(ROUND(VLOOKUP($C27,'[2]2.행정구역별 급수인구'!$C$7:$AD$997,28,FALSE)-VLOOKUP($C27,'[2]2.행정구역별 급수인구'!$C$7:$AD$997,28,FALSE)*(1-$E27),0)),VLOOKUP($C27,'[2]2.행정구역별 급수인구'!$C$7:$AD$997,28,FALSE)))</f>
        <v>218</v>
      </c>
      <c r="L27" s="302">
        <f>VLOOKUP($F27,'[3]5.급수원단위'!$B$31:$G$35,2,FALSE)</f>
        <v>365</v>
      </c>
      <c r="M27" s="302">
        <f>VLOOKUP($F27,'[3]5.급수원단위'!$B$31:$G$35,3,FALSE)</f>
        <v>390</v>
      </c>
      <c r="N27" s="302">
        <f>VLOOKUP($F27,'[3]5.급수원단위'!$B$31:$G$35,4,FALSE)</f>
        <v>417</v>
      </c>
      <c r="O27" s="302">
        <f>VLOOKUP($F27,'[3]5.급수원단위'!$B$31:$G$35,5,FALSE)</f>
        <v>439</v>
      </c>
      <c r="P27" s="302">
        <f>VLOOKUP($F27,'[3]5.급수원단위'!$B$31:$G$35,6,FALSE)</f>
        <v>454</v>
      </c>
      <c r="Q27" s="302">
        <f>ROUND(IF(G27=0,0,VLOOKUP(C27,'2013실사용량 정리'!$D$6:$F$381,3,FALSE)),0)</f>
        <v>59</v>
      </c>
      <c r="R27" s="302">
        <f t="shared" si="8"/>
        <v>79</v>
      </c>
      <c r="S27" s="302">
        <f t="shared" si="8"/>
        <v>87</v>
      </c>
      <c r="T27" s="302">
        <f t="shared" si="8"/>
        <v>94</v>
      </c>
      <c r="U27" s="302">
        <f t="shared" si="8"/>
        <v>99</v>
      </c>
      <c r="W27" s="343">
        <f t="shared" si="7"/>
        <v>1.6779661016949152</v>
      </c>
    </row>
    <row r="28" spans="1:23" ht="20.100000000000001" customHeight="1">
      <c r="A28" s="340"/>
      <c r="B28" s="340"/>
      <c r="C28" s="406" t="s">
        <v>1340</v>
      </c>
      <c r="D28" s="330" t="s">
        <v>1808</v>
      </c>
      <c r="E28" s="527">
        <f>1-'2.생활용수(연무)'!E55</f>
        <v>1</v>
      </c>
      <c r="F28" s="527" t="s">
        <v>1331</v>
      </c>
      <c r="G28" s="302">
        <f>IF($D28="A",ROUND(VLOOKUP($C28,'[2]2.행정구역별 급수인구'!$C$7:$AD$997,17,FALSE)*$E28,0),IF($D28="B",(ROUND(VLOOKUP($C28,'[2]2.행정구역별 급수인구'!$C$7:$AD$997,17,FALSE)-VLOOKUP($C28,'[2]2.행정구역별 급수인구'!$C$7:$AD$997,17,FALSE)*(1-$E28),0)),VLOOKUP($C28,'[2]2.행정구역별 급수인구'!$C$7:$AD$997,17,FALSE)))</f>
        <v>0</v>
      </c>
      <c r="H28" s="302">
        <f>IF($D28="A",ROUND(VLOOKUP($C28,'[2]2.행정구역별 급수인구'!$C$7:$AD$997,25,FALSE)*$E28,0),IF($D28="B",(ROUND(VLOOKUP($C28,'[2]2.행정구역별 급수인구'!$C$7:$AD$997,25,FALSE)-VLOOKUP($C28,'[2]2.행정구역별 급수인구'!$C$7:$AD$997,25,FALSE)*(1-$E28),0)),VLOOKUP($C28,'[2]2.행정구역별 급수인구'!$C$7:$AD$997,25,FALSE)))</f>
        <v>234</v>
      </c>
      <c r="I28" s="302">
        <f>IF($D28="A",ROUND(VLOOKUP($C28,'[2]2.행정구역별 급수인구'!$C$7:$AD$997,26,FALSE)*$E28,0),IF($D28="B",(ROUND(VLOOKUP($C28,'[2]2.행정구역별 급수인구'!$C$7:$AD$997,26,FALSE)-VLOOKUP($C28,'[2]2.행정구역별 급수인구'!$C$7:$AD$997,26,FALSE)*(1-$E28),0)),VLOOKUP($C28,'[2]2.행정구역별 급수인구'!$C$7:$AD$997,26,FALSE)))</f>
        <v>242</v>
      </c>
      <c r="J28" s="302">
        <f>IF($D28="A",ROUND(VLOOKUP($C28,'[2]2.행정구역별 급수인구'!$C$7:$AD$997,27,FALSE)*$E28,0),IF($D28="B",(ROUND(VLOOKUP($C28,'[2]2.행정구역별 급수인구'!$C$7:$AD$997,27,FALSE)-VLOOKUP($C28,'[2]2.행정구역별 급수인구'!$C$7:$AD$997,27,FALSE)*(1-$E28),0)),VLOOKUP($C28,'[2]2.행정구역별 급수인구'!$C$7:$AD$997,27,FALSE)))</f>
        <v>248</v>
      </c>
      <c r="K28" s="302">
        <f>IF($D28="A",ROUND(VLOOKUP($C28,'[2]2.행정구역별 급수인구'!$C$7:$AD$997,28,FALSE)*$E28,0),IF($D28="B",(ROUND(VLOOKUP($C28,'[2]2.행정구역별 급수인구'!$C$7:$AD$997,28,FALSE)-VLOOKUP($C28,'[2]2.행정구역별 급수인구'!$C$7:$AD$997,28,FALSE)*(1-$E28),0)),VLOOKUP($C28,'[2]2.행정구역별 급수인구'!$C$7:$AD$997,28,FALSE)))</f>
        <v>253</v>
      </c>
      <c r="L28" s="302">
        <f>VLOOKUP($F28,'[3]5.급수원단위'!$B$31:$G$35,2,FALSE)</f>
        <v>365</v>
      </c>
      <c r="M28" s="302">
        <f>VLOOKUP($F28,'[3]5.급수원단위'!$B$31:$G$35,3,FALSE)</f>
        <v>390</v>
      </c>
      <c r="N28" s="302">
        <f>VLOOKUP($F28,'[3]5.급수원단위'!$B$31:$G$35,4,FALSE)</f>
        <v>417</v>
      </c>
      <c r="O28" s="302">
        <f>VLOOKUP($F28,'[3]5.급수원단위'!$B$31:$G$35,5,FALSE)</f>
        <v>439</v>
      </c>
      <c r="P28" s="302">
        <f>VLOOKUP($F28,'[3]5.급수원단위'!$B$31:$G$35,6,FALSE)</f>
        <v>454</v>
      </c>
      <c r="Q28" s="302">
        <f>ROUND(IF(G28=0,0,VLOOKUP(C28,'2013실사용량 정리'!$D$6:$F$381,3,FALSE)),0)</f>
        <v>0</v>
      </c>
      <c r="R28" s="302">
        <f t="shared" si="8"/>
        <v>91</v>
      </c>
      <c r="S28" s="302">
        <f t="shared" si="8"/>
        <v>101</v>
      </c>
      <c r="T28" s="302">
        <f t="shared" si="8"/>
        <v>109</v>
      </c>
      <c r="U28" s="302">
        <f t="shared" si="8"/>
        <v>115</v>
      </c>
      <c r="W28" s="343" t="str">
        <f t="shared" si="7"/>
        <v/>
      </c>
    </row>
    <row r="29" spans="1:23" ht="20.100000000000001" customHeight="1">
      <c r="A29" s="340"/>
      <c r="B29" s="340"/>
      <c r="C29" s="406" t="s">
        <v>1341</v>
      </c>
      <c r="D29" s="330" t="s">
        <v>1808</v>
      </c>
      <c r="E29" s="527">
        <f>1-'2.생활용수(연무)'!E56</f>
        <v>1</v>
      </c>
      <c r="F29" s="527" t="s">
        <v>1331</v>
      </c>
      <c r="G29" s="302">
        <f>IF($D29="A",ROUND(VLOOKUP($C29,'[2]2.행정구역별 급수인구'!$C$7:$AD$997,17,FALSE)*$E29,0),IF($D29="B",(ROUND(VLOOKUP($C29,'[2]2.행정구역별 급수인구'!$C$7:$AD$997,17,FALSE)-VLOOKUP($C29,'[2]2.행정구역별 급수인구'!$C$7:$AD$997,17,FALSE)*(1-$E29),0)),VLOOKUP($C29,'[2]2.행정구역별 급수인구'!$C$7:$AD$997,17,FALSE)))</f>
        <v>103</v>
      </c>
      <c r="H29" s="302">
        <f>IF($D29="A",ROUND(VLOOKUP($C29,'[2]2.행정구역별 급수인구'!$C$7:$AD$997,25,FALSE)*$E29,0),IF($D29="B",(ROUND(VLOOKUP($C29,'[2]2.행정구역별 급수인구'!$C$7:$AD$997,25,FALSE)-VLOOKUP($C29,'[2]2.행정구역별 급수인구'!$C$7:$AD$997,25,FALSE)*(1-$E29),0)),VLOOKUP($C29,'[2]2.행정구역별 급수인구'!$C$7:$AD$997,25,FALSE)))</f>
        <v>101</v>
      </c>
      <c r="I29" s="302">
        <f>IF($D29="A",ROUND(VLOOKUP($C29,'[2]2.행정구역별 급수인구'!$C$7:$AD$997,26,FALSE)*$E29,0),IF($D29="B",(ROUND(VLOOKUP($C29,'[2]2.행정구역별 급수인구'!$C$7:$AD$997,26,FALSE)-VLOOKUP($C29,'[2]2.행정구역별 급수인구'!$C$7:$AD$997,26,FALSE)*(1-$E29),0)),VLOOKUP($C29,'[2]2.행정구역별 급수인구'!$C$7:$AD$997,26,FALSE)))</f>
        <v>105</v>
      </c>
      <c r="J29" s="302">
        <f>IF($D29="A",ROUND(VLOOKUP($C29,'[2]2.행정구역별 급수인구'!$C$7:$AD$997,27,FALSE)*$E29,0),IF($D29="B",(ROUND(VLOOKUP($C29,'[2]2.행정구역별 급수인구'!$C$7:$AD$997,27,FALSE)-VLOOKUP($C29,'[2]2.행정구역별 급수인구'!$C$7:$AD$997,27,FALSE)*(1-$E29),0)),VLOOKUP($C29,'[2]2.행정구역별 급수인구'!$C$7:$AD$997,27,FALSE)))</f>
        <v>107</v>
      </c>
      <c r="K29" s="302">
        <f>IF($D29="A",ROUND(VLOOKUP($C29,'[2]2.행정구역별 급수인구'!$C$7:$AD$997,28,FALSE)*$E29,0),IF($D29="B",(ROUND(VLOOKUP($C29,'[2]2.행정구역별 급수인구'!$C$7:$AD$997,28,FALSE)-VLOOKUP($C29,'[2]2.행정구역별 급수인구'!$C$7:$AD$997,28,FALSE)*(1-$E29),0)),VLOOKUP($C29,'[2]2.행정구역별 급수인구'!$C$7:$AD$997,28,FALSE)))</f>
        <v>109</v>
      </c>
      <c r="L29" s="302">
        <f>VLOOKUP($F29,'[3]5.급수원단위'!$B$31:$G$35,2,FALSE)</f>
        <v>365</v>
      </c>
      <c r="M29" s="302">
        <f>VLOOKUP($F29,'[3]5.급수원단위'!$B$31:$G$35,3,FALSE)</f>
        <v>390</v>
      </c>
      <c r="N29" s="302">
        <f>VLOOKUP($F29,'[3]5.급수원단위'!$B$31:$G$35,4,FALSE)</f>
        <v>417</v>
      </c>
      <c r="O29" s="302">
        <f>VLOOKUP($F29,'[3]5.급수원단위'!$B$31:$G$35,5,FALSE)</f>
        <v>439</v>
      </c>
      <c r="P29" s="302">
        <f>VLOOKUP($F29,'[3]5.급수원단위'!$B$31:$G$35,6,FALSE)</f>
        <v>454</v>
      </c>
      <c r="Q29" s="302">
        <f>ROUND(IF(G29=0,0,VLOOKUP(C29,'2013실사용량 정리'!$D$6:$F$381,3,FALSE)),0)</f>
        <v>69</v>
      </c>
      <c r="R29" s="302">
        <f t="shared" si="8"/>
        <v>39</v>
      </c>
      <c r="S29" s="302">
        <f t="shared" si="8"/>
        <v>44</v>
      </c>
      <c r="T29" s="302">
        <f t="shared" si="8"/>
        <v>47</v>
      </c>
      <c r="U29" s="302">
        <f t="shared" si="8"/>
        <v>49</v>
      </c>
      <c r="W29" s="343">
        <f t="shared" si="7"/>
        <v>0.71014492753623193</v>
      </c>
    </row>
    <row r="30" spans="1:23" ht="20.100000000000001" customHeight="1">
      <c r="A30" s="340"/>
      <c r="B30" s="340"/>
      <c r="C30" s="406" t="s">
        <v>1342</v>
      </c>
      <c r="D30" s="330" t="s">
        <v>1808</v>
      </c>
      <c r="E30" s="527">
        <f>1-'2.생활용수(연무)'!E57</f>
        <v>1</v>
      </c>
      <c r="F30" s="527" t="s">
        <v>1331</v>
      </c>
      <c r="G30" s="302">
        <f>IF($D30="A",ROUND(VLOOKUP($C30,'[2]2.행정구역별 급수인구'!$C$7:$AD$997,17,FALSE)*$E30,0),IF($D30="B",(ROUND(VLOOKUP($C30,'[2]2.행정구역별 급수인구'!$C$7:$AD$997,17,FALSE)-VLOOKUP($C30,'[2]2.행정구역별 급수인구'!$C$7:$AD$997,17,FALSE)*(1-$E30),0)),VLOOKUP($C30,'[2]2.행정구역별 급수인구'!$C$7:$AD$997,17,FALSE)))</f>
        <v>710</v>
      </c>
      <c r="H30" s="302">
        <f>IF($D30="A",ROUND(VLOOKUP($C30,'[2]2.행정구역별 급수인구'!$C$7:$AD$997,25,FALSE)*$E30,0),IF($D30="B",(ROUND(VLOOKUP($C30,'[2]2.행정구역별 급수인구'!$C$7:$AD$997,25,FALSE)-VLOOKUP($C30,'[2]2.행정구역별 급수인구'!$C$7:$AD$997,25,FALSE)*(1-$E30),0)),VLOOKUP($C30,'[2]2.행정구역별 급수인구'!$C$7:$AD$997,25,FALSE)))</f>
        <v>700</v>
      </c>
      <c r="I30" s="302">
        <f>IF($D30="A",ROUND(VLOOKUP($C30,'[2]2.행정구역별 급수인구'!$C$7:$AD$997,26,FALSE)*$E30,0),IF($D30="B",(ROUND(VLOOKUP($C30,'[2]2.행정구역별 급수인구'!$C$7:$AD$997,26,FALSE)-VLOOKUP($C30,'[2]2.행정구역별 급수인구'!$C$7:$AD$997,26,FALSE)*(1-$E30),0)),VLOOKUP($C30,'[2]2.행정구역별 급수인구'!$C$7:$AD$997,26,FALSE)))</f>
        <v>722</v>
      </c>
      <c r="J30" s="302">
        <f>IF($D30="A",ROUND(VLOOKUP($C30,'[2]2.행정구역별 급수인구'!$C$7:$AD$997,27,FALSE)*$E30,0),IF($D30="B",(ROUND(VLOOKUP($C30,'[2]2.행정구역별 급수인구'!$C$7:$AD$997,27,FALSE)-VLOOKUP($C30,'[2]2.행정구역별 급수인구'!$C$7:$AD$997,27,FALSE)*(1-$E30),0)),VLOOKUP($C30,'[2]2.행정구역별 급수인구'!$C$7:$AD$997,27,FALSE)))</f>
        <v>739</v>
      </c>
      <c r="K30" s="302">
        <f>IF($D30="A",ROUND(VLOOKUP($C30,'[2]2.행정구역별 급수인구'!$C$7:$AD$997,28,FALSE)*$E30,0),IF($D30="B",(ROUND(VLOOKUP($C30,'[2]2.행정구역별 급수인구'!$C$7:$AD$997,28,FALSE)-VLOOKUP($C30,'[2]2.행정구역별 급수인구'!$C$7:$AD$997,28,FALSE)*(1-$E30),0)),VLOOKUP($C30,'[2]2.행정구역별 급수인구'!$C$7:$AD$997,28,FALSE)))</f>
        <v>752</v>
      </c>
      <c r="L30" s="302">
        <f>VLOOKUP($F30,'[3]5.급수원단위'!$B$31:$G$35,2,FALSE)</f>
        <v>365</v>
      </c>
      <c r="M30" s="302">
        <f>VLOOKUP($F30,'[3]5.급수원단위'!$B$31:$G$35,3,FALSE)</f>
        <v>390</v>
      </c>
      <c r="N30" s="302">
        <f>VLOOKUP($F30,'[3]5.급수원단위'!$B$31:$G$35,4,FALSE)</f>
        <v>417</v>
      </c>
      <c r="O30" s="302">
        <f>VLOOKUP($F30,'[3]5.급수원단위'!$B$31:$G$35,5,FALSE)</f>
        <v>439</v>
      </c>
      <c r="P30" s="302">
        <f>VLOOKUP($F30,'[3]5.급수원단위'!$B$31:$G$35,6,FALSE)</f>
        <v>454</v>
      </c>
      <c r="Q30" s="302">
        <f>ROUND(IF(G30=0,0,VLOOKUP(C30,'2013실사용량 정리'!$D$6:$F$381,3,FALSE)),0)</f>
        <v>260</v>
      </c>
      <c r="R30" s="302">
        <f t="shared" si="8"/>
        <v>273</v>
      </c>
      <c r="S30" s="302">
        <f t="shared" si="8"/>
        <v>301</v>
      </c>
      <c r="T30" s="302">
        <f t="shared" si="8"/>
        <v>324</v>
      </c>
      <c r="U30" s="302">
        <f t="shared" si="8"/>
        <v>341</v>
      </c>
      <c r="W30" s="343">
        <f t="shared" si="7"/>
        <v>1.3115384615384615</v>
      </c>
    </row>
    <row r="31" spans="1:23" ht="20.100000000000001" customHeight="1">
      <c r="A31" s="340"/>
      <c r="B31" s="340"/>
      <c r="C31" s="406" t="s">
        <v>1343</v>
      </c>
      <c r="D31" s="330" t="s">
        <v>1808</v>
      </c>
      <c r="E31" s="527">
        <f>1-'2.생활용수(연무)'!E58</f>
        <v>1</v>
      </c>
      <c r="F31" s="527" t="s">
        <v>1331</v>
      </c>
      <c r="G31" s="302">
        <f>IF($D31="A",ROUND(VLOOKUP($C31,'[2]2.행정구역별 급수인구'!$C$7:$AD$997,17,FALSE)*$E31,0),IF($D31="B",(ROUND(VLOOKUP($C31,'[2]2.행정구역별 급수인구'!$C$7:$AD$997,17,FALSE)-VLOOKUP($C31,'[2]2.행정구역별 급수인구'!$C$7:$AD$997,17,FALSE)*(1-$E31),0)),VLOOKUP($C31,'[2]2.행정구역별 급수인구'!$C$7:$AD$997,17,FALSE)))</f>
        <v>352</v>
      </c>
      <c r="H31" s="302">
        <f>IF($D31="A",ROUND(VLOOKUP($C31,'[2]2.행정구역별 급수인구'!$C$7:$AD$997,25,FALSE)*$E31,0),IF($D31="B",(ROUND(VLOOKUP($C31,'[2]2.행정구역별 급수인구'!$C$7:$AD$997,25,FALSE)-VLOOKUP($C31,'[2]2.행정구역별 급수인구'!$C$7:$AD$997,25,FALSE)*(1-$E31),0)),VLOOKUP($C31,'[2]2.행정구역별 급수인구'!$C$7:$AD$997,25,FALSE)))</f>
        <v>346</v>
      </c>
      <c r="I31" s="302">
        <f>IF($D31="A",ROUND(VLOOKUP($C31,'[2]2.행정구역별 급수인구'!$C$7:$AD$997,26,FALSE)*$E31,0),IF($D31="B",(ROUND(VLOOKUP($C31,'[2]2.행정구역별 급수인구'!$C$7:$AD$997,26,FALSE)-VLOOKUP($C31,'[2]2.행정구역별 급수인구'!$C$7:$AD$997,26,FALSE)*(1-$E31),0)),VLOOKUP($C31,'[2]2.행정구역별 급수인구'!$C$7:$AD$997,26,FALSE)))</f>
        <v>357</v>
      </c>
      <c r="J31" s="302">
        <f>IF($D31="A",ROUND(VLOOKUP($C31,'[2]2.행정구역별 급수인구'!$C$7:$AD$997,27,FALSE)*$E31,0),IF($D31="B",(ROUND(VLOOKUP($C31,'[2]2.행정구역별 급수인구'!$C$7:$AD$997,27,FALSE)-VLOOKUP($C31,'[2]2.행정구역별 급수인구'!$C$7:$AD$997,27,FALSE)*(1-$E31),0)),VLOOKUP($C31,'[2]2.행정구역별 급수인구'!$C$7:$AD$997,27,FALSE)))</f>
        <v>366</v>
      </c>
      <c r="K31" s="302">
        <f>IF($D31="A",ROUND(VLOOKUP($C31,'[2]2.행정구역별 급수인구'!$C$7:$AD$997,28,FALSE)*$E31,0),IF($D31="B",(ROUND(VLOOKUP($C31,'[2]2.행정구역별 급수인구'!$C$7:$AD$997,28,FALSE)-VLOOKUP($C31,'[2]2.행정구역별 급수인구'!$C$7:$AD$997,28,FALSE)*(1-$E31),0)),VLOOKUP($C31,'[2]2.행정구역별 급수인구'!$C$7:$AD$997,28,FALSE)))</f>
        <v>373</v>
      </c>
      <c r="L31" s="302">
        <f>VLOOKUP($F31,'[3]5.급수원단위'!$B$31:$G$35,2,FALSE)</f>
        <v>365</v>
      </c>
      <c r="M31" s="302">
        <f>VLOOKUP($F31,'[3]5.급수원단위'!$B$31:$G$35,3,FALSE)</f>
        <v>390</v>
      </c>
      <c r="N31" s="302">
        <f>VLOOKUP($F31,'[3]5.급수원단위'!$B$31:$G$35,4,FALSE)</f>
        <v>417</v>
      </c>
      <c r="O31" s="302">
        <f>VLOOKUP($F31,'[3]5.급수원단위'!$B$31:$G$35,5,FALSE)</f>
        <v>439</v>
      </c>
      <c r="P31" s="302">
        <f>VLOOKUP($F31,'[3]5.급수원단위'!$B$31:$G$35,6,FALSE)</f>
        <v>454</v>
      </c>
      <c r="Q31" s="302">
        <f>ROUND(IF(G31=0,0,VLOOKUP(C31,'2013실사용량 정리'!$D$6:$F$381,3,FALSE)),0)</f>
        <v>129</v>
      </c>
      <c r="R31" s="302">
        <f t="shared" si="8"/>
        <v>135</v>
      </c>
      <c r="S31" s="302">
        <f t="shared" si="8"/>
        <v>149</v>
      </c>
      <c r="T31" s="302">
        <f t="shared" si="8"/>
        <v>161</v>
      </c>
      <c r="U31" s="302">
        <f t="shared" si="8"/>
        <v>169</v>
      </c>
      <c r="W31" s="343">
        <f t="shared" si="7"/>
        <v>1.3100775193798451</v>
      </c>
    </row>
    <row r="32" spans="1:23" ht="20.100000000000001" customHeight="1">
      <c r="A32" s="340"/>
      <c r="B32" s="340"/>
      <c r="C32" s="406" t="s">
        <v>1344</v>
      </c>
      <c r="D32" s="330" t="s">
        <v>1808</v>
      </c>
      <c r="E32" s="527">
        <f>1-'2.생활용수(연무)'!E59</f>
        <v>1</v>
      </c>
      <c r="F32" s="527" t="s">
        <v>1331</v>
      </c>
      <c r="G32" s="302">
        <f>IF($D32="A",ROUND(VLOOKUP($C32,'[2]2.행정구역별 급수인구'!$C$7:$AD$997,17,FALSE)*$E32,0),IF($D32="B",(ROUND(VLOOKUP($C32,'[2]2.행정구역별 급수인구'!$C$7:$AD$997,17,FALSE)-VLOOKUP($C32,'[2]2.행정구역별 급수인구'!$C$7:$AD$997,17,FALSE)*(1-$E32),0)),VLOOKUP($C32,'[2]2.행정구역별 급수인구'!$C$7:$AD$997,17,FALSE)))</f>
        <v>322</v>
      </c>
      <c r="H32" s="302">
        <f>IF($D32="A",ROUND(VLOOKUP($C32,'[2]2.행정구역별 급수인구'!$C$7:$AD$997,25,FALSE)*$E32,0),IF($D32="B",(ROUND(VLOOKUP($C32,'[2]2.행정구역별 급수인구'!$C$7:$AD$997,25,FALSE)-VLOOKUP($C32,'[2]2.행정구역별 급수인구'!$C$7:$AD$997,25,FALSE)*(1-$E32),0)),VLOOKUP($C32,'[2]2.행정구역별 급수인구'!$C$7:$AD$997,25,FALSE)))</f>
        <v>318</v>
      </c>
      <c r="I32" s="302">
        <f>IF($D32="A",ROUND(VLOOKUP($C32,'[2]2.행정구역별 급수인구'!$C$7:$AD$997,26,FALSE)*$E32,0),IF($D32="B",(ROUND(VLOOKUP($C32,'[2]2.행정구역별 급수인구'!$C$7:$AD$997,26,FALSE)-VLOOKUP($C32,'[2]2.행정구역별 급수인구'!$C$7:$AD$997,26,FALSE)*(1-$E32),0)),VLOOKUP($C32,'[2]2.행정구역별 급수인구'!$C$7:$AD$997,26,FALSE)))</f>
        <v>327</v>
      </c>
      <c r="J32" s="302">
        <f>IF($D32="A",ROUND(VLOOKUP($C32,'[2]2.행정구역별 급수인구'!$C$7:$AD$997,27,FALSE)*$E32,0),IF($D32="B",(ROUND(VLOOKUP($C32,'[2]2.행정구역별 급수인구'!$C$7:$AD$997,27,FALSE)-VLOOKUP($C32,'[2]2.행정구역별 급수인구'!$C$7:$AD$997,27,FALSE)*(1-$E32),0)),VLOOKUP($C32,'[2]2.행정구역별 급수인구'!$C$7:$AD$997,27,FALSE)))</f>
        <v>335</v>
      </c>
      <c r="K32" s="302">
        <f>IF($D32="A",ROUND(VLOOKUP($C32,'[2]2.행정구역별 급수인구'!$C$7:$AD$997,28,FALSE)*$E32,0),IF($D32="B",(ROUND(VLOOKUP($C32,'[2]2.행정구역별 급수인구'!$C$7:$AD$997,28,FALSE)-VLOOKUP($C32,'[2]2.행정구역별 급수인구'!$C$7:$AD$997,28,FALSE)*(1-$E32),0)),VLOOKUP($C32,'[2]2.행정구역별 급수인구'!$C$7:$AD$997,28,FALSE)))</f>
        <v>341</v>
      </c>
      <c r="L32" s="302">
        <f>VLOOKUP($F32,'[3]5.급수원단위'!$B$31:$G$35,2,FALSE)</f>
        <v>365</v>
      </c>
      <c r="M32" s="302">
        <f>VLOOKUP($F32,'[3]5.급수원단위'!$B$31:$G$35,3,FALSE)</f>
        <v>390</v>
      </c>
      <c r="N32" s="302">
        <f>VLOOKUP($F32,'[3]5.급수원단위'!$B$31:$G$35,4,FALSE)</f>
        <v>417</v>
      </c>
      <c r="O32" s="302">
        <f>VLOOKUP($F32,'[3]5.급수원단위'!$B$31:$G$35,5,FALSE)</f>
        <v>439</v>
      </c>
      <c r="P32" s="302">
        <f>VLOOKUP($F32,'[3]5.급수원단위'!$B$31:$G$35,6,FALSE)</f>
        <v>454</v>
      </c>
      <c r="Q32" s="302">
        <f>ROUND(IF(G32=0,0,VLOOKUP(C32,'2013실사용량 정리'!$D$6:$F$381,3,FALSE)),0)</f>
        <v>118</v>
      </c>
      <c r="R32" s="302">
        <f t="shared" si="8"/>
        <v>124</v>
      </c>
      <c r="S32" s="302">
        <f t="shared" si="8"/>
        <v>136</v>
      </c>
      <c r="T32" s="302">
        <f t="shared" si="8"/>
        <v>147</v>
      </c>
      <c r="U32" s="302">
        <f t="shared" si="8"/>
        <v>155</v>
      </c>
      <c r="W32" s="343">
        <f t="shared" si="7"/>
        <v>1.3135593220338984</v>
      </c>
    </row>
    <row r="33" spans="1:23" ht="20.100000000000001" customHeight="1">
      <c r="A33" s="340"/>
      <c r="B33" s="340"/>
      <c r="C33" s="406" t="s">
        <v>1345</v>
      </c>
      <c r="D33" s="330" t="s">
        <v>1808</v>
      </c>
      <c r="E33" s="527">
        <f>1-'2.생활용수(연무)'!E60</f>
        <v>1</v>
      </c>
      <c r="F33" s="527" t="s">
        <v>1331</v>
      </c>
      <c r="G33" s="302">
        <f>IF($D33="A",ROUND(VLOOKUP($C33,'[2]2.행정구역별 급수인구'!$C$7:$AD$997,17,FALSE)*$E33,0),IF($D33="B",(ROUND(VLOOKUP($C33,'[2]2.행정구역별 급수인구'!$C$7:$AD$997,17,FALSE)-VLOOKUP($C33,'[2]2.행정구역별 급수인구'!$C$7:$AD$997,17,FALSE)*(1-$E33),0)),VLOOKUP($C33,'[2]2.행정구역별 급수인구'!$C$7:$AD$997,17,FALSE)))</f>
        <v>231</v>
      </c>
      <c r="H33" s="302">
        <f>IF($D33="A",ROUND(VLOOKUP($C33,'[2]2.행정구역별 급수인구'!$C$7:$AD$997,25,FALSE)*$E33,0),IF($D33="B",(ROUND(VLOOKUP($C33,'[2]2.행정구역별 급수인구'!$C$7:$AD$997,25,FALSE)-VLOOKUP($C33,'[2]2.행정구역별 급수인구'!$C$7:$AD$997,25,FALSE)*(1-$E33),0)),VLOOKUP($C33,'[2]2.행정구역별 급수인구'!$C$7:$AD$997,25,FALSE)))</f>
        <v>228</v>
      </c>
      <c r="I33" s="302">
        <f>IF($D33="A",ROUND(VLOOKUP($C33,'[2]2.행정구역별 급수인구'!$C$7:$AD$997,26,FALSE)*$E33,0),IF($D33="B",(ROUND(VLOOKUP($C33,'[2]2.행정구역별 급수인구'!$C$7:$AD$997,26,FALSE)-VLOOKUP($C33,'[2]2.행정구역별 급수인구'!$C$7:$AD$997,26,FALSE)*(1-$E33),0)),VLOOKUP($C33,'[2]2.행정구역별 급수인구'!$C$7:$AD$997,26,FALSE)))</f>
        <v>235</v>
      </c>
      <c r="J33" s="302">
        <f>IF($D33="A",ROUND(VLOOKUP($C33,'[2]2.행정구역별 급수인구'!$C$7:$AD$997,27,FALSE)*$E33,0),IF($D33="B",(ROUND(VLOOKUP($C33,'[2]2.행정구역별 급수인구'!$C$7:$AD$997,27,FALSE)-VLOOKUP($C33,'[2]2.행정구역별 급수인구'!$C$7:$AD$997,27,FALSE)*(1-$E33),0)),VLOOKUP($C33,'[2]2.행정구역별 급수인구'!$C$7:$AD$997,27,FALSE)))</f>
        <v>241</v>
      </c>
      <c r="K33" s="302">
        <f>IF($D33="A",ROUND(VLOOKUP($C33,'[2]2.행정구역별 급수인구'!$C$7:$AD$997,28,FALSE)*$E33,0),IF($D33="B",(ROUND(VLOOKUP($C33,'[2]2.행정구역별 급수인구'!$C$7:$AD$997,28,FALSE)-VLOOKUP($C33,'[2]2.행정구역별 급수인구'!$C$7:$AD$997,28,FALSE)*(1-$E33),0)),VLOOKUP($C33,'[2]2.행정구역별 급수인구'!$C$7:$AD$997,28,FALSE)))</f>
        <v>245</v>
      </c>
      <c r="L33" s="302">
        <f>VLOOKUP($F33,'[3]5.급수원단위'!$B$31:$G$35,2,FALSE)</f>
        <v>365</v>
      </c>
      <c r="M33" s="302">
        <f>VLOOKUP($F33,'[3]5.급수원단위'!$B$31:$G$35,3,FALSE)</f>
        <v>390</v>
      </c>
      <c r="N33" s="302">
        <f>VLOOKUP($F33,'[3]5.급수원단위'!$B$31:$G$35,4,FALSE)</f>
        <v>417</v>
      </c>
      <c r="O33" s="302">
        <f>VLOOKUP($F33,'[3]5.급수원단위'!$B$31:$G$35,5,FALSE)</f>
        <v>439</v>
      </c>
      <c r="P33" s="302">
        <f>VLOOKUP($F33,'[3]5.급수원단위'!$B$31:$G$35,6,FALSE)</f>
        <v>454</v>
      </c>
      <c r="Q33" s="302">
        <f>ROUND(IF(G33=0,0,VLOOKUP(C33,'2013실사용량 정리'!$D$6:$F$381,3,FALSE)),0)</f>
        <v>84</v>
      </c>
      <c r="R33" s="302">
        <f t="shared" si="8"/>
        <v>89</v>
      </c>
      <c r="S33" s="302">
        <f t="shared" si="8"/>
        <v>98</v>
      </c>
      <c r="T33" s="302">
        <f t="shared" si="8"/>
        <v>106</v>
      </c>
      <c r="U33" s="302">
        <f t="shared" si="8"/>
        <v>111</v>
      </c>
      <c r="W33" s="343">
        <f t="shared" si="7"/>
        <v>1.3214285714285714</v>
      </c>
    </row>
    <row r="34" spans="1:23" ht="20.100000000000001" customHeight="1">
      <c r="A34" s="340"/>
      <c r="B34" s="340"/>
      <c r="C34" s="406" t="s">
        <v>1346</v>
      </c>
      <c r="D34" s="330" t="s">
        <v>1808</v>
      </c>
      <c r="E34" s="527">
        <f>1-'2.생활용수(연무)'!E61</f>
        <v>1</v>
      </c>
      <c r="F34" s="527" t="s">
        <v>1331</v>
      </c>
      <c r="G34" s="302">
        <f>IF($D34="A",ROUND(VLOOKUP($C34,'[2]2.행정구역별 급수인구'!$C$7:$AD$997,17,FALSE)*$E34,0),IF($D34="B",(ROUND(VLOOKUP($C34,'[2]2.행정구역별 급수인구'!$C$7:$AD$997,17,FALSE)-VLOOKUP($C34,'[2]2.행정구역별 급수인구'!$C$7:$AD$997,17,FALSE)*(1-$E34),0)),VLOOKUP($C34,'[2]2.행정구역별 급수인구'!$C$7:$AD$997,17,FALSE)))</f>
        <v>355</v>
      </c>
      <c r="H34" s="302">
        <f>IF($D34="A",ROUND(VLOOKUP($C34,'[2]2.행정구역별 급수인구'!$C$7:$AD$997,25,FALSE)*$E34,0),IF($D34="B",(ROUND(VLOOKUP($C34,'[2]2.행정구역별 급수인구'!$C$7:$AD$997,25,FALSE)-VLOOKUP($C34,'[2]2.행정구역별 급수인구'!$C$7:$AD$997,25,FALSE)*(1-$E34),0)),VLOOKUP($C34,'[2]2.행정구역별 급수인구'!$C$7:$AD$997,25,FALSE)))</f>
        <v>350</v>
      </c>
      <c r="I34" s="302">
        <f>IF($D34="A",ROUND(VLOOKUP($C34,'[2]2.행정구역별 급수인구'!$C$7:$AD$997,26,FALSE)*$E34,0),IF($D34="B",(ROUND(VLOOKUP($C34,'[2]2.행정구역별 급수인구'!$C$7:$AD$997,26,FALSE)-VLOOKUP($C34,'[2]2.행정구역별 급수인구'!$C$7:$AD$997,26,FALSE)*(1-$E34),0)),VLOOKUP($C34,'[2]2.행정구역별 급수인구'!$C$7:$AD$997,26,FALSE)))</f>
        <v>361</v>
      </c>
      <c r="J34" s="302">
        <f>IF($D34="A",ROUND(VLOOKUP($C34,'[2]2.행정구역별 급수인구'!$C$7:$AD$997,27,FALSE)*$E34,0),IF($D34="B",(ROUND(VLOOKUP($C34,'[2]2.행정구역별 급수인구'!$C$7:$AD$997,27,FALSE)-VLOOKUP($C34,'[2]2.행정구역별 급수인구'!$C$7:$AD$997,27,FALSE)*(1-$E34),0)),VLOOKUP($C34,'[2]2.행정구역별 급수인구'!$C$7:$AD$997,27,FALSE)))</f>
        <v>370</v>
      </c>
      <c r="K34" s="302">
        <f>IF($D34="A",ROUND(VLOOKUP($C34,'[2]2.행정구역별 급수인구'!$C$7:$AD$997,28,FALSE)*$E34,0),IF($D34="B",(ROUND(VLOOKUP($C34,'[2]2.행정구역별 급수인구'!$C$7:$AD$997,28,FALSE)-VLOOKUP($C34,'[2]2.행정구역별 급수인구'!$C$7:$AD$997,28,FALSE)*(1-$E34),0)),VLOOKUP($C34,'[2]2.행정구역별 급수인구'!$C$7:$AD$997,28,FALSE)))</f>
        <v>377</v>
      </c>
      <c r="L34" s="302">
        <f>VLOOKUP($F34,'[3]5.급수원단위'!$B$31:$G$35,2,FALSE)</f>
        <v>365</v>
      </c>
      <c r="M34" s="302">
        <f>VLOOKUP($F34,'[3]5.급수원단위'!$B$31:$G$35,3,FALSE)</f>
        <v>390</v>
      </c>
      <c r="N34" s="302">
        <f>VLOOKUP($F34,'[3]5.급수원단위'!$B$31:$G$35,4,FALSE)</f>
        <v>417</v>
      </c>
      <c r="O34" s="302">
        <f>VLOOKUP($F34,'[3]5.급수원단위'!$B$31:$G$35,5,FALSE)</f>
        <v>439</v>
      </c>
      <c r="P34" s="302">
        <f>VLOOKUP($F34,'[3]5.급수원단위'!$B$31:$G$35,6,FALSE)</f>
        <v>454</v>
      </c>
      <c r="Q34" s="302">
        <f>ROUND(IF(G34=0,0,VLOOKUP(C34,'2013실사용량 정리'!$D$6:$F$381,3,FALSE)),0)</f>
        <v>158</v>
      </c>
      <c r="R34" s="302">
        <f t="shared" si="8"/>
        <v>137</v>
      </c>
      <c r="S34" s="302">
        <f t="shared" si="8"/>
        <v>151</v>
      </c>
      <c r="T34" s="302">
        <f t="shared" si="8"/>
        <v>162</v>
      </c>
      <c r="U34" s="302">
        <f t="shared" si="8"/>
        <v>171</v>
      </c>
      <c r="W34" s="343">
        <f t="shared" si="7"/>
        <v>1.0822784810126582</v>
      </c>
    </row>
    <row r="35" spans="1:23" ht="20.100000000000001" customHeight="1">
      <c r="A35" s="340"/>
      <c r="B35" s="340"/>
      <c r="C35" s="406" t="s">
        <v>1347</v>
      </c>
      <c r="D35" s="330" t="s">
        <v>1808</v>
      </c>
      <c r="E35" s="527">
        <f>1-'2.생활용수(연무)'!E62</f>
        <v>1</v>
      </c>
      <c r="F35" s="527" t="s">
        <v>1331</v>
      </c>
      <c r="G35" s="302">
        <f>IF($D35="A",ROUND(VLOOKUP($C35,'[2]2.행정구역별 급수인구'!$C$7:$AD$997,17,FALSE)*$E35,0),IF($D35="B",(ROUND(VLOOKUP($C35,'[2]2.행정구역별 급수인구'!$C$7:$AD$997,17,FALSE)-VLOOKUP($C35,'[2]2.행정구역별 급수인구'!$C$7:$AD$997,17,FALSE)*(1-$E35),0)),VLOOKUP($C35,'[2]2.행정구역별 급수인구'!$C$7:$AD$997,17,FALSE)))</f>
        <v>294</v>
      </c>
      <c r="H35" s="302">
        <f>IF($D35="A",ROUND(VLOOKUP($C35,'[2]2.행정구역별 급수인구'!$C$7:$AD$997,25,FALSE)*$E35,0),IF($D35="B",(ROUND(VLOOKUP($C35,'[2]2.행정구역별 급수인구'!$C$7:$AD$997,25,FALSE)-VLOOKUP($C35,'[2]2.행정구역별 급수인구'!$C$7:$AD$997,25,FALSE)*(1-$E35),0)),VLOOKUP($C35,'[2]2.행정구역별 급수인구'!$C$7:$AD$997,25,FALSE)))</f>
        <v>290</v>
      </c>
      <c r="I35" s="302">
        <f>IF($D35="A",ROUND(VLOOKUP($C35,'[2]2.행정구역별 급수인구'!$C$7:$AD$997,26,FALSE)*$E35,0),IF($D35="B",(ROUND(VLOOKUP($C35,'[2]2.행정구역별 급수인구'!$C$7:$AD$997,26,FALSE)-VLOOKUP($C35,'[2]2.행정구역별 급수인구'!$C$7:$AD$997,26,FALSE)*(1-$E35),0)),VLOOKUP($C35,'[2]2.행정구역별 급수인구'!$C$7:$AD$997,26,FALSE)))</f>
        <v>298</v>
      </c>
      <c r="J35" s="302">
        <f>IF($D35="A",ROUND(VLOOKUP($C35,'[2]2.행정구역별 급수인구'!$C$7:$AD$997,27,FALSE)*$E35,0),IF($D35="B",(ROUND(VLOOKUP($C35,'[2]2.행정구역별 급수인구'!$C$7:$AD$997,27,FALSE)-VLOOKUP($C35,'[2]2.행정구역별 급수인구'!$C$7:$AD$997,27,FALSE)*(1-$E35),0)),VLOOKUP($C35,'[2]2.행정구역별 급수인구'!$C$7:$AD$997,27,FALSE)))</f>
        <v>305</v>
      </c>
      <c r="K35" s="302">
        <f>IF($D35="A",ROUND(VLOOKUP($C35,'[2]2.행정구역별 급수인구'!$C$7:$AD$997,28,FALSE)*$E35,0),IF($D35="B",(ROUND(VLOOKUP($C35,'[2]2.행정구역별 급수인구'!$C$7:$AD$997,28,FALSE)-VLOOKUP($C35,'[2]2.행정구역별 급수인구'!$C$7:$AD$997,28,FALSE)*(1-$E35),0)),VLOOKUP($C35,'[2]2.행정구역별 급수인구'!$C$7:$AD$997,28,FALSE)))</f>
        <v>311</v>
      </c>
      <c r="L35" s="302">
        <f>VLOOKUP($F35,'[3]5.급수원단위'!$B$31:$G$35,2,FALSE)</f>
        <v>365</v>
      </c>
      <c r="M35" s="302">
        <f>VLOOKUP($F35,'[3]5.급수원단위'!$B$31:$G$35,3,FALSE)</f>
        <v>390</v>
      </c>
      <c r="N35" s="302">
        <f>VLOOKUP($F35,'[3]5.급수원단위'!$B$31:$G$35,4,FALSE)</f>
        <v>417</v>
      </c>
      <c r="O35" s="302">
        <f>VLOOKUP($F35,'[3]5.급수원단위'!$B$31:$G$35,5,FALSE)</f>
        <v>439</v>
      </c>
      <c r="P35" s="302">
        <f>VLOOKUP($F35,'[3]5.급수원단위'!$B$31:$G$35,6,FALSE)</f>
        <v>454</v>
      </c>
      <c r="Q35" s="302">
        <f>ROUND(IF(G35=0,0,VLOOKUP(C35,'2013실사용량 정리'!$D$6:$F$381,3,FALSE)),0)</f>
        <v>131</v>
      </c>
      <c r="R35" s="302">
        <f t="shared" si="8"/>
        <v>113</v>
      </c>
      <c r="S35" s="302">
        <f t="shared" si="8"/>
        <v>124</v>
      </c>
      <c r="T35" s="302">
        <f t="shared" si="8"/>
        <v>134</v>
      </c>
      <c r="U35" s="302">
        <f t="shared" si="8"/>
        <v>141</v>
      </c>
      <c r="W35" s="343">
        <f t="shared" si="7"/>
        <v>1.0763358778625953</v>
      </c>
    </row>
    <row r="36" spans="1:23" ht="20.100000000000001" customHeight="1">
      <c r="A36" s="340"/>
      <c r="B36" s="340"/>
      <c r="C36" s="406" t="s">
        <v>1348</v>
      </c>
      <c r="D36" s="330" t="s">
        <v>1808</v>
      </c>
      <c r="E36" s="527">
        <f>1-'2.생활용수(연무)'!E63</f>
        <v>1</v>
      </c>
      <c r="F36" s="527" t="s">
        <v>1331</v>
      </c>
      <c r="G36" s="302">
        <f>IF($D36="A",ROUND(VLOOKUP($C36,'[2]2.행정구역별 급수인구'!$C$7:$AD$997,17,FALSE)*$E36,0),IF($D36="B",(ROUND(VLOOKUP($C36,'[2]2.행정구역별 급수인구'!$C$7:$AD$997,17,FALSE)-VLOOKUP($C36,'[2]2.행정구역별 급수인구'!$C$7:$AD$997,17,FALSE)*(1-$E36),0)),VLOOKUP($C36,'[2]2.행정구역별 급수인구'!$C$7:$AD$997,17,FALSE)))</f>
        <v>222</v>
      </c>
      <c r="H36" s="302">
        <f>IF($D36="A",ROUND(VLOOKUP($C36,'[2]2.행정구역별 급수인구'!$C$7:$AD$997,25,FALSE)*$E36,0),IF($D36="B",(ROUND(VLOOKUP($C36,'[2]2.행정구역별 급수인구'!$C$7:$AD$997,25,FALSE)-VLOOKUP($C36,'[2]2.행정구역별 급수인구'!$C$7:$AD$997,25,FALSE)*(1-$E36),0)),VLOOKUP($C36,'[2]2.행정구역별 급수인구'!$C$7:$AD$997,25,FALSE)))</f>
        <v>219</v>
      </c>
      <c r="I36" s="302">
        <f>IF($D36="A",ROUND(VLOOKUP($C36,'[2]2.행정구역별 급수인구'!$C$7:$AD$997,26,FALSE)*$E36,0),IF($D36="B",(ROUND(VLOOKUP($C36,'[2]2.행정구역별 급수인구'!$C$7:$AD$997,26,FALSE)-VLOOKUP($C36,'[2]2.행정구역별 급수인구'!$C$7:$AD$997,26,FALSE)*(1-$E36),0)),VLOOKUP($C36,'[2]2.행정구역별 급수인구'!$C$7:$AD$997,26,FALSE)))</f>
        <v>227</v>
      </c>
      <c r="J36" s="302">
        <f>IF($D36="A",ROUND(VLOOKUP($C36,'[2]2.행정구역별 급수인구'!$C$7:$AD$997,27,FALSE)*$E36,0),IF($D36="B",(ROUND(VLOOKUP($C36,'[2]2.행정구역별 급수인구'!$C$7:$AD$997,27,FALSE)-VLOOKUP($C36,'[2]2.행정구역별 급수인구'!$C$7:$AD$997,27,FALSE)*(1-$E36),0)),VLOOKUP($C36,'[2]2.행정구역별 급수인구'!$C$7:$AD$997,27,FALSE)))</f>
        <v>232</v>
      </c>
      <c r="K36" s="302">
        <f>IF($D36="A",ROUND(VLOOKUP($C36,'[2]2.행정구역별 급수인구'!$C$7:$AD$997,28,FALSE)*$E36,0),IF($D36="B",(ROUND(VLOOKUP($C36,'[2]2.행정구역별 급수인구'!$C$7:$AD$997,28,FALSE)-VLOOKUP($C36,'[2]2.행정구역별 급수인구'!$C$7:$AD$997,28,FALSE)*(1-$E36),0)),VLOOKUP($C36,'[2]2.행정구역별 급수인구'!$C$7:$AD$997,28,FALSE)))</f>
        <v>236</v>
      </c>
      <c r="L36" s="302">
        <f>VLOOKUP($F36,'[3]5.급수원단위'!$B$31:$G$35,2,FALSE)</f>
        <v>365</v>
      </c>
      <c r="M36" s="302">
        <f>VLOOKUP($F36,'[3]5.급수원단위'!$B$31:$G$35,3,FALSE)</f>
        <v>390</v>
      </c>
      <c r="N36" s="302">
        <f>VLOOKUP($F36,'[3]5.급수원단위'!$B$31:$G$35,4,FALSE)</f>
        <v>417</v>
      </c>
      <c r="O36" s="302">
        <f>VLOOKUP($F36,'[3]5.급수원단위'!$B$31:$G$35,5,FALSE)</f>
        <v>439</v>
      </c>
      <c r="P36" s="302">
        <f>VLOOKUP($F36,'[3]5.급수원단위'!$B$31:$G$35,6,FALSE)</f>
        <v>454</v>
      </c>
      <c r="Q36" s="302">
        <f>ROUND(IF(G36=0,0,VLOOKUP(C36,'2013실사용량 정리'!$D$6:$F$381,3,FALSE)),0)</f>
        <v>99</v>
      </c>
      <c r="R36" s="302">
        <f t="shared" si="8"/>
        <v>85</v>
      </c>
      <c r="S36" s="302">
        <f t="shared" si="8"/>
        <v>95</v>
      </c>
      <c r="T36" s="302">
        <f t="shared" si="8"/>
        <v>102</v>
      </c>
      <c r="U36" s="302">
        <f t="shared" si="8"/>
        <v>107</v>
      </c>
      <c r="W36" s="343">
        <f t="shared" si="7"/>
        <v>1.0808080808080809</v>
      </c>
    </row>
    <row r="37" spans="1:23" ht="20.100000000000001" customHeight="1">
      <c r="A37" s="340"/>
      <c r="B37" s="340"/>
      <c r="C37" s="406" t="s">
        <v>1349</v>
      </c>
      <c r="D37" s="330" t="s">
        <v>1808</v>
      </c>
      <c r="E37" s="527">
        <f>1-'2.생활용수(연무)'!E64</f>
        <v>1</v>
      </c>
      <c r="F37" s="527" t="s">
        <v>1331</v>
      </c>
      <c r="G37" s="302">
        <f>IF($D37="A",ROUND(VLOOKUP($C37,'[2]2.행정구역별 급수인구'!$C$7:$AD$997,17,FALSE)*$E37,0),IF($D37="B",(ROUND(VLOOKUP($C37,'[2]2.행정구역별 급수인구'!$C$7:$AD$997,17,FALSE)-VLOOKUP($C37,'[2]2.행정구역별 급수인구'!$C$7:$AD$997,17,FALSE)*(1-$E37),0)),VLOOKUP($C37,'[2]2.행정구역별 급수인구'!$C$7:$AD$997,17,FALSE)))</f>
        <v>147</v>
      </c>
      <c r="H37" s="302">
        <f>IF($D37="A",ROUND(VLOOKUP($C37,'[2]2.행정구역별 급수인구'!$C$7:$AD$997,25,FALSE)*$E37,0),IF($D37="B",(ROUND(VLOOKUP($C37,'[2]2.행정구역별 급수인구'!$C$7:$AD$997,25,FALSE)-VLOOKUP($C37,'[2]2.행정구역별 급수인구'!$C$7:$AD$997,25,FALSE)*(1-$E37),0)),VLOOKUP($C37,'[2]2.행정구역별 급수인구'!$C$7:$AD$997,25,FALSE)))</f>
        <v>145</v>
      </c>
      <c r="I37" s="302">
        <f>IF($D37="A",ROUND(VLOOKUP($C37,'[2]2.행정구역별 급수인구'!$C$7:$AD$997,26,FALSE)*$E37,0),IF($D37="B",(ROUND(VLOOKUP($C37,'[2]2.행정구역별 급수인구'!$C$7:$AD$997,26,FALSE)-VLOOKUP($C37,'[2]2.행정구역별 급수인구'!$C$7:$AD$997,26,FALSE)*(1-$E37),0)),VLOOKUP($C37,'[2]2.행정구역별 급수인구'!$C$7:$AD$997,26,FALSE)))</f>
        <v>149</v>
      </c>
      <c r="J37" s="302">
        <f>IF($D37="A",ROUND(VLOOKUP($C37,'[2]2.행정구역별 급수인구'!$C$7:$AD$997,27,FALSE)*$E37,0),IF($D37="B",(ROUND(VLOOKUP($C37,'[2]2.행정구역별 급수인구'!$C$7:$AD$997,27,FALSE)-VLOOKUP($C37,'[2]2.행정구역별 급수인구'!$C$7:$AD$997,27,FALSE)*(1-$E37),0)),VLOOKUP($C37,'[2]2.행정구역별 급수인구'!$C$7:$AD$997,27,FALSE)))</f>
        <v>153</v>
      </c>
      <c r="K37" s="302">
        <f>IF($D37="A",ROUND(VLOOKUP($C37,'[2]2.행정구역별 급수인구'!$C$7:$AD$997,28,FALSE)*$E37,0),IF($D37="B",(ROUND(VLOOKUP($C37,'[2]2.행정구역별 급수인구'!$C$7:$AD$997,28,FALSE)-VLOOKUP($C37,'[2]2.행정구역별 급수인구'!$C$7:$AD$997,28,FALSE)*(1-$E37),0)),VLOOKUP($C37,'[2]2.행정구역별 급수인구'!$C$7:$AD$997,28,FALSE)))</f>
        <v>155</v>
      </c>
      <c r="L37" s="302">
        <f>VLOOKUP($F37,'[3]5.급수원단위'!$B$31:$G$35,2,FALSE)</f>
        <v>365</v>
      </c>
      <c r="M37" s="302">
        <f>VLOOKUP($F37,'[3]5.급수원단위'!$B$31:$G$35,3,FALSE)</f>
        <v>390</v>
      </c>
      <c r="N37" s="302">
        <f>VLOOKUP($F37,'[3]5.급수원단위'!$B$31:$G$35,4,FALSE)</f>
        <v>417</v>
      </c>
      <c r="O37" s="302">
        <f>VLOOKUP($F37,'[3]5.급수원단위'!$B$31:$G$35,5,FALSE)</f>
        <v>439</v>
      </c>
      <c r="P37" s="302">
        <f>VLOOKUP($F37,'[3]5.급수원단위'!$B$31:$G$35,6,FALSE)</f>
        <v>454</v>
      </c>
      <c r="Q37" s="302">
        <f>ROUND(IF(G37=0,0,VLOOKUP(C37,'2013실사용량 정리'!$D$6:$F$381,3,FALSE)),0)</f>
        <v>64</v>
      </c>
      <c r="R37" s="302">
        <f t="shared" si="8"/>
        <v>57</v>
      </c>
      <c r="S37" s="302">
        <f t="shared" si="8"/>
        <v>62</v>
      </c>
      <c r="T37" s="302">
        <f t="shared" si="8"/>
        <v>67</v>
      </c>
      <c r="U37" s="302">
        <f t="shared" si="8"/>
        <v>70</v>
      </c>
      <c r="W37" s="343">
        <f t="shared" si="7"/>
        <v>1.09375</v>
      </c>
    </row>
    <row r="38" spans="1:23" ht="20.100000000000001" customHeight="1">
      <c r="A38" s="340"/>
      <c r="B38" s="340"/>
      <c r="C38" s="406" t="s">
        <v>1350</v>
      </c>
      <c r="D38" s="330" t="s">
        <v>1808</v>
      </c>
      <c r="E38" s="527">
        <f>1-'2.생활용수(연무)'!E65</f>
        <v>1</v>
      </c>
      <c r="F38" s="527" t="s">
        <v>1331</v>
      </c>
      <c r="G38" s="302">
        <f>IF($D38="A",ROUND(VLOOKUP($C38,'[2]2.행정구역별 급수인구'!$C$7:$AD$997,17,FALSE)*$E38,0),IF($D38="B",(ROUND(VLOOKUP($C38,'[2]2.행정구역별 급수인구'!$C$7:$AD$997,17,FALSE)-VLOOKUP($C38,'[2]2.행정구역별 급수인구'!$C$7:$AD$997,17,FALSE)*(1-$E38),0)),VLOOKUP($C38,'[2]2.행정구역별 급수인구'!$C$7:$AD$997,17,FALSE)))</f>
        <v>0</v>
      </c>
      <c r="H38" s="302">
        <f>IF($D38="A",ROUND(VLOOKUP($C38,'[2]2.행정구역별 급수인구'!$C$7:$AD$997,25,FALSE)*$E38,0),IF($D38="B",(ROUND(VLOOKUP($C38,'[2]2.행정구역별 급수인구'!$C$7:$AD$997,25,FALSE)-VLOOKUP($C38,'[2]2.행정구역별 급수인구'!$C$7:$AD$997,25,FALSE)*(1-$E38),0)),VLOOKUP($C38,'[2]2.행정구역별 급수인구'!$C$7:$AD$997,25,FALSE)))</f>
        <v>109</v>
      </c>
      <c r="I38" s="302">
        <f>IF($D38="A",ROUND(VLOOKUP($C38,'[2]2.행정구역별 급수인구'!$C$7:$AD$997,26,FALSE)*$E38,0),IF($D38="B",(ROUND(VLOOKUP($C38,'[2]2.행정구역별 급수인구'!$C$7:$AD$997,26,FALSE)-VLOOKUP($C38,'[2]2.행정구역별 급수인구'!$C$7:$AD$997,26,FALSE)*(1-$E38),0)),VLOOKUP($C38,'[2]2.행정구역별 급수인구'!$C$7:$AD$997,26,FALSE)))</f>
        <v>113</v>
      </c>
      <c r="J38" s="302">
        <f>IF($D38="A",ROUND(VLOOKUP($C38,'[2]2.행정구역별 급수인구'!$C$7:$AD$997,27,FALSE)*$E38,0),IF($D38="B",(ROUND(VLOOKUP($C38,'[2]2.행정구역별 급수인구'!$C$7:$AD$997,27,FALSE)-VLOOKUP($C38,'[2]2.행정구역별 급수인구'!$C$7:$AD$997,27,FALSE)*(1-$E38),0)),VLOOKUP($C38,'[2]2.행정구역별 급수인구'!$C$7:$AD$997,27,FALSE)))</f>
        <v>116</v>
      </c>
      <c r="K38" s="302">
        <f>IF($D38="A",ROUND(VLOOKUP($C38,'[2]2.행정구역별 급수인구'!$C$7:$AD$997,28,FALSE)*$E38,0),IF($D38="B",(ROUND(VLOOKUP($C38,'[2]2.행정구역별 급수인구'!$C$7:$AD$997,28,FALSE)-VLOOKUP($C38,'[2]2.행정구역별 급수인구'!$C$7:$AD$997,28,FALSE)*(1-$E38),0)),VLOOKUP($C38,'[2]2.행정구역별 급수인구'!$C$7:$AD$997,28,FALSE)))</f>
        <v>118</v>
      </c>
      <c r="L38" s="302">
        <f>VLOOKUP($F38,'[3]5.급수원단위'!$B$31:$G$35,2,FALSE)</f>
        <v>365</v>
      </c>
      <c r="M38" s="302">
        <f>VLOOKUP($F38,'[3]5.급수원단위'!$B$31:$G$35,3,FALSE)</f>
        <v>390</v>
      </c>
      <c r="N38" s="302">
        <f>VLOOKUP($F38,'[3]5.급수원단위'!$B$31:$G$35,4,FALSE)</f>
        <v>417</v>
      </c>
      <c r="O38" s="302">
        <f>VLOOKUP($F38,'[3]5.급수원단위'!$B$31:$G$35,5,FALSE)</f>
        <v>439</v>
      </c>
      <c r="P38" s="302">
        <f>VLOOKUP($F38,'[3]5.급수원단위'!$B$31:$G$35,6,FALSE)</f>
        <v>454</v>
      </c>
      <c r="Q38" s="302">
        <f>ROUND(IF(G38=0,0,VLOOKUP(C38,'2013실사용량 정리'!$D$6:$F$381,3,FALSE)),0)</f>
        <v>0</v>
      </c>
      <c r="R38" s="302">
        <f t="shared" si="8"/>
        <v>43</v>
      </c>
      <c r="S38" s="302">
        <f t="shared" si="8"/>
        <v>47</v>
      </c>
      <c r="T38" s="302">
        <f t="shared" si="8"/>
        <v>51</v>
      </c>
      <c r="U38" s="302">
        <f t="shared" si="8"/>
        <v>54</v>
      </c>
      <c r="W38" s="343" t="str">
        <f t="shared" si="7"/>
        <v/>
      </c>
    </row>
    <row r="39" spans="1:23" ht="20.100000000000001" customHeight="1">
      <c r="A39" s="386"/>
      <c r="B39" s="386"/>
      <c r="C39" s="406" t="s">
        <v>1351</v>
      </c>
      <c r="D39" s="330" t="s">
        <v>1808</v>
      </c>
      <c r="E39" s="527">
        <f>1-'2.생활용수(연무)'!E66</f>
        <v>1</v>
      </c>
      <c r="F39" s="527" t="s">
        <v>1331</v>
      </c>
      <c r="G39" s="302">
        <f>IF($D39="A",ROUND(VLOOKUP($C39,'[2]2.행정구역별 급수인구'!$C$7:$AD$997,17,FALSE)*$E39,0),IF($D39="B",(ROUND(VLOOKUP($C39,'[2]2.행정구역별 급수인구'!$C$7:$AD$997,17,FALSE)-VLOOKUP($C39,'[2]2.행정구역별 급수인구'!$C$7:$AD$997,17,FALSE)*(1-$E39),0)),VLOOKUP($C39,'[2]2.행정구역별 급수인구'!$C$7:$AD$997,17,FALSE)))</f>
        <v>145</v>
      </c>
      <c r="H39" s="302">
        <f>IF($D39="A",ROUND(VLOOKUP($C39,'[2]2.행정구역별 급수인구'!$C$7:$AD$997,25,FALSE)*$E39,0),IF($D39="B",(ROUND(VLOOKUP($C39,'[2]2.행정구역별 급수인구'!$C$7:$AD$997,25,FALSE)-VLOOKUP($C39,'[2]2.행정구역별 급수인구'!$C$7:$AD$997,25,FALSE)*(1-$E39),0)),VLOOKUP($C39,'[2]2.행정구역별 급수인구'!$C$7:$AD$997,25,FALSE)))</f>
        <v>143</v>
      </c>
      <c r="I39" s="302">
        <f>IF($D39="A",ROUND(VLOOKUP($C39,'[2]2.행정구역별 급수인구'!$C$7:$AD$997,26,FALSE)*$E39,0),IF($D39="B",(ROUND(VLOOKUP($C39,'[2]2.행정구역별 급수인구'!$C$7:$AD$997,26,FALSE)-VLOOKUP($C39,'[2]2.행정구역별 급수인구'!$C$7:$AD$997,26,FALSE)*(1-$E39),0)),VLOOKUP($C39,'[2]2.행정구역별 급수인구'!$C$7:$AD$997,26,FALSE)))</f>
        <v>148</v>
      </c>
      <c r="J39" s="302">
        <f>IF($D39="A",ROUND(VLOOKUP($C39,'[2]2.행정구역별 급수인구'!$C$7:$AD$997,27,FALSE)*$E39,0),IF($D39="B",(ROUND(VLOOKUP($C39,'[2]2.행정구역별 급수인구'!$C$7:$AD$997,27,FALSE)-VLOOKUP($C39,'[2]2.행정구역별 급수인구'!$C$7:$AD$997,27,FALSE)*(1-$E39),0)),VLOOKUP($C39,'[2]2.행정구역별 급수인구'!$C$7:$AD$997,27,FALSE)))</f>
        <v>151</v>
      </c>
      <c r="K39" s="302">
        <f>IF($D39="A",ROUND(VLOOKUP($C39,'[2]2.행정구역별 급수인구'!$C$7:$AD$997,28,FALSE)*$E39,0),IF($D39="B",(ROUND(VLOOKUP($C39,'[2]2.행정구역별 급수인구'!$C$7:$AD$997,28,FALSE)-VLOOKUP($C39,'[2]2.행정구역별 급수인구'!$C$7:$AD$997,28,FALSE)*(1-$E39),0)),VLOOKUP($C39,'[2]2.행정구역별 급수인구'!$C$7:$AD$997,28,FALSE)))</f>
        <v>153</v>
      </c>
      <c r="L39" s="302">
        <f>VLOOKUP($F39,'[3]5.급수원단위'!$B$31:$G$35,2,FALSE)</f>
        <v>365</v>
      </c>
      <c r="M39" s="302">
        <f>VLOOKUP($F39,'[3]5.급수원단위'!$B$31:$G$35,3,FALSE)</f>
        <v>390</v>
      </c>
      <c r="N39" s="302">
        <f>VLOOKUP($F39,'[3]5.급수원단위'!$B$31:$G$35,4,FALSE)</f>
        <v>417</v>
      </c>
      <c r="O39" s="302">
        <f>VLOOKUP($F39,'[3]5.급수원단위'!$B$31:$G$35,5,FALSE)</f>
        <v>439</v>
      </c>
      <c r="P39" s="302">
        <f>VLOOKUP($F39,'[3]5.급수원단위'!$B$31:$G$35,6,FALSE)</f>
        <v>454</v>
      </c>
      <c r="Q39" s="302">
        <f>ROUND(IF(G39=0,0,VLOOKUP(C39,'2013실사용량 정리'!$D$6:$F$381,3,FALSE)),0)</f>
        <v>64</v>
      </c>
      <c r="R39" s="302">
        <f t="shared" si="8"/>
        <v>56</v>
      </c>
      <c r="S39" s="302">
        <f t="shared" si="8"/>
        <v>62</v>
      </c>
      <c r="T39" s="302">
        <f t="shared" si="8"/>
        <v>66</v>
      </c>
      <c r="U39" s="302">
        <f t="shared" si="8"/>
        <v>69</v>
      </c>
      <c r="W39" s="343">
        <f t="shared" si="7"/>
        <v>1.078125</v>
      </c>
    </row>
    <row r="40" spans="1:23" ht="20.100000000000001" customHeight="1">
      <c r="A40" s="339"/>
      <c r="B40" s="339"/>
      <c r="C40" s="406" t="s">
        <v>1352</v>
      </c>
      <c r="D40" s="330" t="s">
        <v>1808</v>
      </c>
      <c r="E40" s="527">
        <f>1-'2.생활용수(연무)'!E67</f>
        <v>1</v>
      </c>
      <c r="F40" s="527" t="s">
        <v>1331</v>
      </c>
      <c r="G40" s="302">
        <f>IF($D40="A",ROUND(VLOOKUP($C40,'[2]2.행정구역별 급수인구'!$C$7:$AD$997,17,FALSE)*$E40,0),IF($D40="B",(ROUND(VLOOKUP($C40,'[2]2.행정구역별 급수인구'!$C$7:$AD$997,17,FALSE)-VLOOKUP($C40,'[2]2.행정구역별 급수인구'!$C$7:$AD$997,17,FALSE)*(1-$E40),0)),VLOOKUP($C40,'[2]2.행정구역별 급수인구'!$C$7:$AD$997,17,FALSE)))</f>
        <v>0</v>
      </c>
      <c r="H40" s="302">
        <f>IF($D40="A",ROUND(VLOOKUP($C40,'[2]2.행정구역별 급수인구'!$C$7:$AD$997,25,FALSE)*$E40,0),IF($D40="B",(ROUND(VLOOKUP($C40,'[2]2.행정구역별 급수인구'!$C$7:$AD$997,25,FALSE)-VLOOKUP($C40,'[2]2.행정구역별 급수인구'!$C$7:$AD$997,25,FALSE)*(1-$E40),0)),VLOOKUP($C40,'[2]2.행정구역별 급수인구'!$C$7:$AD$997,25,FALSE)))</f>
        <v>163</v>
      </c>
      <c r="I40" s="302">
        <f>IF($D40="A",ROUND(VLOOKUP($C40,'[2]2.행정구역별 급수인구'!$C$7:$AD$997,26,FALSE)*$E40,0),IF($D40="B",(ROUND(VLOOKUP($C40,'[2]2.행정구역별 급수인구'!$C$7:$AD$997,26,FALSE)-VLOOKUP($C40,'[2]2.행정구역별 급수인구'!$C$7:$AD$997,26,FALSE)*(1-$E40),0)),VLOOKUP($C40,'[2]2.행정구역별 급수인구'!$C$7:$AD$997,26,FALSE)))</f>
        <v>168</v>
      </c>
      <c r="J40" s="302">
        <f>IF($D40="A",ROUND(VLOOKUP($C40,'[2]2.행정구역별 급수인구'!$C$7:$AD$997,27,FALSE)*$E40,0),IF($D40="B",(ROUND(VLOOKUP($C40,'[2]2.행정구역별 급수인구'!$C$7:$AD$997,27,FALSE)-VLOOKUP($C40,'[2]2.행정구역별 급수인구'!$C$7:$AD$997,27,FALSE)*(1-$E40),0)),VLOOKUP($C40,'[2]2.행정구역별 급수인구'!$C$7:$AD$997,27,FALSE)))</f>
        <v>172</v>
      </c>
      <c r="K40" s="302">
        <f>IF($D40="A",ROUND(VLOOKUP($C40,'[2]2.행정구역별 급수인구'!$C$7:$AD$997,28,FALSE)*$E40,0),IF($D40="B",(ROUND(VLOOKUP($C40,'[2]2.행정구역별 급수인구'!$C$7:$AD$997,28,FALSE)-VLOOKUP($C40,'[2]2.행정구역별 급수인구'!$C$7:$AD$997,28,FALSE)*(1-$E40),0)),VLOOKUP($C40,'[2]2.행정구역별 급수인구'!$C$7:$AD$997,28,FALSE)))</f>
        <v>175</v>
      </c>
      <c r="L40" s="302">
        <f>VLOOKUP($F40,'[3]5.급수원단위'!$B$31:$G$35,2,FALSE)</f>
        <v>365</v>
      </c>
      <c r="M40" s="302">
        <f>VLOOKUP($F40,'[3]5.급수원단위'!$B$31:$G$35,3,FALSE)</f>
        <v>390</v>
      </c>
      <c r="N40" s="302">
        <f>VLOOKUP($F40,'[3]5.급수원단위'!$B$31:$G$35,4,FALSE)</f>
        <v>417</v>
      </c>
      <c r="O40" s="302">
        <f>VLOOKUP($F40,'[3]5.급수원단위'!$B$31:$G$35,5,FALSE)</f>
        <v>439</v>
      </c>
      <c r="P40" s="302">
        <f>VLOOKUP($F40,'[3]5.급수원단위'!$B$31:$G$35,6,FALSE)</f>
        <v>454</v>
      </c>
      <c r="Q40" s="302">
        <f>ROUND(IF(G40=0,0,VLOOKUP(C40,'2013실사용량 정리'!$D$6:$F$381,3,FALSE)),0)</f>
        <v>0</v>
      </c>
      <c r="R40" s="302">
        <f t="shared" si="8"/>
        <v>64</v>
      </c>
      <c r="S40" s="302">
        <f t="shared" si="8"/>
        <v>70</v>
      </c>
      <c r="T40" s="302">
        <f t="shared" si="8"/>
        <v>76</v>
      </c>
      <c r="U40" s="302">
        <f t="shared" si="8"/>
        <v>79</v>
      </c>
      <c r="W40" s="343" t="str">
        <f t="shared" si="7"/>
        <v/>
      </c>
    </row>
    <row r="41" spans="1:23" ht="20.100000000000001" customHeight="1">
      <c r="A41" s="340"/>
      <c r="B41" s="340"/>
      <c r="C41" s="406" t="s">
        <v>1353</v>
      </c>
      <c r="D41" s="330" t="s">
        <v>1808</v>
      </c>
      <c r="E41" s="527">
        <f>1-'2.생활용수(연무)'!E68</f>
        <v>1</v>
      </c>
      <c r="F41" s="527" t="s">
        <v>1331</v>
      </c>
      <c r="G41" s="302">
        <f>IF($D41="A",ROUND(VLOOKUP($C41,'[2]2.행정구역별 급수인구'!$C$7:$AD$997,17,FALSE)*$E41,0),IF($D41="B",(ROUND(VLOOKUP($C41,'[2]2.행정구역별 급수인구'!$C$7:$AD$997,17,FALSE)-VLOOKUP($C41,'[2]2.행정구역별 급수인구'!$C$7:$AD$997,17,FALSE)*(1-$E41),0)),VLOOKUP($C41,'[2]2.행정구역별 급수인구'!$C$7:$AD$997,17,FALSE)))</f>
        <v>138</v>
      </c>
      <c r="H41" s="302">
        <f>IF($D41="A",ROUND(VLOOKUP($C41,'[2]2.행정구역별 급수인구'!$C$7:$AD$997,25,FALSE)*$E41,0),IF($D41="B",(ROUND(VLOOKUP($C41,'[2]2.행정구역별 급수인구'!$C$7:$AD$997,25,FALSE)-VLOOKUP($C41,'[2]2.행정구역별 급수인구'!$C$7:$AD$997,25,FALSE)*(1-$E41),0)),VLOOKUP($C41,'[2]2.행정구역별 급수인구'!$C$7:$AD$997,25,FALSE)))</f>
        <v>136</v>
      </c>
      <c r="I41" s="302">
        <f>IF($D41="A",ROUND(VLOOKUP($C41,'[2]2.행정구역별 급수인구'!$C$7:$AD$997,26,FALSE)*$E41,0),IF($D41="B",(ROUND(VLOOKUP($C41,'[2]2.행정구역별 급수인구'!$C$7:$AD$997,26,FALSE)-VLOOKUP($C41,'[2]2.행정구역별 급수인구'!$C$7:$AD$997,26,FALSE)*(1-$E41),0)),VLOOKUP($C41,'[2]2.행정구역별 급수인구'!$C$7:$AD$997,26,FALSE)))</f>
        <v>141</v>
      </c>
      <c r="J41" s="302">
        <f>IF($D41="A",ROUND(VLOOKUP($C41,'[2]2.행정구역별 급수인구'!$C$7:$AD$997,27,FALSE)*$E41,0),IF($D41="B",(ROUND(VLOOKUP($C41,'[2]2.행정구역별 급수인구'!$C$7:$AD$997,27,FALSE)-VLOOKUP($C41,'[2]2.행정구역별 급수인구'!$C$7:$AD$997,27,FALSE)*(1-$E41),0)),VLOOKUP($C41,'[2]2.행정구역별 급수인구'!$C$7:$AD$997,27,FALSE)))</f>
        <v>144</v>
      </c>
      <c r="K41" s="302">
        <f>IF($D41="A",ROUND(VLOOKUP($C41,'[2]2.행정구역별 급수인구'!$C$7:$AD$997,28,FALSE)*$E41,0),IF($D41="B",(ROUND(VLOOKUP($C41,'[2]2.행정구역별 급수인구'!$C$7:$AD$997,28,FALSE)-VLOOKUP($C41,'[2]2.행정구역별 급수인구'!$C$7:$AD$997,28,FALSE)*(1-$E41),0)),VLOOKUP($C41,'[2]2.행정구역별 급수인구'!$C$7:$AD$997,28,FALSE)))</f>
        <v>146</v>
      </c>
      <c r="L41" s="302">
        <f>VLOOKUP($F41,'[3]5.급수원단위'!$B$31:$G$35,2,FALSE)</f>
        <v>365</v>
      </c>
      <c r="M41" s="302">
        <f>VLOOKUP($F41,'[3]5.급수원단위'!$B$31:$G$35,3,FALSE)</f>
        <v>390</v>
      </c>
      <c r="N41" s="302">
        <f>VLOOKUP($F41,'[3]5.급수원단위'!$B$31:$G$35,4,FALSE)</f>
        <v>417</v>
      </c>
      <c r="O41" s="302">
        <f>VLOOKUP($F41,'[3]5.급수원단위'!$B$31:$G$35,5,FALSE)</f>
        <v>439</v>
      </c>
      <c r="P41" s="302">
        <f>VLOOKUP($F41,'[3]5.급수원단위'!$B$31:$G$35,6,FALSE)</f>
        <v>454</v>
      </c>
      <c r="Q41" s="302">
        <f>ROUND(IF(G41=0,0,VLOOKUP(C41,'2013실사용량 정리'!$D$6:$F$381,3,FALSE)),0)</f>
        <v>30</v>
      </c>
      <c r="R41" s="302">
        <f t="shared" si="8"/>
        <v>53</v>
      </c>
      <c r="S41" s="302">
        <f t="shared" si="8"/>
        <v>59</v>
      </c>
      <c r="T41" s="302">
        <f t="shared" si="8"/>
        <v>63</v>
      </c>
      <c r="U41" s="302">
        <f t="shared" si="8"/>
        <v>66</v>
      </c>
      <c r="W41" s="343">
        <f t="shared" si="7"/>
        <v>2.2000000000000002</v>
      </c>
    </row>
    <row r="42" spans="1:23" ht="20.100000000000001" customHeight="1">
      <c r="A42" s="340"/>
      <c r="B42" s="340"/>
      <c r="C42" s="406" t="s">
        <v>1354</v>
      </c>
      <c r="D42" s="330" t="s">
        <v>1808</v>
      </c>
      <c r="E42" s="527">
        <f>1-'2.생활용수(연무)'!E69</f>
        <v>1</v>
      </c>
      <c r="F42" s="527" t="s">
        <v>1331</v>
      </c>
      <c r="G42" s="302">
        <f>IF($D42="A",ROUND(VLOOKUP($C42,'[2]2.행정구역별 급수인구'!$C$7:$AD$997,17,FALSE)*$E42,0),IF($D42="B",(ROUND(VLOOKUP($C42,'[2]2.행정구역별 급수인구'!$C$7:$AD$997,17,FALSE)-VLOOKUP($C42,'[2]2.행정구역별 급수인구'!$C$7:$AD$997,17,FALSE)*(1-$E42),0)),VLOOKUP($C42,'[2]2.행정구역별 급수인구'!$C$7:$AD$997,17,FALSE)))</f>
        <v>286</v>
      </c>
      <c r="H42" s="302">
        <f>IF($D42="A",ROUND(VLOOKUP($C42,'[2]2.행정구역별 급수인구'!$C$7:$AD$997,25,FALSE)*$E42,0),IF($D42="B",(ROUND(VLOOKUP($C42,'[2]2.행정구역별 급수인구'!$C$7:$AD$997,25,FALSE)-VLOOKUP($C42,'[2]2.행정구역별 급수인구'!$C$7:$AD$997,25,FALSE)*(1-$E42),0)),VLOOKUP($C42,'[2]2.행정구역별 급수인구'!$C$7:$AD$997,25,FALSE)))</f>
        <v>282</v>
      </c>
      <c r="I42" s="302">
        <f>IF($D42="A",ROUND(VLOOKUP($C42,'[2]2.행정구역별 급수인구'!$C$7:$AD$997,26,FALSE)*$E42,0),IF($D42="B",(ROUND(VLOOKUP($C42,'[2]2.행정구역별 급수인구'!$C$7:$AD$997,26,FALSE)-VLOOKUP($C42,'[2]2.행정구역별 급수인구'!$C$7:$AD$997,26,FALSE)*(1-$E42),0)),VLOOKUP($C42,'[2]2.행정구역별 급수인구'!$C$7:$AD$997,26,FALSE)))</f>
        <v>281</v>
      </c>
      <c r="J42" s="302">
        <f>IF($D42="A",ROUND(VLOOKUP($C42,'[2]2.행정구역별 급수인구'!$C$7:$AD$997,27,FALSE)*$E42,0),IF($D42="B",(ROUND(VLOOKUP($C42,'[2]2.행정구역별 급수인구'!$C$7:$AD$997,27,FALSE)-VLOOKUP($C42,'[2]2.행정구역별 급수인구'!$C$7:$AD$997,27,FALSE)*(1-$E42),0)),VLOOKUP($C42,'[2]2.행정구역별 급수인구'!$C$7:$AD$997,27,FALSE)))</f>
        <v>288</v>
      </c>
      <c r="K42" s="302">
        <f>IF($D42="A",ROUND(VLOOKUP($C42,'[2]2.행정구역별 급수인구'!$C$7:$AD$997,28,FALSE)*$E42,0),IF($D42="B",(ROUND(VLOOKUP($C42,'[2]2.행정구역별 급수인구'!$C$7:$AD$997,28,FALSE)-VLOOKUP($C42,'[2]2.행정구역별 급수인구'!$C$7:$AD$997,28,FALSE)*(1-$E42),0)),VLOOKUP($C42,'[2]2.행정구역별 급수인구'!$C$7:$AD$997,28,FALSE)))</f>
        <v>294</v>
      </c>
      <c r="L42" s="302">
        <f>VLOOKUP($F42,'[3]5.급수원단위'!$B$31:$G$35,2,FALSE)</f>
        <v>365</v>
      </c>
      <c r="M42" s="302">
        <f>VLOOKUP($F42,'[3]5.급수원단위'!$B$31:$G$35,3,FALSE)</f>
        <v>390</v>
      </c>
      <c r="N42" s="302">
        <f>VLOOKUP($F42,'[3]5.급수원단위'!$B$31:$G$35,4,FALSE)</f>
        <v>417</v>
      </c>
      <c r="O42" s="302">
        <f>VLOOKUP($F42,'[3]5.급수원단위'!$B$31:$G$35,5,FALSE)</f>
        <v>439</v>
      </c>
      <c r="P42" s="302">
        <f>VLOOKUP($F42,'[3]5.급수원단위'!$B$31:$G$35,6,FALSE)</f>
        <v>454</v>
      </c>
      <c r="Q42" s="302">
        <f>ROUND(IF(G42=0,0,VLOOKUP(C42,'2013실사용량 정리'!$D$6:$F$381,3,FALSE)),0)</f>
        <v>62</v>
      </c>
      <c r="R42" s="302">
        <f t="shared" si="8"/>
        <v>110</v>
      </c>
      <c r="S42" s="302">
        <f t="shared" si="8"/>
        <v>117</v>
      </c>
      <c r="T42" s="302">
        <f t="shared" si="8"/>
        <v>126</v>
      </c>
      <c r="U42" s="302">
        <f t="shared" si="8"/>
        <v>133</v>
      </c>
      <c r="W42" s="343">
        <f t="shared" si="7"/>
        <v>2.1451612903225805</v>
      </c>
    </row>
    <row r="43" spans="1:23" ht="20.100000000000001" customHeight="1">
      <c r="A43" s="340"/>
      <c r="B43" s="340"/>
      <c r="C43" s="406" t="s">
        <v>1355</v>
      </c>
      <c r="D43" s="330" t="s">
        <v>1808</v>
      </c>
      <c r="E43" s="527">
        <f>1-'2.생활용수(연무)'!E70</f>
        <v>1</v>
      </c>
      <c r="F43" s="527" t="s">
        <v>1331</v>
      </c>
      <c r="G43" s="302">
        <f>IF($D43="A",ROUND(VLOOKUP($C43,'[2]2.행정구역별 급수인구'!$C$7:$AD$997,17,FALSE)*$E43,0),IF($D43="B",(ROUND(VLOOKUP($C43,'[2]2.행정구역별 급수인구'!$C$7:$AD$997,17,FALSE)-VLOOKUP($C43,'[2]2.행정구역별 급수인구'!$C$7:$AD$997,17,FALSE)*(1-$E43),0)),VLOOKUP($C43,'[2]2.행정구역별 급수인구'!$C$7:$AD$997,17,FALSE)))</f>
        <v>116</v>
      </c>
      <c r="H43" s="302">
        <f>IF($D43="A",ROUND(VLOOKUP($C43,'[2]2.행정구역별 급수인구'!$C$7:$AD$997,25,FALSE)*$E43,0),IF($D43="B",(ROUND(VLOOKUP($C43,'[2]2.행정구역별 급수인구'!$C$7:$AD$997,25,FALSE)-VLOOKUP($C43,'[2]2.행정구역별 급수인구'!$C$7:$AD$997,25,FALSE)*(1-$E43),0)),VLOOKUP($C43,'[2]2.행정구역별 급수인구'!$C$7:$AD$997,25,FALSE)))</f>
        <v>114</v>
      </c>
      <c r="I43" s="302">
        <f>IF($D43="A",ROUND(VLOOKUP($C43,'[2]2.행정구역별 급수인구'!$C$7:$AD$997,26,FALSE)*$E43,0),IF($D43="B",(ROUND(VLOOKUP($C43,'[2]2.행정구역별 급수인구'!$C$7:$AD$997,26,FALSE)-VLOOKUP($C43,'[2]2.행정구역별 급수인구'!$C$7:$AD$997,26,FALSE)*(1-$E43),0)),VLOOKUP($C43,'[2]2.행정구역별 급수인구'!$C$7:$AD$997,26,FALSE)))</f>
        <v>118</v>
      </c>
      <c r="J43" s="302">
        <f>IF($D43="A",ROUND(VLOOKUP($C43,'[2]2.행정구역별 급수인구'!$C$7:$AD$997,27,FALSE)*$E43,0),IF($D43="B",(ROUND(VLOOKUP($C43,'[2]2.행정구역별 급수인구'!$C$7:$AD$997,27,FALSE)-VLOOKUP($C43,'[2]2.행정구역별 급수인구'!$C$7:$AD$997,27,FALSE)*(1-$E43),0)),VLOOKUP($C43,'[2]2.행정구역별 급수인구'!$C$7:$AD$997,27,FALSE)))</f>
        <v>121</v>
      </c>
      <c r="K43" s="302">
        <f>IF($D43="A",ROUND(VLOOKUP($C43,'[2]2.행정구역별 급수인구'!$C$7:$AD$997,28,FALSE)*$E43,0),IF($D43="B",(ROUND(VLOOKUP($C43,'[2]2.행정구역별 급수인구'!$C$7:$AD$997,28,FALSE)-VLOOKUP($C43,'[2]2.행정구역별 급수인구'!$C$7:$AD$997,28,FALSE)*(1-$E43),0)),VLOOKUP($C43,'[2]2.행정구역별 급수인구'!$C$7:$AD$997,28,FALSE)))</f>
        <v>123</v>
      </c>
      <c r="L43" s="302">
        <f>VLOOKUP($F43,'[3]5.급수원단위'!$B$31:$G$35,2,FALSE)</f>
        <v>365</v>
      </c>
      <c r="M43" s="302">
        <f>VLOOKUP($F43,'[3]5.급수원단위'!$B$31:$G$35,3,FALSE)</f>
        <v>390</v>
      </c>
      <c r="N43" s="302">
        <f>VLOOKUP($F43,'[3]5.급수원단위'!$B$31:$G$35,4,FALSE)</f>
        <v>417</v>
      </c>
      <c r="O43" s="302">
        <f>VLOOKUP($F43,'[3]5.급수원단위'!$B$31:$G$35,5,FALSE)</f>
        <v>439</v>
      </c>
      <c r="P43" s="302">
        <f>VLOOKUP($F43,'[3]5.급수원단위'!$B$31:$G$35,6,FALSE)</f>
        <v>454</v>
      </c>
      <c r="Q43" s="302">
        <f>ROUND(IF(G43=0,0,VLOOKUP(C43,'2013실사용량 정리'!$D$6:$F$381,3,FALSE)),0)</f>
        <v>25</v>
      </c>
      <c r="R43" s="302">
        <f t="shared" si="8"/>
        <v>44</v>
      </c>
      <c r="S43" s="302">
        <f t="shared" si="8"/>
        <v>49</v>
      </c>
      <c r="T43" s="302">
        <f t="shared" si="8"/>
        <v>53</v>
      </c>
      <c r="U43" s="302">
        <f t="shared" si="8"/>
        <v>56</v>
      </c>
      <c r="W43" s="343">
        <f t="shared" si="7"/>
        <v>2.2400000000000002</v>
      </c>
    </row>
    <row r="44" spans="1:23" ht="20.100000000000001" customHeight="1">
      <c r="A44" s="340"/>
      <c r="B44" s="340"/>
      <c r="C44" s="406" t="s">
        <v>1356</v>
      </c>
      <c r="D44" s="330" t="s">
        <v>1808</v>
      </c>
      <c r="E44" s="527">
        <f>1-'2.생활용수(연무)'!E71</f>
        <v>1</v>
      </c>
      <c r="F44" s="527" t="s">
        <v>1331</v>
      </c>
      <c r="G44" s="302">
        <f>IF($D44="A",ROUND(VLOOKUP($C44,'[2]2.행정구역별 급수인구'!$C$7:$AD$997,17,FALSE)*$E44,0),IF($D44="B",(ROUND(VLOOKUP($C44,'[2]2.행정구역별 급수인구'!$C$7:$AD$997,17,FALSE)-VLOOKUP($C44,'[2]2.행정구역별 급수인구'!$C$7:$AD$997,17,FALSE)*(1-$E44),0)),VLOOKUP($C44,'[2]2.행정구역별 급수인구'!$C$7:$AD$997,17,FALSE)))</f>
        <v>264</v>
      </c>
      <c r="H44" s="302">
        <f>IF($D44="A",ROUND(VLOOKUP($C44,'[2]2.행정구역별 급수인구'!$C$7:$AD$997,25,FALSE)*$E44,0),IF($D44="B",(ROUND(VLOOKUP($C44,'[2]2.행정구역별 급수인구'!$C$7:$AD$997,25,FALSE)-VLOOKUP($C44,'[2]2.행정구역별 급수인구'!$C$7:$AD$997,25,FALSE)*(1-$E44),0)),VLOOKUP($C44,'[2]2.행정구역별 급수인구'!$C$7:$AD$997,25,FALSE)))</f>
        <v>295</v>
      </c>
      <c r="I44" s="302">
        <f>IF($D44="A",ROUND(VLOOKUP($C44,'[2]2.행정구역별 급수인구'!$C$7:$AD$997,26,FALSE)*$E44,0),IF($D44="B",(ROUND(VLOOKUP($C44,'[2]2.행정구역별 급수인구'!$C$7:$AD$997,26,FALSE)-VLOOKUP($C44,'[2]2.행정구역별 급수인구'!$C$7:$AD$997,26,FALSE)*(1-$E44),0)),VLOOKUP($C44,'[2]2.행정구역별 급수인구'!$C$7:$AD$997,26,FALSE)))</f>
        <v>305</v>
      </c>
      <c r="J44" s="302">
        <f>IF($D44="A",ROUND(VLOOKUP($C44,'[2]2.행정구역별 급수인구'!$C$7:$AD$997,27,FALSE)*$E44,0),IF($D44="B",(ROUND(VLOOKUP($C44,'[2]2.행정구역별 급수인구'!$C$7:$AD$997,27,FALSE)-VLOOKUP($C44,'[2]2.행정구역별 급수인구'!$C$7:$AD$997,27,FALSE)*(1-$E44),0)),VLOOKUP($C44,'[2]2.행정구역별 급수인구'!$C$7:$AD$997,27,FALSE)))</f>
        <v>313</v>
      </c>
      <c r="K44" s="302">
        <f>IF($D44="A",ROUND(VLOOKUP($C44,'[2]2.행정구역별 급수인구'!$C$7:$AD$997,28,FALSE)*$E44,0),IF($D44="B",(ROUND(VLOOKUP($C44,'[2]2.행정구역별 급수인구'!$C$7:$AD$997,28,FALSE)-VLOOKUP($C44,'[2]2.행정구역별 급수인구'!$C$7:$AD$997,28,FALSE)*(1-$E44),0)),VLOOKUP($C44,'[2]2.행정구역별 급수인구'!$C$7:$AD$997,28,FALSE)))</f>
        <v>319</v>
      </c>
      <c r="L44" s="302">
        <f>VLOOKUP($F44,'[3]5.급수원단위'!$B$31:$G$35,2,FALSE)</f>
        <v>365</v>
      </c>
      <c r="M44" s="302">
        <f>VLOOKUP($F44,'[3]5.급수원단위'!$B$31:$G$35,3,FALSE)</f>
        <v>390</v>
      </c>
      <c r="N44" s="302">
        <f>VLOOKUP($F44,'[3]5.급수원단위'!$B$31:$G$35,4,FALSE)</f>
        <v>417</v>
      </c>
      <c r="O44" s="302">
        <f>VLOOKUP($F44,'[3]5.급수원단위'!$B$31:$G$35,5,FALSE)</f>
        <v>439</v>
      </c>
      <c r="P44" s="302">
        <f>VLOOKUP($F44,'[3]5.급수원단위'!$B$31:$G$35,6,FALSE)</f>
        <v>454</v>
      </c>
      <c r="Q44" s="302">
        <f>ROUND(IF(G44=0,0,VLOOKUP(C44,'2013실사용량 정리'!$D$6:$F$381,3,FALSE)),0)</f>
        <v>35</v>
      </c>
      <c r="R44" s="302">
        <f t="shared" si="8"/>
        <v>115</v>
      </c>
      <c r="S44" s="302">
        <f t="shared" si="8"/>
        <v>127</v>
      </c>
      <c r="T44" s="302">
        <f t="shared" si="8"/>
        <v>137</v>
      </c>
      <c r="U44" s="302">
        <f t="shared" si="8"/>
        <v>145</v>
      </c>
      <c r="W44" s="343">
        <f t="shared" si="7"/>
        <v>4.1428571428571432</v>
      </c>
    </row>
    <row r="45" spans="1:23" ht="20.100000000000001" customHeight="1">
      <c r="A45" s="340"/>
      <c r="B45" s="340"/>
      <c r="C45" s="406" t="s">
        <v>1357</v>
      </c>
      <c r="D45" s="330" t="s">
        <v>1808</v>
      </c>
      <c r="E45" s="527">
        <f>1-'2.생활용수(연무)'!E72</f>
        <v>1</v>
      </c>
      <c r="F45" s="527" t="s">
        <v>1331</v>
      </c>
      <c r="G45" s="302">
        <f>IF($D45="A",ROUND(VLOOKUP($C45,'[2]2.행정구역별 급수인구'!$C$7:$AD$997,17,FALSE)*$E45,0),IF($D45="B",(ROUND(VLOOKUP($C45,'[2]2.행정구역별 급수인구'!$C$7:$AD$997,17,FALSE)-VLOOKUP($C45,'[2]2.행정구역별 급수인구'!$C$7:$AD$997,17,FALSE)*(1-$E45),0)),VLOOKUP($C45,'[2]2.행정구역별 급수인구'!$C$7:$AD$997,17,FALSE)))</f>
        <v>239</v>
      </c>
      <c r="H45" s="302">
        <f>IF($D45="A",ROUND(VLOOKUP($C45,'[2]2.행정구역별 급수인구'!$C$7:$AD$997,25,FALSE)*$E45,0),IF($D45="B",(ROUND(VLOOKUP($C45,'[2]2.행정구역별 급수인구'!$C$7:$AD$997,25,FALSE)-VLOOKUP($C45,'[2]2.행정구역별 급수인구'!$C$7:$AD$997,25,FALSE)*(1-$E45),0)),VLOOKUP($C45,'[2]2.행정구역별 급수인구'!$C$7:$AD$997,25,FALSE)))</f>
        <v>236</v>
      </c>
      <c r="I45" s="302">
        <f>IF($D45="A",ROUND(VLOOKUP($C45,'[2]2.행정구역별 급수인구'!$C$7:$AD$997,26,FALSE)*$E45,0),IF($D45="B",(ROUND(VLOOKUP($C45,'[2]2.행정구역별 급수인구'!$C$7:$AD$997,26,FALSE)-VLOOKUP($C45,'[2]2.행정구역별 급수인구'!$C$7:$AD$997,26,FALSE)*(1-$E45),0)),VLOOKUP($C45,'[2]2.행정구역별 급수인구'!$C$7:$AD$997,26,FALSE)))</f>
        <v>242</v>
      </c>
      <c r="J45" s="302">
        <f>IF($D45="A",ROUND(VLOOKUP($C45,'[2]2.행정구역별 급수인구'!$C$7:$AD$997,27,FALSE)*$E45,0),IF($D45="B",(ROUND(VLOOKUP($C45,'[2]2.행정구역별 급수인구'!$C$7:$AD$997,27,FALSE)-VLOOKUP($C45,'[2]2.행정구역별 급수인구'!$C$7:$AD$997,27,FALSE)*(1-$E45),0)),VLOOKUP($C45,'[2]2.행정구역별 급수인구'!$C$7:$AD$997,27,FALSE)))</f>
        <v>248</v>
      </c>
      <c r="K45" s="302">
        <f>IF($D45="A",ROUND(VLOOKUP($C45,'[2]2.행정구역별 급수인구'!$C$7:$AD$997,28,FALSE)*$E45,0),IF($D45="B",(ROUND(VLOOKUP($C45,'[2]2.행정구역별 급수인구'!$C$7:$AD$997,28,FALSE)-VLOOKUP($C45,'[2]2.행정구역별 급수인구'!$C$7:$AD$997,28,FALSE)*(1-$E45),0)),VLOOKUP($C45,'[2]2.행정구역별 급수인구'!$C$7:$AD$997,28,FALSE)))</f>
        <v>253</v>
      </c>
      <c r="L45" s="302">
        <f>VLOOKUP($F45,'[3]5.급수원단위'!$B$31:$G$35,2,FALSE)</f>
        <v>365</v>
      </c>
      <c r="M45" s="302">
        <f>VLOOKUP($F45,'[3]5.급수원단위'!$B$31:$G$35,3,FALSE)</f>
        <v>390</v>
      </c>
      <c r="N45" s="302">
        <f>VLOOKUP($F45,'[3]5.급수원단위'!$B$31:$G$35,4,FALSE)</f>
        <v>417</v>
      </c>
      <c r="O45" s="302">
        <f>VLOOKUP($F45,'[3]5.급수원단위'!$B$31:$G$35,5,FALSE)</f>
        <v>439</v>
      </c>
      <c r="P45" s="302">
        <f>VLOOKUP($F45,'[3]5.급수원단위'!$B$31:$G$35,6,FALSE)</f>
        <v>454</v>
      </c>
      <c r="Q45" s="302">
        <f>ROUND(IF(G45=0,0,VLOOKUP(C45,'2013실사용량 정리'!$D$6:$F$381,3,FALSE)),0)</f>
        <v>73</v>
      </c>
      <c r="R45" s="302">
        <f t="shared" si="8"/>
        <v>92</v>
      </c>
      <c r="S45" s="302">
        <f t="shared" si="8"/>
        <v>101</v>
      </c>
      <c r="T45" s="302">
        <f t="shared" si="8"/>
        <v>109</v>
      </c>
      <c r="U45" s="302">
        <f t="shared" si="8"/>
        <v>115</v>
      </c>
      <c r="W45" s="343">
        <f t="shared" si="7"/>
        <v>1.5753424657534247</v>
      </c>
    </row>
    <row r="46" spans="1:23" ht="20.100000000000001" customHeight="1">
      <c r="A46" s="340"/>
      <c r="B46" s="340"/>
      <c r="C46" s="406" t="s">
        <v>1358</v>
      </c>
      <c r="D46" s="330" t="s">
        <v>1808</v>
      </c>
      <c r="E46" s="527">
        <f>1-'2.생활용수(연무)'!E73</f>
        <v>1</v>
      </c>
      <c r="F46" s="527" t="s">
        <v>1331</v>
      </c>
      <c r="G46" s="302">
        <f>IF($D46="A",ROUND(VLOOKUP($C46,'[2]2.행정구역별 급수인구'!$C$7:$AD$997,17,FALSE)*$E46,0),IF($D46="B",(ROUND(VLOOKUP($C46,'[2]2.행정구역별 급수인구'!$C$7:$AD$997,17,FALSE)-VLOOKUP($C46,'[2]2.행정구역별 급수인구'!$C$7:$AD$997,17,FALSE)*(1-$E46),0)),VLOOKUP($C46,'[2]2.행정구역별 급수인구'!$C$7:$AD$997,17,FALSE)))</f>
        <v>0</v>
      </c>
      <c r="H46" s="302">
        <f>IF($D46="A",ROUND(VLOOKUP($C46,'[2]2.행정구역별 급수인구'!$C$7:$AD$997,25,FALSE)*$E46,0),IF($D46="B",(ROUND(VLOOKUP($C46,'[2]2.행정구역별 급수인구'!$C$7:$AD$997,25,FALSE)-VLOOKUP($C46,'[2]2.행정구역별 급수인구'!$C$7:$AD$997,25,FALSE)*(1-$E46),0)),VLOOKUP($C46,'[2]2.행정구역별 급수인구'!$C$7:$AD$997,25,FALSE)))</f>
        <v>147</v>
      </c>
      <c r="I46" s="302">
        <f>IF($D46="A",ROUND(VLOOKUP($C46,'[2]2.행정구역별 급수인구'!$C$7:$AD$997,26,FALSE)*$E46,0),IF($D46="B",(ROUND(VLOOKUP($C46,'[2]2.행정구역별 급수인구'!$C$7:$AD$997,26,FALSE)-VLOOKUP($C46,'[2]2.행정구역별 급수인구'!$C$7:$AD$997,26,FALSE)*(1-$E46),0)),VLOOKUP($C46,'[2]2.행정구역별 급수인구'!$C$7:$AD$997,26,FALSE)))</f>
        <v>151</v>
      </c>
      <c r="J46" s="302">
        <f>IF($D46="A",ROUND(VLOOKUP($C46,'[2]2.행정구역별 급수인구'!$C$7:$AD$997,27,FALSE)*$E46,0),IF($D46="B",(ROUND(VLOOKUP($C46,'[2]2.행정구역별 급수인구'!$C$7:$AD$997,27,FALSE)-VLOOKUP($C46,'[2]2.행정구역별 급수인구'!$C$7:$AD$997,27,FALSE)*(1-$E46),0)),VLOOKUP($C46,'[2]2.행정구역별 급수인구'!$C$7:$AD$997,27,FALSE)))</f>
        <v>155</v>
      </c>
      <c r="K46" s="302">
        <f>IF($D46="A",ROUND(VLOOKUP($C46,'[2]2.행정구역별 급수인구'!$C$7:$AD$997,28,FALSE)*$E46,0),IF($D46="B",(ROUND(VLOOKUP($C46,'[2]2.행정구역별 급수인구'!$C$7:$AD$997,28,FALSE)-VLOOKUP($C46,'[2]2.행정구역별 급수인구'!$C$7:$AD$997,28,FALSE)*(1-$E46),0)),VLOOKUP($C46,'[2]2.행정구역별 급수인구'!$C$7:$AD$997,28,FALSE)))</f>
        <v>158</v>
      </c>
      <c r="L46" s="302">
        <f>VLOOKUP($F46,'[3]5.급수원단위'!$B$31:$G$35,2,FALSE)</f>
        <v>365</v>
      </c>
      <c r="M46" s="302">
        <f>VLOOKUP($F46,'[3]5.급수원단위'!$B$31:$G$35,3,FALSE)</f>
        <v>390</v>
      </c>
      <c r="N46" s="302">
        <f>VLOOKUP($F46,'[3]5.급수원단위'!$B$31:$G$35,4,FALSE)</f>
        <v>417</v>
      </c>
      <c r="O46" s="302">
        <f>VLOOKUP($F46,'[3]5.급수원단위'!$B$31:$G$35,5,FALSE)</f>
        <v>439</v>
      </c>
      <c r="P46" s="302">
        <f>VLOOKUP($F46,'[3]5.급수원단위'!$B$31:$G$35,6,FALSE)</f>
        <v>454</v>
      </c>
      <c r="Q46" s="302">
        <f>ROUND(IF(G46=0,0,VLOOKUP(C46,'2013실사용량 정리'!$D$6:$F$381,3,FALSE)),0)</f>
        <v>0</v>
      </c>
      <c r="R46" s="302">
        <f t="shared" si="8"/>
        <v>57</v>
      </c>
      <c r="S46" s="302">
        <f t="shared" si="8"/>
        <v>63</v>
      </c>
      <c r="T46" s="302">
        <f t="shared" si="8"/>
        <v>68</v>
      </c>
      <c r="U46" s="302">
        <f t="shared" si="8"/>
        <v>72</v>
      </c>
      <c r="W46" s="343" t="str">
        <f t="shared" si="7"/>
        <v/>
      </c>
    </row>
    <row r="47" spans="1:23" ht="20.100000000000001" customHeight="1">
      <c r="A47" s="340"/>
      <c r="B47" s="340"/>
      <c r="C47" s="406" t="s">
        <v>1359</v>
      </c>
      <c r="D47" s="330" t="s">
        <v>1808</v>
      </c>
      <c r="E47" s="527">
        <f>1-'2.생활용수(연무)'!E74</f>
        <v>1</v>
      </c>
      <c r="F47" s="527" t="s">
        <v>1331</v>
      </c>
      <c r="G47" s="302">
        <f>IF($D47="A",ROUND(VLOOKUP($C47,'[2]2.행정구역별 급수인구'!$C$7:$AD$997,17,FALSE)*$E47,0),IF($D47="B",(ROUND(VLOOKUP($C47,'[2]2.행정구역별 급수인구'!$C$7:$AD$997,17,FALSE)-VLOOKUP($C47,'[2]2.행정구역별 급수인구'!$C$7:$AD$997,17,FALSE)*(1-$E47),0)),VLOOKUP($C47,'[2]2.행정구역별 급수인구'!$C$7:$AD$997,17,FALSE)))</f>
        <v>0</v>
      </c>
      <c r="H47" s="302">
        <f>IF($D47="A",ROUND(VLOOKUP($C47,'[2]2.행정구역별 급수인구'!$C$7:$AD$997,25,FALSE)*$E47,0),IF($D47="B",(ROUND(VLOOKUP($C47,'[2]2.행정구역별 급수인구'!$C$7:$AD$997,25,FALSE)-VLOOKUP($C47,'[2]2.행정구역별 급수인구'!$C$7:$AD$997,25,FALSE)*(1-$E47),0)),VLOOKUP($C47,'[2]2.행정구역별 급수인구'!$C$7:$AD$997,25,FALSE)))</f>
        <v>137</v>
      </c>
      <c r="I47" s="302">
        <f>IF($D47="A",ROUND(VLOOKUP($C47,'[2]2.행정구역별 급수인구'!$C$7:$AD$997,26,FALSE)*$E47,0),IF($D47="B",(ROUND(VLOOKUP($C47,'[2]2.행정구역별 급수인구'!$C$7:$AD$997,26,FALSE)-VLOOKUP($C47,'[2]2.행정구역별 급수인구'!$C$7:$AD$997,26,FALSE)*(1-$E47),0)),VLOOKUP($C47,'[2]2.행정구역별 급수인구'!$C$7:$AD$997,26,FALSE)))</f>
        <v>142</v>
      </c>
      <c r="J47" s="302">
        <f>IF($D47="A",ROUND(VLOOKUP($C47,'[2]2.행정구역별 급수인구'!$C$7:$AD$997,27,FALSE)*$E47,0),IF($D47="B",(ROUND(VLOOKUP($C47,'[2]2.행정구역별 급수인구'!$C$7:$AD$997,27,FALSE)-VLOOKUP($C47,'[2]2.행정구역별 급수인구'!$C$7:$AD$997,27,FALSE)*(1-$E47),0)),VLOOKUP($C47,'[2]2.행정구역별 급수인구'!$C$7:$AD$997,27,FALSE)))</f>
        <v>145</v>
      </c>
      <c r="K47" s="302">
        <f>IF($D47="A",ROUND(VLOOKUP($C47,'[2]2.행정구역별 급수인구'!$C$7:$AD$997,28,FALSE)*$E47,0),IF($D47="B",(ROUND(VLOOKUP($C47,'[2]2.행정구역별 급수인구'!$C$7:$AD$997,28,FALSE)-VLOOKUP($C47,'[2]2.행정구역별 급수인구'!$C$7:$AD$997,28,FALSE)*(1-$E47),0)),VLOOKUP($C47,'[2]2.행정구역별 급수인구'!$C$7:$AD$997,28,FALSE)))</f>
        <v>148</v>
      </c>
      <c r="L47" s="302">
        <f>VLOOKUP($F47,'[3]5.급수원단위'!$B$31:$G$35,2,FALSE)</f>
        <v>365</v>
      </c>
      <c r="M47" s="302">
        <f>VLOOKUP($F47,'[3]5.급수원단위'!$B$31:$G$35,3,FALSE)</f>
        <v>390</v>
      </c>
      <c r="N47" s="302">
        <f>VLOOKUP($F47,'[3]5.급수원단위'!$B$31:$G$35,4,FALSE)</f>
        <v>417</v>
      </c>
      <c r="O47" s="302">
        <f>VLOOKUP($F47,'[3]5.급수원단위'!$B$31:$G$35,5,FALSE)</f>
        <v>439</v>
      </c>
      <c r="P47" s="302">
        <f>VLOOKUP($F47,'[3]5.급수원단위'!$B$31:$G$35,6,FALSE)</f>
        <v>454</v>
      </c>
      <c r="Q47" s="302">
        <f>ROUND(IF(G47=0,0,VLOOKUP(C47,'2013실사용량 정리'!$D$6:$F$381,3,FALSE)),0)</f>
        <v>0</v>
      </c>
      <c r="R47" s="302">
        <f t="shared" si="8"/>
        <v>53</v>
      </c>
      <c r="S47" s="302">
        <f t="shared" si="8"/>
        <v>59</v>
      </c>
      <c r="T47" s="302">
        <f t="shared" si="8"/>
        <v>64</v>
      </c>
      <c r="U47" s="302">
        <f t="shared" si="8"/>
        <v>67</v>
      </c>
      <c r="W47" s="343" t="str">
        <f t="shared" si="7"/>
        <v/>
      </c>
    </row>
    <row r="48" spans="1:23" ht="20.100000000000001" customHeight="1">
      <c r="A48" s="340"/>
      <c r="B48" s="340"/>
      <c r="C48" s="406" t="s">
        <v>1360</v>
      </c>
      <c r="D48" s="330" t="s">
        <v>1808</v>
      </c>
      <c r="E48" s="527">
        <f>1-'2.생활용수(연무)'!E75</f>
        <v>1</v>
      </c>
      <c r="F48" s="527" t="s">
        <v>1331</v>
      </c>
      <c r="G48" s="302">
        <f>IF($D48="A",ROUND(VLOOKUP($C48,'[2]2.행정구역별 급수인구'!$C$7:$AD$997,17,FALSE)*$E48,0),IF($D48="B",(ROUND(VLOOKUP($C48,'[2]2.행정구역별 급수인구'!$C$7:$AD$997,17,FALSE)-VLOOKUP($C48,'[2]2.행정구역별 급수인구'!$C$7:$AD$997,17,FALSE)*(1-$E48),0)),VLOOKUP($C48,'[2]2.행정구역별 급수인구'!$C$7:$AD$997,17,FALSE)))</f>
        <v>101</v>
      </c>
      <c r="H48" s="302">
        <f>IF($D48="A",ROUND(VLOOKUP($C48,'[2]2.행정구역별 급수인구'!$C$7:$AD$997,25,FALSE)*$E48,0),IF($D48="B",(ROUND(VLOOKUP($C48,'[2]2.행정구역별 급수인구'!$C$7:$AD$997,25,FALSE)-VLOOKUP($C48,'[2]2.행정구역별 급수인구'!$C$7:$AD$997,25,FALSE)*(1-$E48),0)),VLOOKUP($C48,'[2]2.행정구역별 급수인구'!$C$7:$AD$997,25,FALSE)))</f>
        <v>99</v>
      </c>
      <c r="I48" s="302">
        <f>IF($D48="A",ROUND(VLOOKUP($C48,'[2]2.행정구역별 급수인구'!$C$7:$AD$997,26,FALSE)*$E48,0),IF($D48="B",(ROUND(VLOOKUP($C48,'[2]2.행정구역별 급수인구'!$C$7:$AD$997,26,FALSE)-VLOOKUP($C48,'[2]2.행정구역별 급수인구'!$C$7:$AD$997,26,FALSE)*(1-$E48),0)),VLOOKUP($C48,'[2]2.행정구역별 급수인구'!$C$7:$AD$997,26,FALSE)))</f>
        <v>102</v>
      </c>
      <c r="J48" s="302">
        <f>IF($D48="A",ROUND(VLOOKUP($C48,'[2]2.행정구역별 급수인구'!$C$7:$AD$997,27,FALSE)*$E48,0),IF($D48="B",(ROUND(VLOOKUP($C48,'[2]2.행정구역별 급수인구'!$C$7:$AD$997,27,FALSE)-VLOOKUP($C48,'[2]2.행정구역별 급수인구'!$C$7:$AD$997,27,FALSE)*(1-$E48),0)),VLOOKUP($C48,'[2]2.행정구역별 급수인구'!$C$7:$AD$997,27,FALSE)))</f>
        <v>105</v>
      </c>
      <c r="K48" s="302">
        <f>IF($D48="A",ROUND(VLOOKUP($C48,'[2]2.행정구역별 급수인구'!$C$7:$AD$997,28,FALSE)*$E48,0),IF($D48="B",(ROUND(VLOOKUP($C48,'[2]2.행정구역별 급수인구'!$C$7:$AD$997,28,FALSE)-VLOOKUP($C48,'[2]2.행정구역별 급수인구'!$C$7:$AD$997,28,FALSE)*(1-$E48),0)),VLOOKUP($C48,'[2]2.행정구역별 급수인구'!$C$7:$AD$997,28,FALSE)))</f>
        <v>107</v>
      </c>
      <c r="L48" s="302">
        <f>VLOOKUP($F48,'[3]5.급수원단위'!$B$31:$G$35,2,FALSE)</f>
        <v>365</v>
      </c>
      <c r="M48" s="302">
        <f>VLOOKUP($F48,'[3]5.급수원단위'!$B$31:$G$35,3,FALSE)</f>
        <v>390</v>
      </c>
      <c r="N48" s="302">
        <f>VLOOKUP($F48,'[3]5.급수원단위'!$B$31:$G$35,4,FALSE)</f>
        <v>417</v>
      </c>
      <c r="O48" s="302">
        <f>VLOOKUP($F48,'[3]5.급수원단위'!$B$31:$G$35,5,FALSE)</f>
        <v>439</v>
      </c>
      <c r="P48" s="302">
        <f>VLOOKUP($F48,'[3]5.급수원단위'!$B$31:$G$35,6,FALSE)</f>
        <v>454</v>
      </c>
      <c r="Q48" s="302">
        <f>ROUND(IF(G48=0,0,VLOOKUP(C48,'2013실사용량 정리'!$D$6:$F$381,3,FALSE)),0)</f>
        <v>31</v>
      </c>
      <c r="R48" s="302">
        <f t="shared" si="8"/>
        <v>39</v>
      </c>
      <c r="S48" s="302">
        <f t="shared" si="8"/>
        <v>43</v>
      </c>
      <c r="T48" s="302">
        <f t="shared" si="8"/>
        <v>46</v>
      </c>
      <c r="U48" s="302">
        <f t="shared" si="8"/>
        <v>49</v>
      </c>
      <c r="W48" s="343">
        <f t="shared" si="7"/>
        <v>1.5806451612903225</v>
      </c>
    </row>
    <row r="49" spans="1:23" ht="20.100000000000001" customHeight="1">
      <c r="A49" s="340"/>
      <c r="B49" s="340"/>
      <c r="C49" s="406" t="s">
        <v>1361</v>
      </c>
      <c r="D49" s="330" t="s">
        <v>1808</v>
      </c>
      <c r="E49" s="527">
        <f>1-'2.생활용수(연무)'!E76</f>
        <v>1</v>
      </c>
      <c r="F49" s="527" t="s">
        <v>1331</v>
      </c>
      <c r="G49" s="302">
        <f>IF($D49="A",ROUND(VLOOKUP($C49,'[2]2.행정구역별 급수인구'!$C$7:$AD$997,17,FALSE)*$E49,0),IF($D49="B",(ROUND(VLOOKUP($C49,'[2]2.행정구역별 급수인구'!$C$7:$AD$997,17,FALSE)-VLOOKUP($C49,'[2]2.행정구역별 급수인구'!$C$7:$AD$997,17,FALSE)*(1-$E49),0)),VLOOKUP($C49,'[2]2.행정구역별 급수인구'!$C$7:$AD$997,17,FALSE)))</f>
        <v>77</v>
      </c>
      <c r="H49" s="302">
        <f>IF($D49="A",ROUND(VLOOKUP($C49,'[2]2.행정구역별 급수인구'!$C$7:$AD$997,25,FALSE)*$E49,0),IF($D49="B",(ROUND(VLOOKUP($C49,'[2]2.행정구역별 급수인구'!$C$7:$AD$997,25,FALSE)-VLOOKUP($C49,'[2]2.행정구역별 급수인구'!$C$7:$AD$997,25,FALSE)*(1-$E49),0)),VLOOKUP($C49,'[2]2.행정구역별 급수인구'!$C$7:$AD$997,25,FALSE)))</f>
        <v>76</v>
      </c>
      <c r="I49" s="302">
        <f>IF($D49="A",ROUND(VLOOKUP($C49,'[2]2.행정구역별 급수인구'!$C$7:$AD$997,26,FALSE)*$E49,0),IF($D49="B",(ROUND(VLOOKUP($C49,'[2]2.행정구역별 급수인구'!$C$7:$AD$997,26,FALSE)-VLOOKUP($C49,'[2]2.행정구역별 급수인구'!$C$7:$AD$997,26,FALSE)*(1-$E49),0)),VLOOKUP($C49,'[2]2.행정구역별 급수인구'!$C$7:$AD$997,26,FALSE)))</f>
        <v>78</v>
      </c>
      <c r="J49" s="302">
        <f>IF($D49="A",ROUND(VLOOKUP($C49,'[2]2.행정구역별 급수인구'!$C$7:$AD$997,27,FALSE)*$E49,0),IF($D49="B",(ROUND(VLOOKUP($C49,'[2]2.행정구역별 급수인구'!$C$7:$AD$997,27,FALSE)-VLOOKUP($C49,'[2]2.행정구역별 급수인구'!$C$7:$AD$997,27,FALSE)*(1-$E49),0)),VLOOKUP($C49,'[2]2.행정구역별 급수인구'!$C$7:$AD$997,27,FALSE)))</f>
        <v>80</v>
      </c>
      <c r="K49" s="302">
        <f>IF($D49="A",ROUND(VLOOKUP($C49,'[2]2.행정구역별 급수인구'!$C$7:$AD$997,28,FALSE)*$E49,0),IF($D49="B",(ROUND(VLOOKUP($C49,'[2]2.행정구역별 급수인구'!$C$7:$AD$997,28,FALSE)-VLOOKUP($C49,'[2]2.행정구역별 급수인구'!$C$7:$AD$997,28,FALSE)*(1-$E49),0)),VLOOKUP($C49,'[2]2.행정구역별 급수인구'!$C$7:$AD$997,28,FALSE)))</f>
        <v>81</v>
      </c>
      <c r="L49" s="302">
        <f>VLOOKUP($F49,'[3]5.급수원단위'!$B$31:$G$35,2,FALSE)</f>
        <v>365</v>
      </c>
      <c r="M49" s="302">
        <f>VLOOKUP($F49,'[3]5.급수원단위'!$B$31:$G$35,3,FALSE)</f>
        <v>390</v>
      </c>
      <c r="N49" s="302">
        <f>VLOOKUP($F49,'[3]5.급수원단위'!$B$31:$G$35,4,FALSE)</f>
        <v>417</v>
      </c>
      <c r="O49" s="302">
        <f>VLOOKUP($F49,'[3]5.급수원단위'!$B$31:$G$35,5,FALSE)</f>
        <v>439</v>
      </c>
      <c r="P49" s="302">
        <f>VLOOKUP($F49,'[3]5.급수원단위'!$B$31:$G$35,6,FALSE)</f>
        <v>454</v>
      </c>
      <c r="Q49" s="302">
        <f>ROUND(IF(G49=0,0,VLOOKUP(C49,'2013실사용량 정리'!$D$6:$F$381,3,FALSE)),0)</f>
        <v>24</v>
      </c>
      <c r="R49" s="302">
        <f t="shared" si="8"/>
        <v>30</v>
      </c>
      <c r="S49" s="302">
        <f t="shared" si="8"/>
        <v>33</v>
      </c>
      <c r="T49" s="302">
        <f t="shared" si="8"/>
        <v>35</v>
      </c>
      <c r="U49" s="302">
        <f t="shared" si="8"/>
        <v>37</v>
      </c>
      <c r="W49" s="343">
        <f t="shared" si="7"/>
        <v>1.5416666666666667</v>
      </c>
    </row>
    <row r="50" spans="1:23" ht="20.100000000000001" customHeight="1">
      <c r="A50" s="340"/>
      <c r="B50" s="340"/>
      <c r="C50" s="406" t="s">
        <v>1362</v>
      </c>
      <c r="D50" s="330" t="s">
        <v>1808</v>
      </c>
      <c r="E50" s="527">
        <f>1-'2.생활용수(연무)'!E77</f>
        <v>1</v>
      </c>
      <c r="F50" s="527" t="s">
        <v>1331</v>
      </c>
      <c r="G50" s="302">
        <f>IF($D50="A",ROUND(VLOOKUP($C50,'[2]2.행정구역별 급수인구'!$C$7:$AD$997,17,FALSE)*$E50,0),IF($D50="B",(ROUND(VLOOKUP($C50,'[2]2.행정구역별 급수인구'!$C$7:$AD$997,17,FALSE)-VLOOKUP($C50,'[2]2.행정구역별 급수인구'!$C$7:$AD$997,17,FALSE)*(1-$E50),0)),VLOOKUP($C50,'[2]2.행정구역별 급수인구'!$C$7:$AD$997,17,FALSE)))</f>
        <v>57</v>
      </c>
      <c r="H50" s="302">
        <f>IF($D50="A",ROUND(VLOOKUP($C50,'[2]2.행정구역별 급수인구'!$C$7:$AD$997,25,FALSE)*$E50,0),IF($D50="B",(ROUND(VLOOKUP($C50,'[2]2.행정구역별 급수인구'!$C$7:$AD$997,25,FALSE)-VLOOKUP($C50,'[2]2.행정구역별 급수인구'!$C$7:$AD$997,25,FALSE)*(1-$E50),0)),VLOOKUP($C50,'[2]2.행정구역별 급수인구'!$C$7:$AD$997,25,FALSE)))</f>
        <v>56</v>
      </c>
      <c r="I50" s="302">
        <f>IF($D50="A",ROUND(VLOOKUP($C50,'[2]2.행정구역별 급수인구'!$C$7:$AD$997,26,FALSE)*$E50,0),IF($D50="B",(ROUND(VLOOKUP($C50,'[2]2.행정구역별 급수인구'!$C$7:$AD$997,26,FALSE)-VLOOKUP($C50,'[2]2.행정구역별 급수인구'!$C$7:$AD$997,26,FALSE)*(1-$E50),0)),VLOOKUP($C50,'[2]2.행정구역별 급수인구'!$C$7:$AD$997,26,FALSE)))</f>
        <v>58</v>
      </c>
      <c r="J50" s="302">
        <f>IF($D50="A",ROUND(VLOOKUP($C50,'[2]2.행정구역별 급수인구'!$C$7:$AD$997,27,FALSE)*$E50,0),IF($D50="B",(ROUND(VLOOKUP($C50,'[2]2.행정구역별 급수인구'!$C$7:$AD$997,27,FALSE)-VLOOKUP($C50,'[2]2.행정구역별 급수인구'!$C$7:$AD$997,27,FALSE)*(1-$E50),0)),VLOOKUP($C50,'[2]2.행정구역별 급수인구'!$C$7:$AD$997,27,FALSE)))</f>
        <v>59</v>
      </c>
      <c r="K50" s="302">
        <f>IF($D50="A",ROUND(VLOOKUP($C50,'[2]2.행정구역별 급수인구'!$C$7:$AD$997,28,FALSE)*$E50,0),IF($D50="B",(ROUND(VLOOKUP($C50,'[2]2.행정구역별 급수인구'!$C$7:$AD$997,28,FALSE)-VLOOKUP($C50,'[2]2.행정구역별 급수인구'!$C$7:$AD$997,28,FALSE)*(1-$E50),0)),VLOOKUP($C50,'[2]2.행정구역별 급수인구'!$C$7:$AD$997,28,FALSE)))</f>
        <v>60</v>
      </c>
      <c r="L50" s="302">
        <f>VLOOKUP($F50,'[3]5.급수원단위'!$B$31:$G$35,2,FALSE)</f>
        <v>365</v>
      </c>
      <c r="M50" s="302">
        <f>VLOOKUP($F50,'[3]5.급수원단위'!$B$31:$G$35,3,FALSE)</f>
        <v>390</v>
      </c>
      <c r="N50" s="302">
        <f>VLOOKUP($F50,'[3]5.급수원단위'!$B$31:$G$35,4,FALSE)</f>
        <v>417</v>
      </c>
      <c r="O50" s="302">
        <f>VLOOKUP($F50,'[3]5.급수원단위'!$B$31:$G$35,5,FALSE)</f>
        <v>439</v>
      </c>
      <c r="P50" s="302">
        <f>VLOOKUP($F50,'[3]5.급수원단위'!$B$31:$G$35,6,FALSE)</f>
        <v>454</v>
      </c>
      <c r="Q50" s="302">
        <f>ROUND(IF(G50=0,0,VLOOKUP(C50,'2013실사용량 정리'!$D$6:$F$381,3,FALSE)),0)</f>
        <v>17</v>
      </c>
      <c r="R50" s="302">
        <f t="shared" si="8"/>
        <v>22</v>
      </c>
      <c r="S50" s="302">
        <f t="shared" si="8"/>
        <v>24</v>
      </c>
      <c r="T50" s="302">
        <f t="shared" si="8"/>
        <v>26</v>
      </c>
      <c r="U50" s="302">
        <f t="shared" si="8"/>
        <v>27</v>
      </c>
      <c r="W50" s="343">
        <f t="shared" si="7"/>
        <v>1.588235294117647</v>
      </c>
    </row>
    <row r="51" spans="1:23" ht="20.100000000000001" customHeight="1">
      <c r="A51" s="340"/>
      <c r="B51" s="340"/>
      <c r="C51" s="406" t="s">
        <v>1363</v>
      </c>
      <c r="D51" s="330" t="s">
        <v>1808</v>
      </c>
      <c r="E51" s="527">
        <f>1-'2.생활용수(연무)'!E78</f>
        <v>1</v>
      </c>
      <c r="F51" s="527" t="s">
        <v>1331</v>
      </c>
      <c r="G51" s="302">
        <f>IF($D51="A",ROUND(VLOOKUP($C51,'[2]2.행정구역별 급수인구'!$C$7:$AD$997,17,FALSE)*$E51,0),IF($D51="B",(ROUND(VLOOKUP($C51,'[2]2.행정구역별 급수인구'!$C$7:$AD$997,17,FALSE)-VLOOKUP($C51,'[2]2.행정구역별 급수인구'!$C$7:$AD$997,17,FALSE)*(1-$E51),0)),VLOOKUP($C51,'[2]2.행정구역별 급수인구'!$C$7:$AD$997,17,FALSE)))</f>
        <v>0</v>
      </c>
      <c r="H51" s="302">
        <f>IF($D51="A",ROUND(VLOOKUP($C51,'[2]2.행정구역별 급수인구'!$C$7:$AD$997,25,FALSE)*$E51,0),IF($D51="B",(ROUND(VLOOKUP($C51,'[2]2.행정구역별 급수인구'!$C$7:$AD$997,25,FALSE)-VLOOKUP($C51,'[2]2.행정구역별 급수인구'!$C$7:$AD$997,25,FALSE)*(1-$E51),0)),VLOOKUP($C51,'[2]2.행정구역별 급수인구'!$C$7:$AD$997,25,FALSE)))</f>
        <v>52</v>
      </c>
      <c r="I51" s="302">
        <f>IF($D51="A",ROUND(VLOOKUP($C51,'[2]2.행정구역별 급수인구'!$C$7:$AD$997,26,FALSE)*$E51,0),IF($D51="B",(ROUND(VLOOKUP($C51,'[2]2.행정구역별 급수인구'!$C$7:$AD$997,26,FALSE)-VLOOKUP($C51,'[2]2.행정구역별 급수인구'!$C$7:$AD$997,26,FALSE)*(1-$E51),0)),VLOOKUP($C51,'[2]2.행정구역별 급수인구'!$C$7:$AD$997,26,FALSE)))</f>
        <v>53</v>
      </c>
      <c r="J51" s="302">
        <f>IF($D51="A",ROUND(VLOOKUP($C51,'[2]2.행정구역별 급수인구'!$C$7:$AD$997,27,FALSE)*$E51,0),IF($D51="B",(ROUND(VLOOKUP($C51,'[2]2.행정구역별 급수인구'!$C$7:$AD$997,27,FALSE)-VLOOKUP($C51,'[2]2.행정구역별 급수인구'!$C$7:$AD$997,27,FALSE)*(1-$E51),0)),VLOOKUP($C51,'[2]2.행정구역별 급수인구'!$C$7:$AD$997,27,FALSE)))</f>
        <v>54</v>
      </c>
      <c r="K51" s="302">
        <f>IF($D51="A",ROUND(VLOOKUP($C51,'[2]2.행정구역별 급수인구'!$C$7:$AD$997,28,FALSE)*$E51,0),IF($D51="B",(ROUND(VLOOKUP($C51,'[2]2.행정구역별 급수인구'!$C$7:$AD$997,28,FALSE)-VLOOKUP($C51,'[2]2.행정구역별 급수인구'!$C$7:$AD$997,28,FALSE)*(1-$E51),0)),VLOOKUP($C51,'[2]2.행정구역별 급수인구'!$C$7:$AD$997,28,FALSE)))</f>
        <v>55</v>
      </c>
      <c r="L51" s="302">
        <f>VLOOKUP($F51,'[3]5.급수원단위'!$B$31:$G$35,2,FALSE)</f>
        <v>365</v>
      </c>
      <c r="M51" s="302">
        <f>VLOOKUP($F51,'[3]5.급수원단위'!$B$31:$G$35,3,FALSE)</f>
        <v>390</v>
      </c>
      <c r="N51" s="302">
        <f>VLOOKUP($F51,'[3]5.급수원단위'!$B$31:$G$35,4,FALSE)</f>
        <v>417</v>
      </c>
      <c r="O51" s="302">
        <f>VLOOKUP($F51,'[3]5.급수원단위'!$B$31:$G$35,5,FALSE)</f>
        <v>439</v>
      </c>
      <c r="P51" s="302">
        <f>VLOOKUP($F51,'[3]5.급수원단위'!$B$31:$G$35,6,FALSE)</f>
        <v>454</v>
      </c>
      <c r="Q51" s="302">
        <f>ROUND(IF(G51=0,0,VLOOKUP(C51,'2013실사용량 정리'!$D$6:$F$381,3,FALSE)),0)</f>
        <v>0</v>
      </c>
      <c r="R51" s="302">
        <f t="shared" si="8"/>
        <v>20</v>
      </c>
      <c r="S51" s="302">
        <f t="shared" si="8"/>
        <v>22</v>
      </c>
      <c r="T51" s="302">
        <f t="shared" si="8"/>
        <v>24</v>
      </c>
      <c r="U51" s="302">
        <f t="shared" si="8"/>
        <v>25</v>
      </c>
      <c r="W51" s="343" t="str">
        <f t="shared" si="7"/>
        <v/>
      </c>
    </row>
    <row r="52" spans="1:23" ht="20.100000000000001" customHeight="1">
      <c r="A52" s="340"/>
      <c r="B52" s="340"/>
      <c r="C52" s="406" t="s">
        <v>1364</v>
      </c>
      <c r="D52" s="330" t="s">
        <v>1808</v>
      </c>
      <c r="E52" s="527">
        <f>1-'2.생활용수(연무)'!E79</f>
        <v>1</v>
      </c>
      <c r="F52" s="527" t="s">
        <v>1331</v>
      </c>
      <c r="G52" s="302">
        <f>IF($D52="A",ROUND(VLOOKUP($C52,'[2]2.행정구역별 급수인구'!$C$7:$AD$997,17,FALSE)*$E52,0),IF($D52="B",(ROUND(VLOOKUP($C52,'[2]2.행정구역별 급수인구'!$C$7:$AD$997,17,FALSE)-VLOOKUP($C52,'[2]2.행정구역별 급수인구'!$C$7:$AD$997,17,FALSE)*(1-$E52),0)),VLOOKUP($C52,'[2]2.행정구역별 급수인구'!$C$7:$AD$997,17,FALSE)))</f>
        <v>120</v>
      </c>
      <c r="H52" s="302">
        <f>IF($D52="A",ROUND(VLOOKUP($C52,'[2]2.행정구역별 급수인구'!$C$7:$AD$997,25,FALSE)*$E52,0),IF($D52="B",(ROUND(VLOOKUP($C52,'[2]2.행정구역별 급수인구'!$C$7:$AD$997,25,FALSE)-VLOOKUP($C52,'[2]2.행정구역별 급수인구'!$C$7:$AD$997,25,FALSE)*(1-$E52),0)),VLOOKUP($C52,'[2]2.행정구역별 급수인구'!$C$7:$AD$997,25,FALSE)))</f>
        <v>118</v>
      </c>
      <c r="I52" s="302">
        <f>IF($D52="A",ROUND(VLOOKUP($C52,'[2]2.행정구역별 급수인구'!$C$7:$AD$997,26,FALSE)*$E52,0),IF($D52="B",(ROUND(VLOOKUP($C52,'[2]2.행정구역별 급수인구'!$C$7:$AD$997,26,FALSE)-VLOOKUP($C52,'[2]2.행정구역별 급수인구'!$C$7:$AD$997,26,FALSE)*(1-$E52),0)),VLOOKUP($C52,'[2]2.행정구역별 급수인구'!$C$7:$AD$997,26,FALSE)))</f>
        <v>123</v>
      </c>
      <c r="J52" s="302">
        <f>IF($D52="A",ROUND(VLOOKUP($C52,'[2]2.행정구역별 급수인구'!$C$7:$AD$997,27,FALSE)*$E52,0),IF($D52="B",(ROUND(VLOOKUP($C52,'[2]2.행정구역별 급수인구'!$C$7:$AD$997,27,FALSE)-VLOOKUP($C52,'[2]2.행정구역별 급수인구'!$C$7:$AD$997,27,FALSE)*(1-$E52),0)),VLOOKUP($C52,'[2]2.행정구역별 급수인구'!$C$7:$AD$997,27,FALSE)))</f>
        <v>125</v>
      </c>
      <c r="K52" s="302">
        <f>IF($D52="A",ROUND(VLOOKUP($C52,'[2]2.행정구역별 급수인구'!$C$7:$AD$997,28,FALSE)*$E52,0),IF($D52="B",(ROUND(VLOOKUP($C52,'[2]2.행정구역별 급수인구'!$C$7:$AD$997,28,FALSE)-VLOOKUP($C52,'[2]2.행정구역별 급수인구'!$C$7:$AD$997,28,FALSE)*(1-$E52),0)),VLOOKUP($C52,'[2]2.행정구역별 급수인구'!$C$7:$AD$997,28,FALSE)))</f>
        <v>127</v>
      </c>
      <c r="L52" s="302">
        <f>VLOOKUP($F52,'[3]5.급수원단위'!$B$31:$G$35,2,FALSE)</f>
        <v>365</v>
      </c>
      <c r="M52" s="302">
        <f>VLOOKUP($F52,'[3]5.급수원단위'!$B$31:$G$35,3,FALSE)</f>
        <v>390</v>
      </c>
      <c r="N52" s="302">
        <f>VLOOKUP($F52,'[3]5.급수원단위'!$B$31:$G$35,4,FALSE)</f>
        <v>417</v>
      </c>
      <c r="O52" s="302">
        <f>VLOOKUP($F52,'[3]5.급수원단위'!$B$31:$G$35,5,FALSE)</f>
        <v>439</v>
      </c>
      <c r="P52" s="302">
        <f>VLOOKUP($F52,'[3]5.급수원단위'!$B$31:$G$35,6,FALSE)</f>
        <v>454</v>
      </c>
      <c r="Q52" s="302">
        <f>ROUND(IF(G52=0,0,VLOOKUP(C52,'2013실사용량 정리'!$D$6:$F$381,3,FALSE)),0)</f>
        <v>26</v>
      </c>
      <c r="R52" s="302">
        <f t="shared" si="8"/>
        <v>46</v>
      </c>
      <c r="S52" s="302">
        <f t="shared" si="8"/>
        <v>51</v>
      </c>
      <c r="T52" s="302">
        <f t="shared" si="8"/>
        <v>55</v>
      </c>
      <c r="U52" s="302">
        <f t="shared" si="8"/>
        <v>58</v>
      </c>
      <c r="W52" s="343">
        <f t="shared" si="7"/>
        <v>2.2307692307692308</v>
      </c>
    </row>
    <row r="53" spans="1:23" ht="20.100000000000001" customHeight="1">
      <c r="A53" s="340"/>
      <c r="B53" s="340"/>
      <c r="C53" s="406" t="s">
        <v>1365</v>
      </c>
      <c r="D53" s="330" t="s">
        <v>1808</v>
      </c>
      <c r="E53" s="527">
        <f>1-'2.생활용수(연무)'!E80</f>
        <v>1</v>
      </c>
      <c r="F53" s="527" t="s">
        <v>1331</v>
      </c>
      <c r="G53" s="302">
        <f>IF($D53="A",ROUND(VLOOKUP($C53,'[2]2.행정구역별 급수인구'!$C$7:$AD$997,17,FALSE)*$E53,0),IF($D53="B",(ROUND(VLOOKUP($C53,'[2]2.행정구역별 급수인구'!$C$7:$AD$997,17,FALSE)-VLOOKUP($C53,'[2]2.행정구역별 급수인구'!$C$7:$AD$997,17,FALSE)*(1-$E53),0)),VLOOKUP($C53,'[2]2.행정구역별 급수인구'!$C$7:$AD$997,17,FALSE)))</f>
        <v>124</v>
      </c>
      <c r="H53" s="302">
        <f>IF($D53="A",ROUND(VLOOKUP($C53,'[2]2.행정구역별 급수인구'!$C$7:$AD$997,25,FALSE)*$E53,0),IF($D53="B",(ROUND(VLOOKUP($C53,'[2]2.행정구역별 급수인구'!$C$7:$AD$997,25,FALSE)-VLOOKUP($C53,'[2]2.행정구역별 급수인구'!$C$7:$AD$997,25,FALSE)*(1-$E53),0)),VLOOKUP($C53,'[2]2.행정구역별 급수인구'!$C$7:$AD$997,25,FALSE)))</f>
        <v>129</v>
      </c>
      <c r="I53" s="302">
        <f>IF($D53="A",ROUND(VLOOKUP($C53,'[2]2.행정구역별 급수인구'!$C$7:$AD$997,26,FALSE)*$E53,0),IF($D53="B",(ROUND(VLOOKUP($C53,'[2]2.행정구역별 급수인구'!$C$7:$AD$997,26,FALSE)-VLOOKUP($C53,'[2]2.행정구역별 급수인구'!$C$7:$AD$997,26,FALSE)*(1-$E53),0)),VLOOKUP($C53,'[2]2.행정구역별 급수인구'!$C$7:$AD$997,26,FALSE)))</f>
        <v>135</v>
      </c>
      <c r="J53" s="302">
        <f>IF($D53="A",ROUND(VLOOKUP($C53,'[2]2.행정구역별 급수인구'!$C$7:$AD$997,27,FALSE)*$E53,0),IF($D53="B",(ROUND(VLOOKUP($C53,'[2]2.행정구역별 급수인구'!$C$7:$AD$997,27,FALSE)-VLOOKUP($C53,'[2]2.행정구역별 급수인구'!$C$7:$AD$997,27,FALSE)*(1-$E53),0)),VLOOKUP($C53,'[2]2.행정구역별 급수인구'!$C$7:$AD$997,27,FALSE)))</f>
        <v>138</v>
      </c>
      <c r="K53" s="302">
        <f>IF($D53="A",ROUND(VLOOKUP($C53,'[2]2.행정구역별 급수인구'!$C$7:$AD$997,28,FALSE)*$E53,0),IF($D53="B",(ROUND(VLOOKUP($C53,'[2]2.행정구역별 급수인구'!$C$7:$AD$997,28,FALSE)-VLOOKUP($C53,'[2]2.행정구역별 급수인구'!$C$7:$AD$997,28,FALSE)*(1-$E53),0)),VLOOKUP($C53,'[2]2.행정구역별 급수인구'!$C$7:$AD$997,28,FALSE)))</f>
        <v>140</v>
      </c>
      <c r="L53" s="302">
        <f>VLOOKUP($F53,'[3]5.급수원단위'!$B$31:$G$35,2,FALSE)</f>
        <v>365</v>
      </c>
      <c r="M53" s="302">
        <f>VLOOKUP($F53,'[3]5.급수원단위'!$B$31:$G$35,3,FALSE)</f>
        <v>390</v>
      </c>
      <c r="N53" s="302">
        <f>VLOOKUP($F53,'[3]5.급수원단위'!$B$31:$G$35,4,FALSE)</f>
        <v>417</v>
      </c>
      <c r="O53" s="302">
        <f>VLOOKUP($F53,'[3]5.급수원단위'!$B$31:$G$35,5,FALSE)</f>
        <v>439</v>
      </c>
      <c r="P53" s="302">
        <f>VLOOKUP($F53,'[3]5.급수원단위'!$B$31:$G$35,6,FALSE)</f>
        <v>454</v>
      </c>
      <c r="Q53" s="302">
        <f>ROUND(IF(G53=0,0,VLOOKUP(C53,'2013실사용량 정리'!$D$6:$F$381,3,FALSE)),0)</f>
        <v>27</v>
      </c>
      <c r="R53" s="302">
        <f t="shared" si="8"/>
        <v>50</v>
      </c>
      <c r="S53" s="302">
        <f t="shared" si="8"/>
        <v>56</v>
      </c>
      <c r="T53" s="302">
        <f t="shared" si="8"/>
        <v>61</v>
      </c>
      <c r="U53" s="302">
        <f t="shared" si="8"/>
        <v>64</v>
      </c>
      <c r="W53" s="343">
        <f t="shared" si="7"/>
        <v>2.3703703703703702</v>
      </c>
    </row>
    <row r="54" spans="1:23" ht="20.100000000000001" customHeight="1">
      <c r="A54" s="340"/>
      <c r="B54" s="340"/>
      <c r="C54" s="406" t="s">
        <v>1366</v>
      </c>
      <c r="D54" s="330" t="s">
        <v>1808</v>
      </c>
      <c r="E54" s="527">
        <f>1-'2.생활용수(연무)'!E81</f>
        <v>1</v>
      </c>
      <c r="F54" s="527" t="s">
        <v>1331</v>
      </c>
      <c r="G54" s="302">
        <f>IF($D54="A",ROUND(VLOOKUP($C54,'[2]2.행정구역별 급수인구'!$C$7:$AD$997,17,FALSE)*$E54,0),IF($D54="B",(ROUND(VLOOKUP($C54,'[2]2.행정구역별 급수인구'!$C$7:$AD$997,17,FALSE)-VLOOKUP($C54,'[2]2.행정구역별 급수인구'!$C$7:$AD$997,17,FALSE)*(1-$E54),0)),VLOOKUP($C54,'[2]2.행정구역별 급수인구'!$C$7:$AD$997,17,FALSE)))</f>
        <v>43</v>
      </c>
      <c r="H54" s="302">
        <f>IF($D54="A",ROUND(VLOOKUP($C54,'[2]2.행정구역별 급수인구'!$C$7:$AD$997,25,FALSE)*$E54,0),IF($D54="B",(ROUND(VLOOKUP($C54,'[2]2.행정구역별 급수인구'!$C$7:$AD$997,25,FALSE)-VLOOKUP($C54,'[2]2.행정구역별 급수인구'!$C$7:$AD$997,25,FALSE)*(1-$E54),0)),VLOOKUP($C54,'[2]2.행정구역별 급수인구'!$C$7:$AD$997,25,FALSE)))</f>
        <v>69</v>
      </c>
      <c r="I54" s="302">
        <f>IF($D54="A",ROUND(VLOOKUP($C54,'[2]2.행정구역별 급수인구'!$C$7:$AD$997,26,FALSE)*$E54,0),IF($D54="B",(ROUND(VLOOKUP($C54,'[2]2.행정구역별 급수인구'!$C$7:$AD$997,26,FALSE)-VLOOKUP($C54,'[2]2.행정구역별 급수인구'!$C$7:$AD$997,26,FALSE)*(1-$E54),0)),VLOOKUP($C54,'[2]2.행정구역별 급수인구'!$C$7:$AD$997,26,FALSE)))</f>
        <v>71</v>
      </c>
      <c r="J54" s="302">
        <f>IF($D54="A",ROUND(VLOOKUP($C54,'[2]2.행정구역별 급수인구'!$C$7:$AD$997,27,FALSE)*$E54,0),IF($D54="B",(ROUND(VLOOKUP($C54,'[2]2.행정구역별 급수인구'!$C$7:$AD$997,27,FALSE)-VLOOKUP($C54,'[2]2.행정구역별 급수인구'!$C$7:$AD$997,27,FALSE)*(1-$E54),0)),VLOOKUP($C54,'[2]2.행정구역별 급수인구'!$C$7:$AD$997,27,FALSE)))</f>
        <v>73</v>
      </c>
      <c r="K54" s="302">
        <f>IF($D54="A",ROUND(VLOOKUP($C54,'[2]2.행정구역별 급수인구'!$C$7:$AD$997,28,FALSE)*$E54,0),IF($D54="B",(ROUND(VLOOKUP($C54,'[2]2.행정구역별 급수인구'!$C$7:$AD$997,28,FALSE)-VLOOKUP($C54,'[2]2.행정구역별 급수인구'!$C$7:$AD$997,28,FALSE)*(1-$E54),0)),VLOOKUP($C54,'[2]2.행정구역별 급수인구'!$C$7:$AD$997,28,FALSE)))</f>
        <v>74</v>
      </c>
      <c r="L54" s="302">
        <f>VLOOKUP($F54,'[3]5.급수원단위'!$B$31:$G$35,2,FALSE)</f>
        <v>365</v>
      </c>
      <c r="M54" s="302">
        <f>VLOOKUP($F54,'[3]5.급수원단위'!$B$31:$G$35,3,FALSE)</f>
        <v>390</v>
      </c>
      <c r="N54" s="302">
        <f>VLOOKUP($F54,'[3]5.급수원단위'!$B$31:$G$35,4,FALSE)</f>
        <v>417</v>
      </c>
      <c r="O54" s="302">
        <f>VLOOKUP($F54,'[3]5.급수원단위'!$B$31:$G$35,5,FALSE)</f>
        <v>439</v>
      </c>
      <c r="P54" s="302">
        <f>VLOOKUP($F54,'[3]5.급수원단위'!$B$31:$G$35,6,FALSE)</f>
        <v>454</v>
      </c>
      <c r="Q54" s="302">
        <f>ROUND(IF(G54=0,0,VLOOKUP(C54,'2013실사용량 정리'!$D$6:$F$381,3,FALSE)),0)</f>
        <v>9</v>
      </c>
      <c r="R54" s="302">
        <f t="shared" si="8"/>
        <v>27</v>
      </c>
      <c r="S54" s="302">
        <f t="shared" si="8"/>
        <v>30</v>
      </c>
      <c r="T54" s="302">
        <f t="shared" si="8"/>
        <v>32</v>
      </c>
      <c r="U54" s="302">
        <f t="shared" si="8"/>
        <v>34</v>
      </c>
      <c r="W54" s="343">
        <f t="shared" si="7"/>
        <v>3.7777777777777777</v>
      </c>
    </row>
    <row r="55" spans="1:23" ht="20.100000000000001" customHeight="1">
      <c r="A55" s="340"/>
      <c r="B55" s="340"/>
      <c r="C55" s="406" t="s">
        <v>1367</v>
      </c>
      <c r="D55" s="330" t="s">
        <v>1808</v>
      </c>
      <c r="E55" s="527">
        <f>1-'2.생활용수(연무)'!E82</f>
        <v>1</v>
      </c>
      <c r="F55" s="527" t="s">
        <v>1331</v>
      </c>
      <c r="G55" s="302">
        <f>IF($D55="A",ROUND(VLOOKUP($C55,'[2]2.행정구역별 급수인구'!$C$7:$AD$997,17,FALSE)*$E55,0),IF($D55="B",(ROUND(VLOOKUP($C55,'[2]2.행정구역별 급수인구'!$C$7:$AD$997,17,FALSE)-VLOOKUP($C55,'[2]2.행정구역별 급수인구'!$C$7:$AD$997,17,FALSE)*(1-$E55),0)),VLOOKUP($C55,'[2]2.행정구역별 급수인구'!$C$7:$AD$997,17,FALSE)))</f>
        <v>68</v>
      </c>
      <c r="H55" s="302">
        <f>IF($D55="A",ROUND(VLOOKUP($C55,'[2]2.행정구역별 급수인구'!$C$7:$AD$997,25,FALSE)*$E55,0),IF($D55="B",(ROUND(VLOOKUP($C55,'[2]2.행정구역별 급수인구'!$C$7:$AD$997,25,FALSE)-VLOOKUP($C55,'[2]2.행정구역별 급수인구'!$C$7:$AD$997,25,FALSE)*(1-$E55),0)),VLOOKUP($C55,'[2]2.행정구역별 급수인구'!$C$7:$AD$997,25,FALSE)))</f>
        <v>67</v>
      </c>
      <c r="I55" s="302">
        <f>IF($D55="A",ROUND(VLOOKUP($C55,'[2]2.행정구역별 급수인구'!$C$7:$AD$997,26,FALSE)*$E55,0),IF($D55="B",(ROUND(VLOOKUP($C55,'[2]2.행정구역별 급수인구'!$C$7:$AD$997,26,FALSE)-VLOOKUP($C55,'[2]2.행정구역별 급수인구'!$C$7:$AD$997,26,FALSE)*(1-$E55),0)),VLOOKUP($C55,'[2]2.행정구역별 급수인구'!$C$7:$AD$997,26,FALSE)))</f>
        <v>69</v>
      </c>
      <c r="J55" s="302">
        <f>IF($D55="A",ROUND(VLOOKUP($C55,'[2]2.행정구역별 급수인구'!$C$7:$AD$997,27,FALSE)*$E55,0),IF($D55="B",(ROUND(VLOOKUP($C55,'[2]2.행정구역별 급수인구'!$C$7:$AD$997,27,FALSE)-VLOOKUP($C55,'[2]2.행정구역별 급수인구'!$C$7:$AD$997,27,FALSE)*(1-$E55),0)),VLOOKUP($C55,'[2]2.행정구역별 급수인구'!$C$7:$AD$997,27,FALSE)))</f>
        <v>71</v>
      </c>
      <c r="K55" s="302">
        <f>IF($D55="A",ROUND(VLOOKUP($C55,'[2]2.행정구역별 급수인구'!$C$7:$AD$997,28,FALSE)*$E55,0),IF($D55="B",(ROUND(VLOOKUP($C55,'[2]2.행정구역별 급수인구'!$C$7:$AD$997,28,FALSE)-VLOOKUP($C55,'[2]2.행정구역별 급수인구'!$C$7:$AD$997,28,FALSE)*(1-$E55),0)),VLOOKUP($C55,'[2]2.행정구역별 급수인구'!$C$7:$AD$997,28,FALSE)))</f>
        <v>72</v>
      </c>
      <c r="L55" s="302">
        <f>VLOOKUP($F55,'[3]5.급수원단위'!$B$31:$G$35,2,FALSE)</f>
        <v>365</v>
      </c>
      <c r="M55" s="302">
        <f>VLOOKUP($F55,'[3]5.급수원단위'!$B$31:$G$35,3,FALSE)</f>
        <v>390</v>
      </c>
      <c r="N55" s="302">
        <f>VLOOKUP($F55,'[3]5.급수원단위'!$B$31:$G$35,4,FALSE)</f>
        <v>417</v>
      </c>
      <c r="O55" s="302">
        <f>VLOOKUP($F55,'[3]5.급수원단위'!$B$31:$G$35,5,FALSE)</f>
        <v>439</v>
      </c>
      <c r="P55" s="302">
        <f>VLOOKUP($F55,'[3]5.급수원단위'!$B$31:$G$35,6,FALSE)</f>
        <v>454</v>
      </c>
      <c r="Q55" s="302">
        <f>ROUND(IF(G55=0,0,VLOOKUP(C55,'2013실사용량 정리'!$D$6:$F$381,3,FALSE)),0)</f>
        <v>15</v>
      </c>
      <c r="R55" s="302">
        <f t="shared" si="8"/>
        <v>26</v>
      </c>
      <c r="S55" s="302">
        <f t="shared" si="8"/>
        <v>29</v>
      </c>
      <c r="T55" s="302">
        <f t="shared" si="8"/>
        <v>31</v>
      </c>
      <c r="U55" s="302">
        <f t="shared" si="8"/>
        <v>33</v>
      </c>
      <c r="W55" s="343">
        <f t="shared" si="7"/>
        <v>2.2000000000000002</v>
      </c>
    </row>
    <row r="56" spans="1:23" ht="20.100000000000001" customHeight="1">
      <c r="A56" s="340"/>
      <c r="B56" s="340"/>
      <c r="C56" s="406" t="s">
        <v>1368</v>
      </c>
      <c r="D56" s="330" t="s">
        <v>1808</v>
      </c>
      <c r="E56" s="527">
        <f>1-'2.생활용수(연무)'!E83</f>
        <v>1</v>
      </c>
      <c r="F56" s="527" t="s">
        <v>1331</v>
      </c>
      <c r="G56" s="302">
        <f>IF($D56="A",ROUND(VLOOKUP($C56,'[2]2.행정구역별 급수인구'!$C$7:$AD$997,17,FALSE)*$E56,0),IF($D56="B",(ROUND(VLOOKUP($C56,'[2]2.행정구역별 급수인구'!$C$7:$AD$997,17,FALSE)-VLOOKUP($C56,'[2]2.행정구역별 급수인구'!$C$7:$AD$997,17,FALSE)*(1-$E56),0)),VLOOKUP($C56,'[2]2.행정구역별 급수인구'!$C$7:$AD$997,17,FALSE)))</f>
        <v>170</v>
      </c>
      <c r="H56" s="302">
        <f>IF($D56="A",ROUND(VLOOKUP($C56,'[2]2.행정구역별 급수인구'!$C$7:$AD$997,25,FALSE)*$E56,0),IF($D56="B",(ROUND(VLOOKUP($C56,'[2]2.행정구역별 급수인구'!$C$7:$AD$997,25,FALSE)-VLOOKUP($C56,'[2]2.행정구역별 급수인구'!$C$7:$AD$997,25,FALSE)*(1-$E56),0)),VLOOKUP($C56,'[2]2.행정구역별 급수인구'!$C$7:$AD$997,25,FALSE)))</f>
        <v>167</v>
      </c>
      <c r="I56" s="302">
        <f>IF($D56="A",ROUND(VLOOKUP($C56,'[2]2.행정구역별 급수인구'!$C$7:$AD$997,26,FALSE)*$E56,0),IF($D56="B",(ROUND(VLOOKUP($C56,'[2]2.행정구역별 급수인구'!$C$7:$AD$997,26,FALSE)-VLOOKUP($C56,'[2]2.행정구역별 급수인구'!$C$7:$AD$997,26,FALSE)*(1-$E56),0)),VLOOKUP($C56,'[2]2.행정구역별 급수인구'!$C$7:$AD$997,26,FALSE)))</f>
        <v>173</v>
      </c>
      <c r="J56" s="302">
        <f>IF($D56="A",ROUND(VLOOKUP($C56,'[2]2.행정구역별 급수인구'!$C$7:$AD$997,27,FALSE)*$E56,0),IF($D56="B",(ROUND(VLOOKUP($C56,'[2]2.행정구역별 급수인구'!$C$7:$AD$997,27,FALSE)-VLOOKUP($C56,'[2]2.행정구역별 급수인구'!$C$7:$AD$997,27,FALSE)*(1-$E56),0)),VLOOKUP($C56,'[2]2.행정구역별 급수인구'!$C$7:$AD$997,27,FALSE)))</f>
        <v>177</v>
      </c>
      <c r="K56" s="302">
        <f>IF($D56="A",ROUND(VLOOKUP($C56,'[2]2.행정구역별 급수인구'!$C$7:$AD$997,28,FALSE)*$E56,0),IF($D56="B",(ROUND(VLOOKUP($C56,'[2]2.행정구역별 급수인구'!$C$7:$AD$997,28,FALSE)-VLOOKUP($C56,'[2]2.행정구역별 급수인구'!$C$7:$AD$997,28,FALSE)*(1-$E56),0)),VLOOKUP($C56,'[2]2.행정구역별 급수인구'!$C$7:$AD$997,28,FALSE)))</f>
        <v>180</v>
      </c>
      <c r="L56" s="302">
        <f>VLOOKUP($F56,'[3]5.급수원단위'!$B$31:$G$35,2,FALSE)</f>
        <v>365</v>
      </c>
      <c r="M56" s="302">
        <f>VLOOKUP($F56,'[3]5.급수원단위'!$B$31:$G$35,3,FALSE)</f>
        <v>390</v>
      </c>
      <c r="N56" s="302">
        <f>VLOOKUP($F56,'[3]5.급수원단위'!$B$31:$G$35,4,FALSE)</f>
        <v>417</v>
      </c>
      <c r="O56" s="302">
        <f>VLOOKUP($F56,'[3]5.급수원단위'!$B$31:$G$35,5,FALSE)</f>
        <v>439</v>
      </c>
      <c r="P56" s="302">
        <f>VLOOKUP($F56,'[3]5.급수원단위'!$B$31:$G$35,6,FALSE)</f>
        <v>454</v>
      </c>
      <c r="Q56" s="302">
        <f>ROUND(IF(G56=0,0,VLOOKUP(C56,'2013실사용량 정리'!$D$6:$F$381,3,FALSE)),0)</f>
        <v>38</v>
      </c>
      <c r="R56" s="302">
        <f t="shared" si="8"/>
        <v>65</v>
      </c>
      <c r="S56" s="302">
        <f t="shared" si="8"/>
        <v>72</v>
      </c>
      <c r="T56" s="302">
        <f t="shared" si="8"/>
        <v>78</v>
      </c>
      <c r="U56" s="302">
        <f t="shared" si="8"/>
        <v>82</v>
      </c>
      <c r="W56" s="343">
        <f t="shared" si="7"/>
        <v>2.1578947368421053</v>
      </c>
    </row>
    <row r="57" spans="1:23" ht="20.100000000000001" customHeight="1">
      <c r="A57" s="340"/>
      <c r="B57" s="340"/>
      <c r="C57" s="406" t="s">
        <v>1369</v>
      </c>
      <c r="D57" s="330" t="s">
        <v>1808</v>
      </c>
      <c r="E57" s="527">
        <f>1-'2.생활용수(연무)'!E84</f>
        <v>1</v>
      </c>
      <c r="F57" s="527" t="s">
        <v>1331</v>
      </c>
      <c r="G57" s="302">
        <f>IF($D57="A",ROUND(VLOOKUP($C57,'[2]2.행정구역별 급수인구'!$C$7:$AD$997,17,FALSE)*$E57,0),IF($D57="B",(ROUND(VLOOKUP($C57,'[2]2.행정구역별 급수인구'!$C$7:$AD$997,17,FALSE)-VLOOKUP($C57,'[2]2.행정구역별 급수인구'!$C$7:$AD$997,17,FALSE)*(1-$E57),0)),VLOOKUP($C57,'[2]2.행정구역별 급수인구'!$C$7:$AD$997,17,FALSE)))</f>
        <v>140</v>
      </c>
      <c r="H57" s="302">
        <f>IF($D57="A",ROUND(VLOOKUP($C57,'[2]2.행정구역별 급수인구'!$C$7:$AD$997,25,FALSE)*$E57,0),IF($D57="B",(ROUND(VLOOKUP($C57,'[2]2.행정구역별 급수인구'!$C$7:$AD$997,25,FALSE)-VLOOKUP($C57,'[2]2.행정구역별 급수인구'!$C$7:$AD$997,25,FALSE)*(1-$E57),0)),VLOOKUP($C57,'[2]2.행정구역별 급수인구'!$C$7:$AD$997,25,FALSE)))</f>
        <v>138</v>
      </c>
      <c r="I57" s="302">
        <f>IF($D57="A",ROUND(VLOOKUP($C57,'[2]2.행정구역별 급수인구'!$C$7:$AD$997,26,FALSE)*$E57,0),IF($D57="B",(ROUND(VLOOKUP($C57,'[2]2.행정구역별 급수인구'!$C$7:$AD$997,26,FALSE)-VLOOKUP($C57,'[2]2.행정구역별 급수인구'!$C$7:$AD$997,26,FALSE)*(1-$E57),0)),VLOOKUP($C57,'[2]2.행정구역별 급수인구'!$C$7:$AD$997,26,FALSE)))</f>
        <v>143</v>
      </c>
      <c r="J57" s="302">
        <f>IF($D57="A",ROUND(VLOOKUP($C57,'[2]2.행정구역별 급수인구'!$C$7:$AD$997,27,FALSE)*$E57,0),IF($D57="B",(ROUND(VLOOKUP($C57,'[2]2.행정구역별 급수인구'!$C$7:$AD$997,27,FALSE)-VLOOKUP($C57,'[2]2.행정구역별 급수인구'!$C$7:$AD$997,27,FALSE)*(1-$E57),0)),VLOOKUP($C57,'[2]2.행정구역별 급수인구'!$C$7:$AD$997,27,FALSE)))</f>
        <v>146</v>
      </c>
      <c r="K57" s="302">
        <f>IF($D57="A",ROUND(VLOOKUP($C57,'[2]2.행정구역별 급수인구'!$C$7:$AD$997,28,FALSE)*$E57,0),IF($D57="B",(ROUND(VLOOKUP($C57,'[2]2.행정구역별 급수인구'!$C$7:$AD$997,28,FALSE)-VLOOKUP($C57,'[2]2.행정구역별 급수인구'!$C$7:$AD$997,28,FALSE)*(1-$E57),0)),VLOOKUP($C57,'[2]2.행정구역별 급수인구'!$C$7:$AD$997,28,FALSE)))</f>
        <v>149</v>
      </c>
      <c r="L57" s="302">
        <f>VLOOKUP($F57,'[3]5.급수원단위'!$B$31:$G$35,2,FALSE)</f>
        <v>365</v>
      </c>
      <c r="M57" s="302">
        <f>VLOOKUP($F57,'[3]5.급수원단위'!$B$31:$G$35,3,FALSE)</f>
        <v>390</v>
      </c>
      <c r="N57" s="302">
        <f>VLOOKUP($F57,'[3]5.급수원단위'!$B$31:$G$35,4,FALSE)</f>
        <v>417</v>
      </c>
      <c r="O57" s="302">
        <f>VLOOKUP($F57,'[3]5.급수원단위'!$B$31:$G$35,5,FALSE)</f>
        <v>439</v>
      </c>
      <c r="P57" s="302">
        <f>VLOOKUP($F57,'[3]5.급수원단위'!$B$31:$G$35,6,FALSE)</f>
        <v>454</v>
      </c>
      <c r="Q57" s="302">
        <f>ROUND(IF(G57=0,0,VLOOKUP(C57,'2013실사용량 정리'!$D$6:$F$381,3,FALSE)),0)</f>
        <v>26</v>
      </c>
      <c r="R57" s="302">
        <f t="shared" si="8"/>
        <v>54</v>
      </c>
      <c r="S57" s="302">
        <f t="shared" si="8"/>
        <v>60</v>
      </c>
      <c r="T57" s="302">
        <f t="shared" si="8"/>
        <v>64</v>
      </c>
      <c r="U57" s="302">
        <f t="shared" si="8"/>
        <v>68</v>
      </c>
      <c r="W57" s="343">
        <f t="shared" si="7"/>
        <v>2.6153846153846154</v>
      </c>
    </row>
    <row r="58" spans="1:23" ht="20.100000000000001" customHeight="1">
      <c r="A58" s="340"/>
      <c r="B58" s="340"/>
      <c r="C58" s="406" t="s">
        <v>1370</v>
      </c>
      <c r="D58" s="330" t="s">
        <v>1808</v>
      </c>
      <c r="E58" s="527">
        <f>1-'2.생활용수(연무)'!E85</f>
        <v>1</v>
      </c>
      <c r="F58" s="527" t="s">
        <v>1331</v>
      </c>
      <c r="G58" s="302">
        <f>IF($D58="A",ROUND(VLOOKUP($C58,'[2]2.행정구역별 급수인구'!$C$7:$AD$997,17,FALSE)*$E58,0),IF($D58="B",(ROUND(VLOOKUP($C58,'[2]2.행정구역별 급수인구'!$C$7:$AD$997,17,FALSE)-VLOOKUP($C58,'[2]2.행정구역별 급수인구'!$C$7:$AD$997,17,FALSE)*(1-$E58),0)),VLOOKUP($C58,'[2]2.행정구역별 급수인구'!$C$7:$AD$997,17,FALSE)))</f>
        <v>98</v>
      </c>
      <c r="H58" s="302">
        <f>IF($D58="A",ROUND(VLOOKUP($C58,'[2]2.행정구역별 급수인구'!$C$7:$AD$997,25,FALSE)*$E58,0),IF($D58="B",(ROUND(VLOOKUP($C58,'[2]2.행정구역별 급수인구'!$C$7:$AD$997,25,FALSE)-VLOOKUP($C58,'[2]2.행정구역별 급수인구'!$C$7:$AD$997,25,FALSE)*(1-$E58),0)),VLOOKUP($C58,'[2]2.행정구역별 급수인구'!$C$7:$AD$997,25,FALSE)))</f>
        <v>96</v>
      </c>
      <c r="I58" s="302">
        <f>IF($D58="A",ROUND(VLOOKUP($C58,'[2]2.행정구역별 급수인구'!$C$7:$AD$997,26,FALSE)*$E58,0),IF($D58="B",(ROUND(VLOOKUP($C58,'[2]2.행정구역별 급수인구'!$C$7:$AD$997,26,FALSE)-VLOOKUP($C58,'[2]2.행정구역별 급수인구'!$C$7:$AD$997,26,FALSE)*(1-$E58),0)),VLOOKUP($C58,'[2]2.행정구역별 급수인구'!$C$7:$AD$997,26,FALSE)))</f>
        <v>99</v>
      </c>
      <c r="J58" s="302">
        <f>IF($D58="A",ROUND(VLOOKUP($C58,'[2]2.행정구역별 급수인구'!$C$7:$AD$997,27,FALSE)*$E58,0),IF($D58="B",(ROUND(VLOOKUP($C58,'[2]2.행정구역별 급수인구'!$C$7:$AD$997,27,FALSE)-VLOOKUP($C58,'[2]2.행정구역별 급수인구'!$C$7:$AD$997,27,FALSE)*(1-$E58),0)),VLOOKUP($C58,'[2]2.행정구역별 급수인구'!$C$7:$AD$997,27,FALSE)))</f>
        <v>102</v>
      </c>
      <c r="K58" s="302">
        <f>IF($D58="A",ROUND(VLOOKUP($C58,'[2]2.행정구역별 급수인구'!$C$7:$AD$997,28,FALSE)*$E58,0),IF($D58="B",(ROUND(VLOOKUP($C58,'[2]2.행정구역별 급수인구'!$C$7:$AD$997,28,FALSE)-VLOOKUP($C58,'[2]2.행정구역별 급수인구'!$C$7:$AD$997,28,FALSE)*(1-$E58),0)),VLOOKUP($C58,'[2]2.행정구역별 급수인구'!$C$7:$AD$997,28,FALSE)))</f>
        <v>104</v>
      </c>
      <c r="L58" s="302">
        <f>VLOOKUP($F58,'[3]5.급수원단위'!$B$31:$G$35,2,FALSE)</f>
        <v>365</v>
      </c>
      <c r="M58" s="302">
        <f>VLOOKUP($F58,'[3]5.급수원단위'!$B$31:$G$35,3,FALSE)</f>
        <v>390</v>
      </c>
      <c r="N58" s="302">
        <f>VLOOKUP($F58,'[3]5.급수원단위'!$B$31:$G$35,4,FALSE)</f>
        <v>417</v>
      </c>
      <c r="O58" s="302">
        <f>VLOOKUP($F58,'[3]5.급수원단위'!$B$31:$G$35,5,FALSE)</f>
        <v>439</v>
      </c>
      <c r="P58" s="302">
        <f>VLOOKUP($F58,'[3]5.급수원단위'!$B$31:$G$35,6,FALSE)</f>
        <v>454</v>
      </c>
      <c r="Q58" s="302">
        <f>ROUND(IF(G58=0,0,VLOOKUP(C58,'2013실사용량 정리'!$D$6:$F$381,3,FALSE)),0)</f>
        <v>18</v>
      </c>
      <c r="R58" s="302">
        <f t="shared" si="8"/>
        <v>37</v>
      </c>
      <c r="S58" s="302">
        <f t="shared" si="8"/>
        <v>41</v>
      </c>
      <c r="T58" s="302">
        <f t="shared" si="8"/>
        <v>45</v>
      </c>
      <c r="U58" s="302">
        <f t="shared" si="8"/>
        <v>47</v>
      </c>
      <c r="W58" s="343">
        <f t="shared" si="7"/>
        <v>2.6111111111111112</v>
      </c>
    </row>
    <row r="59" spans="1:23" ht="20.100000000000001" customHeight="1">
      <c r="A59" s="340"/>
      <c r="B59" s="340"/>
      <c r="C59" s="406" t="s">
        <v>1371</v>
      </c>
      <c r="D59" s="330" t="s">
        <v>1808</v>
      </c>
      <c r="E59" s="527">
        <f>1-'2.생활용수(연무)'!E86</f>
        <v>1</v>
      </c>
      <c r="F59" s="527" t="s">
        <v>1331</v>
      </c>
      <c r="G59" s="302">
        <f>IF($D59="A",ROUND(VLOOKUP($C59,'[2]2.행정구역별 급수인구'!$C$7:$AD$997,17,FALSE)*$E59,0),IF($D59="B",(ROUND(VLOOKUP($C59,'[2]2.행정구역별 급수인구'!$C$7:$AD$997,17,FALSE)-VLOOKUP($C59,'[2]2.행정구역별 급수인구'!$C$7:$AD$997,17,FALSE)*(1-$E59),0)),VLOOKUP($C59,'[2]2.행정구역별 급수인구'!$C$7:$AD$997,17,FALSE)))</f>
        <v>0</v>
      </c>
      <c r="H59" s="302">
        <f>IF($D59="A",ROUND(VLOOKUP($C59,'[2]2.행정구역별 급수인구'!$C$7:$AD$997,25,FALSE)*$E59,0),IF($D59="B",(ROUND(VLOOKUP($C59,'[2]2.행정구역별 급수인구'!$C$7:$AD$997,25,FALSE)-VLOOKUP($C59,'[2]2.행정구역별 급수인구'!$C$7:$AD$997,25,FALSE)*(1-$E59),0)),VLOOKUP($C59,'[2]2.행정구역별 급수인구'!$C$7:$AD$997,25,FALSE)))</f>
        <v>186</v>
      </c>
      <c r="I59" s="302">
        <f>IF($D59="A",ROUND(VLOOKUP($C59,'[2]2.행정구역별 급수인구'!$C$7:$AD$997,26,FALSE)*$E59,0),IF($D59="B",(ROUND(VLOOKUP($C59,'[2]2.행정구역별 급수인구'!$C$7:$AD$997,26,FALSE)-VLOOKUP($C59,'[2]2.행정구역별 급수인구'!$C$7:$AD$997,26,FALSE)*(1-$E59),0)),VLOOKUP($C59,'[2]2.행정구역별 급수인구'!$C$7:$AD$997,26,FALSE)))</f>
        <v>193</v>
      </c>
      <c r="J59" s="302">
        <f>IF($D59="A",ROUND(VLOOKUP($C59,'[2]2.행정구역별 급수인구'!$C$7:$AD$997,27,FALSE)*$E59,0),IF($D59="B",(ROUND(VLOOKUP($C59,'[2]2.행정구역별 급수인구'!$C$7:$AD$997,27,FALSE)-VLOOKUP($C59,'[2]2.행정구역별 급수인구'!$C$7:$AD$997,27,FALSE)*(1-$E59),0)),VLOOKUP($C59,'[2]2.행정구역별 급수인구'!$C$7:$AD$997,27,FALSE)))</f>
        <v>197</v>
      </c>
      <c r="K59" s="302">
        <f>IF($D59="A",ROUND(VLOOKUP($C59,'[2]2.행정구역별 급수인구'!$C$7:$AD$997,28,FALSE)*$E59,0),IF($D59="B",(ROUND(VLOOKUP($C59,'[2]2.행정구역별 급수인구'!$C$7:$AD$997,28,FALSE)-VLOOKUP($C59,'[2]2.행정구역별 급수인구'!$C$7:$AD$997,28,FALSE)*(1-$E59),0)),VLOOKUP($C59,'[2]2.행정구역별 급수인구'!$C$7:$AD$997,28,FALSE)))</f>
        <v>201</v>
      </c>
      <c r="L59" s="302">
        <f>VLOOKUP($F59,'[3]5.급수원단위'!$B$31:$G$35,2,FALSE)</f>
        <v>365</v>
      </c>
      <c r="M59" s="302">
        <f>VLOOKUP($F59,'[3]5.급수원단위'!$B$31:$G$35,3,FALSE)</f>
        <v>390</v>
      </c>
      <c r="N59" s="302">
        <f>VLOOKUP($F59,'[3]5.급수원단위'!$B$31:$G$35,4,FALSE)</f>
        <v>417</v>
      </c>
      <c r="O59" s="302">
        <f>VLOOKUP($F59,'[3]5.급수원단위'!$B$31:$G$35,5,FALSE)</f>
        <v>439</v>
      </c>
      <c r="P59" s="302">
        <f>VLOOKUP($F59,'[3]5.급수원단위'!$B$31:$G$35,6,FALSE)</f>
        <v>454</v>
      </c>
      <c r="Q59" s="302">
        <f>ROUND(IF(G59=0,0,VLOOKUP(C59,'2013실사용량 정리'!$D$6:$F$381,3,FALSE)),0)</f>
        <v>0</v>
      </c>
      <c r="R59" s="302">
        <f t="shared" si="8"/>
        <v>73</v>
      </c>
      <c r="S59" s="302">
        <f t="shared" si="8"/>
        <v>80</v>
      </c>
      <c r="T59" s="302">
        <f t="shared" si="8"/>
        <v>86</v>
      </c>
      <c r="U59" s="302">
        <f t="shared" si="8"/>
        <v>91</v>
      </c>
      <c r="W59" s="343" t="str">
        <f t="shared" si="7"/>
        <v/>
      </c>
    </row>
    <row r="60" spans="1:23" ht="20.100000000000001" customHeight="1">
      <c r="A60" s="340"/>
      <c r="B60" s="340"/>
      <c r="C60" s="406" t="s">
        <v>1372</v>
      </c>
      <c r="D60" s="330" t="s">
        <v>1808</v>
      </c>
      <c r="E60" s="527">
        <f>1-'2.생활용수(연무)'!E87</f>
        <v>1</v>
      </c>
      <c r="F60" s="527" t="s">
        <v>1331</v>
      </c>
      <c r="G60" s="302">
        <f>IF($D60="A",ROUND(VLOOKUP($C60,'[2]2.행정구역별 급수인구'!$C$7:$AD$997,17,FALSE)*$E60,0),IF($D60="B",(ROUND(VLOOKUP($C60,'[2]2.행정구역별 급수인구'!$C$7:$AD$997,17,FALSE)-VLOOKUP($C60,'[2]2.행정구역별 급수인구'!$C$7:$AD$997,17,FALSE)*(1-$E60),0)),VLOOKUP($C60,'[2]2.행정구역별 급수인구'!$C$7:$AD$997,17,FALSE)))</f>
        <v>145</v>
      </c>
      <c r="H60" s="302">
        <f>IF($D60="A",ROUND(VLOOKUP($C60,'[2]2.행정구역별 급수인구'!$C$7:$AD$997,25,FALSE)*$E60,0),IF($D60="B",(ROUND(VLOOKUP($C60,'[2]2.행정구역별 급수인구'!$C$7:$AD$997,25,FALSE)-VLOOKUP($C60,'[2]2.행정구역별 급수인구'!$C$7:$AD$997,25,FALSE)*(1-$E60),0)),VLOOKUP($C60,'[2]2.행정구역별 급수인구'!$C$7:$AD$997,25,FALSE)))</f>
        <v>143</v>
      </c>
      <c r="I60" s="302">
        <f>IF($D60="A",ROUND(VLOOKUP($C60,'[2]2.행정구역별 급수인구'!$C$7:$AD$997,26,FALSE)*$E60,0),IF($D60="B",(ROUND(VLOOKUP($C60,'[2]2.행정구역별 급수인구'!$C$7:$AD$997,26,FALSE)-VLOOKUP($C60,'[2]2.행정구역별 급수인구'!$C$7:$AD$997,26,FALSE)*(1-$E60),0)),VLOOKUP($C60,'[2]2.행정구역별 급수인구'!$C$7:$AD$997,26,FALSE)))</f>
        <v>148</v>
      </c>
      <c r="J60" s="302">
        <f>IF($D60="A",ROUND(VLOOKUP($C60,'[2]2.행정구역별 급수인구'!$C$7:$AD$997,27,FALSE)*$E60,0),IF($D60="B",(ROUND(VLOOKUP($C60,'[2]2.행정구역별 급수인구'!$C$7:$AD$997,27,FALSE)-VLOOKUP($C60,'[2]2.행정구역별 급수인구'!$C$7:$AD$997,27,FALSE)*(1-$E60),0)),VLOOKUP($C60,'[2]2.행정구역별 급수인구'!$C$7:$AD$997,27,FALSE)))</f>
        <v>151</v>
      </c>
      <c r="K60" s="302">
        <f>IF($D60="A",ROUND(VLOOKUP($C60,'[2]2.행정구역별 급수인구'!$C$7:$AD$997,28,FALSE)*$E60,0),IF($D60="B",(ROUND(VLOOKUP($C60,'[2]2.행정구역별 급수인구'!$C$7:$AD$997,28,FALSE)-VLOOKUP($C60,'[2]2.행정구역별 급수인구'!$C$7:$AD$997,28,FALSE)*(1-$E60),0)),VLOOKUP($C60,'[2]2.행정구역별 급수인구'!$C$7:$AD$997,28,FALSE)))</f>
        <v>153</v>
      </c>
      <c r="L60" s="302">
        <f>VLOOKUP($F60,'[3]5.급수원단위'!$B$31:$G$35,2,FALSE)</f>
        <v>365</v>
      </c>
      <c r="M60" s="302">
        <f>VLOOKUP($F60,'[3]5.급수원단위'!$B$31:$G$35,3,FALSE)</f>
        <v>390</v>
      </c>
      <c r="N60" s="302">
        <f>VLOOKUP($F60,'[3]5.급수원단위'!$B$31:$G$35,4,FALSE)</f>
        <v>417</v>
      </c>
      <c r="O60" s="302">
        <f>VLOOKUP($F60,'[3]5.급수원단위'!$B$31:$G$35,5,FALSE)</f>
        <v>439</v>
      </c>
      <c r="P60" s="302">
        <f>VLOOKUP($F60,'[3]5.급수원단위'!$B$31:$G$35,6,FALSE)</f>
        <v>454</v>
      </c>
      <c r="Q60" s="302">
        <f>ROUND(IF(G60=0,0,VLOOKUP(C60,'2013실사용량 정리'!$D$6:$F$381,3,FALSE)),0)</f>
        <v>27</v>
      </c>
      <c r="R60" s="302">
        <f t="shared" si="8"/>
        <v>56</v>
      </c>
      <c r="S60" s="302">
        <f t="shared" si="8"/>
        <v>62</v>
      </c>
      <c r="T60" s="302">
        <f t="shared" si="8"/>
        <v>66</v>
      </c>
      <c r="U60" s="302">
        <f t="shared" si="8"/>
        <v>69</v>
      </c>
      <c r="W60" s="343">
        <f t="shared" si="7"/>
        <v>2.5555555555555554</v>
      </c>
    </row>
    <row r="61" spans="1:23" ht="20.100000000000001" customHeight="1">
      <c r="A61" s="340"/>
      <c r="B61" s="340"/>
      <c r="C61" s="406" t="s">
        <v>1373</v>
      </c>
      <c r="D61" s="330" t="s">
        <v>1808</v>
      </c>
      <c r="E61" s="527">
        <f>1-'2.생활용수(연무)'!E88</f>
        <v>1</v>
      </c>
      <c r="F61" s="527" t="s">
        <v>1331</v>
      </c>
      <c r="G61" s="302">
        <f>IF($D61="A",ROUND(VLOOKUP($C61,'[2]2.행정구역별 급수인구'!$C$7:$AD$997,17,FALSE)*$E61,0),IF($D61="B",(ROUND(VLOOKUP($C61,'[2]2.행정구역별 급수인구'!$C$7:$AD$997,17,FALSE)-VLOOKUP($C61,'[2]2.행정구역별 급수인구'!$C$7:$AD$997,17,FALSE)*(1-$E61),0)),VLOOKUP($C61,'[2]2.행정구역별 급수인구'!$C$7:$AD$997,17,FALSE)))</f>
        <v>64</v>
      </c>
      <c r="H61" s="302">
        <f>IF($D61="A",ROUND(VLOOKUP($C61,'[2]2.행정구역별 급수인구'!$C$7:$AD$997,25,FALSE)*$E61,0),IF($D61="B",(ROUND(VLOOKUP($C61,'[2]2.행정구역별 급수인구'!$C$7:$AD$997,25,FALSE)-VLOOKUP($C61,'[2]2.행정구역별 급수인구'!$C$7:$AD$997,25,FALSE)*(1-$E61),0)),VLOOKUP($C61,'[2]2.행정구역별 급수인구'!$C$7:$AD$997,25,FALSE)))</f>
        <v>63</v>
      </c>
      <c r="I61" s="302">
        <f>IF($D61="A",ROUND(VLOOKUP($C61,'[2]2.행정구역별 급수인구'!$C$7:$AD$997,26,FALSE)*$E61,0),IF($D61="B",(ROUND(VLOOKUP($C61,'[2]2.행정구역별 급수인구'!$C$7:$AD$997,26,FALSE)-VLOOKUP($C61,'[2]2.행정구역별 급수인구'!$C$7:$AD$997,26,FALSE)*(1-$E61),0)),VLOOKUP($C61,'[2]2.행정구역별 급수인구'!$C$7:$AD$997,26,FALSE)))</f>
        <v>64</v>
      </c>
      <c r="J61" s="302">
        <f>IF($D61="A",ROUND(VLOOKUP($C61,'[2]2.행정구역별 급수인구'!$C$7:$AD$997,27,FALSE)*$E61,0),IF($D61="B",(ROUND(VLOOKUP($C61,'[2]2.행정구역별 급수인구'!$C$7:$AD$997,27,FALSE)-VLOOKUP($C61,'[2]2.행정구역별 급수인구'!$C$7:$AD$997,27,FALSE)*(1-$E61),0)),VLOOKUP($C61,'[2]2.행정구역별 급수인구'!$C$7:$AD$997,27,FALSE)))</f>
        <v>66</v>
      </c>
      <c r="K61" s="302">
        <f>IF($D61="A",ROUND(VLOOKUP($C61,'[2]2.행정구역별 급수인구'!$C$7:$AD$997,28,FALSE)*$E61,0),IF($D61="B",(ROUND(VLOOKUP($C61,'[2]2.행정구역별 급수인구'!$C$7:$AD$997,28,FALSE)-VLOOKUP($C61,'[2]2.행정구역별 급수인구'!$C$7:$AD$997,28,FALSE)*(1-$E61),0)),VLOOKUP($C61,'[2]2.행정구역별 급수인구'!$C$7:$AD$997,28,FALSE)))</f>
        <v>67</v>
      </c>
      <c r="L61" s="302">
        <f>VLOOKUP($F61,'[3]5.급수원단위'!$B$31:$G$35,2,FALSE)</f>
        <v>365</v>
      </c>
      <c r="M61" s="302">
        <f>VLOOKUP($F61,'[3]5.급수원단위'!$B$31:$G$35,3,FALSE)</f>
        <v>390</v>
      </c>
      <c r="N61" s="302">
        <f>VLOOKUP($F61,'[3]5.급수원단위'!$B$31:$G$35,4,FALSE)</f>
        <v>417</v>
      </c>
      <c r="O61" s="302">
        <f>VLOOKUP($F61,'[3]5.급수원단위'!$B$31:$G$35,5,FALSE)</f>
        <v>439</v>
      </c>
      <c r="P61" s="302">
        <f>VLOOKUP($F61,'[3]5.급수원단위'!$B$31:$G$35,6,FALSE)</f>
        <v>454</v>
      </c>
      <c r="Q61" s="302">
        <f>ROUND(IF(G61=0,0,VLOOKUP(C61,'2013실사용량 정리'!$D$6:$F$381,3,FALSE)),0)</f>
        <v>12</v>
      </c>
      <c r="R61" s="302">
        <f t="shared" si="8"/>
        <v>25</v>
      </c>
      <c r="S61" s="302">
        <f t="shared" si="8"/>
        <v>27</v>
      </c>
      <c r="T61" s="302">
        <f t="shared" si="8"/>
        <v>29</v>
      </c>
      <c r="U61" s="302">
        <f t="shared" si="8"/>
        <v>30</v>
      </c>
      <c r="W61" s="343">
        <f t="shared" si="7"/>
        <v>2.5</v>
      </c>
    </row>
    <row r="62" spans="1:23" ht="20.100000000000001" customHeight="1">
      <c r="A62" s="340"/>
      <c r="B62" s="386"/>
      <c r="C62" s="406" t="s">
        <v>1374</v>
      </c>
      <c r="D62" s="330" t="s">
        <v>1808</v>
      </c>
      <c r="E62" s="527">
        <f>1-'2.생활용수(연무)'!E89</f>
        <v>1</v>
      </c>
      <c r="F62" s="527" t="s">
        <v>1331</v>
      </c>
      <c r="G62" s="302">
        <f>IF($D62="A",ROUND(VLOOKUP($C62,'[2]2.행정구역별 급수인구'!$C$7:$AD$997,17,FALSE)*$E62,0),IF($D62="B",(ROUND(VLOOKUP($C62,'[2]2.행정구역별 급수인구'!$C$7:$AD$997,17,FALSE)-VLOOKUP($C62,'[2]2.행정구역별 급수인구'!$C$7:$AD$997,17,FALSE)*(1-$E62),0)),VLOOKUP($C62,'[2]2.행정구역별 급수인구'!$C$7:$AD$997,17,FALSE)))</f>
        <v>62</v>
      </c>
      <c r="H62" s="302">
        <f>IF($D62="A",ROUND(VLOOKUP($C62,'[2]2.행정구역별 급수인구'!$C$7:$AD$997,25,FALSE)*$E62,0),IF($D62="B",(ROUND(VLOOKUP($C62,'[2]2.행정구역별 급수인구'!$C$7:$AD$997,25,FALSE)-VLOOKUP($C62,'[2]2.행정구역별 급수인구'!$C$7:$AD$997,25,FALSE)*(1-$E62),0)),VLOOKUP($C62,'[2]2.행정구역별 급수인구'!$C$7:$AD$997,25,FALSE)))</f>
        <v>61</v>
      </c>
      <c r="I62" s="302">
        <f>IF($D62="A",ROUND(VLOOKUP($C62,'[2]2.행정구역별 급수인구'!$C$7:$AD$997,26,FALSE)*$E62,0),IF($D62="B",(ROUND(VLOOKUP($C62,'[2]2.행정구역별 급수인구'!$C$7:$AD$997,26,FALSE)-VLOOKUP($C62,'[2]2.행정구역별 급수인구'!$C$7:$AD$997,26,FALSE)*(1-$E62),0)),VLOOKUP($C62,'[2]2.행정구역별 급수인구'!$C$7:$AD$997,26,FALSE)))</f>
        <v>62</v>
      </c>
      <c r="J62" s="302">
        <f>IF($D62="A",ROUND(VLOOKUP($C62,'[2]2.행정구역별 급수인구'!$C$7:$AD$997,27,FALSE)*$E62,0),IF($D62="B",(ROUND(VLOOKUP($C62,'[2]2.행정구역별 급수인구'!$C$7:$AD$997,27,FALSE)-VLOOKUP($C62,'[2]2.행정구역별 급수인구'!$C$7:$AD$997,27,FALSE)*(1-$E62),0)),VLOOKUP($C62,'[2]2.행정구역별 급수인구'!$C$7:$AD$997,27,FALSE)))</f>
        <v>64</v>
      </c>
      <c r="K62" s="302">
        <f>IF($D62="A",ROUND(VLOOKUP($C62,'[2]2.행정구역별 급수인구'!$C$7:$AD$997,28,FALSE)*$E62,0),IF($D62="B",(ROUND(VLOOKUP($C62,'[2]2.행정구역별 급수인구'!$C$7:$AD$997,28,FALSE)-VLOOKUP($C62,'[2]2.행정구역별 급수인구'!$C$7:$AD$997,28,FALSE)*(1-$E62),0)),VLOOKUP($C62,'[2]2.행정구역별 급수인구'!$C$7:$AD$997,28,FALSE)))</f>
        <v>65</v>
      </c>
      <c r="L62" s="302">
        <f>VLOOKUP($F62,'[3]5.급수원단위'!$B$31:$G$35,2,FALSE)</f>
        <v>365</v>
      </c>
      <c r="M62" s="302">
        <f>VLOOKUP($F62,'[3]5.급수원단위'!$B$31:$G$35,3,FALSE)</f>
        <v>390</v>
      </c>
      <c r="N62" s="302">
        <f>VLOOKUP($F62,'[3]5.급수원단위'!$B$31:$G$35,4,FALSE)</f>
        <v>417</v>
      </c>
      <c r="O62" s="302">
        <f>VLOOKUP($F62,'[3]5.급수원단위'!$B$31:$G$35,5,FALSE)</f>
        <v>439</v>
      </c>
      <c r="P62" s="302">
        <f>VLOOKUP($F62,'[3]5.급수원단위'!$B$31:$G$35,6,FALSE)</f>
        <v>454</v>
      </c>
      <c r="Q62" s="302">
        <f>ROUND(IF(G62=0,0,VLOOKUP(C62,'2013실사용량 정리'!$D$6:$F$381,3,FALSE)),0)</f>
        <v>13</v>
      </c>
      <c r="R62" s="302">
        <f t="shared" si="8"/>
        <v>24</v>
      </c>
      <c r="S62" s="302">
        <f t="shared" si="8"/>
        <v>26</v>
      </c>
      <c r="T62" s="302">
        <f t="shared" si="8"/>
        <v>28</v>
      </c>
      <c r="U62" s="302">
        <f t="shared" si="8"/>
        <v>30</v>
      </c>
      <c r="W62" s="343">
        <f t="shared" si="7"/>
        <v>2.3076923076923075</v>
      </c>
    </row>
    <row r="63" spans="1:23" ht="20.100000000000001" customHeight="1">
      <c r="A63" s="340"/>
      <c r="B63" s="694" t="s">
        <v>1375</v>
      </c>
      <c r="C63" s="694"/>
      <c r="D63" s="694"/>
      <c r="E63" s="331"/>
      <c r="F63" s="331"/>
      <c r="G63" s="336">
        <f>SUM(G64:G88)</f>
        <v>421</v>
      </c>
      <c r="H63" s="336">
        <f t="shared" ref="H63:K63" si="9">SUM(H64:H88)</f>
        <v>844</v>
      </c>
      <c r="I63" s="336">
        <f t="shared" si="9"/>
        <v>0</v>
      </c>
      <c r="J63" s="336">
        <f t="shared" si="9"/>
        <v>0</v>
      </c>
      <c r="K63" s="336">
        <f t="shared" si="9"/>
        <v>0</v>
      </c>
      <c r="L63" s="336"/>
      <c r="M63" s="336"/>
      <c r="N63" s="336"/>
      <c r="O63" s="336"/>
      <c r="P63" s="336"/>
      <c r="Q63" s="336">
        <f t="shared" ref="Q63:U63" si="10">SUM(Q64:Q88)</f>
        <v>90</v>
      </c>
      <c r="R63" s="336">
        <f t="shared" si="10"/>
        <v>257</v>
      </c>
      <c r="S63" s="336">
        <f t="shared" si="10"/>
        <v>0</v>
      </c>
      <c r="T63" s="336">
        <f t="shared" si="10"/>
        <v>0</v>
      </c>
      <c r="U63" s="336">
        <f t="shared" si="10"/>
        <v>0</v>
      </c>
      <c r="V63" s="343">
        <f>VLOOKUP(B63,'2013년도 용수량 비율'!$A$5:$F$20,6,FALSE)</f>
        <v>0</v>
      </c>
      <c r="W63" s="343"/>
    </row>
    <row r="64" spans="1:23" ht="20.100000000000001" customHeight="1">
      <c r="A64" s="340"/>
      <c r="B64" s="339"/>
      <c r="C64" s="406" t="s">
        <v>1396</v>
      </c>
      <c r="D64" s="330" t="s">
        <v>1808</v>
      </c>
      <c r="E64" s="527">
        <f>1-'2.생활용수(연무)'!E91</f>
        <v>0</v>
      </c>
      <c r="F64" s="527" t="s">
        <v>1317</v>
      </c>
      <c r="G64" s="302">
        <f>IF($D64="A",ROUND(VLOOKUP($C64,'[2]2.행정구역별 급수인구'!$C$7:$AD$997,17,FALSE)*$E64,0),IF($D64="B",(ROUND(VLOOKUP($C64,'[2]2.행정구역별 급수인구'!$C$7:$AD$997,17,FALSE)-VLOOKUP($C64,'[2]2.행정구역별 급수인구'!$C$7:$AD$997,17,FALSE)*(1-$E64),0)),VLOOKUP($C64,'[2]2.행정구역별 급수인구'!$C$7:$AD$997,17,FALSE)))</f>
        <v>0</v>
      </c>
      <c r="H64" s="302">
        <f>IF($D64="A",ROUND(VLOOKUP($C64,'[2]2.행정구역별 급수인구'!$C$7:$AD$997,25,FALSE)*$E64,0),IF($D64="B",(ROUND(VLOOKUP($C64,'[2]2.행정구역별 급수인구'!$C$7:$AD$997,25,FALSE)-VLOOKUP($C64,'[2]2.행정구역별 급수인구'!$C$7:$AD$997,25,FALSE)*(1-$E64),0)),VLOOKUP($C64,'[2]2.행정구역별 급수인구'!$C$7:$AD$997,25,FALSE)))</f>
        <v>0</v>
      </c>
      <c r="I64" s="302"/>
      <c r="J64" s="302"/>
      <c r="K64" s="302"/>
      <c r="L64" s="302">
        <f>VLOOKUP($F64,'[3]5.급수원단위'!$B$31:$G$35,2,FALSE)</f>
        <v>272</v>
      </c>
      <c r="M64" s="302">
        <f>VLOOKUP($F64,'[3]5.급수원단위'!$B$31:$G$35,3,FALSE)</f>
        <v>304</v>
      </c>
      <c r="N64" s="302">
        <f>VLOOKUP($F64,'[3]5.급수원단위'!$B$31:$G$35,4,FALSE)</f>
        <v>308</v>
      </c>
      <c r="O64" s="302">
        <f>VLOOKUP($F64,'[3]5.급수원단위'!$B$31:$G$35,5,FALSE)</f>
        <v>310</v>
      </c>
      <c r="P64" s="302">
        <f>VLOOKUP($F64,'[3]5.급수원단위'!$B$31:$G$35,6,FALSE)</f>
        <v>310</v>
      </c>
      <c r="Q64" s="302">
        <f>ROUND(IF(G64=0,0,VLOOKUP(C64,'2013실사용량 정리'!$D$6:$F$381,3,FALSE)),0)</f>
        <v>0</v>
      </c>
      <c r="R64" s="302">
        <f t="shared" ref="R64:U79" si="11">ROUND(H64*M64/1000,0)</f>
        <v>0</v>
      </c>
      <c r="S64" s="302">
        <f t="shared" si="11"/>
        <v>0</v>
      </c>
      <c r="T64" s="302">
        <f t="shared" si="11"/>
        <v>0</v>
      </c>
      <c r="U64" s="302">
        <f t="shared" si="11"/>
        <v>0</v>
      </c>
      <c r="W64" s="343" t="str">
        <f t="shared" si="7"/>
        <v/>
      </c>
    </row>
    <row r="65" spans="1:45" ht="20.100000000000001" customHeight="1">
      <c r="A65" s="340"/>
      <c r="B65" s="340"/>
      <c r="C65" s="406" t="s">
        <v>1397</v>
      </c>
      <c r="D65" s="330" t="s">
        <v>1808</v>
      </c>
      <c r="E65" s="527">
        <f>1-'2.생활용수(연무)'!E92</f>
        <v>0</v>
      </c>
      <c r="F65" s="527" t="s">
        <v>1317</v>
      </c>
      <c r="G65" s="302">
        <f>IF($D65="A",ROUND(VLOOKUP($C65,'[2]2.행정구역별 급수인구'!$C$7:$AD$997,17,FALSE)*$E65,0),IF($D65="B",(ROUND(VLOOKUP($C65,'[2]2.행정구역별 급수인구'!$C$7:$AD$997,17,FALSE)-VLOOKUP($C65,'[2]2.행정구역별 급수인구'!$C$7:$AD$997,17,FALSE)*(1-$E65),0)),VLOOKUP($C65,'[2]2.행정구역별 급수인구'!$C$7:$AD$997,17,FALSE)))</f>
        <v>0</v>
      </c>
      <c r="H65" s="302">
        <f>IF($D65="A",ROUND(VLOOKUP($C65,'[2]2.행정구역별 급수인구'!$C$7:$AD$997,25,FALSE)*$E65,0),IF($D65="B",(ROUND(VLOOKUP($C65,'[2]2.행정구역별 급수인구'!$C$7:$AD$997,25,FALSE)-VLOOKUP($C65,'[2]2.행정구역별 급수인구'!$C$7:$AD$997,25,FALSE)*(1-$E65),0)),VLOOKUP($C65,'[2]2.행정구역별 급수인구'!$C$7:$AD$997,25,FALSE)))</f>
        <v>0</v>
      </c>
      <c r="I65" s="302"/>
      <c r="J65" s="302"/>
      <c r="K65" s="302"/>
      <c r="L65" s="302">
        <f>VLOOKUP($F65,'[3]5.급수원단위'!$B$31:$G$35,2,FALSE)</f>
        <v>272</v>
      </c>
      <c r="M65" s="302">
        <f>VLOOKUP($F65,'[3]5.급수원단위'!$B$31:$G$35,3,FALSE)</f>
        <v>304</v>
      </c>
      <c r="N65" s="302">
        <f>VLOOKUP($F65,'[3]5.급수원단위'!$B$31:$G$35,4,FALSE)</f>
        <v>308</v>
      </c>
      <c r="O65" s="302">
        <f>VLOOKUP($F65,'[3]5.급수원단위'!$B$31:$G$35,5,FALSE)</f>
        <v>310</v>
      </c>
      <c r="P65" s="302">
        <f>VLOOKUP($F65,'[3]5.급수원단위'!$B$31:$G$35,6,FALSE)</f>
        <v>310</v>
      </c>
      <c r="Q65" s="302">
        <f>ROUND(IF(G65=0,0,VLOOKUP(C65,'2013실사용량 정리'!$D$6:$F$381,3,FALSE)),0)</f>
        <v>0</v>
      </c>
      <c r="R65" s="302">
        <f t="shared" si="11"/>
        <v>0</v>
      </c>
      <c r="S65" s="302">
        <f t="shared" si="11"/>
        <v>0</v>
      </c>
      <c r="T65" s="302">
        <f t="shared" si="11"/>
        <v>0</v>
      </c>
      <c r="U65" s="302">
        <f t="shared" si="11"/>
        <v>0</v>
      </c>
      <c r="W65" s="343" t="str">
        <f t="shared" si="7"/>
        <v/>
      </c>
    </row>
    <row r="66" spans="1:45" ht="20.100000000000001" customHeight="1">
      <c r="A66" s="340"/>
      <c r="B66" s="340"/>
      <c r="C66" s="406" t="s">
        <v>1778</v>
      </c>
      <c r="D66" s="330" t="s">
        <v>1808</v>
      </c>
      <c r="E66" s="527">
        <f>1-'2.생활용수(연무)'!E93</f>
        <v>0</v>
      </c>
      <c r="F66" s="527" t="s">
        <v>756</v>
      </c>
      <c r="G66" s="302">
        <f>IF($D66="A",ROUND(VLOOKUP($C66,'[2]2.행정구역별 급수인구'!$C$7:$AD$997,17,FALSE)*$E66,0),IF($D66="B",(ROUND(VLOOKUP($C66,'[2]2.행정구역별 급수인구'!$C$7:$AD$997,17,FALSE)-VLOOKUP($C66,'[2]2.행정구역별 급수인구'!$C$7:$AD$997,17,FALSE)*(1-$E66),0)),VLOOKUP($C66,'[2]2.행정구역별 급수인구'!$C$7:$AD$997,17,FALSE)))</f>
        <v>0</v>
      </c>
      <c r="H66" s="302">
        <f>IF($D66="A",ROUND(VLOOKUP($C66,'[2]2.행정구역별 급수인구'!$C$7:$AD$997,25,FALSE)*$E66,0),IF($D66="B",(ROUND(VLOOKUP($C66,'[2]2.행정구역별 급수인구'!$C$7:$AD$997,25,FALSE)-VLOOKUP($C66,'[2]2.행정구역별 급수인구'!$C$7:$AD$997,25,FALSE)*(1-$E66),0)),VLOOKUP($C66,'[2]2.행정구역별 급수인구'!$C$7:$AD$997,25,FALSE)))</f>
        <v>0</v>
      </c>
      <c r="I66" s="302"/>
      <c r="J66" s="302"/>
      <c r="K66" s="302"/>
      <c r="L66" s="302">
        <f>VLOOKUP($F66,'[3]5.급수원단위'!$B$31:$G$35,2,FALSE)</f>
        <v>272</v>
      </c>
      <c r="M66" s="302">
        <f>VLOOKUP($F66,'[3]5.급수원단위'!$B$31:$G$35,3,FALSE)</f>
        <v>304</v>
      </c>
      <c r="N66" s="302">
        <f>VLOOKUP($F66,'[3]5.급수원단위'!$B$31:$G$35,4,FALSE)</f>
        <v>308</v>
      </c>
      <c r="O66" s="302">
        <f>VLOOKUP($F66,'[3]5.급수원단위'!$B$31:$G$35,5,FALSE)</f>
        <v>310</v>
      </c>
      <c r="P66" s="302">
        <f>VLOOKUP($F66,'[3]5.급수원단위'!$B$31:$G$35,6,FALSE)</f>
        <v>310</v>
      </c>
      <c r="Q66" s="302">
        <f>ROUND(IF(G66=0,0,VLOOKUP(C66,'2013실사용량 정리'!$D$6:$F$381,3,FALSE)),0)</f>
        <v>0</v>
      </c>
      <c r="R66" s="302">
        <f t="shared" si="11"/>
        <v>0</v>
      </c>
      <c r="S66" s="302">
        <f t="shared" si="11"/>
        <v>0</v>
      </c>
      <c r="T66" s="302">
        <f t="shared" si="11"/>
        <v>0</v>
      </c>
      <c r="U66" s="302">
        <f t="shared" si="11"/>
        <v>0</v>
      </c>
      <c r="W66" s="343" t="str">
        <f t="shared" si="7"/>
        <v/>
      </c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</row>
    <row r="67" spans="1:45" ht="20.100000000000001" customHeight="1">
      <c r="A67" s="340"/>
      <c r="B67" s="340"/>
      <c r="C67" s="406" t="s">
        <v>1376</v>
      </c>
      <c r="D67" s="330" t="s">
        <v>1808</v>
      </c>
      <c r="E67" s="527">
        <f>1-'2.생활용수(연무)'!E94</f>
        <v>1</v>
      </c>
      <c r="F67" s="527" t="s">
        <v>1317</v>
      </c>
      <c r="G67" s="302">
        <f>IF($D67="A",ROUND(VLOOKUP($C67,'[2]2.행정구역별 급수인구'!$C$7:$AD$997,17,FALSE)*$E67,0),IF($D67="B",(ROUND(VLOOKUP($C67,'[2]2.행정구역별 급수인구'!$C$7:$AD$997,17,FALSE)-VLOOKUP($C67,'[2]2.행정구역별 급수인구'!$C$7:$AD$997,17,FALSE)*(1-$E67),0)),VLOOKUP($C67,'[2]2.행정구역별 급수인구'!$C$7:$AD$997,17,FALSE)))</f>
        <v>0</v>
      </c>
      <c r="H67" s="302">
        <f>IF($D67="A",ROUND(VLOOKUP($C67,'[2]2.행정구역별 급수인구'!$C$7:$AD$997,25,FALSE)*$E67,0),IF($D67="B",(ROUND(VLOOKUP($C67,'[2]2.행정구역별 급수인구'!$C$7:$AD$997,25,FALSE)-VLOOKUP($C67,'[2]2.행정구역별 급수인구'!$C$7:$AD$997,25,FALSE)*(1-$E67),0)),VLOOKUP($C67,'[2]2.행정구역별 급수인구'!$C$7:$AD$997,25,FALSE)))</f>
        <v>130</v>
      </c>
      <c r="I67" s="302"/>
      <c r="J67" s="302"/>
      <c r="K67" s="302"/>
      <c r="L67" s="302">
        <f>VLOOKUP($F67,'[3]5.급수원단위'!$B$31:$G$35,2,FALSE)</f>
        <v>272</v>
      </c>
      <c r="M67" s="302">
        <f>VLOOKUP($F67,'[3]5.급수원단위'!$B$31:$G$35,3,FALSE)</f>
        <v>304</v>
      </c>
      <c r="N67" s="302">
        <f>VLOOKUP($F67,'[3]5.급수원단위'!$B$31:$G$35,4,FALSE)</f>
        <v>308</v>
      </c>
      <c r="O67" s="302">
        <f>VLOOKUP($F67,'[3]5.급수원단위'!$B$31:$G$35,5,FALSE)</f>
        <v>310</v>
      </c>
      <c r="P67" s="302">
        <f>VLOOKUP($F67,'[3]5.급수원단위'!$B$31:$G$35,6,FALSE)</f>
        <v>310</v>
      </c>
      <c r="Q67" s="302">
        <f>ROUND(IF(G67=0,0,VLOOKUP(C67,'2013실사용량 정리'!$D$6:$F$381,3,FALSE)),0)</f>
        <v>0</v>
      </c>
      <c r="R67" s="302">
        <f t="shared" si="11"/>
        <v>40</v>
      </c>
      <c r="S67" s="302">
        <f t="shared" si="11"/>
        <v>0</v>
      </c>
      <c r="T67" s="302">
        <f t="shared" si="11"/>
        <v>0</v>
      </c>
      <c r="U67" s="302">
        <f t="shared" si="11"/>
        <v>0</v>
      </c>
      <c r="W67" s="343" t="str">
        <f t="shared" si="7"/>
        <v/>
      </c>
    </row>
    <row r="68" spans="1:45" ht="20.100000000000001" customHeight="1">
      <c r="A68" s="340"/>
      <c r="B68" s="340"/>
      <c r="C68" s="406" t="s">
        <v>1377</v>
      </c>
      <c r="D68" s="330" t="s">
        <v>1808</v>
      </c>
      <c r="E68" s="527">
        <f>1-'2.생활용수(연무)'!E95</f>
        <v>1</v>
      </c>
      <c r="F68" s="527" t="s">
        <v>1317</v>
      </c>
      <c r="G68" s="302">
        <f>IF($D68="A",ROUND(VLOOKUP($C68,'[2]2.행정구역별 급수인구'!$C$7:$AD$997,17,FALSE)*$E68,0),IF($D68="B",(ROUND(VLOOKUP($C68,'[2]2.행정구역별 급수인구'!$C$7:$AD$997,17,FALSE)-VLOOKUP($C68,'[2]2.행정구역별 급수인구'!$C$7:$AD$997,17,FALSE)*(1-$E68),0)),VLOOKUP($C68,'[2]2.행정구역별 급수인구'!$C$7:$AD$997,17,FALSE)))</f>
        <v>0</v>
      </c>
      <c r="H68" s="302">
        <f>IF($D68="A",ROUND(VLOOKUP($C68,'[2]2.행정구역별 급수인구'!$C$7:$AD$997,25,FALSE)*$E68,0),IF($D68="B",(ROUND(VLOOKUP($C68,'[2]2.행정구역별 급수인구'!$C$7:$AD$997,25,FALSE)-VLOOKUP($C68,'[2]2.행정구역별 급수인구'!$C$7:$AD$997,25,FALSE)*(1-$E68),0)),VLOOKUP($C68,'[2]2.행정구역별 급수인구'!$C$7:$AD$997,25,FALSE)))</f>
        <v>195</v>
      </c>
      <c r="I68" s="302"/>
      <c r="J68" s="302"/>
      <c r="K68" s="302"/>
      <c r="L68" s="302">
        <f>VLOOKUP($F68,'[3]5.급수원단위'!$B$31:$G$35,2,FALSE)</f>
        <v>272</v>
      </c>
      <c r="M68" s="302">
        <f>VLOOKUP($F68,'[3]5.급수원단위'!$B$31:$G$35,3,FALSE)</f>
        <v>304</v>
      </c>
      <c r="N68" s="302">
        <f>VLOOKUP($F68,'[3]5.급수원단위'!$B$31:$G$35,4,FALSE)</f>
        <v>308</v>
      </c>
      <c r="O68" s="302">
        <f>VLOOKUP($F68,'[3]5.급수원단위'!$B$31:$G$35,5,FALSE)</f>
        <v>310</v>
      </c>
      <c r="P68" s="302">
        <f>VLOOKUP($F68,'[3]5.급수원단위'!$B$31:$G$35,6,FALSE)</f>
        <v>310</v>
      </c>
      <c r="Q68" s="302">
        <f>ROUND(IF(G68=0,0,VLOOKUP(C68,'2013실사용량 정리'!$D$6:$F$381,3,FALSE)),0)</f>
        <v>0</v>
      </c>
      <c r="R68" s="302">
        <f t="shared" si="11"/>
        <v>59</v>
      </c>
      <c r="S68" s="302">
        <f t="shared" si="11"/>
        <v>0</v>
      </c>
      <c r="T68" s="302">
        <f t="shared" si="11"/>
        <v>0</v>
      </c>
      <c r="U68" s="302">
        <f t="shared" si="11"/>
        <v>0</v>
      </c>
      <c r="W68" s="343" t="str">
        <f t="shared" si="7"/>
        <v/>
      </c>
    </row>
    <row r="69" spans="1:45" ht="20.100000000000001" customHeight="1">
      <c r="A69" s="340"/>
      <c r="B69" s="340"/>
      <c r="C69" s="406" t="s">
        <v>1378</v>
      </c>
      <c r="D69" s="330" t="s">
        <v>1808</v>
      </c>
      <c r="E69" s="527">
        <f>1-'2.생활용수(연무)'!E96</f>
        <v>1</v>
      </c>
      <c r="F69" s="527" t="s">
        <v>1317</v>
      </c>
      <c r="G69" s="302">
        <f>IF($D69="A",ROUND(VLOOKUP($C69,'[2]2.행정구역별 급수인구'!$C$7:$AD$997,17,FALSE)*$E69,0),IF($D69="B",(ROUND(VLOOKUP($C69,'[2]2.행정구역별 급수인구'!$C$7:$AD$997,17,FALSE)-VLOOKUP($C69,'[2]2.행정구역별 급수인구'!$C$7:$AD$997,17,FALSE)*(1-$E69),0)),VLOOKUP($C69,'[2]2.행정구역별 급수인구'!$C$7:$AD$997,17,FALSE)))</f>
        <v>0</v>
      </c>
      <c r="H69" s="302">
        <f>IF($D69="A",ROUND(VLOOKUP($C69,'[2]2.행정구역별 급수인구'!$C$7:$AD$997,25,FALSE)*$E69,0),IF($D69="B",(ROUND(VLOOKUP($C69,'[2]2.행정구역별 급수인구'!$C$7:$AD$997,25,FALSE)-VLOOKUP($C69,'[2]2.행정구역별 급수인구'!$C$7:$AD$997,25,FALSE)*(1-$E69),0)),VLOOKUP($C69,'[2]2.행정구역별 급수인구'!$C$7:$AD$997,25,FALSE)))</f>
        <v>76</v>
      </c>
      <c r="I69" s="302"/>
      <c r="J69" s="302"/>
      <c r="K69" s="302"/>
      <c r="L69" s="302">
        <f>VLOOKUP($F69,'[3]5.급수원단위'!$B$31:$G$35,2,FALSE)</f>
        <v>272</v>
      </c>
      <c r="M69" s="302">
        <f>VLOOKUP($F69,'[3]5.급수원단위'!$B$31:$G$35,3,FALSE)</f>
        <v>304</v>
      </c>
      <c r="N69" s="302">
        <f>VLOOKUP($F69,'[3]5.급수원단위'!$B$31:$G$35,4,FALSE)</f>
        <v>308</v>
      </c>
      <c r="O69" s="302">
        <f>VLOOKUP($F69,'[3]5.급수원단위'!$B$31:$G$35,5,FALSE)</f>
        <v>310</v>
      </c>
      <c r="P69" s="302">
        <f>VLOOKUP($F69,'[3]5.급수원단위'!$B$31:$G$35,6,FALSE)</f>
        <v>310</v>
      </c>
      <c r="Q69" s="302">
        <f>ROUND(IF(G69=0,0,VLOOKUP(C69,'2013실사용량 정리'!$D$6:$F$381,3,FALSE)),0)</f>
        <v>0</v>
      </c>
      <c r="R69" s="302">
        <f t="shared" si="11"/>
        <v>23</v>
      </c>
      <c r="S69" s="302">
        <f t="shared" si="11"/>
        <v>0</v>
      </c>
      <c r="T69" s="302">
        <f t="shared" si="11"/>
        <v>0</v>
      </c>
      <c r="U69" s="302">
        <f t="shared" si="11"/>
        <v>0</v>
      </c>
      <c r="W69" s="343" t="str">
        <f t="shared" si="7"/>
        <v/>
      </c>
    </row>
    <row r="70" spans="1:45" ht="20.100000000000001" customHeight="1">
      <c r="A70" s="340"/>
      <c r="B70" s="340"/>
      <c r="C70" s="406" t="s">
        <v>1379</v>
      </c>
      <c r="D70" s="330" t="s">
        <v>1808</v>
      </c>
      <c r="E70" s="527">
        <f>1-'2.생활용수(연무)'!E97</f>
        <v>1</v>
      </c>
      <c r="F70" s="527" t="s">
        <v>1317</v>
      </c>
      <c r="G70" s="302">
        <f>IF($D70="A",ROUND(VLOOKUP($C70,'[2]2.행정구역별 급수인구'!$C$7:$AD$997,17,FALSE)*$E70,0),IF($D70="B",(ROUND(VLOOKUP($C70,'[2]2.행정구역별 급수인구'!$C$7:$AD$997,17,FALSE)-VLOOKUP($C70,'[2]2.행정구역별 급수인구'!$C$7:$AD$997,17,FALSE)*(1-$E70),0)),VLOOKUP($C70,'[2]2.행정구역별 급수인구'!$C$7:$AD$997,17,FALSE)))</f>
        <v>0</v>
      </c>
      <c r="H70" s="302">
        <f>IF($D70="A",ROUND(VLOOKUP($C70,'[2]2.행정구역별 급수인구'!$C$7:$AD$997,25,FALSE)*$E70,0),IF($D70="B",(ROUND(VLOOKUP($C70,'[2]2.행정구역별 급수인구'!$C$7:$AD$997,25,FALSE)-VLOOKUP($C70,'[2]2.행정구역별 급수인구'!$C$7:$AD$997,25,FALSE)*(1-$E70),0)),VLOOKUP($C70,'[2]2.행정구역별 급수인구'!$C$7:$AD$997,25,FALSE)))</f>
        <v>0</v>
      </c>
      <c r="I70" s="302"/>
      <c r="J70" s="302"/>
      <c r="K70" s="302"/>
      <c r="L70" s="302">
        <f>VLOOKUP($F70,'[3]5.급수원단위'!$B$31:$G$35,2,FALSE)</f>
        <v>272</v>
      </c>
      <c r="M70" s="302">
        <f>VLOOKUP($F70,'[3]5.급수원단위'!$B$31:$G$35,3,FALSE)</f>
        <v>304</v>
      </c>
      <c r="N70" s="302">
        <f>VLOOKUP($F70,'[3]5.급수원단위'!$B$31:$G$35,4,FALSE)</f>
        <v>308</v>
      </c>
      <c r="O70" s="302">
        <f>VLOOKUP($F70,'[3]5.급수원단위'!$B$31:$G$35,5,FALSE)</f>
        <v>310</v>
      </c>
      <c r="P70" s="302">
        <f>VLOOKUP($F70,'[3]5.급수원단위'!$B$31:$G$35,6,FALSE)</f>
        <v>310</v>
      </c>
      <c r="Q70" s="302">
        <f>ROUND(IF(G70=0,0,VLOOKUP(C70,'2013실사용량 정리'!$D$6:$F$381,3,FALSE)),0)</f>
        <v>0</v>
      </c>
      <c r="R70" s="302">
        <f t="shared" si="11"/>
        <v>0</v>
      </c>
      <c r="S70" s="302">
        <f t="shared" si="11"/>
        <v>0</v>
      </c>
      <c r="T70" s="302">
        <f t="shared" si="11"/>
        <v>0</v>
      </c>
      <c r="U70" s="302">
        <f t="shared" si="11"/>
        <v>0</v>
      </c>
      <c r="W70" s="343" t="str">
        <f t="shared" si="7"/>
        <v/>
      </c>
    </row>
    <row r="71" spans="1:45" ht="20.100000000000001" customHeight="1">
      <c r="A71" s="340"/>
      <c r="B71" s="340"/>
      <c r="C71" s="406" t="s">
        <v>1380</v>
      </c>
      <c r="D71" s="330" t="s">
        <v>1808</v>
      </c>
      <c r="E71" s="527">
        <f>1-'2.생활용수(연무)'!E98</f>
        <v>1</v>
      </c>
      <c r="F71" s="527" t="s">
        <v>1317</v>
      </c>
      <c r="G71" s="302">
        <f>IF($D71="A",ROUND(VLOOKUP($C71,'[2]2.행정구역별 급수인구'!$C$7:$AD$997,17,FALSE)*$E71,0),IF($D71="B",(ROUND(VLOOKUP($C71,'[2]2.행정구역별 급수인구'!$C$7:$AD$997,17,FALSE)-VLOOKUP($C71,'[2]2.행정구역별 급수인구'!$C$7:$AD$997,17,FALSE)*(1-$E71),0)),VLOOKUP($C71,'[2]2.행정구역별 급수인구'!$C$7:$AD$997,17,FALSE)))</f>
        <v>0</v>
      </c>
      <c r="H71" s="302">
        <f>IF($D71="A",ROUND(VLOOKUP($C71,'[2]2.행정구역별 급수인구'!$C$7:$AD$997,25,FALSE)*$E71,0),IF($D71="B",(ROUND(VLOOKUP($C71,'[2]2.행정구역별 급수인구'!$C$7:$AD$997,25,FALSE)-VLOOKUP($C71,'[2]2.행정구역별 급수인구'!$C$7:$AD$997,25,FALSE)*(1-$E71),0)),VLOOKUP($C71,'[2]2.행정구역별 급수인구'!$C$7:$AD$997,25,FALSE)))</f>
        <v>0</v>
      </c>
      <c r="I71" s="302"/>
      <c r="J71" s="302"/>
      <c r="K71" s="302"/>
      <c r="L71" s="302">
        <f>VLOOKUP($F71,'[3]5.급수원단위'!$B$31:$G$35,2,FALSE)</f>
        <v>272</v>
      </c>
      <c r="M71" s="302">
        <f>VLOOKUP($F71,'[3]5.급수원단위'!$B$31:$G$35,3,FALSE)</f>
        <v>304</v>
      </c>
      <c r="N71" s="302">
        <f>VLOOKUP($F71,'[3]5.급수원단위'!$B$31:$G$35,4,FALSE)</f>
        <v>308</v>
      </c>
      <c r="O71" s="302">
        <f>VLOOKUP($F71,'[3]5.급수원단위'!$B$31:$G$35,5,FALSE)</f>
        <v>310</v>
      </c>
      <c r="P71" s="302">
        <f>VLOOKUP($F71,'[3]5.급수원단위'!$B$31:$G$35,6,FALSE)</f>
        <v>310</v>
      </c>
      <c r="Q71" s="302">
        <f>ROUND(IF(G71=0,0,VLOOKUP(C71,'2013실사용량 정리'!$D$6:$F$381,3,FALSE)),0)</f>
        <v>0</v>
      </c>
      <c r="R71" s="302">
        <f t="shared" si="11"/>
        <v>0</v>
      </c>
      <c r="S71" s="302">
        <f t="shared" si="11"/>
        <v>0</v>
      </c>
      <c r="T71" s="302">
        <f t="shared" si="11"/>
        <v>0</v>
      </c>
      <c r="U71" s="302">
        <f t="shared" si="11"/>
        <v>0</v>
      </c>
      <c r="W71" s="343" t="str">
        <f t="shared" si="7"/>
        <v/>
      </c>
    </row>
    <row r="72" spans="1:45" ht="20.100000000000001" customHeight="1">
      <c r="A72" s="340"/>
      <c r="B72" s="340"/>
      <c r="C72" s="406" t="s">
        <v>1381</v>
      </c>
      <c r="D72" s="330" t="s">
        <v>1808</v>
      </c>
      <c r="E72" s="527">
        <f>1-'2.생활용수(연무)'!E99</f>
        <v>1</v>
      </c>
      <c r="F72" s="527" t="s">
        <v>1317</v>
      </c>
      <c r="G72" s="302">
        <f>IF($D72="A",ROUND(VLOOKUP($C72,'[2]2.행정구역별 급수인구'!$C$7:$AD$997,17,FALSE)*$E72,0),IF($D72="B",(ROUND(VLOOKUP($C72,'[2]2.행정구역별 급수인구'!$C$7:$AD$997,17,FALSE)-VLOOKUP($C72,'[2]2.행정구역별 급수인구'!$C$7:$AD$997,17,FALSE)*(1-$E72),0)),VLOOKUP($C72,'[2]2.행정구역별 급수인구'!$C$7:$AD$997,17,FALSE)))</f>
        <v>149</v>
      </c>
      <c r="H72" s="302">
        <f>IF($D72="A",ROUND(VLOOKUP($C72,'[2]2.행정구역별 급수인구'!$C$7:$AD$997,25,FALSE)*$E72,0),IF($D72="B",(ROUND(VLOOKUP($C72,'[2]2.행정구역별 급수인구'!$C$7:$AD$997,25,FALSE)-VLOOKUP($C72,'[2]2.행정구역별 급수인구'!$C$7:$AD$997,25,FALSE)*(1-$E72),0)),VLOOKUP($C72,'[2]2.행정구역별 급수인구'!$C$7:$AD$997,25,FALSE)))</f>
        <v>157</v>
      </c>
      <c r="I72" s="302"/>
      <c r="J72" s="302"/>
      <c r="K72" s="302"/>
      <c r="L72" s="302">
        <f>VLOOKUP($F72,'[3]5.급수원단위'!$B$31:$G$35,2,FALSE)</f>
        <v>272</v>
      </c>
      <c r="M72" s="302">
        <f>VLOOKUP($F72,'[3]5.급수원단위'!$B$31:$G$35,3,FALSE)</f>
        <v>304</v>
      </c>
      <c r="N72" s="302">
        <f>VLOOKUP($F72,'[3]5.급수원단위'!$B$31:$G$35,4,FALSE)</f>
        <v>308</v>
      </c>
      <c r="O72" s="302">
        <f>VLOOKUP($F72,'[3]5.급수원단위'!$B$31:$G$35,5,FALSE)</f>
        <v>310</v>
      </c>
      <c r="P72" s="302">
        <f>VLOOKUP($F72,'[3]5.급수원단위'!$B$31:$G$35,6,FALSE)</f>
        <v>310</v>
      </c>
      <c r="Q72" s="302">
        <f>ROUND(IF(G72=0,0,VLOOKUP(C72,'2013실사용량 정리'!$D$6:$F$381,3,FALSE)),0)</f>
        <v>32</v>
      </c>
      <c r="R72" s="302">
        <f t="shared" si="11"/>
        <v>48</v>
      </c>
      <c r="S72" s="302">
        <f t="shared" si="11"/>
        <v>0</v>
      </c>
      <c r="T72" s="302">
        <f t="shared" si="11"/>
        <v>0</v>
      </c>
      <c r="U72" s="302">
        <f t="shared" si="11"/>
        <v>0</v>
      </c>
      <c r="W72" s="343">
        <f t="shared" ref="W72:W115" si="12">IF(ISERROR(U72/Q72),"",U72/Q72)</f>
        <v>0</v>
      </c>
    </row>
    <row r="73" spans="1:45" ht="20.100000000000001" customHeight="1">
      <c r="A73" s="340"/>
      <c r="B73" s="340"/>
      <c r="C73" s="406" t="s">
        <v>1382</v>
      </c>
      <c r="D73" s="330" t="s">
        <v>1808</v>
      </c>
      <c r="E73" s="527">
        <f>1-'2.생활용수(연무)'!E100</f>
        <v>1</v>
      </c>
      <c r="F73" s="527" t="s">
        <v>1317</v>
      </c>
      <c r="G73" s="302">
        <f>IF($D73="A",ROUND(VLOOKUP($C73,'[2]2.행정구역별 급수인구'!$C$7:$AD$997,17,FALSE)*$E73,0),IF($D73="B",(ROUND(VLOOKUP($C73,'[2]2.행정구역별 급수인구'!$C$7:$AD$997,17,FALSE)-VLOOKUP($C73,'[2]2.행정구역별 급수인구'!$C$7:$AD$997,17,FALSE)*(1-$E73),0)),VLOOKUP($C73,'[2]2.행정구역별 급수인구'!$C$7:$AD$997,17,FALSE)))</f>
        <v>272</v>
      </c>
      <c r="H73" s="302">
        <f>IF($D73="A",ROUND(VLOOKUP($C73,'[2]2.행정구역별 급수인구'!$C$7:$AD$997,25,FALSE)*$E73,0),IF($D73="B",(ROUND(VLOOKUP($C73,'[2]2.행정구역별 급수인구'!$C$7:$AD$997,25,FALSE)-VLOOKUP($C73,'[2]2.행정구역별 급수인구'!$C$7:$AD$997,25,FALSE)*(1-$E73),0)),VLOOKUP($C73,'[2]2.행정구역별 급수인구'!$C$7:$AD$997,25,FALSE)))</f>
        <v>286</v>
      </c>
      <c r="I73" s="302"/>
      <c r="J73" s="302"/>
      <c r="K73" s="302"/>
      <c r="L73" s="302">
        <f>VLOOKUP($F73,'[3]5.급수원단위'!$B$31:$G$35,2,FALSE)</f>
        <v>272</v>
      </c>
      <c r="M73" s="302">
        <f>VLOOKUP($F73,'[3]5.급수원단위'!$B$31:$G$35,3,FALSE)</f>
        <v>304</v>
      </c>
      <c r="N73" s="302">
        <f>VLOOKUP($F73,'[3]5.급수원단위'!$B$31:$G$35,4,FALSE)</f>
        <v>308</v>
      </c>
      <c r="O73" s="302">
        <f>VLOOKUP($F73,'[3]5.급수원단위'!$B$31:$G$35,5,FALSE)</f>
        <v>310</v>
      </c>
      <c r="P73" s="302">
        <f>VLOOKUP($F73,'[3]5.급수원단위'!$B$31:$G$35,6,FALSE)</f>
        <v>310</v>
      </c>
      <c r="Q73" s="302">
        <f>ROUND(IF(G73=0,0,VLOOKUP(C73,'2013실사용량 정리'!$D$6:$F$381,3,FALSE)),0)</f>
        <v>58</v>
      </c>
      <c r="R73" s="302">
        <f t="shared" si="11"/>
        <v>87</v>
      </c>
      <c r="S73" s="302">
        <f t="shared" si="11"/>
        <v>0</v>
      </c>
      <c r="T73" s="302">
        <f t="shared" si="11"/>
        <v>0</v>
      </c>
      <c r="U73" s="302">
        <f t="shared" si="11"/>
        <v>0</v>
      </c>
      <c r="W73" s="343">
        <f t="shared" si="12"/>
        <v>0</v>
      </c>
    </row>
    <row r="74" spans="1:45" ht="20.100000000000001" customHeight="1">
      <c r="A74" s="386"/>
      <c r="B74" s="386"/>
      <c r="C74" s="406" t="s">
        <v>1383</v>
      </c>
      <c r="D74" s="330" t="s">
        <v>1808</v>
      </c>
      <c r="E74" s="527">
        <f>1-'2.생활용수(연무)'!E101</f>
        <v>1</v>
      </c>
      <c r="F74" s="527" t="s">
        <v>1317</v>
      </c>
      <c r="G74" s="302">
        <f>IF($D74="A",ROUND(VLOOKUP($C74,'[2]2.행정구역별 급수인구'!$C$7:$AD$997,17,FALSE)*$E74,0),IF($D74="B",(ROUND(VLOOKUP($C74,'[2]2.행정구역별 급수인구'!$C$7:$AD$997,17,FALSE)-VLOOKUP($C74,'[2]2.행정구역별 급수인구'!$C$7:$AD$997,17,FALSE)*(1-$E74),0)),VLOOKUP($C74,'[2]2.행정구역별 급수인구'!$C$7:$AD$997,17,FALSE)))</f>
        <v>0</v>
      </c>
      <c r="H74" s="302">
        <f>IF($D74="A",ROUND(VLOOKUP($C74,'[2]2.행정구역별 급수인구'!$C$7:$AD$997,25,FALSE)*$E74,0),IF($D74="B",(ROUND(VLOOKUP($C74,'[2]2.행정구역별 급수인구'!$C$7:$AD$997,25,FALSE)-VLOOKUP($C74,'[2]2.행정구역별 급수인구'!$C$7:$AD$997,25,FALSE)*(1-$E74),0)),VLOOKUP($C74,'[2]2.행정구역별 급수인구'!$C$7:$AD$997,25,FALSE)))</f>
        <v>0</v>
      </c>
      <c r="I74" s="302"/>
      <c r="J74" s="302"/>
      <c r="K74" s="302"/>
      <c r="L74" s="302">
        <f>VLOOKUP($F74,'[3]5.급수원단위'!$B$31:$G$35,2,FALSE)</f>
        <v>272</v>
      </c>
      <c r="M74" s="302">
        <f>VLOOKUP($F74,'[3]5.급수원단위'!$B$31:$G$35,3,FALSE)</f>
        <v>304</v>
      </c>
      <c r="N74" s="302">
        <f>VLOOKUP($F74,'[3]5.급수원단위'!$B$31:$G$35,4,FALSE)</f>
        <v>308</v>
      </c>
      <c r="O74" s="302">
        <f>VLOOKUP($F74,'[3]5.급수원단위'!$B$31:$G$35,5,FALSE)</f>
        <v>310</v>
      </c>
      <c r="P74" s="302">
        <f>VLOOKUP($F74,'[3]5.급수원단위'!$B$31:$G$35,6,FALSE)</f>
        <v>310</v>
      </c>
      <c r="Q74" s="302">
        <f>ROUND(IF(G74=0,0,VLOOKUP(C74,'2013실사용량 정리'!$D$6:$F$381,3,FALSE)),0)</f>
        <v>0</v>
      </c>
      <c r="R74" s="302">
        <f t="shared" si="11"/>
        <v>0</v>
      </c>
      <c r="S74" s="302">
        <f t="shared" si="11"/>
        <v>0</v>
      </c>
      <c r="T74" s="302">
        <f t="shared" si="11"/>
        <v>0</v>
      </c>
      <c r="U74" s="302">
        <f t="shared" si="11"/>
        <v>0</v>
      </c>
      <c r="W74" s="343" t="str">
        <f t="shared" si="12"/>
        <v/>
      </c>
    </row>
    <row r="75" spans="1:45" ht="20.100000000000001" customHeight="1">
      <c r="A75" s="339"/>
      <c r="B75" s="339"/>
      <c r="C75" s="406" t="s">
        <v>1384</v>
      </c>
      <c r="D75" s="330" t="s">
        <v>1808</v>
      </c>
      <c r="E75" s="527">
        <f>1-'2.생활용수(연무)'!E102</f>
        <v>1</v>
      </c>
      <c r="F75" s="527" t="s">
        <v>1317</v>
      </c>
      <c r="G75" s="302">
        <f>IF($D75="A",ROUND(VLOOKUP($C75,'[2]2.행정구역별 급수인구'!$C$7:$AD$997,17,FALSE)*$E75,0),IF($D75="B",(ROUND(VLOOKUP($C75,'[2]2.행정구역별 급수인구'!$C$7:$AD$997,17,FALSE)-VLOOKUP($C75,'[2]2.행정구역별 급수인구'!$C$7:$AD$997,17,FALSE)*(1-$E75),0)),VLOOKUP($C75,'[2]2.행정구역별 급수인구'!$C$7:$AD$997,17,FALSE)))</f>
        <v>0</v>
      </c>
      <c r="H75" s="302">
        <f>IF($D75="A",ROUND(VLOOKUP($C75,'[2]2.행정구역별 급수인구'!$C$7:$AD$997,25,FALSE)*$E75,0),IF($D75="B",(ROUND(VLOOKUP($C75,'[2]2.행정구역별 급수인구'!$C$7:$AD$997,25,FALSE)-VLOOKUP($C75,'[2]2.행정구역별 급수인구'!$C$7:$AD$997,25,FALSE)*(1-$E75),0)),VLOOKUP($C75,'[2]2.행정구역별 급수인구'!$C$7:$AD$997,25,FALSE)))</f>
        <v>0</v>
      </c>
      <c r="I75" s="302"/>
      <c r="J75" s="302"/>
      <c r="K75" s="302"/>
      <c r="L75" s="302">
        <f>VLOOKUP($F75,'[3]5.급수원단위'!$B$31:$G$35,2,FALSE)</f>
        <v>272</v>
      </c>
      <c r="M75" s="302">
        <f>VLOOKUP($F75,'[3]5.급수원단위'!$B$31:$G$35,3,FALSE)</f>
        <v>304</v>
      </c>
      <c r="N75" s="302">
        <f>VLOOKUP($F75,'[3]5.급수원단위'!$B$31:$G$35,4,FALSE)</f>
        <v>308</v>
      </c>
      <c r="O75" s="302">
        <f>VLOOKUP($F75,'[3]5.급수원단위'!$B$31:$G$35,5,FALSE)</f>
        <v>310</v>
      </c>
      <c r="P75" s="302">
        <f>VLOOKUP($F75,'[3]5.급수원단위'!$B$31:$G$35,6,FALSE)</f>
        <v>310</v>
      </c>
      <c r="Q75" s="302">
        <f>ROUND(IF(G75=0,0,VLOOKUP(C75,'2013실사용량 정리'!$D$6:$F$381,3,FALSE)),0)</f>
        <v>0</v>
      </c>
      <c r="R75" s="302">
        <f t="shared" si="11"/>
        <v>0</v>
      </c>
      <c r="S75" s="302">
        <f t="shared" si="11"/>
        <v>0</v>
      </c>
      <c r="T75" s="302">
        <f t="shared" si="11"/>
        <v>0</v>
      </c>
      <c r="U75" s="302">
        <f t="shared" si="11"/>
        <v>0</v>
      </c>
      <c r="W75" s="343" t="str">
        <f t="shared" si="12"/>
        <v/>
      </c>
    </row>
    <row r="76" spans="1:45" ht="20.100000000000001" customHeight="1">
      <c r="A76" s="340"/>
      <c r="B76" s="340"/>
      <c r="C76" s="406" t="s">
        <v>1390</v>
      </c>
      <c r="D76" s="330" t="s">
        <v>1808</v>
      </c>
      <c r="E76" s="527">
        <f>1-'2.생활용수(연무)'!E103</f>
        <v>0</v>
      </c>
      <c r="F76" s="527" t="s">
        <v>1317</v>
      </c>
      <c r="G76" s="302">
        <f>IF($D76="A",ROUND(VLOOKUP($C76,'[2]2.행정구역별 급수인구'!$C$7:$AD$997,17,FALSE)*$E76,0),IF($D76="B",(ROUND(VLOOKUP($C76,'[2]2.행정구역별 급수인구'!$C$7:$AD$997,17,FALSE)-VLOOKUP($C76,'[2]2.행정구역별 급수인구'!$C$7:$AD$997,17,FALSE)*(1-$E76),0)),VLOOKUP($C76,'[2]2.행정구역별 급수인구'!$C$7:$AD$997,17,FALSE)))</f>
        <v>0</v>
      </c>
      <c r="H76" s="302">
        <f>IF($D76="A",ROUND(VLOOKUP($C76,'[2]2.행정구역별 급수인구'!$C$7:$AD$997,25,FALSE)*$E76,0),IF($D76="B",(ROUND(VLOOKUP($C76,'[2]2.행정구역별 급수인구'!$C$7:$AD$997,25,FALSE)-VLOOKUP($C76,'[2]2.행정구역별 급수인구'!$C$7:$AD$997,25,FALSE)*(1-$E76),0)),VLOOKUP($C76,'[2]2.행정구역별 급수인구'!$C$7:$AD$997,25,FALSE)))</f>
        <v>0</v>
      </c>
      <c r="I76" s="302"/>
      <c r="J76" s="302"/>
      <c r="K76" s="302"/>
      <c r="L76" s="302">
        <f>VLOOKUP($F76,'[3]5.급수원단위'!$B$31:$G$35,2,FALSE)</f>
        <v>272</v>
      </c>
      <c r="M76" s="302">
        <f>VLOOKUP($F76,'[3]5.급수원단위'!$B$31:$G$35,3,FALSE)</f>
        <v>304</v>
      </c>
      <c r="N76" s="302">
        <f>VLOOKUP($F76,'[3]5.급수원단위'!$B$31:$G$35,4,FALSE)</f>
        <v>308</v>
      </c>
      <c r="O76" s="302">
        <f>VLOOKUP($F76,'[3]5.급수원단위'!$B$31:$G$35,5,FALSE)</f>
        <v>310</v>
      </c>
      <c r="P76" s="302">
        <f>VLOOKUP($F76,'[3]5.급수원단위'!$B$31:$G$35,6,FALSE)</f>
        <v>310</v>
      </c>
      <c r="Q76" s="302">
        <f>ROUND(IF(G76=0,0,VLOOKUP(C76,'2013실사용량 정리'!$D$6:$F$381,3,FALSE)),0)</f>
        <v>0</v>
      </c>
      <c r="R76" s="302">
        <f t="shared" si="11"/>
        <v>0</v>
      </c>
      <c r="S76" s="302">
        <f t="shared" si="11"/>
        <v>0</v>
      </c>
      <c r="T76" s="302">
        <f t="shared" si="11"/>
        <v>0</v>
      </c>
      <c r="U76" s="302">
        <f t="shared" si="11"/>
        <v>0</v>
      </c>
      <c r="W76" s="343" t="str">
        <f t="shared" si="12"/>
        <v/>
      </c>
    </row>
    <row r="77" spans="1:45" ht="20.100000000000001" customHeight="1">
      <c r="A77" s="340"/>
      <c r="B77" s="340"/>
      <c r="C77" s="406" t="s">
        <v>1391</v>
      </c>
      <c r="D77" s="330" t="s">
        <v>1808</v>
      </c>
      <c r="E77" s="527">
        <f>1-'2.생활용수(연무)'!E104</f>
        <v>0</v>
      </c>
      <c r="F77" s="527" t="s">
        <v>1317</v>
      </c>
      <c r="G77" s="302">
        <f>IF($D77="A",ROUND(VLOOKUP($C77,'[2]2.행정구역별 급수인구'!$C$7:$AD$997,17,FALSE)*$E77,0),IF($D77="B",(ROUND(VLOOKUP($C77,'[2]2.행정구역별 급수인구'!$C$7:$AD$997,17,FALSE)-VLOOKUP($C77,'[2]2.행정구역별 급수인구'!$C$7:$AD$997,17,FALSE)*(1-$E77),0)),VLOOKUP($C77,'[2]2.행정구역별 급수인구'!$C$7:$AD$997,17,FALSE)))</f>
        <v>0</v>
      </c>
      <c r="H77" s="302">
        <f>IF($D77="A",ROUND(VLOOKUP($C77,'[2]2.행정구역별 급수인구'!$C$7:$AD$997,25,FALSE)*$E77,0),IF($D77="B",(ROUND(VLOOKUP($C77,'[2]2.행정구역별 급수인구'!$C$7:$AD$997,25,FALSE)-VLOOKUP($C77,'[2]2.행정구역별 급수인구'!$C$7:$AD$997,25,FALSE)*(1-$E77),0)),VLOOKUP($C77,'[2]2.행정구역별 급수인구'!$C$7:$AD$997,25,FALSE)))</f>
        <v>0</v>
      </c>
      <c r="I77" s="302"/>
      <c r="J77" s="302"/>
      <c r="K77" s="302"/>
      <c r="L77" s="302">
        <f>VLOOKUP($F77,'[3]5.급수원단위'!$B$31:$G$35,2,FALSE)</f>
        <v>272</v>
      </c>
      <c r="M77" s="302">
        <f>VLOOKUP($F77,'[3]5.급수원단위'!$B$31:$G$35,3,FALSE)</f>
        <v>304</v>
      </c>
      <c r="N77" s="302">
        <f>VLOOKUP($F77,'[3]5.급수원단위'!$B$31:$G$35,4,FALSE)</f>
        <v>308</v>
      </c>
      <c r="O77" s="302">
        <f>VLOOKUP($F77,'[3]5.급수원단위'!$B$31:$G$35,5,FALSE)</f>
        <v>310</v>
      </c>
      <c r="P77" s="302">
        <f>VLOOKUP($F77,'[3]5.급수원단위'!$B$31:$G$35,6,FALSE)</f>
        <v>310</v>
      </c>
      <c r="Q77" s="302">
        <f>ROUND(IF(G77=0,0,VLOOKUP(C77,'2013실사용량 정리'!$D$6:$F$381,3,FALSE)),0)</f>
        <v>0</v>
      </c>
      <c r="R77" s="302">
        <f t="shared" si="11"/>
        <v>0</v>
      </c>
      <c r="S77" s="302">
        <f t="shared" si="11"/>
        <v>0</v>
      </c>
      <c r="T77" s="302">
        <f t="shared" si="11"/>
        <v>0</v>
      </c>
      <c r="U77" s="302">
        <f t="shared" si="11"/>
        <v>0</v>
      </c>
      <c r="W77" s="343" t="str">
        <f t="shared" si="12"/>
        <v/>
      </c>
    </row>
    <row r="78" spans="1:45" ht="20.100000000000001" customHeight="1">
      <c r="A78" s="340"/>
      <c r="B78" s="340"/>
      <c r="C78" s="406" t="s">
        <v>1392</v>
      </c>
      <c r="D78" s="330" t="s">
        <v>1808</v>
      </c>
      <c r="E78" s="527">
        <f>1-'2.생활용수(연무)'!E105</f>
        <v>0</v>
      </c>
      <c r="F78" s="527" t="s">
        <v>1317</v>
      </c>
      <c r="G78" s="302">
        <f>IF($D78="A",ROUND(VLOOKUP($C78,'[2]2.행정구역별 급수인구'!$C$7:$AD$997,17,FALSE)*$E78,0),IF($D78="B",(ROUND(VLOOKUP($C78,'[2]2.행정구역별 급수인구'!$C$7:$AD$997,17,FALSE)-VLOOKUP($C78,'[2]2.행정구역별 급수인구'!$C$7:$AD$997,17,FALSE)*(1-$E78),0)),VLOOKUP($C78,'[2]2.행정구역별 급수인구'!$C$7:$AD$997,17,FALSE)))</f>
        <v>0</v>
      </c>
      <c r="H78" s="302">
        <f>IF($D78="A",ROUND(VLOOKUP($C78,'[2]2.행정구역별 급수인구'!$C$7:$AD$997,25,FALSE)*$E78,0),IF($D78="B",(ROUND(VLOOKUP($C78,'[2]2.행정구역별 급수인구'!$C$7:$AD$997,25,FALSE)-VLOOKUP($C78,'[2]2.행정구역별 급수인구'!$C$7:$AD$997,25,FALSE)*(1-$E78),0)),VLOOKUP($C78,'[2]2.행정구역별 급수인구'!$C$7:$AD$997,25,FALSE)))</f>
        <v>0</v>
      </c>
      <c r="I78" s="302"/>
      <c r="J78" s="302"/>
      <c r="K78" s="302"/>
      <c r="L78" s="302">
        <f>VLOOKUP($F78,'[3]5.급수원단위'!$B$31:$G$35,2,FALSE)</f>
        <v>272</v>
      </c>
      <c r="M78" s="302">
        <f>VLOOKUP($F78,'[3]5.급수원단위'!$B$31:$G$35,3,FALSE)</f>
        <v>304</v>
      </c>
      <c r="N78" s="302">
        <f>VLOOKUP($F78,'[3]5.급수원단위'!$B$31:$G$35,4,FALSE)</f>
        <v>308</v>
      </c>
      <c r="O78" s="302">
        <f>VLOOKUP($F78,'[3]5.급수원단위'!$B$31:$G$35,5,FALSE)</f>
        <v>310</v>
      </c>
      <c r="P78" s="302">
        <f>VLOOKUP($F78,'[3]5.급수원단위'!$B$31:$G$35,6,FALSE)</f>
        <v>310</v>
      </c>
      <c r="Q78" s="302">
        <f>ROUND(IF(G78=0,0,VLOOKUP(C78,'2013실사용량 정리'!$D$6:$F$381,3,FALSE)),0)</f>
        <v>0</v>
      </c>
      <c r="R78" s="302">
        <f t="shared" si="11"/>
        <v>0</v>
      </c>
      <c r="S78" s="302">
        <f t="shared" si="11"/>
        <v>0</v>
      </c>
      <c r="T78" s="302">
        <f t="shared" si="11"/>
        <v>0</v>
      </c>
      <c r="U78" s="302">
        <f t="shared" si="11"/>
        <v>0</v>
      </c>
      <c r="W78" s="343" t="str">
        <f t="shared" si="12"/>
        <v/>
      </c>
    </row>
    <row r="79" spans="1:45" ht="20.100000000000001" customHeight="1">
      <c r="A79" s="340"/>
      <c r="B79" s="340"/>
      <c r="C79" s="406" t="s">
        <v>1393</v>
      </c>
      <c r="D79" s="330" t="s">
        <v>1808</v>
      </c>
      <c r="E79" s="527">
        <f>1-'2.생활용수(연무)'!E106</f>
        <v>0</v>
      </c>
      <c r="F79" s="527" t="s">
        <v>1317</v>
      </c>
      <c r="G79" s="302">
        <f>IF($D79="A",ROUND(VLOOKUP($C79,'[2]2.행정구역별 급수인구'!$C$7:$AD$997,17,FALSE)*$E79,0),IF($D79="B",(ROUND(VLOOKUP($C79,'[2]2.행정구역별 급수인구'!$C$7:$AD$997,17,FALSE)-VLOOKUP($C79,'[2]2.행정구역별 급수인구'!$C$7:$AD$997,17,FALSE)*(1-$E79),0)),VLOOKUP($C79,'[2]2.행정구역별 급수인구'!$C$7:$AD$997,17,FALSE)))</f>
        <v>0</v>
      </c>
      <c r="H79" s="302">
        <f>IF($D79="A",ROUND(VLOOKUP($C79,'[2]2.행정구역별 급수인구'!$C$7:$AD$997,25,FALSE)*$E79,0),IF($D79="B",(ROUND(VLOOKUP($C79,'[2]2.행정구역별 급수인구'!$C$7:$AD$997,25,FALSE)-VLOOKUP($C79,'[2]2.행정구역별 급수인구'!$C$7:$AD$997,25,FALSE)*(1-$E79),0)),VLOOKUP($C79,'[2]2.행정구역별 급수인구'!$C$7:$AD$997,25,FALSE)))</f>
        <v>0</v>
      </c>
      <c r="I79" s="302"/>
      <c r="J79" s="302"/>
      <c r="K79" s="302"/>
      <c r="L79" s="302">
        <f>VLOOKUP($F79,'[3]5.급수원단위'!$B$31:$G$35,2,FALSE)</f>
        <v>272</v>
      </c>
      <c r="M79" s="302">
        <f>VLOOKUP($F79,'[3]5.급수원단위'!$B$31:$G$35,3,FALSE)</f>
        <v>304</v>
      </c>
      <c r="N79" s="302">
        <f>VLOOKUP($F79,'[3]5.급수원단위'!$B$31:$G$35,4,FALSE)</f>
        <v>308</v>
      </c>
      <c r="O79" s="302">
        <f>VLOOKUP($F79,'[3]5.급수원단위'!$B$31:$G$35,5,FALSE)</f>
        <v>310</v>
      </c>
      <c r="P79" s="302">
        <f>VLOOKUP($F79,'[3]5.급수원단위'!$B$31:$G$35,6,FALSE)</f>
        <v>310</v>
      </c>
      <c r="Q79" s="302">
        <f>ROUND(IF(G79=0,0,VLOOKUP(C79,'2013실사용량 정리'!$D$6:$F$381,3,FALSE)),0)</f>
        <v>0</v>
      </c>
      <c r="R79" s="302">
        <f t="shared" si="11"/>
        <v>0</v>
      </c>
      <c r="S79" s="302">
        <f t="shared" si="11"/>
        <v>0</v>
      </c>
      <c r="T79" s="302">
        <f t="shared" si="11"/>
        <v>0</v>
      </c>
      <c r="U79" s="302">
        <f t="shared" si="11"/>
        <v>0</v>
      </c>
      <c r="W79" s="343" t="str">
        <f t="shared" si="12"/>
        <v/>
      </c>
    </row>
    <row r="80" spans="1:45" ht="20.100000000000001" customHeight="1">
      <c r="A80" s="340"/>
      <c r="B80" s="340"/>
      <c r="C80" s="406" t="s">
        <v>1394</v>
      </c>
      <c r="D80" s="330" t="s">
        <v>1808</v>
      </c>
      <c r="E80" s="527">
        <f>1-'2.생활용수(연무)'!E107</f>
        <v>0</v>
      </c>
      <c r="F80" s="527" t="s">
        <v>1317</v>
      </c>
      <c r="G80" s="302">
        <f>IF($D80="A",ROUND(VLOOKUP($C80,'[2]2.행정구역별 급수인구'!$C$7:$AD$997,17,FALSE)*$E80,0),IF($D80="B",(ROUND(VLOOKUP($C80,'[2]2.행정구역별 급수인구'!$C$7:$AD$997,17,FALSE)-VLOOKUP($C80,'[2]2.행정구역별 급수인구'!$C$7:$AD$997,17,FALSE)*(1-$E80),0)),VLOOKUP($C80,'[2]2.행정구역별 급수인구'!$C$7:$AD$997,17,FALSE)))</f>
        <v>0</v>
      </c>
      <c r="H80" s="302">
        <f>IF($D80="A",ROUND(VLOOKUP($C80,'[2]2.행정구역별 급수인구'!$C$7:$AD$997,25,FALSE)*$E80,0),IF($D80="B",(ROUND(VLOOKUP($C80,'[2]2.행정구역별 급수인구'!$C$7:$AD$997,25,FALSE)-VLOOKUP($C80,'[2]2.행정구역별 급수인구'!$C$7:$AD$997,25,FALSE)*(1-$E80),0)),VLOOKUP($C80,'[2]2.행정구역별 급수인구'!$C$7:$AD$997,25,FALSE)))</f>
        <v>0</v>
      </c>
      <c r="I80" s="302"/>
      <c r="J80" s="302"/>
      <c r="K80" s="302"/>
      <c r="L80" s="302">
        <f>VLOOKUP($F80,'[3]5.급수원단위'!$B$31:$G$35,2,FALSE)</f>
        <v>272</v>
      </c>
      <c r="M80" s="302">
        <f>VLOOKUP($F80,'[3]5.급수원단위'!$B$31:$G$35,3,FALSE)</f>
        <v>304</v>
      </c>
      <c r="N80" s="302">
        <f>VLOOKUP($F80,'[3]5.급수원단위'!$B$31:$G$35,4,FALSE)</f>
        <v>308</v>
      </c>
      <c r="O80" s="302">
        <f>VLOOKUP($F80,'[3]5.급수원단위'!$B$31:$G$35,5,FALSE)</f>
        <v>310</v>
      </c>
      <c r="P80" s="302">
        <f>VLOOKUP($F80,'[3]5.급수원단위'!$B$31:$G$35,6,FALSE)</f>
        <v>310</v>
      </c>
      <c r="Q80" s="302">
        <f>ROUND(IF(G80=0,0,VLOOKUP(C80,'2013실사용량 정리'!$D$6:$F$381,3,FALSE)),0)</f>
        <v>0</v>
      </c>
      <c r="R80" s="302">
        <f t="shared" ref="R80:U88" si="13">ROUND(H80*M80/1000,0)</f>
        <v>0</v>
      </c>
      <c r="S80" s="302">
        <f t="shared" si="13"/>
        <v>0</v>
      </c>
      <c r="T80" s="302">
        <f t="shared" si="13"/>
        <v>0</v>
      </c>
      <c r="U80" s="302">
        <f t="shared" si="13"/>
        <v>0</v>
      </c>
      <c r="W80" s="343" t="str">
        <f t="shared" si="12"/>
        <v/>
      </c>
    </row>
    <row r="81" spans="1:45" ht="20.100000000000001" customHeight="1">
      <c r="A81" s="340"/>
      <c r="B81" s="340"/>
      <c r="C81" s="406" t="s">
        <v>1395</v>
      </c>
      <c r="D81" s="330" t="s">
        <v>1808</v>
      </c>
      <c r="E81" s="527">
        <f>1-'2.생활용수(연무)'!E108</f>
        <v>0</v>
      </c>
      <c r="F81" s="527" t="s">
        <v>1317</v>
      </c>
      <c r="G81" s="302">
        <f>IF($D81="A",ROUND(VLOOKUP($C81,'[2]2.행정구역별 급수인구'!$C$7:$AD$997,17,FALSE)*$E81,0),IF($D81="B",(ROUND(VLOOKUP($C81,'[2]2.행정구역별 급수인구'!$C$7:$AD$997,17,FALSE)-VLOOKUP($C81,'[2]2.행정구역별 급수인구'!$C$7:$AD$997,17,FALSE)*(1-$E81),0)),VLOOKUP($C81,'[2]2.행정구역별 급수인구'!$C$7:$AD$997,17,FALSE)))</f>
        <v>0</v>
      </c>
      <c r="H81" s="302">
        <f>IF($D81="A",ROUND(VLOOKUP($C81,'[2]2.행정구역별 급수인구'!$C$7:$AD$997,25,FALSE)*$E81,0),IF($D81="B",(ROUND(VLOOKUP($C81,'[2]2.행정구역별 급수인구'!$C$7:$AD$997,25,FALSE)-VLOOKUP($C81,'[2]2.행정구역별 급수인구'!$C$7:$AD$997,25,FALSE)*(1-$E81),0)),VLOOKUP($C81,'[2]2.행정구역별 급수인구'!$C$7:$AD$997,25,FALSE)))</f>
        <v>0</v>
      </c>
      <c r="I81" s="302"/>
      <c r="J81" s="302"/>
      <c r="K81" s="302"/>
      <c r="L81" s="302">
        <f>VLOOKUP($F81,'[3]5.급수원단위'!$B$31:$G$35,2,FALSE)</f>
        <v>272</v>
      </c>
      <c r="M81" s="302">
        <f>VLOOKUP($F81,'[3]5.급수원단위'!$B$31:$G$35,3,FALSE)</f>
        <v>304</v>
      </c>
      <c r="N81" s="302">
        <f>VLOOKUP($F81,'[3]5.급수원단위'!$B$31:$G$35,4,FALSE)</f>
        <v>308</v>
      </c>
      <c r="O81" s="302">
        <f>VLOOKUP($F81,'[3]5.급수원단위'!$B$31:$G$35,5,FALSE)</f>
        <v>310</v>
      </c>
      <c r="P81" s="302">
        <f>VLOOKUP($F81,'[3]5.급수원단위'!$B$31:$G$35,6,FALSE)</f>
        <v>310</v>
      </c>
      <c r="Q81" s="302">
        <f>ROUND(IF(G81=0,0,VLOOKUP(C81,'2013실사용량 정리'!$D$6:$F$381,3,FALSE)),0)</f>
        <v>0</v>
      </c>
      <c r="R81" s="302">
        <f t="shared" si="13"/>
        <v>0</v>
      </c>
      <c r="S81" s="302">
        <f t="shared" si="13"/>
        <v>0</v>
      </c>
      <c r="T81" s="302">
        <f t="shared" si="13"/>
        <v>0</v>
      </c>
      <c r="U81" s="302">
        <f t="shared" si="13"/>
        <v>0</v>
      </c>
      <c r="W81" s="343" t="str">
        <f t="shared" si="12"/>
        <v/>
      </c>
    </row>
    <row r="82" spans="1:45" ht="20.100000000000001" customHeight="1">
      <c r="A82" s="340"/>
      <c r="B82" s="340"/>
      <c r="C82" s="406" t="s">
        <v>1398</v>
      </c>
      <c r="D82" s="330" t="s">
        <v>1808</v>
      </c>
      <c r="E82" s="527">
        <f>1-'2.생활용수(연무)'!E109</f>
        <v>0</v>
      </c>
      <c r="F82" s="527" t="s">
        <v>1317</v>
      </c>
      <c r="G82" s="302">
        <f>IF($D82="A",ROUND(VLOOKUP($C82,'[2]2.행정구역별 급수인구'!$C$7:$AD$997,17,FALSE)*$E82,0),IF($D82="B",(ROUND(VLOOKUP($C82,'[2]2.행정구역별 급수인구'!$C$7:$AD$997,17,FALSE)-VLOOKUP($C82,'[2]2.행정구역별 급수인구'!$C$7:$AD$997,17,FALSE)*(1-$E82),0)),VLOOKUP($C82,'[2]2.행정구역별 급수인구'!$C$7:$AD$997,17,FALSE)))</f>
        <v>0</v>
      </c>
      <c r="H82" s="302">
        <f>IF($D82="A",ROUND(VLOOKUP($C82,'[2]2.행정구역별 급수인구'!$C$7:$AD$997,25,FALSE)*$E82,0),IF($D82="B",(ROUND(VLOOKUP($C82,'[2]2.행정구역별 급수인구'!$C$7:$AD$997,25,FALSE)-VLOOKUP($C82,'[2]2.행정구역별 급수인구'!$C$7:$AD$997,25,FALSE)*(1-$E82),0)),VLOOKUP($C82,'[2]2.행정구역별 급수인구'!$C$7:$AD$997,25,FALSE)))</f>
        <v>0</v>
      </c>
      <c r="I82" s="302"/>
      <c r="J82" s="302"/>
      <c r="K82" s="302"/>
      <c r="L82" s="302">
        <f>VLOOKUP($F82,'[3]5.급수원단위'!$B$31:$G$35,2,FALSE)</f>
        <v>272</v>
      </c>
      <c r="M82" s="302">
        <f>VLOOKUP($F82,'[3]5.급수원단위'!$B$31:$G$35,3,FALSE)</f>
        <v>304</v>
      </c>
      <c r="N82" s="302">
        <f>VLOOKUP($F82,'[3]5.급수원단위'!$B$31:$G$35,4,FALSE)</f>
        <v>308</v>
      </c>
      <c r="O82" s="302">
        <f>VLOOKUP($F82,'[3]5.급수원단위'!$B$31:$G$35,5,FALSE)</f>
        <v>310</v>
      </c>
      <c r="P82" s="302">
        <f>VLOOKUP($F82,'[3]5.급수원단위'!$B$31:$G$35,6,FALSE)</f>
        <v>310</v>
      </c>
      <c r="Q82" s="302">
        <f>ROUND(IF(G82=0,0,VLOOKUP(C82,'2013실사용량 정리'!$D$6:$F$381,3,FALSE)),0)</f>
        <v>0</v>
      </c>
      <c r="R82" s="302">
        <f t="shared" si="13"/>
        <v>0</v>
      </c>
      <c r="S82" s="302">
        <f t="shared" si="13"/>
        <v>0</v>
      </c>
      <c r="T82" s="302">
        <f t="shared" si="13"/>
        <v>0</v>
      </c>
      <c r="U82" s="302">
        <f t="shared" si="13"/>
        <v>0</v>
      </c>
      <c r="W82" s="343" t="str">
        <f t="shared" si="12"/>
        <v/>
      </c>
    </row>
    <row r="83" spans="1:45" ht="20.100000000000001" customHeight="1">
      <c r="A83" s="340"/>
      <c r="B83" s="340"/>
      <c r="C83" s="406" t="s">
        <v>1399</v>
      </c>
      <c r="D83" s="330" t="s">
        <v>1808</v>
      </c>
      <c r="E83" s="527">
        <f>1-'2.생활용수(연무)'!E110</f>
        <v>0</v>
      </c>
      <c r="F83" s="527" t="s">
        <v>1317</v>
      </c>
      <c r="G83" s="302">
        <f>IF($D83="A",ROUND(VLOOKUP($C83,'[2]2.행정구역별 급수인구'!$C$7:$AD$997,17,FALSE)*$E83,0),IF($D83="B",(ROUND(VLOOKUP($C83,'[2]2.행정구역별 급수인구'!$C$7:$AD$997,17,FALSE)-VLOOKUP($C83,'[2]2.행정구역별 급수인구'!$C$7:$AD$997,17,FALSE)*(1-$E83),0)),VLOOKUP($C83,'[2]2.행정구역별 급수인구'!$C$7:$AD$997,17,FALSE)))</f>
        <v>0</v>
      </c>
      <c r="H83" s="302">
        <f>IF($D83="A",ROUND(VLOOKUP($C83,'[2]2.행정구역별 급수인구'!$C$7:$AD$997,25,FALSE)*$E83,0),IF($D83="B",(ROUND(VLOOKUP($C83,'[2]2.행정구역별 급수인구'!$C$7:$AD$997,25,FALSE)-VLOOKUP($C83,'[2]2.행정구역별 급수인구'!$C$7:$AD$997,25,FALSE)*(1-$E83),0)),VLOOKUP($C83,'[2]2.행정구역별 급수인구'!$C$7:$AD$997,25,FALSE)))</f>
        <v>0</v>
      </c>
      <c r="I83" s="302"/>
      <c r="J83" s="302"/>
      <c r="K83" s="302"/>
      <c r="L83" s="302">
        <f>VLOOKUP($F83,'[3]5.급수원단위'!$B$31:$G$35,2,FALSE)</f>
        <v>272</v>
      </c>
      <c r="M83" s="302">
        <f>VLOOKUP($F83,'[3]5.급수원단위'!$B$31:$G$35,3,FALSE)</f>
        <v>304</v>
      </c>
      <c r="N83" s="302">
        <f>VLOOKUP($F83,'[3]5.급수원단위'!$B$31:$G$35,4,FALSE)</f>
        <v>308</v>
      </c>
      <c r="O83" s="302">
        <f>VLOOKUP($F83,'[3]5.급수원단위'!$B$31:$G$35,5,FALSE)</f>
        <v>310</v>
      </c>
      <c r="P83" s="302">
        <f>VLOOKUP($F83,'[3]5.급수원단위'!$B$31:$G$35,6,FALSE)</f>
        <v>310</v>
      </c>
      <c r="Q83" s="302">
        <f>ROUND(IF(G83=0,0,VLOOKUP(C83,'2013실사용량 정리'!$D$6:$F$381,3,FALSE)),0)</f>
        <v>0</v>
      </c>
      <c r="R83" s="302">
        <f t="shared" si="13"/>
        <v>0</v>
      </c>
      <c r="S83" s="302">
        <f t="shared" si="13"/>
        <v>0</v>
      </c>
      <c r="T83" s="302">
        <f t="shared" si="13"/>
        <v>0</v>
      </c>
      <c r="U83" s="302">
        <f t="shared" si="13"/>
        <v>0</v>
      </c>
      <c r="W83" s="343" t="str">
        <f t="shared" si="12"/>
        <v/>
      </c>
    </row>
    <row r="84" spans="1:45" ht="20.100000000000001" customHeight="1">
      <c r="A84" s="340"/>
      <c r="B84" s="340"/>
      <c r="C84" s="406" t="s">
        <v>1400</v>
      </c>
      <c r="D84" s="330" t="s">
        <v>1808</v>
      </c>
      <c r="E84" s="527">
        <f>1-'2.생활용수(연무)'!E111</f>
        <v>0</v>
      </c>
      <c r="F84" s="527" t="s">
        <v>1317</v>
      </c>
      <c r="G84" s="302">
        <f>IF($D84="A",ROUND(VLOOKUP($C84,'[2]2.행정구역별 급수인구'!$C$7:$AD$997,17,FALSE)*$E84,0),IF($D84="B",(ROUND(VLOOKUP($C84,'[2]2.행정구역별 급수인구'!$C$7:$AD$997,17,FALSE)-VLOOKUP($C84,'[2]2.행정구역별 급수인구'!$C$7:$AD$997,17,FALSE)*(1-$E84),0)),VLOOKUP($C84,'[2]2.행정구역별 급수인구'!$C$7:$AD$997,17,FALSE)))</f>
        <v>0</v>
      </c>
      <c r="H84" s="302">
        <f>IF($D84="A",ROUND(VLOOKUP($C84,'[2]2.행정구역별 급수인구'!$C$7:$AD$997,25,FALSE)*$E84,0),IF($D84="B",(ROUND(VLOOKUP($C84,'[2]2.행정구역별 급수인구'!$C$7:$AD$997,25,FALSE)-VLOOKUP($C84,'[2]2.행정구역별 급수인구'!$C$7:$AD$997,25,FALSE)*(1-$E84),0)),VLOOKUP($C84,'[2]2.행정구역별 급수인구'!$C$7:$AD$997,25,FALSE)))</f>
        <v>0</v>
      </c>
      <c r="I84" s="302"/>
      <c r="J84" s="302"/>
      <c r="K84" s="302"/>
      <c r="L84" s="302">
        <f>VLOOKUP($F84,'[3]5.급수원단위'!$B$31:$G$35,2,FALSE)</f>
        <v>272</v>
      </c>
      <c r="M84" s="302">
        <f>VLOOKUP($F84,'[3]5.급수원단위'!$B$31:$G$35,3,FALSE)</f>
        <v>304</v>
      </c>
      <c r="N84" s="302">
        <f>VLOOKUP($F84,'[3]5.급수원단위'!$B$31:$G$35,4,FALSE)</f>
        <v>308</v>
      </c>
      <c r="O84" s="302">
        <f>VLOOKUP($F84,'[3]5.급수원단위'!$B$31:$G$35,5,FALSE)</f>
        <v>310</v>
      </c>
      <c r="P84" s="302">
        <f>VLOOKUP($F84,'[3]5.급수원단위'!$B$31:$G$35,6,FALSE)</f>
        <v>310</v>
      </c>
      <c r="Q84" s="302">
        <f>ROUND(IF(G84=0,0,VLOOKUP(C84,'2013실사용량 정리'!$D$6:$F$381,3,FALSE)),0)</f>
        <v>0</v>
      </c>
      <c r="R84" s="302">
        <f t="shared" si="13"/>
        <v>0</v>
      </c>
      <c r="S84" s="302">
        <f t="shared" si="13"/>
        <v>0</v>
      </c>
      <c r="T84" s="302">
        <f t="shared" si="13"/>
        <v>0</v>
      </c>
      <c r="U84" s="302">
        <f t="shared" si="13"/>
        <v>0</v>
      </c>
      <c r="W84" s="343" t="str">
        <f t="shared" si="12"/>
        <v/>
      </c>
    </row>
    <row r="85" spans="1:45" ht="20.100000000000001" customHeight="1">
      <c r="A85" s="340"/>
      <c r="B85" s="340"/>
      <c r="C85" s="406" t="s">
        <v>1401</v>
      </c>
      <c r="D85" s="330" t="s">
        <v>1808</v>
      </c>
      <c r="E85" s="527">
        <f>1-'2.생활용수(연무)'!E112</f>
        <v>0</v>
      </c>
      <c r="F85" s="527" t="s">
        <v>1317</v>
      </c>
      <c r="G85" s="302">
        <f>IF($D85="A",ROUND(VLOOKUP($C85,'[2]2.행정구역별 급수인구'!$C$7:$AD$997,17,FALSE)*$E85,0),IF($D85="B",(ROUND(VLOOKUP($C85,'[2]2.행정구역별 급수인구'!$C$7:$AD$997,17,FALSE)-VLOOKUP($C85,'[2]2.행정구역별 급수인구'!$C$7:$AD$997,17,FALSE)*(1-$E85),0)),VLOOKUP($C85,'[2]2.행정구역별 급수인구'!$C$7:$AD$997,17,FALSE)))</f>
        <v>0</v>
      </c>
      <c r="H85" s="302">
        <f>IF($D85="A",ROUND(VLOOKUP($C85,'[2]2.행정구역별 급수인구'!$C$7:$AD$997,25,FALSE)*$E85,0),IF($D85="B",(ROUND(VLOOKUP($C85,'[2]2.행정구역별 급수인구'!$C$7:$AD$997,25,FALSE)-VLOOKUP($C85,'[2]2.행정구역별 급수인구'!$C$7:$AD$997,25,FALSE)*(1-$E85),0)),VLOOKUP($C85,'[2]2.행정구역별 급수인구'!$C$7:$AD$997,25,FALSE)))</f>
        <v>0</v>
      </c>
      <c r="I85" s="302"/>
      <c r="J85" s="302"/>
      <c r="K85" s="302"/>
      <c r="L85" s="302">
        <f>VLOOKUP($F85,'[3]5.급수원단위'!$B$31:$G$35,2,FALSE)</f>
        <v>272</v>
      </c>
      <c r="M85" s="302">
        <f>VLOOKUP($F85,'[3]5.급수원단위'!$B$31:$G$35,3,FALSE)</f>
        <v>304</v>
      </c>
      <c r="N85" s="302">
        <f>VLOOKUP($F85,'[3]5.급수원단위'!$B$31:$G$35,4,FALSE)</f>
        <v>308</v>
      </c>
      <c r="O85" s="302">
        <f>VLOOKUP($F85,'[3]5.급수원단위'!$B$31:$G$35,5,FALSE)</f>
        <v>310</v>
      </c>
      <c r="P85" s="302">
        <f>VLOOKUP($F85,'[3]5.급수원단위'!$B$31:$G$35,6,FALSE)</f>
        <v>310</v>
      </c>
      <c r="Q85" s="302">
        <f>ROUND(IF(G85=0,0,VLOOKUP(C85,'2013실사용량 정리'!$D$6:$F$381,3,FALSE)),0)</f>
        <v>0</v>
      </c>
      <c r="R85" s="302">
        <f t="shared" si="13"/>
        <v>0</v>
      </c>
      <c r="S85" s="302">
        <f t="shared" si="13"/>
        <v>0</v>
      </c>
      <c r="T85" s="302">
        <f t="shared" si="13"/>
        <v>0</v>
      </c>
      <c r="U85" s="302">
        <f t="shared" si="13"/>
        <v>0</v>
      </c>
      <c r="W85" s="343" t="str">
        <f t="shared" si="12"/>
        <v/>
      </c>
    </row>
    <row r="86" spans="1:45" ht="20.100000000000001" customHeight="1">
      <c r="A86" s="340"/>
      <c r="B86" s="340"/>
      <c r="C86" s="406" t="s">
        <v>1402</v>
      </c>
      <c r="D86" s="330" t="s">
        <v>1808</v>
      </c>
      <c r="E86" s="527">
        <f>1-'2.생활용수(연무)'!E113</f>
        <v>0</v>
      </c>
      <c r="F86" s="527" t="s">
        <v>1317</v>
      </c>
      <c r="G86" s="302">
        <f>IF($D86="A",ROUND(VLOOKUP($C86,'[2]2.행정구역별 급수인구'!$C$7:$AD$997,17,FALSE)*$E86,0),IF($D86="B",(ROUND(VLOOKUP($C86,'[2]2.행정구역별 급수인구'!$C$7:$AD$997,17,FALSE)-VLOOKUP($C86,'[2]2.행정구역별 급수인구'!$C$7:$AD$997,17,FALSE)*(1-$E86),0)),VLOOKUP($C86,'[2]2.행정구역별 급수인구'!$C$7:$AD$997,17,FALSE)))</f>
        <v>0</v>
      </c>
      <c r="H86" s="302">
        <f>IF($D86="A",ROUND(VLOOKUP($C86,'[2]2.행정구역별 급수인구'!$C$7:$AD$997,25,FALSE)*$E86,0),IF($D86="B",(ROUND(VLOOKUP($C86,'[2]2.행정구역별 급수인구'!$C$7:$AD$997,25,FALSE)-VLOOKUP($C86,'[2]2.행정구역별 급수인구'!$C$7:$AD$997,25,FALSE)*(1-$E86),0)),VLOOKUP($C86,'[2]2.행정구역별 급수인구'!$C$7:$AD$997,25,FALSE)))</f>
        <v>0</v>
      </c>
      <c r="I86" s="302"/>
      <c r="J86" s="302"/>
      <c r="K86" s="302"/>
      <c r="L86" s="302">
        <f>VLOOKUP($F86,'[3]5.급수원단위'!$B$31:$G$35,2,FALSE)</f>
        <v>272</v>
      </c>
      <c r="M86" s="302">
        <f>VLOOKUP($F86,'[3]5.급수원단위'!$B$31:$G$35,3,FALSE)</f>
        <v>304</v>
      </c>
      <c r="N86" s="302">
        <f>VLOOKUP($F86,'[3]5.급수원단위'!$B$31:$G$35,4,FALSE)</f>
        <v>308</v>
      </c>
      <c r="O86" s="302">
        <f>VLOOKUP($F86,'[3]5.급수원단위'!$B$31:$G$35,5,FALSE)</f>
        <v>310</v>
      </c>
      <c r="P86" s="302">
        <f>VLOOKUP($F86,'[3]5.급수원단위'!$B$31:$G$35,6,FALSE)</f>
        <v>310</v>
      </c>
      <c r="Q86" s="302">
        <f>ROUND(IF(G86=0,0,VLOOKUP(C86,'2013실사용량 정리'!$D$6:$F$381,3,FALSE)),0)</f>
        <v>0</v>
      </c>
      <c r="R86" s="302">
        <f t="shared" si="13"/>
        <v>0</v>
      </c>
      <c r="S86" s="302">
        <f t="shared" si="13"/>
        <v>0</v>
      </c>
      <c r="T86" s="302">
        <f t="shared" si="13"/>
        <v>0</v>
      </c>
      <c r="U86" s="302">
        <f t="shared" si="13"/>
        <v>0</v>
      </c>
      <c r="W86" s="343" t="str">
        <f t="shared" si="12"/>
        <v/>
      </c>
    </row>
    <row r="87" spans="1:45" ht="20.100000000000001" customHeight="1">
      <c r="A87" s="340"/>
      <c r="B87" s="340"/>
      <c r="C87" s="406" t="s">
        <v>1403</v>
      </c>
      <c r="D87" s="330" t="s">
        <v>1808</v>
      </c>
      <c r="E87" s="527">
        <f>1-'2.생활용수(연무)'!E114</f>
        <v>0</v>
      </c>
      <c r="F87" s="527" t="s">
        <v>1317</v>
      </c>
      <c r="G87" s="302">
        <f>IF($D87="A",ROUND(VLOOKUP($C87,'[2]2.행정구역별 급수인구'!$C$7:$AD$997,17,FALSE)*$E87,0),IF($D87="B",(ROUND(VLOOKUP($C87,'[2]2.행정구역별 급수인구'!$C$7:$AD$997,17,FALSE)-VLOOKUP($C87,'[2]2.행정구역별 급수인구'!$C$7:$AD$997,17,FALSE)*(1-$E87),0)),VLOOKUP($C87,'[2]2.행정구역별 급수인구'!$C$7:$AD$997,17,FALSE)))</f>
        <v>0</v>
      </c>
      <c r="H87" s="302">
        <f>IF($D87="A",ROUND(VLOOKUP($C87,'[2]2.행정구역별 급수인구'!$C$7:$AD$997,25,FALSE)*$E87,0),IF($D87="B",(ROUND(VLOOKUP($C87,'[2]2.행정구역별 급수인구'!$C$7:$AD$997,25,FALSE)-VLOOKUP($C87,'[2]2.행정구역별 급수인구'!$C$7:$AD$997,25,FALSE)*(1-$E87),0)),VLOOKUP($C87,'[2]2.행정구역별 급수인구'!$C$7:$AD$997,25,FALSE)))</f>
        <v>0</v>
      </c>
      <c r="I87" s="302"/>
      <c r="J87" s="302"/>
      <c r="K87" s="302"/>
      <c r="L87" s="302">
        <f>VLOOKUP($F87,'[3]5.급수원단위'!$B$31:$G$35,2,FALSE)</f>
        <v>272</v>
      </c>
      <c r="M87" s="302">
        <f>VLOOKUP($F87,'[3]5.급수원단위'!$B$31:$G$35,3,FALSE)</f>
        <v>304</v>
      </c>
      <c r="N87" s="302">
        <f>VLOOKUP($F87,'[3]5.급수원단위'!$B$31:$G$35,4,FALSE)</f>
        <v>308</v>
      </c>
      <c r="O87" s="302">
        <f>VLOOKUP($F87,'[3]5.급수원단위'!$B$31:$G$35,5,FALSE)</f>
        <v>310</v>
      </c>
      <c r="P87" s="302">
        <f>VLOOKUP($F87,'[3]5.급수원단위'!$B$31:$G$35,6,FALSE)</f>
        <v>310</v>
      </c>
      <c r="Q87" s="302">
        <f>ROUND(IF(G87=0,0,VLOOKUP(C87,'2013실사용량 정리'!$D$6:$F$381,3,FALSE)),0)</f>
        <v>0</v>
      </c>
      <c r="R87" s="302">
        <f t="shared" si="13"/>
        <v>0</v>
      </c>
      <c r="S87" s="302">
        <f t="shared" si="13"/>
        <v>0</v>
      </c>
      <c r="T87" s="302">
        <f t="shared" si="13"/>
        <v>0</v>
      </c>
      <c r="U87" s="302">
        <f t="shared" si="13"/>
        <v>0</v>
      </c>
      <c r="W87" s="343" t="str">
        <f t="shared" si="12"/>
        <v/>
      </c>
    </row>
    <row r="88" spans="1:45" ht="20.100000000000001" customHeight="1">
      <c r="A88" s="386"/>
      <c r="B88" s="386"/>
      <c r="C88" s="406" t="s">
        <v>1404</v>
      </c>
      <c r="D88" s="330" t="s">
        <v>1808</v>
      </c>
      <c r="E88" s="527">
        <f>1-'2.생활용수(연무)'!E115</f>
        <v>0</v>
      </c>
      <c r="F88" s="527" t="s">
        <v>1317</v>
      </c>
      <c r="G88" s="302">
        <f>IF($D88="A",ROUND(VLOOKUP($C88,'[2]2.행정구역별 급수인구'!$C$7:$AD$997,17,FALSE)*$E88,0),IF($D88="B",(ROUND(VLOOKUP($C88,'[2]2.행정구역별 급수인구'!$C$7:$AD$997,17,FALSE)-VLOOKUP($C88,'[2]2.행정구역별 급수인구'!$C$7:$AD$997,17,FALSE)*(1-$E88),0)),VLOOKUP($C88,'[2]2.행정구역별 급수인구'!$C$7:$AD$997,17,FALSE)))</f>
        <v>0</v>
      </c>
      <c r="H88" s="302">
        <f>IF($D88="A",ROUND(VLOOKUP($C88,'[2]2.행정구역별 급수인구'!$C$7:$AD$997,25,FALSE)*$E88,0),IF($D88="B",(ROUND(VLOOKUP($C88,'[2]2.행정구역별 급수인구'!$C$7:$AD$997,25,FALSE)-VLOOKUP($C88,'[2]2.행정구역별 급수인구'!$C$7:$AD$997,25,FALSE)*(1-$E88),0)),VLOOKUP($C88,'[2]2.행정구역별 급수인구'!$C$7:$AD$997,25,FALSE)))</f>
        <v>0</v>
      </c>
      <c r="I88" s="302"/>
      <c r="J88" s="302"/>
      <c r="K88" s="302"/>
      <c r="L88" s="302">
        <f>VLOOKUP($F88,'[3]5.급수원단위'!$B$31:$G$35,2,FALSE)</f>
        <v>272</v>
      </c>
      <c r="M88" s="302">
        <f>VLOOKUP($F88,'[3]5.급수원단위'!$B$31:$G$35,3,FALSE)</f>
        <v>304</v>
      </c>
      <c r="N88" s="302">
        <f>VLOOKUP($F88,'[3]5.급수원단위'!$B$31:$G$35,4,FALSE)</f>
        <v>308</v>
      </c>
      <c r="O88" s="302">
        <f>VLOOKUP($F88,'[3]5.급수원단위'!$B$31:$G$35,5,FALSE)</f>
        <v>310</v>
      </c>
      <c r="P88" s="302">
        <f>VLOOKUP($F88,'[3]5.급수원단위'!$B$31:$G$35,6,FALSE)</f>
        <v>310</v>
      </c>
      <c r="Q88" s="302">
        <f>ROUND(IF(G88=0,0,VLOOKUP(C88,'2013실사용량 정리'!$D$6:$F$381,3,FALSE)),0)</f>
        <v>0</v>
      </c>
      <c r="R88" s="302">
        <f t="shared" si="13"/>
        <v>0</v>
      </c>
      <c r="S88" s="302">
        <f t="shared" si="13"/>
        <v>0</v>
      </c>
      <c r="T88" s="302">
        <f t="shared" si="13"/>
        <v>0</v>
      </c>
      <c r="U88" s="302">
        <f t="shared" si="13"/>
        <v>0</v>
      </c>
      <c r="W88" s="343" t="str">
        <f t="shared" si="12"/>
        <v/>
      </c>
    </row>
    <row r="89" spans="1:45" ht="20.100000000000001" customHeight="1">
      <c r="A89" s="713" t="s">
        <v>1864</v>
      </c>
      <c r="B89" s="714"/>
      <c r="C89" s="714"/>
      <c r="D89" s="715"/>
      <c r="E89" s="332"/>
      <c r="F89" s="332"/>
      <c r="G89" s="298">
        <f>G90</f>
        <v>0</v>
      </c>
      <c r="H89" s="298">
        <f t="shared" ref="H89:K89" si="14">H90</f>
        <v>0</v>
      </c>
      <c r="I89" s="298">
        <f t="shared" si="14"/>
        <v>1498</v>
      </c>
      <c r="J89" s="298">
        <f t="shared" si="14"/>
        <v>1530</v>
      </c>
      <c r="K89" s="298">
        <f t="shared" si="14"/>
        <v>1562</v>
      </c>
      <c r="L89" s="298"/>
      <c r="M89" s="298"/>
      <c r="N89" s="298"/>
      <c r="O89" s="298"/>
      <c r="P89" s="298"/>
      <c r="Q89" s="298">
        <f t="shared" ref="Q89:U89" si="15">Q90</f>
        <v>0</v>
      </c>
      <c r="R89" s="298">
        <f t="shared" si="15"/>
        <v>0</v>
      </c>
      <c r="S89" s="298">
        <f t="shared" si="15"/>
        <v>461</v>
      </c>
      <c r="T89" s="298">
        <f t="shared" si="15"/>
        <v>474</v>
      </c>
      <c r="U89" s="298">
        <f t="shared" si="15"/>
        <v>485</v>
      </c>
      <c r="V89" s="335"/>
      <c r="W89" s="343" t="str">
        <f t="shared" si="12"/>
        <v/>
      </c>
      <c r="X89"/>
      <c r="Y89"/>
      <c r="Z89"/>
      <c r="AA89"/>
      <c r="AB89"/>
      <c r="AC89"/>
      <c r="AD89"/>
    </row>
    <row r="90" spans="1:45" ht="20.100000000000001" customHeight="1">
      <c r="A90" s="340"/>
      <c r="B90" s="694" t="s">
        <v>1375</v>
      </c>
      <c r="C90" s="694"/>
      <c r="D90" s="694"/>
      <c r="E90" s="331"/>
      <c r="F90" s="331"/>
      <c r="G90" s="336">
        <f>SUM(G91:G115)</f>
        <v>0</v>
      </c>
      <c r="H90" s="336">
        <f t="shared" ref="H90" si="16">SUM(H91:H115)</f>
        <v>0</v>
      </c>
      <c r="I90" s="336">
        <f t="shared" ref="I90" si="17">SUM(I91:I115)</f>
        <v>1498</v>
      </c>
      <c r="J90" s="336">
        <f t="shared" ref="J90" si="18">SUM(J91:J115)</f>
        <v>1530</v>
      </c>
      <c r="K90" s="336">
        <f t="shared" ref="K90" si="19">SUM(K91:K115)</f>
        <v>1562</v>
      </c>
      <c r="L90" s="336"/>
      <c r="M90" s="336"/>
      <c r="N90" s="336"/>
      <c r="O90" s="336"/>
      <c r="P90" s="336"/>
      <c r="Q90" s="336">
        <f t="shared" ref="Q90" si="20">SUM(Q91:Q115)</f>
        <v>0</v>
      </c>
      <c r="R90" s="336">
        <f t="shared" ref="R90" si="21">SUM(R91:R115)</f>
        <v>0</v>
      </c>
      <c r="S90" s="336">
        <f t="shared" ref="S90" si="22">SUM(S91:S115)</f>
        <v>461</v>
      </c>
      <c r="T90" s="336">
        <f t="shared" ref="T90" si="23">SUM(T91:T115)</f>
        <v>474</v>
      </c>
      <c r="U90" s="336">
        <f t="shared" ref="U90" si="24">SUM(U91:U115)</f>
        <v>485</v>
      </c>
      <c r="V90" s="343">
        <f>VLOOKUP(B90,'2013년도 용수량 비율'!$A$5:$F$20,6,FALSE)</f>
        <v>0</v>
      </c>
      <c r="W90" s="343" t="str">
        <f t="shared" si="12"/>
        <v/>
      </c>
    </row>
    <row r="91" spans="1:45" ht="20.100000000000001" customHeight="1">
      <c r="A91" s="340"/>
      <c r="B91" s="339"/>
      <c r="C91" s="406" t="s">
        <v>1396</v>
      </c>
      <c r="D91" s="330" t="s">
        <v>1857</v>
      </c>
      <c r="E91" s="527">
        <v>0</v>
      </c>
      <c r="F91" s="527" t="s">
        <v>1317</v>
      </c>
      <c r="G91" s="302"/>
      <c r="H91" s="302"/>
      <c r="I91" s="302"/>
      <c r="J91" s="302"/>
      <c r="K91" s="302"/>
      <c r="L91" s="302">
        <f>VLOOKUP($F91,'[3]5.급수원단위'!$B$31:$G$35,2,FALSE)</f>
        <v>272</v>
      </c>
      <c r="M91" s="302">
        <f>VLOOKUP($F91,'[3]5.급수원단위'!$B$31:$G$35,3,FALSE)</f>
        <v>304</v>
      </c>
      <c r="N91" s="302">
        <f>VLOOKUP($F91,'[3]5.급수원단위'!$B$31:$G$35,4,FALSE)</f>
        <v>308</v>
      </c>
      <c r="O91" s="302">
        <f>VLOOKUP($F91,'[3]5.급수원단위'!$B$31:$G$35,5,FALSE)</f>
        <v>310</v>
      </c>
      <c r="P91" s="302">
        <f>VLOOKUP($F91,'[3]5.급수원단위'!$B$31:$G$35,6,FALSE)</f>
        <v>310</v>
      </c>
      <c r="Q91" s="302">
        <f>ROUND(IF(G91=0,0,VLOOKUP(C91,'2013실사용량 정리'!$D$6:$F$381,3,FALSE)),0)</f>
        <v>0</v>
      </c>
      <c r="R91" s="302">
        <f t="shared" ref="R91:R115" si="25">ROUND(H91*M91/1000,0)</f>
        <v>0</v>
      </c>
      <c r="S91" s="302">
        <f t="shared" ref="S91:S115" si="26">ROUND(I91*N91/1000,0)</f>
        <v>0</v>
      </c>
      <c r="T91" s="302">
        <f t="shared" ref="T91:T115" si="27">ROUND(J91*O91/1000,0)</f>
        <v>0</v>
      </c>
      <c r="U91" s="302">
        <f t="shared" ref="U91:U115" si="28">ROUND(K91*P91/1000,0)</f>
        <v>0</v>
      </c>
      <c r="W91" s="343" t="str">
        <f t="shared" si="12"/>
        <v/>
      </c>
    </row>
    <row r="92" spans="1:45" ht="20.100000000000001" customHeight="1">
      <c r="A92" s="340"/>
      <c r="B92" s="340"/>
      <c r="C92" s="406" t="s">
        <v>1397</v>
      </c>
      <c r="D92" s="330" t="s">
        <v>1857</v>
      </c>
      <c r="E92" s="527">
        <v>0</v>
      </c>
      <c r="F92" s="527" t="s">
        <v>1317</v>
      </c>
      <c r="G92" s="302"/>
      <c r="H92" s="302"/>
      <c r="I92" s="302"/>
      <c r="J92" s="302"/>
      <c r="K92" s="302"/>
      <c r="L92" s="302">
        <f>VLOOKUP($F92,'[3]5.급수원단위'!$B$31:$G$35,2,FALSE)</f>
        <v>272</v>
      </c>
      <c r="M92" s="302">
        <f>VLOOKUP($F92,'[3]5.급수원단위'!$B$31:$G$35,3,FALSE)</f>
        <v>304</v>
      </c>
      <c r="N92" s="302">
        <f>VLOOKUP($F92,'[3]5.급수원단위'!$B$31:$G$35,4,FALSE)</f>
        <v>308</v>
      </c>
      <c r="O92" s="302">
        <f>VLOOKUP($F92,'[3]5.급수원단위'!$B$31:$G$35,5,FALSE)</f>
        <v>310</v>
      </c>
      <c r="P92" s="302">
        <f>VLOOKUP($F92,'[3]5.급수원단위'!$B$31:$G$35,6,FALSE)</f>
        <v>310</v>
      </c>
      <c r="Q92" s="302">
        <f>ROUND(IF(G92=0,0,VLOOKUP(C92,'2013실사용량 정리'!$D$6:$F$381,3,FALSE)),0)</f>
        <v>0</v>
      </c>
      <c r="R92" s="302">
        <f t="shared" si="25"/>
        <v>0</v>
      </c>
      <c r="S92" s="302">
        <f t="shared" si="26"/>
        <v>0</v>
      </c>
      <c r="T92" s="302">
        <f t="shared" si="27"/>
        <v>0</v>
      </c>
      <c r="U92" s="302">
        <f t="shared" si="28"/>
        <v>0</v>
      </c>
      <c r="W92" s="343" t="str">
        <f t="shared" si="12"/>
        <v/>
      </c>
    </row>
    <row r="93" spans="1:45" ht="20.100000000000001" customHeight="1">
      <c r="A93" s="340"/>
      <c r="B93" s="340"/>
      <c r="C93" s="406" t="s">
        <v>1778</v>
      </c>
      <c r="D93" s="330" t="s">
        <v>1857</v>
      </c>
      <c r="E93" s="527">
        <v>0</v>
      </c>
      <c r="F93" s="527" t="s">
        <v>756</v>
      </c>
      <c r="G93" s="302"/>
      <c r="H93" s="302"/>
      <c r="I93" s="302"/>
      <c r="J93" s="302"/>
      <c r="K93" s="302"/>
      <c r="L93" s="302">
        <f>VLOOKUP($F93,'[3]5.급수원단위'!$B$31:$G$35,2,FALSE)</f>
        <v>272</v>
      </c>
      <c r="M93" s="302">
        <f>VLOOKUP($F93,'[3]5.급수원단위'!$B$31:$G$35,3,FALSE)</f>
        <v>304</v>
      </c>
      <c r="N93" s="302">
        <f>VLOOKUP($F93,'[3]5.급수원단위'!$B$31:$G$35,4,FALSE)</f>
        <v>308</v>
      </c>
      <c r="O93" s="302">
        <f>VLOOKUP($F93,'[3]5.급수원단위'!$B$31:$G$35,5,FALSE)</f>
        <v>310</v>
      </c>
      <c r="P93" s="302">
        <f>VLOOKUP($F93,'[3]5.급수원단위'!$B$31:$G$35,6,FALSE)</f>
        <v>310</v>
      </c>
      <c r="Q93" s="302">
        <f>ROUND(IF(G93=0,0,VLOOKUP(C93,'2013실사용량 정리'!$D$6:$F$381,3,FALSE)),0)</f>
        <v>0</v>
      </c>
      <c r="R93" s="302">
        <f t="shared" si="25"/>
        <v>0</v>
      </c>
      <c r="S93" s="302">
        <f t="shared" si="26"/>
        <v>0</v>
      </c>
      <c r="T93" s="302">
        <f t="shared" si="27"/>
        <v>0</v>
      </c>
      <c r="U93" s="302">
        <f t="shared" si="28"/>
        <v>0</v>
      </c>
      <c r="W93" s="343" t="str">
        <f t="shared" si="12"/>
        <v/>
      </c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</row>
    <row r="94" spans="1:45" ht="20.100000000000001" customHeight="1">
      <c r="A94" s="340"/>
      <c r="B94" s="340"/>
      <c r="C94" s="406" t="s">
        <v>1376</v>
      </c>
      <c r="D94" s="330" t="s">
        <v>1857</v>
      </c>
      <c r="E94" s="527">
        <v>1</v>
      </c>
      <c r="F94" s="527" t="s">
        <v>1317</v>
      </c>
      <c r="G94" s="302"/>
      <c r="H94" s="302"/>
      <c r="I94" s="302">
        <f>IF($D94="A",ROUND(VLOOKUP($C94,'[2]2.행정구역별 급수인구'!$C$7:$AD$997,26,FALSE)*$E94,0),IF($D94="B",(ROUND(VLOOKUP($C94,'[2]2.행정구역별 급수인구'!$C$7:$AD$997,26,FALSE)-VLOOKUP($C94,'[2]2.행정구역별 급수인구'!$C$7:$AD$997,26,FALSE)*(1-$E94),0)),VLOOKUP($C94,'[2]2.행정구역별 급수인구'!$C$7:$AD$997,26,FALSE)))</f>
        <v>136</v>
      </c>
      <c r="J94" s="302">
        <f>IF($D94="A",ROUND(VLOOKUP($C94,'[2]2.행정구역별 급수인구'!$C$7:$AD$997,27,FALSE)*$E94,0),IF($D94="B",(ROUND(VLOOKUP($C94,'[2]2.행정구역별 급수인구'!$C$7:$AD$997,27,FALSE)-VLOOKUP($C94,'[2]2.행정구역별 급수인구'!$C$7:$AD$997,27,FALSE)*(1-$E94),0)),VLOOKUP($C94,'[2]2.행정구역별 급수인구'!$C$7:$AD$997,27,FALSE)))</f>
        <v>140</v>
      </c>
      <c r="K94" s="302">
        <f>IF($D94="A",ROUND(VLOOKUP($C94,'[2]2.행정구역별 급수인구'!$C$7:$AD$997,28,FALSE)*$E94,0),IF($D94="B",(ROUND(VLOOKUP($C94,'[2]2.행정구역별 급수인구'!$C$7:$AD$997,28,FALSE)-VLOOKUP($C94,'[2]2.행정구역별 급수인구'!$C$7:$AD$997,28,FALSE)*(1-$E94),0)),VLOOKUP($C94,'[2]2.행정구역별 급수인구'!$C$7:$AD$997,28,FALSE)))</f>
        <v>143</v>
      </c>
      <c r="L94" s="302">
        <f>VLOOKUP($F94,'[3]5.급수원단위'!$B$31:$G$35,2,FALSE)</f>
        <v>272</v>
      </c>
      <c r="M94" s="302">
        <f>VLOOKUP($F94,'[3]5.급수원단위'!$B$31:$G$35,3,FALSE)</f>
        <v>304</v>
      </c>
      <c r="N94" s="302">
        <f>VLOOKUP($F94,'[3]5.급수원단위'!$B$31:$G$35,4,FALSE)</f>
        <v>308</v>
      </c>
      <c r="O94" s="302">
        <f>VLOOKUP($F94,'[3]5.급수원단위'!$B$31:$G$35,5,FALSE)</f>
        <v>310</v>
      </c>
      <c r="P94" s="302">
        <f>VLOOKUP($F94,'[3]5.급수원단위'!$B$31:$G$35,6,FALSE)</f>
        <v>310</v>
      </c>
      <c r="Q94" s="302">
        <f>ROUND(IF(G94=0,0,VLOOKUP(C94,'2013실사용량 정리'!$D$6:$F$381,3,FALSE)),0)</f>
        <v>0</v>
      </c>
      <c r="R94" s="302">
        <f t="shared" si="25"/>
        <v>0</v>
      </c>
      <c r="S94" s="302">
        <f t="shared" si="26"/>
        <v>42</v>
      </c>
      <c r="T94" s="302">
        <f t="shared" si="27"/>
        <v>43</v>
      </c>
      <c r="U94" s="302">
        <f t="shared" si="28"/>
        <v>44</v>
      </c>
      <c r="W94" s="343" t="str">
        <f t="shared" si="12"/>
        <v/>
      </c>
    </row>
    <row r="95" spans="1:45" ht="20.100000000000001" customHeight="1">
      <c r="A95" s="340"/>
      <c r="B95" s="340"/>
      <c r="C95" s="406" t="s">
        <v>1377</v>
      </c>
      <c r="D95" s="330" t="s">
        <v>1857</v>
      </c>
      <c r="E95" s="527">
        <v>1</v>
      </c>
      <c r="F95" s="527" t="s">
        <v>1317</v>
      </c>
      <c r="G95" s="302"/>
      <c r="H95" s="302"/>
      <c r="I95" s="302">
        <f>IF($D95="A",ROUND(VLOOKUP($C95,'[2]2.행정구역별 급수인구'!$C$7:$AD$997,26,FALSE)*$E95,0),IF($D95="B",(ROUND(VLOOKUP($C95,'[2]2.행정구역별 급수인구'!$C$7:$AD$997,26,FALSE)-VLOOKUP($C95,'[2]2.행정구역별 급수인구'!$C$7:$AD$997,26,FALSE)*(1-$E95),0)),VLOOKUP($C95,'[2]2.행정구역별 급수인구'!$C$7:$AD$997,26,FALSE)))</f>
        <v>205</v>
      </c>
      <c r="J95" s="302">
        <f>IF($D95="A",ROUND(VLOOKUP($C95,'[2]2.행정구역별 급수인구'!$C$7:$AD$997,27,FALSE)*$E95,0),IF($D95="B",(ROUND(VLOOKUP($C95,'[2]2.행정구역별 급수인구'!$C$7:$AD$997,27,FALSE)-VLOOKUP($C95,'[2]2.행정구역별 급수인구'!$C$7:$AD$997,27,FALSE)*(1-$E95),0)),VLOOKUP($C95,'[2]2.행정구역별 급수인구'!$C$7:$AD$997,27,FALSE)))</f>
        <v>210</v>
      </c>
      <c r="K95" s="302">
        <f>IF($D95="A",ROUND(VLOOKUP($C95,'[2]2.행정구역별 급수인구'!$C$7:$AD$997,28,FALSE)*$E95,0),IF($D95="B",(ROUND(VLOOKUP($C95,'[2]2.행정구역별 급수인구'!$C$7:$AD$997,28,FALSE)-VLOOKUP($C95,'[2]2.행정구역별 급수인구'!$C$7:$AD$997,28,FALSE)*(1-$E95),0)),VLOOKUP($C95,'[2]2.행정구역별 급수인구'!$C$7:$AD$997,28,FALSE)))</f>
        <v>213</v>
      </c>
      <c r="L95" s="302">
        <f>VLOOKUP($F95,'[3]5.급수원단위'!$B$31:$G$35,2,FALSE)</f>
        <v>272</v>
      </c>
      <c r="M95" s="302">
        <f>VLOOKUP($F95,'[3]5.급수원단위'!$B$31:$G$35,3,FALSE)</f>
        <v>304</v>
      </c>
      <c r="N95" s="302">
        <f>VLOOKUP($F95,'[3]5.급수원단위'!$B$31:$G$35,4,FALSE)</f>
        <v>308</v>
      </c>
      <c r="O95" s="302">
        <f>VLOOKUP($F95,'[3]5.급수원단위'!$B$31:$G$35,5,FALSE)</f>
        <v>310</v>
      </c>
      <c r="P95" s="302">
        <f>VLOOKUP($F95,'[3]5.급수원단위'!$B$31:$G$35,6,FALSE)</f>
        <v>310</v>
      </c>
      <c r="Q95" s="302">
        <f>ROUND(IF(G95=0,0,VLOOKUP(C95,'2013실사용량 정리'!$D$6:$F$381,3,FALSE)),0)</f>
        <v>0</v>
      </c>
      <c r="R95" s="302">
        <f t="shared" si="25"/>
        <v>0</v>
      </c>
      <c r="S95" s="302">
        <f t="shared" si="26"/>
        <v>63</v>
      </c>
      <c r="T95" s="302">
        <f t="shared" si="27"/>
        <v>65</v>
      </c>
      <c r="U95" s="302">
        <f t="shared" si="28"/>
        <v>66</v>
      </c>
      <c r="W95" s="343" t="str">
        <f t="shared" si="12"/>
        <v/>
      </c>
    </row>
    <row r="96" spans="1:45" ht="20.100000000000001" customHeight="1">
      <c r="A96" s="340"/>
      <c r="B96" s="340"/>
      <c r="C96" s="406" t="s">
        <v>1378</v>
      </c>
      <c r="D96" s="330" t="s">
        <v>1857</v>
      </c>
      <c r="E96" s="527">
        <v>1</v>
      </c>
      <c r="F96" s="527" t="s">
        <v>1317</v>
      </c>
      <c r="G96" s="302"/>
      <c r="H96" s="302"/>
      <c r="I96" s="302">
        <f>IF($D96="A",ROUND(VLOOKUP($C96,'[2]2.행정구역별 급수인구'!$C$7:$AD$997,26,FALSE)*$E96,0),IF($D96="B",(ROUND(VLOOKUP($C96,'[2]2.행정구역별 급수인구'!$C$7:$AD$997,26,FALSE)-VLOOKUP($C96,'[2]2.행정구역별 급수인구'!$C$7:$AD$997,26,FALSE)*(1-$E96),0)),VLOOKUP($C96,'[2]2.행정구역별 급수인구'!$C$7:$AD$997,26,FALSE)))</f>
        <v>80</v>
      </c>
      <c r="J96" s="302">
        <f>IF($D96="A",ROUND(VLOOKUP($C96,'[2]2.행정구역별 급수인구'!$C$7:$AD$997,27,FALSE)*$E96,0),IF($D96="B",(ROUND(VLOOKUP($C96,'[2]2.행정구역별 급수인구'!$C$7:$AD$997,27,FALSE)-VLOOKUP($C96,'[2]2.행정구역별 급수인구'!$C$7:$AD$997,27,FALSE)*(1-$E96),0)),VLOOKUP($C96,'[2]2.행정구역별 급수인구'!$C$7:$AD$997,27,FALSE)))</f>
        <v>81</v>
      </c>
      <c r="K96" s="302">
        <f>IF($D96="A",ROUND(VLOOKUP($C96,'[2]2.행정구역별 급수인구'!$C$7:$AD$997,28,FALSE)*$E96,0),IF($D96="B",(ROUND(VLOOKUP($C96,'[2]2.행정구역별 급수인구'!$C$7:$AD$997,28,FALSE)-VLOOKUP($C96,'[2]2.행정구역별 급수인구'!$C$7:$AD$997,28,FALSE)*(1-$E96),0)),VLOOKUP($C96,'[2]2.행정구역별 급수인구'!$C$7:$AD$997,28,FALSE)))</f>
        <v>83</v>
      </c>
      <c r="L96" s="302">
        <f>VLOOKUP($F96,'[3]5.급수원단위'!$B$31:$G$35,2,FALSE)</f>
        <v>272</v>
      </c>
      <c r="M96" s="302">
        <f>VLOOKUP($F96,'[3]5.급수원단위'!$B$31:$G$35,3,FALSE)</f>
        <v>304</v>
      </c>
      <c r="N96" s="302">
        <f>VLOOKUP($F96,'[3]5.급수원단위'!$B$31:$G$35,4,FALSE)</f>
        <v>308</v>
      </c>
      <c r="O96" s="302">
        <f>VLOOKUP($F96,'[3]5.급수원단위'!$B$31:$G$35,5,FALSE)</f>
        <v>310</v>
      </c>
      <c r="P96" s="302">
        <f>VLOOKUP($F96,'[3]5.급수원단위'!$B$31:$G$35,6,FALSE)</f>
        <v>310</v>
      </c>
      <c r="Q96" s="302">
        <f>ROUND(IF(G96=0,0,VLOOKUP(C96,'2013실사용량 정리'!$D$6:$F$381,3,FALSE)),0)</f>
        <v>0</v>
      </c>
      <c r="R96" s="302">
        <f t="shared" si="25"/>
        <v>0</v>
      </c>
      <c r="S96" s="302">
        <f t="shared" si="26"/>
        <v>25</v>
      </c>
      <c r="T96" s="302">
        <f t="shared" si="27"/>
        <v>25</v>
      </c>
      <c r="U96" s="302">
        <f t="shared" si="28"/>
        <v>26</v>
      </c>
      <c r="W96" s="343" t="str">
        <f t="shared" si="12"/>
        <v/>
      </c>
    </row>
    <row r="97" spans="1:23" ht="20.100000000000001" customHeight="1">
      <c r="A97" s="340"/>
      <c r="B97" s="340"/>
      <c r="C97" s="406" t="s">
        <v>1379</v>
      </c>
      <c r="D97" s="330" t="s">
        <v>1857</v>
      </c>
      <c r="E97" s="527">
        <v>1</v>
      </c>
      <c r="F97" s="527" t="s">
        <v>1317</v>
      </c>
      <c r="G97" s="302"/>
      <c r="H97" s="302"/>
      <c r="I97" s="302">
        <f>IF($D97="A",ROUND(VLOOKUP($C97,'[2]2.행정구역별 급수인구'!$C$7:$AD$997,26,FALSE)*$E97,0),IF($D97="B",(ROUND(VLOOKUP($C97,'[2]2.행정구역별 급수인구'!$C$7:$AD$997,26,FALSE)-VLOOKUP($C97,'[2]2.행정구역별 급수인구'!$C$7:$AD$997,26,FALSE)*(1-$E97),0)),VLOOKUP($C97,'[2]2.행정구역별 급수인구'!$C$7:$AD$997,26,FALSE)))</f>
        <v>182</v>
      </c>
      <c r="J97" s="302">
        <f>IF($D97="A",ROUND(VLOOKUP($C97,'[2]2.행정구역별 급수인구'!$C$7:$AD$997,27,FALSE)*$E97,0),IF($D97="B",(ROUND(VLOOKUP($C97,'[2]2.행정구역별 급수인구'!$C$7:$AD$997,27,FALSE)-VLOOKUP($C97,'[2]2.행정구역별 급수인구'!$C$7:$AD$997,27,FALSE)*(1-$E97),0)),VLOOKUP($C97,'[2]2.행정구역별 급수인구'!$C$7:$AD$997,27,FALSE)))</f>
        <v>186</v>
      </c>
      <c r="K97" s="302">
        <f>IF($D97="A",ROUND(VLOOKUP($C97,'[2]2.행정구역별 급수인구'!$C$7:$AD$997,28,FALSE)*$E97,0),IF($D97="B",(ROUND(VLOOKUP($C97,'[2]2.행정구역별 급수인구'!$C$7:$AD$997,28,FALSE)-VLOOKUP($C97,'[2]2.행정구역별 급수인구'!$C$7:$AD$997,28,FALSE)*(1-$E97),0)),VLOOKUP($C97,'[2]2.행정구역별 급수인구'!$C$7:$AD$997,28,FALSE)))</f>
        <v>190</v>
      </c>
      <c r="L97" s="302">
        <f>VLOOKUP($F97,'[3]5.급수원단위'!$B$31:$G$35,2,FALSE)</f>
        <v>272</v>
      </c>
      <c r="M97" s="302">
        <f>VLOOKUP($F97,'[3]5.급수원단위'!$B$31:$G$35,3,FALSE)</f>
        <v>304</v>
      </c>
      <c r="N97" s="302">
        <f>VLOOKUP($F97,'[3]5.급수원단위'!$B$31:$G$35,4,FALSE)</f>
        <v>308</v>
      </c>
      <c r="O97" s="302">
        <f>VLOOKUP($F97,'[3]5.급수원단위'!$B$31:$G$35,5,FALSE)</f>
        <v>310</v>
      </c>
      <c r="P97" s="302">
        <f>VLOOKUP($F97,'[3]5.급수원단위'!$B$31:$G$35,6,FALSE)</f>
        <v>310</v>
      </c>
      <c r="Q97" s="302">
        <f>ROUND(IF(G97=0,0,VLOOKUP(C97,'2013실사용량 정리'!$D$6:$F$381,3,FALSE)),0)</f>
        <v>0</v>
      </c>
      <c r="R97" s="302">
        <f t="shared" si="25"/>
        <v>0</v>
      </c>
      <c r="S97" s="302">
        <f t="shared" si="26"/>
        <v>56</v>
      </c>
      <c r="T97" s="302">
        <f t="shared" si="27"/>
        <v>58</v>
      </c>
      <c r="U97" s="302">
        <f t="shared" si="28"/>
        <v>59</v>
      </c>
      <c r="W97" s="343" t="str">
        <f t="shared" si="12"/>
        <v/>
      </c>
    </row>
    <row r="98" spans="1:23" ht="20.100000000000001" customHeight="1">
      <c r="A98" s="340"/>
      <c r="B98" s="340"/>
      <c r="C98" s="406" t="s">
        <v>1380</v>
      </c>
      <c r="D98" s="330" t="s">
        <v>1857</v>
      </c>
      <c r="E98" s="527">
        <v>1</v>
      </c>
      <c r="F98" s="527" t="s">
        <v>1317</v>
      </c>
      <c r="G98" s="302"/>
      <c r="H98" s="302"/>
      <c r="I98" s="302">
        <f>IF($D98="A",ROUND(VLOOKUP($C98,'[2]2.행정구역별 급수인구'!$C$7:$AD$997,26,FALSE)*$E98,0),IF($D98="B",(ROUND(VLOOKUP($C98,'[2]2.행정구역별 급수인구'!$C$7:$AD$997,26,FALSE)-VLOOKUP($C98,'[2]2.행정구역별 급수인구'!$C$7:$AD$997,26,FALSE)*(1-$E98),0)),VLOOKUP($C98,'[2]2.행정구역별 급수인구'!$C$7:$AD$997,26,FALSE)))</f>
        <v>94</v>
      </c>
      <c r="J98" s="302">
        <f>IF($D98="A",ROUND(VLOOKUP($C98,'[2]2.행정구역별 급수인구'!$C$7:$AD$997,27,FALSE)*$E98,0),IF($D98="B",(ROUND(VLOOKUP($C98,'[2]2.행정구역별 급수인구'!$C$7:$AD$997,27,FALSE)-VLOOKUP($C98,'[2]2.행정구역별 급수인구'!$C$7:$AD$997,27,FALSE)*(1-$E98),0)),VLOOKUP($C98,'[2]2.행정구역별 급수인구'!$C$7:$AD$997,27,FALSE)))</f>
        <v>95</v>
      </c>
      <c r="K98" s="302">
        <f>IF($D98="A",ROUND(VLOOKUP($C98,'[2]2.행정구역별 급수인구'!$C$7:$AD$997,28,FALSE)*$E98,0),IF($D98="B",(ROUND(VLOOKUP($C98,'[2]2.행정구역별 급수인구'!$C$7:$AD$997,28,FALSE)-VLOOKUP($C98,'[2]2.행정구역별 급수인구'!$C$7:$AD$997,28,FALSE)*(1-$E98),0)),VLOOKUP($C98,'[2]2.행정구역별 급수인구'!$C$7:$AD$997,28,FALSE)))</f>
        <v>97</v>
      </c>
      <c r="L98" s="302">
        <f>VLOOKUP($F98,'[3]5.급수원단위'!$B$31:$G$35,2,FALSE)</f>
        <v>272</v>
      </c>
      <c r="M98" s="302">
        <f>VLOOKUP($F98,'[3]5.급수원단위'!$B$31:$G$35,3,FALSE)</f>
        <v>304</v>
      </c>
      <c r="N98" s="302">
        <f>VLOOKUP($F98,'[3]5.급수원단위'!$B$31:$G$35,4,FALSE)</f>
        <v>308</v>
      </c>
      <c r="O98" s="302">
        <f>VLOOKUP($F98,'[3]5.급수원단위'!$B$31:$G$35,5,FALSE)</f>
        <v>310</v>
      </c>
      <c r="P98" s="302">
        <f>VLOOKUP($F98,'[3]5.급수원단위'!$B$31:$G$35,6,FALSE)</f>
        <v>310</v>
      </c>
      <c r="Q98" s="302">
        <f>ROUND(IF(G98=0,0,VLOOKUP(C98,'2013실사용량 정리'!$D$6:$F$381,3,FALSE)),0)</f>
        <v>0</v>
      </c>
      <c r="R98" s="302">
        <f t="shared" si="25"/>
        <v>0</v>
      </c>
      <c r="S98" s="302">
        <f t="shared" si="26"/>
        <v>29</v>
      </c>
      <c r="T98" s="302">
        <f t="shared" si="27"/>
        <v>29</v>
      </c>
      <c r="U98" s="302">
        <f t="shared" si="28"/>
        <v>30</v>
      </c>
      <c r="W98" s="343" t="str">
        <f t="shared" si="12"/>
        <v/>
      </c>
    </row>
    <row r="99" spans="1:23" ht="20.100000000000001" customHeight="1">
      <c r="A99" s="340"/>
      <c r="B99" s="340"/>
      <c r="C99" s="406" t="s">
        <v>1381</v>
      </c>
      <c r="D99" s="330" t="s">
        <v>1857</v>
      </c>
      <c r="E99" s="527">
        <v>1</v>
      </c>
      <c r="F99" s="527" t="s">
        <v>1317</v>
      </c>
      <c r="G99" s="302"/>
      <c r="H99" s="302"/>
      <c r="I99" s="302">
        <f>IF($D99="A",ROUND(VLOOKUP($C99,'[2]2.행정구역별 급수인구'!$C$7:$AD$997,26,FALSE)*$E99,0),IF($D99="B",(ROUND(VLOOKUP($C99,'[2]2.행정구역별 급수인구'!$C$7:$AD$997,26,FALSE)-VLOOKUP($C99,'[2]2.행정구역별 급수인구'!$C$7:$AD$997,26,FALSE)*(1-$E99),0)),VLOOKUP($C99,'[2]2.행정구역별 급수인구'!$C$7:$AD$997,26,FALSE)))</f>
        <v>166</v>
      </c>
      <c r="J99" s="302">
        <f>IF($D99="A",ROUND(VLOOKUP($C99,'[2]2.행정구역별 급수인구'!$C$7:$AD$997,27,FALSE)*$E99,0),IF($D99="B",(ROUND(VLOOKUP($C99,'[2]2.행정구역별 급수인구'!$C$7:$AD$997,27,FALSE)-VLOOKUP($C99,'[2]2.행정구역별 급수인구'!$C$7:$AD$997,27,FALSE)*(1-$E99),0)),VLOOKUP($C99,'[2]2.행정구역별 급수인구'!$C$7:$AD$997,27,FALSE)))</f>
        <v>169</v>
      </c>
      <c r="K99" s="302">
        <f>IF($D99="A",ROUND(VLOOKUP($C99,'[2]2.행정구역별 급수인구'!$C$7:$AD$997,28,FALSE)*$E99,0),IF($D99="B",(ROUND(VLOOKUP($C99,'[2]2.행정구역별 급수인구'!$C$7:$AD$997,28,FALSE)-VLOOKUP($C99,'[2]2.행정구역별 급수인구'!$C$7:$AD$997,28,FALSE)*(1-$E99),0)),VLOOKUP($C99,'[2]2.행정구역별 급수인구'!$C$7:$AD$997,28,FALSE)))</f>
        <v>173</v>
      </c>
      <c r="L99" s="302">
        <f>VLOOKUP($F99,'[3]5.급수원단위'!$B$31:$G$35,2,FALSE)</f>
        <v>272</v>
      </c>
      <c r="M99" s="302">
        <f>VLOOKUP($F99,'[3]5.급수원단위'!$B$31:$G$35,3,FALSE)</f>
        <v>304</v>
      </c>
      <c r="N99" s="302">
        <f>VLOOKUP($F99,'[3]5.급수원단위'!$B$31:$G$35,4,FALSE)</f>
        <v>308</v>
      </c>
      <c r="O99" s="302">
        <f>VLOOKUP($F99,'[3]5.급수원단위'!$B$31:$G$35,5,FALSE)</f>
        <v>310</v>
      </c>
      <c r="P99" s="302">
        <f>VLOOKUP($F99,'[3]5.급수원단위'!$B$31:$G$35,6,FALSE)</f>
        <v>310</v>
      </c>
      <c r="Q99" s="302">
        <f>ROUND(IF(G99=0,0,VLOOKUP(C99,'2013실사용량 정리'!$D$6:$F$381,3,FALSE)),0)</f>
        <v>0</v>
      </c>
      <c r="R99" s="302">
        <f t="shared" si="25"/>
        <v>0</v>
      </c>
      <c r="S99" s="302">
        <f t="shared" si="26"/>
        <v>51</v>
      </c>
      <c r="T99" s="302">
        <f t="shared" si="27"/>
        <v>52</v>
      </c>
      <c r="U99" s="302">
        <f t="shared" si="28"/>
        <v>54</v>
      </c>
      <c r="W99" s="343" t="str">
        <f t="shared" si="12"/>
        <v/>
      </c>
    </row>
    <row r="100" spans="1:23" ht="20.100000000000001" customHeight="1">
      <c r="A100" s="340"/>
      <c r="B100" s="340"/>
      <c r="C100" s="406" t="s">
        <v>1382</v>
      </c>
      <c r="D100" s="330" t="s">
        <v>1857</v>
      </c>
      <c r="E100" s="527">
        <v>1</v>
      </c>
      <c r="F100" s="527" t="s">
        <v>1317</v>
      </c>
      <c r="G100" s="302"/>
      <c r="H100" s="302"/>
      <c r="I100" s="302">
        <f>IF($D100="A",ROUND(VLOOKUP($C100,'[2]2.행정구역별 급수인구'!$C$7:$AD$997,26,FALSE)*$E100,0),IF($D100="B",(ROUND(VLOOKUP($C100,'[2]2.행정구역별 급수인구'!$C$7:$AD$997,26,FALSE)-VLOOKUP($C100,'[2]2.행정구역별 급수인구'!$C$7:$AD$997,26,FALSE)*(1-$E100),0)),VLOOKUP($C100,'[2]2.행정구역별 급수인구'!$C$7:$AD$997,26,FALSE)))</f>
        <v>327</v>
      </c>
      <c r="J100" s="302">
        <f>IF($D100="A",ROUND(VLOOKUP($C100,'[2]2.행정구역별 급수인구'!$C$7:$AD$997,27,FALSE)*$E100,0),IF($D100="B",(ROUND(VLOOKUP($C100,'[2]2.행정구역별 급수인구'!$C$7:$AD$997,27,FALSE)-VLOOKUP($C100,'[2]2.행정구역별 급수인구'!$C$7:$AD$997,27,FALSE)*(1-$E100),0)),VLOOKUP($C100,'[2]2.행정구역별 급수인구'!$C$7:$AD$997,27,FALSE)))</f>
        <v>335</v>
      </c>
      <c r="K100" s="302">
        <f>IF($D100="A",ROUND(VLOOKUP($C100,'[2]2.행정구역별 급수인구'!$C$7:$AD$997,28,FALSE)*$E100,0),IF($D100="B",(ROUND(VLOOKUP($C100,'[2]2.행정구역별 급수인구'!$C$7:$AD$997,28,FALSE)-VLOOKUP($C100,'[2]2.행정구역별 급수인구'!$C$7:$AD$997,28,FALSE)*(1-$E100),0)),VLOOKUP($C100,'[2]2.행정구역별 급수인구'!$C$7:$AD$997,28,FALSE)))</f>
        <v>341</v>
      </c>
      <c r="L100" s="302">
        <f>VLOOKUP($F100,'[3]5.급수원단위'!$B$31:$G$35,2,FALSE)</f>
        <v>272</v>
      </c>
      <c r="M100" s="302">
        <f>VLOOKUP($F100,'[3]5.급수원단위'!$B$31:$G$35,3,FALSE)</f>
        <v>304</v>
      </c>
      <c r="N100" s="302">
        <f>VLOOKUP($F100,'[3]5.급수원단위'!$B$31:$G$35,4,FALSE)</f>
        <v>308</v>
      </c>
      <c r="O100" s="302">
        <f>VLOOKUP($F100,'[3]5.급수원단위'!$B$31:$G$35,5,FALSE)</f>
        <v>310</v>
      </c>
      <c r="P100" s="302">
        <f>VLOOKUP($F100,'[3]5.급수원단위'!$B$31:$G$35,6,FALSE)</f>
        <v>310</v>
      </c>
      <c r="Q100" s="302">
        <f>ROUND(IF(G100=0,0,VLOOKUP(C100,'2013실사용량 정리'!$D$6:$F$381,3,FALSE)),0)</f>
        <v>0</v>
      </c>
      <c r="R100" s="302">
        <f t="shared" si="25"/>
        <v>0</v>
      </c>
      <c r="S100" s="302">
        <f t="shared" si="26"/>
        <v>101</v>
      </c>
      <c r="T100" s="302">
        <f t="shared" si="27"/>
        <v>104</v>
      </c>
      <c r="U100" s="302">
        <f t="shared" si="28"/>
        <v>106</v>
      </c>
      <c r="W100" s="343" t="str">
        <f t="shared" si="12"/>
        <v/>
      </c>
    </row>
    <row r="101" spans="1:23" ht="20.100000000000001" customHeight="1">
      <c r="A101" s="340"/>
      <c r="B101" s="340"/>
      <c r="C101" s="406" t="s">
        <v>1383</v>
      </c>
      <c r="D101" s="330" t="s">
        <v>1857</v>
      </c>
      <c r="E101" s="527">
        <v>1</v>
      </c>
      <c r="F101" s="527" t="s">
        <v>1317</v>
      </c>
      <c r="G101" s="302"/>
      <c r="H101" s="302"/>
      <c r="I101" s="302">
        <f>IF($D101="A",ROUND(VLOOKUP($C101,'[2]2.행정구역별 급수인구'!$C$7:$AD$997,26,FALSE)*$E101,0),IF($D101="B",(ROUND(VLOOKUP($C101,'[2]2.행정구역별 급수인구'!$C$7:$AD$997,26,FALSE)-VLOOKUP($C101,'[2]2.행정구역별 급수인구'!$C$7:$AD$997,26,FALSE)*(1-$E101),0)),VLOOKUP($C101,'[2]2.행정구역별 급수인구'!$C$7:$AD$997,26,FALSE)))</f>
        <v>154</v>
      </c>
      <c r="J101" s="302">
        <f>IF($D101="A",ROUND(VLOOKUP($C101,'[2]2.행정구역별 급수인구'!$C$7:$AD$997,27,FALSE)*$E101,0),IF($D101="B",(ROUND(VLOOKUP($C101,'[2]2.행정구역별 급수인구'!$C$7:$AD$997,27,FALSE)-VLOOKUP($C101,'[2]2.행정구역별 급수인구'!$C$7:$AD$997,27,FALSE)*(1-$E101),0)),VLOOKUP($C101,'[2]2.행정구역별 급수인구'!$C$7:$AD$997,27,FALSE)))</f>
        <v>157</v>
      </c>
      <c r="K101" s="302">
        <f>IF($D101="A",ROUND(VLOOKUP($C101,'[2]2.행정구역별 급수인구'!$C$7:$AD$997,28,FALSE)*$E101,0),IF($D101="B",(ROUND(VLOOKUP($C101,'[2]2.행정구역별 급수인구'!$C$7:$AD$997,28,FALSE)-VLOOKUP($C101,'[2]2.행정구역별 급수인구'!$C$7:$AD$997,28,FALSE)*(1-$E101),0)),VLOOKUP($C101,'[2]2.행정구역별 급수인구'!$C$7:$AD$997,28,FALSE)))</f>
        <v>161</v>
      </c>
      <c r="L101" s="302">
        <f>VLOOKUP($F101,'[3]5.급수원단위'!$B$31:$G$35,2,FALSE)</f>
        <v>272</v>
      </c>
      <c r="M101" s="302">
        <f>VLOOKUP($F101,'[3]5.급수원단위'!$B$31:$G$35,3,FALSE)</f>
        <v>304</v>
      </c>
      <c r="N101" s="302">
        <f>VLOOKUP($F101,'[3]5.급수원단위'!$B$31:$G$35,4,FALSE)</f>
        <v>308</v>
      </c>
      <c r="O101" s="302">
        <f>VLOOKUP($F101,'[3]5.급수원단위'!$B$31:$G$35,5,FALSE)</f>
        <v>310</v>
      </c>
      <c r="P101" s="302">
        <f>VLOOKUP($F101,'[3]5.급수원단위'!$B$31:$G$35,6,FALSE)</f>
        <v>310</v>
      </c>
      <c r="Q101" s="302">
        <f>ROUND(IF(G101=0,0,VLOOKUP(C101,'2013실사용량 정리'!$D$6:$F$381,3,FALSE)),0)</f>
        <v>0</v>
      </c>
      <c r="R101" s="302">
        <f t="shared" si="25"/>
        <v>0</v>
      </c>
      <c r="S101" s="302">
        <f t="shared" si="26"/>
        <v>47</v>
      </c>
      <c r="T101" s="302">
        <f t="shared" si="27"/>
        <v>49</v>
      </c>
      <c r="U101" s="302">
        <f t="shared" si="28"/>
        <v>50</v>
      </c>
      <c r="W101" s="343" t="str">
        <f t="shared" si="12"/>
        <v/>
      </c>
    </row>
    <row r="102" spans="1:23" ht="20.100000000000001" customHeight="1">
      <c r="A102" s="340"/>
      <c r="B102" s="340"/>
      <c r="C102" s="406" t="s">
        <v>1384</v>
      </c>
      <c r="D102" s="330" t="s">
        <v>1857</v>
      </c>
      <c r="E102" s="527">
        <v>1</v>
      </c>
      <c r="F102" s="527" t="s">
        <v>1317</v>
      </c>
      <c r="G102" s="302"/>
      <c r="H102" s="302"/>
      <c r="I102" s="302">
        <f>IF($D102="A",ROUND(VLOOKUP($C102,'[2]2.행정구역별 급수인구'!$C$7:$AD$997,26,FALSE)*$E102,0),IF($D102="B",(ROUND(VLOOKUP($C102,'[2]2.행정구역별 급수인구'!$C$7:$AD$997,26,FALSE)-VLOOKUP($C102,'[2]2.행정구역별 급수인구'!$C$7:$AD$997,26,FALSE)*(1-$E102),0)),VLOOKUP($C102,'[2]2.행정구역별 급수인구'!$C$7:$AD$997,26,FALSE)))</f>
        <v>154</v>
      </c>
      <c r="J102" s="302">
        <f>IF($D102="A",ROUND(VLOOKUP($C102,'[2]2.행정구역별 급수인구'!$C$7:$AD$997,27,FALSE)*$E102,0),IF($D102="B",(ROUND(VLOOKUP($C102,'[2]2.행정구역별 급수인구'!$C$7:$AD$997,27,FALSE)-VLOOKUP($C102,'[2]2.행정구역별 급수인구'!$C$7:$AD$997,27,FALSE)*(1-$E102),0)),VLOOKUP($C102,'[2]2.행정구역별 급수인구'!$C$7:$AD$997,27,FALSE)))</f>
        <v>157</v>
      </c>
      <c r="K102" s="302">
        <f>IF($D102="A",ROUND(VLOOKUP($C102,'[2]2.행정구역별 급수인구'!$C$7:$AD$997,28,FALSE)*$E102,0),IF($D102="B",(ROUND(VLOOKUP($C102,'[2]2.행정구역별 급수인구'!$C$7:$AD$997,28,FALSE)-VLOOKUP($C102,'[2]2.행정구역별 급수인구'!$C$7:$AD$997,28,FALSE)*(1-$E102),0)),VLOOKUP($C102,'[2]2.행정구역별 급수인구'!$C$7:$AD$997,28,FALSE)))</f>
        <v>161</v>
      </c>
      <c r="L102" s="302">
        <f>VLOOKUP($F102,'[3]5.급수원단위'!$B$31:$G$35,2,FALSE)</f>
        <v>272</v>
      </c>
      <c r="M102" s="302">
        <f>VLOOKUP($F102,'[3]5.급수원단위'!$B$31:$G$35,3,FALSE)</f>
        <v>304</v>
      </c>
      <c r="N102" s="302">
        <f>VLOOKUP($F102,'[3]5.급수원단위'!$B$31:$G$35,4,FALSE)</f>
        <v>308</v>
      </c>
      <c r="O102" s="302">
        <f>VLOOKUP($F102,'[3]5.급수원단위'!$B$31:$G$35,5,FALSE)</f>
        <v>310</v>
      </c>
      <c r="P102" s="302">
        <f>VLOOKUP($F102,'[3]5.급수원단위'!$B$31:$G$35,6,FALSE)</f>
        <v>310</v>
      </c>
      <c r="Q102" s="302">
        <f>ROUND(IF(G102=0,0,VLOOKUP(C102,'2013실사용량 정리'!$D$6:$F$381,3,FALSE)),0)</f>
        <v>0</v>
      </c>
      <c r="R102" s="302">
        <f t="shared" si="25"/>
        <v>0</v>
      </c>
      <c r="S102" s="302">
        <f t="shared" si="26"/>
        <v>47</v>
      </c>
      <c r="T102" s="302">
        <f t="shared" si="27"/>
        <v>49</v>
      </c>
      <c r="U102" s="302">
        <f t="shared" si="28"/>
        <v>50</v>
      </c>
      <c r="W102" s="343" t="str">
        <f t="shared" si="12"/>
        <v/>
      </c>
    </row>
    <row r="103" spans="1:23" ht="20.100000000000001" customHeight="1">
      <c r="A103" s="340"/>
      <c r="B103" s="340"/>
      <c r="C103" s="406" t="s">
        <v>1390</v>
      </c>
      <c r="D103" s="330" t="s">
        <v>1857</v>
      </c>
      <c r="E103" s="527">
        <v>0</v>
      </c>
      <c r="F103" s="527" t="s">
        <v>1317</v>
      </c>
      <c r="G103" s="302"/>
      <c r="H103" s="302"/>
      <c r="I103" s="302"/>
      <c r="J103" s="302"/>
      <c r="K103" s="302"/>
      <c r="L103" s="302">
        <f>VLOOKUP($F103,'[3]5.급수원단위'!$B$31:$G$35,2,FALSE)</f>
        <v>272</v>
      </c>
      <c r="M103" s="302">
        <f>VLOOKUP($F103,'[3]5.급수원단위'!$B$31:$G$35,3,FALSE)</f>
        <v>304</v>
      </c>
      <c r="N103" s="302">
        <f>VLOOKUP($F103,'[3]5.급수원단위'!$B$31:$G$35,4,FALSE)</f>
        <v>308</v>
      </c>
      <c r="O103" s="302">
        <f>VLOOKUP($F103,'[3]5.급수원단위'!$B$31:$G$35,5,FALSE)</f>
        <v>310</v>
      </c>
      <c r="P103" s="302">
        <f>VLOOKUP($F103,'[3]5.급수원단위'!$B$31:$G$35,6,FALSE)</f>
        <v>310</v>
      </c>
      <c r="Q103" s="302">
        <f>ROUND(IF(G103=0,0,VLOOKUP(C103,'2013실사용량 정리'!$D$6:$F$381,3,FALSE)),0)</f>
        <v>0</v>
      </c>
      <c r="R103" s="302">
        <f t="shared" si="25"/>
        <v>0</v>
      </c>
      <c r="S103" s="302">
        <f t="shared" si="26"/>
        <v>0</v>
      </c>
      <c r="T103" s="302">
        <f t="shared" si="27"/>
        <v>0</v>
      </c>
      <c r="U103" s="302">
        <f t="shared" si="28"/>
        <v>0</v>
      </c>
      <c r="W103" s="343" t="str">
        <f t="shared" si="12"/>
        <v/>
      </c>
    </row>
    <row r="104" spans="1:23" ht="20.100000000000001" customHeight="1">
      <c r="A104" s="340"/>
      <c r="B104" s="340"/>
      <c r="C104" s="406" t="s">
        <v>1391</v>
      </c>
      <c r="D104" s="330" t="s">
        <v>1857</v>
      </c>
      <c r="E104" s="527">
        <v>0</v>
      </c>
      <c r="F104" s="527" t="s">
        <v>1317</v>
      </c>
      <c r="G104" s="302"/>
      <c r="H104" s="302"/>
      <c r="I104" s="302"/>
      <c r="J104" s="302"/>
      <c r="K104" s="302"/>
      <c r="L104" s="302">
        <f>VLOOKUP($F104,'[3]5.급수원단위'!$B$31:$G$35,2,FALSE)</f>
        <v>272</v>
      </c>
      <c r="M104" s="302">
        <f>VLOOKUP($F104,'[3]5.급수원단위'!$B$31:$G$35,3,FALSE)</f>
        <v>304</v>
      </c>
      <c r="N104" s="302">
        <f>VLOOKUP($F104,'[3]5.급수원단위'!$B$31:$G$35,4,FALSE)</f>
        <v>308</v>
      </c>
      <c r="O104" s="302">
        <f>VLOOKUP($F104,'[3]5.급수원단위'!$B$31:$G$35,5,FALSE)</f>
        <v>310</v>
      </c>
      <c r="P104" s="302">
        <f>VLOOKUP($F104,'[3]5.급수원단위'!$B$31:$G$35,6,FALSE)</f>
        <v>310</v>
      </c>
      <c r="Q104" s="302">
        <f>ROUND(IF(G104=0,0,VLOOKUP(C104,'2013실사용량 정리'!$D$6:$F$381,3,FALSE)),0)</f>
        <v>0</v>
      </c>
      <c r="R104" s="302">
        <f t="shared" si="25"/>
        <v>0</v>
      </c>
      <c r="S104" s="302">
        <f t="shared" si="26"/>
        <v>0</v>
      </c>
      <c r="T104" s="302">
        <f t="shared" si="27"/>
        <v>0</v>
      </c>
      <c r="U104" s="302">
        <f t="shared" si="28"/>
        <v>0</v>
      </c>
      <c r="W104" s="343" t="str">
        <f t="shared" si="12"/>
        <v/>
      </c>
    </row>
    <row r="105" spans="1:23" ht="20.100000000000001" customHeight="1">
      <c r="A105" s="340"/>
      <c r="B105" s="340"/>
      <c r="C105" s="406" t="s">
        <v>1392</v>
      </c>
      <c r="D105" s="330" t="s">
        <v>1857</v>
      </c>
      <c r="E105" s="527">
        <v>0</v>
      </c>
      <c r="F105" s="527" t="s">
        <v>1317</v>
      </c>
      <c r="G105" s="302"/>
      <c r="H105" s="302"/>
      <c r="I105" s="302"/>
      <c r="J105" s="302"/>
      <c r="K105" s="302"/>
      <c r="L105" s="302">
        <f>VLOOKUP($F105,'[3]5.급수원단위'!$B$31:$G$35,2,FALSE)</f>
        <v>272</v>
      </c>
      <c r="M105" s="302">
        <f>VLOOKUP($F105,'[3]5.급수원단위'!$B$31:$G$35,3,FALSE)</f>
        <v>304</v>
      </c>
      <c r="N105" s="302">
        <f>VLOOKUP($F105,'[3]5.급수원단위'!$B$31:$G$35,4,FALSE)</f>
        <v>308</v>
      </c>
      <c r="O105" s="302">
        <f>VLOOKUP($F105,'[3]5.급수원단위'!$B$31:$G$35,5,FALSE)</f>
        <v>310</v>
      </c>
      <c r="P105" s="302">
        <f>VLOOKUP($F105,'[3]5.급수원단위'!$B$31:$G$35,6,FALSE)</f>
        <v>310</v>
      </c>
      <c r="Q105" s="302">
        <f>ROUND(IF(G105=0,0,VLOOKUP(C105,'2013실사용량 정리'!$D$6:$F$381,3,FALSE)),0)</f>
        <v>0</v>
      </c>
      <c r="R105" s="302">
        <f t="shared" si="25"/>
        <v>0</v>
      </c>
      <c r="S105" s="302">
        <f t="shared" si="26"/>
        <v>0</v>
      </c>
      <c r="T105" s="302">
        <f t="shared" si="27"/>
        <v>0</v>
      </c>
      <c r="U105" s="302">
        <f t="shared" si="28"/>
        <v>0</v>
      </c>
      <c r="W105" s="343" t="str">
        <f t="shared" si="12"/>
        <v/>
      </c>
    </row>
    <row r="106" spans="1:23" ht="20.100000000000001" customHeight="1">
      <c r="A106" s="340"/>
      <c r="B106" s="340"/>
      <c r="C106" s="406" t="s">
        <v>1393</v>
      </c>
      <c r="D106" s="330" t="s">
        <v>1857</v>
      </c>
      <c r="E106" s="527">
        <v>0</v>
      </c>
      <c r="F106" s="527" t="s">
        <v>1317</v>
      </c>
      <c r="G106" s="302"/>
      <c r="H106" s="302"/>
      <c r="I106" s="302"/>
      <c r="J106" s="302"/>
      <c r="K106" s="302"/>
      <c r="L106" s="302">
        <f>VLOOKUP($F106,'[3]5.급수원단위'!$B$31:$G$35,2,FALSE)</f>
        <v>272</v>
      </c>
      <c r="M106" s="302">
        <f>VLOOKUP($F106,'[3]5.급수원단위'!$B$31:$G$35,3,FALSE)</f>
        <v>304</v>
      </c>
      <c r="N106" s="302">
        <f>VLOOKUP($F106,'[3]5.급수원단위'!$B$31:$G$35,4,FALSE)</f>
        <v>308</v>
      </c>
      <c r="O106" s="302">
        <f>VLOOKUP($F106,'[3]5.급수원단위'!$B$31:$G$35,5,FALSE)</f>
        <v>310</v>
      </c>
      <c r="P106" s="302">
        <f>VLOOKUP($F106,'[3]5.급수원단위'!$B$31:$G$35,6,FALSE)</f>
        <v>310</v>
      </c>
      <c r="Q106" s="302">
        <f>ROUND(IF(G106=0,0,VLOOKUP(C106,'2013실사용량 정리'!$D$6:$F$381,3,FALSE)),0)</f>
        <v>0</v>
      </c>
      <c r="R106" s="302">
        <f t="shared" si="25"/>
        <v>0</v>
      </c>
      <c r="S106" s="302">
        <f t="shared" si="26"/>
        <v>0</v>
      </c>
      <c r="T106" s="302">
        <f t="shared" si="27"/>
        <v>0</v>
      </c>
      <c r="U106" s="302">
        <f t="shared" si="28"/>
        <v>0</v>
      </c>
      <c r="W106" s="343" t="str">
        <f t="shared" si="12"/>
        <v/>
      </c>
    </row>
    <row r="107" spans="1:23" ht="20.100000000000001" customHeight="1">
      <c r="A107" s="340"/>
      <c r="B107" s="340"/>
      <c r="C107" s="406" t="s">
        <v>1394</v>
      </c>
      <c r="D107" s="330" t="s">
        <v>1857</v>
      </c>
      <c r="E107" s="527">
        <v>0</v>
      </c>
      <c r="F107" s="527" t="s">
        <v>1317</v>
      </c>
      <c r="G107" s="302"/>
      <c r="H107" s="302"/>
      <c r="I107" s="302"/>
      <c r="J107" s="302"/>
      <c r="K107" s="302"/>
      <c r="L107" s="302">
        <f>VLOOKUP($F107,'[3]5.급수원단위'!$B$31:$G$35,2,FALSE)</f>
        <v>272</v>
      </c>
      <c r="M107" s="302">
        <f>VLOOKUP($F107,'[3]5.급수원단위'!$B$31:$G$35,3,FALSE)</f>
        <v>304</v>
      </c>
      <c r="N107" s="302">
        <f>VLOOKUP($F107,'[3]5.급수원단위'!$B$31:$G$35,4,FALSE)</f>
        <v>308</v>
      </c>
      <c r="O107" s="302">
        <f>VLOOKUP($F107,'[3]5.급수원단위'!$B$31:$G$35,5,FALSE)</f>
        <v>310</v>
      </c>
      <c r="P107" s="302">
        <f>VLOOKUP($F107,'[3]5.급수원단위'!$B$31:$G$35,6,FALSE)</f>
        <v>310</v>
      </c>
      <c r="Q107" s="302">
        <f>ROUND(IF(G107=0,0,VLOOKUP(C107,'2013실사용량 정리'!$D$6:$F$381,3,FALSE)),0)</f>
        <v>0</v>
      </c>
      <c r="R107" s="302">
        <f t="shared" si="25"/>
        <v>0</v>
      </c>
      <c r="S107" s="302">
        <f t="shared" si="26"/>
        <v>0</v>
      </c>
      <c r="T107" s="302">
        <f t="shared" si="27"/>
        <v>0</v>
      </c>
      <c r="U107" s="302">
        <f t="shared" si="28"/>
        <v>0</v>
      </c>
      <c r="W107" s="343" t="str">
        <f t="shared" si="12"/>
        <v/>
      </c>
    </row>
    <row r="108" spans="1:23" ht="20.100000000000001" customHeight="1">
      <c r="A108" s="340"/>
      <c r="B108" s="340"/>
      <c r="C108" s="406" t="s">
        <v>1395</v>
      </c>
      <c r="D108" s="330" t="s">
        <v>1857</v>
      </c>
      <c r="E108" s="527">
        <v>0</v>
      </c>
      <c r="F108" s="527" t="s">
        <v>1317</v>
      </c>
      <c r="G108" s="302"/>
      <c r="H108" s="302"/>
      <c r="I108" s="302"/>
      <c r="J108" s="302"/>
      <c r="K108" s="302"/>
      <c r="L108" s="302">
        <f>VLOOKUP($F108,'[3]5.급수원단위'!$B$31:$G$35,2,FALSE)</f>
        <v>272</v>
      </c>
      <c r="M108" s="302">
        <f>VLOOKUP($F108,'[3]5.급수원단위'!$B$31:$G$35,3,FALSE)</f>
        <v>304</v>
      </c>
      <c r="N108" s="302">
        <f>VLOOKUP($F108,'[3]5.급수원단위'!$B$31:$G$35,4,FALSE)</f>
        <v>308</v>
      </c>
      <c r="O108" s="302">
        <f>VLOOKUP($F108,'[3]5.급수원단위'!$B$31:$G$35,5,FALSE)</f>
        <v>310</v>
      </c>
      <c r="P108" s="302">
        <f>VLOOKUP($F108,'[3]5.급수원단위'!$B$31:$G$35,6,FALSE)</f>
        <v>310</v>
      </c>
      <c r="Q108" s="302">
        <f>ROUND(IF(G108=0,0,VLOOKUP(C108,'2013실사용량 정리'!$D$6:$F$381,3,FALSE)),0)</f>
        <v>0</v>
      </c>
      <c r="R108" s="302">
        <f t="shared" si="25"/>
        <v>0</v>
      </c>
      <c r="S108" s="302">
        <f t="shared" si="26"/>
        <v>0</v>
      </c>
      <c r="T108" s="302">
        <f t="shared" si="27"/>
        <v>0</v>
      </c>
      <c r="U108" s="302">
        <f t="shared" si="28"/>
        <v>0</v>
      </c>
      <c r="W108" s="343" t="str">
        <f t="shared" si="12"/>
        <v/>
      </c>
    </row>
    <row r="109" spans="1:23" ht="20.100000000000001" customHeight="1">
      <c r="A109" s="386"/>
      <c r="B109" s="386"/>
      <c r="C109" s="406" t="s">
        <v>1398</v>
      </c>
      <c r="D109" s="330" t="s">
        <v>1857</v>
      </c>
      <c r="E109" s="527">
        <v>0</v>
      </c>
      <c r="F109" s="527" t="s">
        <v>1317</v>
      </c>
      <c r="G109" s="302"/>
      <c r="H109" s="302"/>
      <c r="I109" s="302"/>
      <c r="J109" s="302"/>
      <c r="K109" s="302"/>
      <c r="L109" s="302">
        <f>VLOOKUP($F109,'[3]5.급수원단위'!$B$31:$G$35,2,FALSE)</f>
        <v>272</v>
      </c>
      <c r="M109" s="302">
        <f>VLOOKUP($F109,'[3]5.급수원단위'!$B$31:$G$35,3,FALSE)</f>
        <v>304</v>
      </c>
      <c r="N109" s="302">
        <f>VLOOKUP($F109,'[3]5.급수원단위'!$B$31:$G$35,4,FALSE)</f>
        <v>308</v>
      </c>
      <c r="O109" s="302">
        <f>VLOOKUP($F109,'[3]5.급수원단위'!$B$31:$G$35,5,FALSE)</f>
        <v>310</v>
      </c>
      <c r="P109" s="302">
        <f>VLOOKUP($F109,'[3]5.급수원단위'!$B$31:$G$35,6,FALSE)</f>
        <v>310</v>
      </c>
      <c r="Q109" s="302">
        <f>ROUND(IF(G109=0,0,VLOOKUP(C109,'2013실사용량 정리'!$D$6:$F$381,3,FALSE)),0)</f>
        <v>0</v>
      </c>
      <c r="R109" s="302">
        <f t="shared" si="25"/>
        <v>0</v>
      </c>
      <c r="S109" s="302">
        <f t="shared" si="26"/>
        <v>0</v>
      </c>
      <c r="T109" s="302">
        <f t="shared" si="27"/>
        <v>0</v>
      </c>
      <c r="U109" s="302">
        <f t="shared" si="28"/>
        <v>0</v>
      </c>
      <c r="W109" s="343" t="str">
        <f t="shared" si="12"/>
        <v/>
      </c>
    </row>
    <row r="110" spans="1:23" ht="20.100000000000001" customHeight="1">
      <c r="A110" s="339"/>
      <c r="B110" s="339"/>
      <c r="C110" s="406" t="s">
        <v>1399</v>
      </c>
      <c r="D110" s="330" t="s">
        <v>1857</v>
      </c>
      <c r="E110" s="527">
        <v>0</v>
      </c>
      <c r="F110" s="527" t="s">
        <v>1317</v>
      </c>
      <c r="G110" s="302"/>
      <c r="H110" s="302"/>
      <c r="I110" s="302"/>
      <c r="J110" s="302"/>
      <c r="K110" s="302"/>
      <c r="L110" s="302">
        <f>VLOOKUP($F110,'[3]5.급수원단위'!$B$31:$G$35,2,FALSE)</f>
        <v>272</v>
      </c>
      <c r="M110" s="302">
        <f>VLOOKUP($F110,'[3]5.급수원단위'!$B$31:$G$35,3,FALSE)</f>
        <v>304</v>
      </c>
      <c r="N110" s="302">
        <f>VLOOKUP($F110,'[3]5.급수원단위'!$B$31:$G$35,4,FALSE)</f>
        <v>308</v>
      </c>
      <c r="O110" s="302">
        <f>VLOOKUP($F110,'[3]5.급수원단위'!$B$31:$G$35,5,FALSE)</f>
        <v>310</v>
      </c>
      <c r="P110" s="302">
        <f>VLOOKUP($F110,'[3]5.급수원단위'!$B$31:$G$35,6,FALSE)</f>
        <v>310</v>
      </c>
      <c r="Q110" s="302">
        <f>ROUND(IF(G110=0,0,VLOOKUP(C110,'2013실사용량 정리'!$D$6:$F$381,3,FALSE)),0)</f>
        <v>0</v>
      </c>
      <c r="R110" s="302">
        <f t="shared" si="25"/>
        <v>0</v>
      </c>
      <c r="S110" s="302">
        <f t="shared" si="26"/>
        <v>0</v>
      </c>
      <c r="T110" s="302">
        <f t="shared" si="27"/>
        <v>0</v>
      </c>
      <c r="U110" s="302">
        <f t="shared" si="28"/>
        <v>0</v>
      </c>
      <c r="W110" s="343" t="str">
        <f t="shared" si="12"/>
        <v/>
      </c>
    </row>
    <row r="111" spans="1:23" ht="20.100000000000001" customHeight="1">
      <c r="A111" s="340"/>
      <c r="B111" s="340"/>
      <c r="C111" s="406" t="s">
        <v>1400</v>
      </c>
      <c r="D111" s="330" t="s">
        <v>1857</v>
      </c>
      <c r="E111" s="527">
        <v>0</v>
      </c>
      <c r="F111" s="527" t="s">
        <v>1317</v>
      </c>
      <c r="G111" s="302"/>
      <c r="H111" s="302"/>
      <c r="I111" s="302"/>
      <c r="J111" s="302"/>
      <c r="K111" s="302"/>
      <c r="L111" s="302">
        <f>VLOOKUP($F111,'[3]5.급수원단위'!$B$31:$G$35,2,FALSE)</f>
        <v>272</v>
      </c>
      <c r="M111" s="302">
        <f>VLOOKUP($F111,'[3]5.급수원단위'!$B$31:$G$35,3,FALSE)</f>
        <v>304</v>
      </c>
      <c r="N111" s="302">
        <f>VLOOKUP($F111,'[3]5.급수원단위'!$B$31:$G$35,4,FALSE)</f>
        <v>308</v>
      </c>
      <c r="O111" s="302">
        <f>VLOOKUP($F111,'[3]5.급수원단위'!$B$31:$G$35,5,FALSE)</f>
        <v>310</v>
      </c>
      <c r="P111" s="302">
        <f>VLOOKUP($F111,'[3]5.급수원단위'!$B$31:$G$35,6,FALSE)</f>
        <v>310</v>
      </c>
      <c r="Q111" s="302">
        <f>ROUND(IF(G111=0,0,VLOOKUP(C111,'2013실사용량 정리'!$D$6:$F$381,3,FALSE)),0)</f>
        <v>0</v>
      </c>
      <c r="R111" s="302">
        <f t="shared" si="25"/>
        <v>0</v>
      </c>
      <c r="S111" s="302">
        <f t="shared" si="26"/>
        <v>0</v>
      </c>
      <c r="T111" s="302">
        <f t="shared" si="27"/>
        <v>0</v>
      </c>
      <c r="U111" s="302">
        <f t="shared" si="28"/>
        <v>0</v>
      </c>
      <c r="W111" s="343" t="str">
        <f t="shared" si="12"/>
        <v/>
      </c>
    </row>
    <row r="112" spans="1:23" ht="20.100000000000001" customHeight="1">
      <c r="A112" s="340"/>
      <c r="B112" s="340"/>
      <c r="C112" s="406" t="s">
        <v>1401</v>
      </c>
      <c r="D112" s="330" t="s">
        <v>1857</v>
      </c>
      <c r="E112" s="527">
        <v>0</v>
      </c>
      <c r="F112" s="527" t="s">
        <v>1317</v>
      </c>
      <c r="G112" s="302"/>
      <c r="H112" s="302"/>
      <c r="I112" s="302"/>
      <c r="J112" s="302"/>
      <c r="K112" s="302"/>
      <c r="L112" s="302">
        <f>VLOOKUP($F112,'[3]5.급수원단위'!$B$31:$G$35,2,FALSE)</f>
        <v>272</v>
      </c>
      <c r="M112" s="302">
        <f>VLOOKUP($F112,'[3]5.급수원단위'!$B$31:$G$35,3,FALSE)</f>
        <v>304</v>
      </c>
      <c r="N112" s="302">
        <f>VLOOKUP($F112,'[3]5.급수원단위'!$B$31:$G$35,4,FALSE)</f>
        <v>308</v>
      </c>
      <c r="O112" s="302">
        <f>VLOOKUP($F112,'[3]5.급수원단위'!$B$31:$G$35,5,FALSE)</f>
        <v>310</v>
      </c>
      <c r="P112" s="302">
        <f>VLOOKUP($F112,'[3]5.급수원단위'!$B$31:$G$35,6,FALSE)</f>
        <v>310</v>
      </c>
      <c r="Q112" s="302">
        <f>ROUND(IF(G112=0,0,VLOOKUP(C112,'2013실사용량 정리'!$D$6:$F$381,3,FALSE)),0)</f>
        <v>0</v>
      </c>
      <c r="R112" s="302">
        <f t="shared" si="25"/>
        <v>0</v>
      </c>
      <c r="S112" s="302">
        <f t="shared" si="26"/>
        <v>0</v>
      </c>
      <c r="T112" s="302">
        <f t="shared" si="27"/>
        <v>0</v>
      </c>
      <c r="U112" s="302">
        <f t="shared" si="28"/>
        <v>0</v>
      </c>
      <c r="W112" s="343" t="str">
        <f t="shared" si="12"/>
        <v/>
      </c>
    </row>
    <row r="113" spans="1:23" ht="20.100000000000001" customHeight="1">
      <c r="A113" s="340"/>
      <c r="B113" s="340"/>
      <c r="C113" s="406" t="s">
        <v>1402</v>
      </c>
      <c r="D113" s="330" t="s">
        <v>1857</v>
      </c>
      <c r="E113" s="527">
        <v>0</v>
      </c>
      <c r="F113" s="527" t="s">
        <v>1317</v>
      </c>
      <c r="G113" s="302"/>
      <c r="H113" s="302"/>
      <c r="I113" s="302"/>
      <c r="J113" s="302"/>
      <c r="K113" s="302"/>
      <c r="L113" s="302">
        <f>VLOOKUP($F113,'[3]5.급수원단위'!$B$31:$G$35,2,FALSE)</f>
        <v>272</v>
      </c>
      <c r="M113" s="302">
        <f>VLOOKUP($F113,'[3]5.급수원단위'!$B$31:$G$35,3,FALSE)</f>
        <v>304</v>
      </c>
      <c r="N113" s="302">
        <f>VLOOKUP($F113,'[3]5.급수원단위'!$B$31:$G$35,4,FALSE)</f>
        <v>308</v>
      </c>
      <c r="O113" s="302">
        <f>VLOOKUP($F113,'[3]5.급수원단위'!$B$31:$G$35,5,FALSE)</f>
        <v>310</v>
      </c>
      <c r="P113" s="302">
        <f>VLOOKUP($F113,'[3]5.급수원단위'!$B$31:$G$35,6,FALSE)</f>
        <v>310</v>
      </c>
      <c r="Q113" s="302">
        <f>ROUND(IF(G113=0,0,VLOOKUP(C113,'2013실사용량 정리'!$D$6:$F$381,3,FALSE)),0)</f>
        <v>0</v>
      </c>
      <c r="R113" s="302">
        <f t="shared" si="25"/>
        <v>0</v>
      </c>
      <c r="S113" s="302">
        <f t="shared" si="26"/>
        <v>0</v>
      </c>
      <c r="T113" s="302">
        <f t="shared" si="27"/>
        <v>0</v>
      </c>
      <c r="U113" s="302">
        <f t="shared" si="28"/>
        <v>0</v>
      </c>
      <c r="W113" s="343" t="str">
        <f t="shared" si="12"/>
        <v/>
      </c>
    </row>
    <row r="114" spans="1:23" ht="20.100000000000001" customHeight="1">
      <c r="A114" s="340"/>
      <c r="B114" s="340"/>
      <c r="C114" s="406" t="s">
        <v>1403</v>
      </c>
      <c r="D114" s="330" t="s">
        <v>1857</v>
      </c>
      <c r="E114" s="527">
        <v>0</v>
      </c>
      <c r="F114" s="527" t="s">
        <v>1317</v>
      </c>
      <c r="G114" s="302"/>
      <c r="H114" s="302"/>
      <c r="I114" s="302"/>
      <c r="J114" s="302"/>
      <c r="K114" s="302"/>
      <c r="L114" s="302">
        <f>VLOOKUP($F114,'[3]5.급수원단위'!$B$31:$G$35,2,FALSE)</f>
        <v>272</v>
      </c>
      <c r="M114" s="302">
        <f>VLOOKUP($F114,'[3]5.급수원단위'!$B$31:$G$35,3,FALSE)</f>
        <v>304</v>
      </c>
      <c r="N114" s="302">
        <f>VLOOKUP($F114,'[3]5.급수원단위'!$B$31:$G$35,4,FALSE)</f>
        <v>308</v>
      </c>
      <c r="O114" s="302">
        <f>VLOOKUP($F114,'[3]5.급수원단위'!$B$31:$G$35,5,FALSE)</f>
        <v>310</v>
      </c>
      <c r="P114" s="302">
        <f>VLOOKUP($F114,'[3]5.급수원단위'!$B$31:$G$35,6,FALSE)</f>
        <v>310</v>
      </c>
      <c r="Q114" s="302">
        <f>ROUND(IF(G114=0,0,VLOOKUP(C114,'2013실사용량 정리'!$D$6:$F$381,3,FALSE)),0)</f>
        <v>0</v>
      </c>
      <c r="R114" s="302">
        <f t="shared" si="25"/>
        <v>0</v>
      </c>
      <c r="S114" s="302">
        <f t="shared" si="26"/>
        <v>0</v>
      </c>
      <c r="T114" s="302">
        <f t="shared" si="27"/>
        <v>0</v>
      </c>
      <c r="U114" s="302">
        <f t="shared" si="28"/>
        <v>0</v>
      </c>
      <c r="W114" s="343" t="str">
        <f t="shared" si="12"/>
        <v/>
      </c>
    </row>
    <row r="115" spans="1:23" ht="20.100000000000001" customHeight="1">
      <c r="A115" s="386"/>
      <c r="B115" s="386"/>
      <c r="C115" s="406" t="s">
        <v>1404</v>
      </c>
      <c r="D115" s="330" t="s">
        <v>1857</v>
      </c>
      <c r="E115" s="527">
        <v>0</v>
      </c>
      <c r="F115" s="527" t="s">
        <v>1317</v>
      </c>
      <c r="G115" s="302"/>
      <c r="H115" s="302"/>
      <c r="I115" s="302"/>
      <c r="J115" s="302"/>
      <c r="K115" s="302"/>
      <c r="L115" s="302">
        <f>VLOOKUP($F115,'[3]5.급수원단위'!$B$31:$G$35,2,FALSE)</f>
        <v>272</v>
      </c>
      <c r="M115" s="302">
        <f>VLOOKUP($F115,'[3]5.급수원단위'!$B$31:$G$35,3,FALSE)</f>
        <v>304</v>
      </c>
      <c r="N115" s="302">
        <f>VLOOKUP($F115,'[3]5.급수원단위'!$B$31:$G$35,4,FALSE)</f>
        <v>308</v>
      </c>
      <c r="O115" s="302">
        <f>VLOOKUP($F115,'[3]5.급수원단위'!$B$31:$G$35,5,FALSE)</f>
        <v>310</v>
      </c>
      <c r="P115" s="302">
        <f>VLOOKUP($F115,'[3]5.급수원단위'!$B$31:$G$35,6,FALSE)</f>
        <v>310</v>
      </c>
      <c r="Q115" s="302">
        <f>ROUND(IF(G115=0,0,VLOOKUP(C115,'2013실사용량 정리'!$D$6:$F$381,3,FALSE)),0)</f>
        <v>0</v>
      </c>
      <c r="R115" s="302">
        <f t="shared" si="25"/>
        <v>0</v>
      </c>
      <c r="S115" s="302">
        <f t="shared" si="26"/>
        <v>0</v>
      </c>
      <c r="T115" s="302">
        <f t="shared" si="27"/>
        <v>0</v>
      </c>
      <c r="U115" s="302">
        <f t="shared" si="28"/>
        <v>0</v>
      </c>
      <c r="W115" s="343" t="str">
        <f t="shared" si="12"/>
        <v/>
      </c>
    </row>
    <row r="117" spans="1:23" ht="20.100000000000001" customHeight="1">
      <c r="S117" s="479">
        <f>S102+S101+S98+S97</f>
        <v>179</v>
      </c>
      <c r="T117" s="479">
        <f>T102+T101+T98+T97</f>
        <v>185</v>
      </c>
      <c r="U117" s="479">
        <f>U102+U101+U98+U97</f>
        <v>189</v>
      </c>
    </row>
  </sheetData>
  <autoFilter ref="A4:AS115">
    <filterColumn colId="0" showButton="0"/>
    <filterColumn colId="1" showButton="0"/>
    <filterColumn colId="2" showButton="0"/>
    <filterColumn colId="4"/>
    <filterColumn colId="6"/>
  </autoFilter>
  <mergeCells count="13">
    <mergeCell ref="W2:Y2"/>
    <mergeCell ref="A89:D89"/>
    <mergeCell ref="B90:D90"/>
    <mergeCell ref="A6:D6"/>
    <mergeCell ref="B7:D7"/>
    <mergeCell ref="B63:D63"/>
    <mergeCell ref="L3:P3"/>
    <mergeCell ref="Q3:U3"/>
    <mergeCell ref="A5:D5"/>
    <mergeCell ref="A3:D4"/>
    <mergeCell ref="E3:E4"/>
    <mergeCell ref="F3:F4"/>
    <mergeCell ref="G3:K3"/>
  </mergeCells>
  <phoneticPr fontId="3" type="noConversion"/>
  <printOptions horizontalCentered="1"/>
  <pageMargins left="0.62992125984251968" right="0.62992125984251968" top="0.62992125984251968" bottom="0.62992125984251968" header="0.31496062992125984" footer="0.31496062992125984"/>
  <pageSetup paperSize="9" scale="9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C000"/>
  </sheetPr>
  <dimension ref="A1:AS76"/>
  <sheetViews>
    <sheetView view="pageBreakPreview" zoomScaleNormal="100" zoomScaleSheetLayoutView="100" workbookViewId="0">
      <selection activeCell="AA18" sqref="AA18"/>
    </sheetView>
  </sheetViews>
  <sheetFormatPr defaultColWidth="7.6640625" defaultRowHeight="20.100000000000001" customHeight="1" outlineLevelCol="1"/>
  <cols>
    <col min="1" max="2" width="1.77734375" style="327" customWidth="1"/>
    <col min="3" max="3" width="6.33203125" style="327" customWidth="1"/>
    <col min="4" max="4" width="2.33203125" style="327" customWidth="1"/>
    <col min="5" max="6" width="6.77734375" style="327" hidden="1" customWidth="1" outlineLevel="1"/>
    <col min="7" max="7" width="6.33203125" style="327" hidden="1" customWidth="1" outlineLevel="1"/>
    <col min="8" max="8" width="6.33203125" style="327" customWidth="1" collapsed="1"/>
    <col min="9" max="11" width="6.33203125" style="327" customWidth="1"/>
    <col min="12" max="12" width="4.33203125" style="327" hidden="1" customWidth="1" outlineLevel="1"/>
    <col min="13" max="13" width="4.33203125" style="327" customWidth="1" collapsed="1"/>
    <col min="14" max="16" width="4.33203125" style="327" customWidth="1"/>
    <col min="17" max="17" width="6.33203125" style="327" hidden="1" customWidth="1" outlineLevel="1"/>
    <col min="18" max="18" width="6.33203125" style="327" customWidth="1" collapsed="1"/>
    <col min="19" max="21" width="6.33203125" style="327" customWidth="1"/>
    <col min="22" max="22" width="8" style="327" bestFit="1" customWidth="1"/>
    <col min="23" max="25" width="7.6640625" style="327"/>
    <col min="46" max="16384" width="7.6640625" style="327"/>
  </cols>
  <sheetData>
    <row r="1" spans="1:29" s="204" customFormat="1" ht="20.100000000000001" customHeight="1">
      <c r="A1" s="204" t="s">
        <v>804</v>
      </c>
    </row>
    <row r="2" spans="1:29" s="208" customFormat="1" ht="19.5" customHeight="1">
      <c r="A2" s="207" t="s">
        <v>1870</v>
      </c>
      <c r="G2" s="209"/>
      <c r="H2" s="209"/>
      <c r="J2" s="209"/>
      <c r="K2" s="209"/>
      <c r="L2" s="209"/>
      <c r="V2" s="334"/>
      <c r="W2" s="692" t="s">
        <v>1919</v>
      </c>
      <c r="X2" s="692"/>
      <c r="Y2" s="692"/>
      <c r="Z2" s="692" t="s">
        <v>1919</v>
      </c>
      <c r="AA2" s="692"/>
      <c r="AB2" s="692"/>
      <c r="AC2" s="440" t="s">
        <v>2405</v>
      </c>
    </row>
    <row r="3" spans="1:29" ht="20.100000000000001" customHeight="1">
      <c r="A3" s="693" t="s">
        <v>1246</v>
      </c>
      <c r="B3" s="693"/>
      <c r="C3" s="693"/>
      <c r="D3" s="693"/>
      <c r="E3" s="696" t="s">
        <v>1290</v>
      </c>
      <c r="F3" s="696" t="s">
        <v>1280</v>
      </c>
      <c r="G3" s="693" t="s">
        <v>1281</v>
      </c>
      <c r="H3" s="693"/>
      <c r="I3" s="693"/>
      <c r="J3" s="693"/>
      <c r="K3" s="693"/>
      <c r="L3" s="693" t="s">
        <v>1282</v>
      </c>
      <c r="M3" s="693"/>
      <c r="N3" s="693"/>
      <c r="O3" s="693"/>
      <c r="P3" s="693"/>
      <c r="Q3" s="693" t="s">
        <v>1283</v>
      </c>
      <c r="R3" s="693"/>
      <c r="S3" s="693"/>
      <c r="T3" s="693"/>
      <c r="U3" s="693"/>
      <c r="W3" s="434">
        <v>1007</v>
      </c>
      <c r="X3" s="439">
        <f>896</f>
        <v>896</v>
      </c>
      <c r="Y3" s="440">
        <f>X3/W3</f>
        <v>0.88977159880834156</v>
      </c>
      <c r="Z3" s="438">
        <v>189</v>
      </c>
      <c r="AA3" s="439">
        <v>209</v>
      </c>
      <c r="AB3" s="440">
        <f>AA3/Z3</f>
        <v>1.1058201058201058</v>
      </c>
      <c r="AC3" s="440">
        <f>ROUND(AVERAGE(W6:W75),2)</f>
        <v>1.22</v>
      </c>
    </row>
    <row r="4" spans="1:29" ht="20.100000000000001" customHeight="1">
      <c r="A4" s="693"/>
      <c r="B4" s="693"/>
      <c r="C4" s="693"/>
      <c r="D4" s="693"/>
      <c r="E4" s="693"/>
      <c r="F4" s="693"/>
      <c r="G4" s="397">
        <v>2013</v>
      </c>
      <c r="H4" s="397">
        <v>2015</v>
      </c>
      <c r="I4" s="397">
        <v>2020</v>
      </c>
      <c r="J4" s="397">
        <v>2025</v>
      </c>
      <c r="K4" s="397">
        <v>2030</v>
      </c>
      <c r="L4" s="397">
        <v>2013</v>
      </c>
      <c r="M4" s="397">
        <v>2015</v>
      </c>
      <c r="N4" s="397">
        <v>2020</v>
      </c>
      <c r="O4" s="397">
        <v>2025</v>
      </c>
      <c r="P4" s="397">
        <v>2030</v>
      </c>
      <c r="Q4" s="397">
        <v>2013</v>
      </c>
      <c r="R4" s="397">
        <v>2015</v>
      </c>
      <c r="S4" s="397">
        <v>2020</v>
      </c>
      <c r="T4" s="397">
        <v>2025</v>
      </c>
      <c r="U4" s="397">
        <v>2030</v>
      </c>
    </row>
    <row r="5" spans="1:29" ht="20.100000000000001" customHeight="1">
      <c r="A5" s="695" t="s">
        <v>1831</v>
      </c>
      <c r="B5" s="695"/>
      <c r="C5" s="695"/>
      <c r="D5" s="695"/>
      <c r="E5" s="407"/>
      <c r="F5" s="407"/>
      <c r="G5" s="408">
        <f>G6+G41</f>
        <v>2961</v>
      </c>
      <c r="H5" s="408">
        <f t="shared" ref="H5:K5" si="0">H6+H41</f>
        <v>3397</v>
      </c>
      <c r="I5" s="408">
        <f t="shared" si="0"/>
        <v>3575</v>
      </c>
      <c r="J5" s="408">
        <f t="shared" si="0"/>
        <v>3877</v>
      </c>
      <c r="K5" s="408">
        <f t="shared" si="0"/>
        <v>3953</v>
      </c>
      <c r="L5" s="408"/>
      <c r="M5" s="408"/>
      <c r="N5" s="408"/>
      <c r="O5" s="408"/>
      <c r="P5" s="408"/>
      <c r="Q5" s="408">
        <f t="shared" ref="Q5:U5" si="1">Q6+Q41</f>
        <v>941</v>
      </c>
      <c r="R5" s="408">
        <f t="shared" si="1"/>
        <v>1033</v>
      </c>
      <c r="S5" s="408">
        <f t="shared" si="1"/>
        <v>1100</v>
      </c>
      <c r="T5" s="408">
        <f t="shared" si="1"/>
        <v>1204</v>
      </c>
      <c r="U5" s="408">
        <f t="shared" si="1"/>
        <v>1223</v>
      </c>
      <c r="V5" s="341"/>
      <c r="W5" s="335"/>
    </row>
    <row r="6" spans="1:29" ht="20.100000000000001" customHeight="1">
      <c r="A6" s="719" t="s">
        <v>1865</v>
      </c>
      <c r="B6" s="719"/>
      <c r="C6" s="719"/>
      <c r="D6" s="719"/>
      <c r="E6" s="332"/>
      <c r="F6" s="332"/>
      <c r="G6" s="298">
        <f>G7</f>
        <v>2491</v>
      </c>
      <c r="H6" s="298">
        <f t="shared" ref="H6:K6" si="2">H7</f>
        <v>2815</v>
      </c>
      <c r="I6" s="298">
        <f t="shared" si="2"/>
        <v>2959</v>
      </c>
      <c r="J6" s="298">
        <f t="shared" si="2"/>
        <v>3210</v>
      </c>
      <c r="K6" s="298">
        <f t="shared" si="2"/>
        <v>3274</v>
      </c>
      <c r="L6" s="298"/>
      <c r="M6" s="298"/>
      <c r="N6" s="298"/>
      <c r="O6" s="298"/>
      <c r="P6" s="298"/>
      <c r="Q6" s="298">
        <f t="shared" ref="Q6:U6" si="3">Q7</f>
        <v>765</v>
      </c>
      <c r="R6" s="298">
        <f t="shared" si="3"/>
        <v>857</v>
      </c>
      <c r="S6" s="298">
        <f t="shared" si="3"/>
        <v>911</v>
      </c>
      <c r="T6" s="298">
        <f t="shared" si="3"/>
        <v>996</v>
      </c>
      <c r="U6" s="298">
        <f t="shared" si="3"/>
        <v>1013</v>
      </c>
    </row>
    <row r="7" spans="1:29" ht="19.5" customHeight="1">
      <c r="A7" s="700"/>
      <c r="B7" s="694" t="s">
        <v>990</v>
      </c>
      <c r="C7" s="694"/>
      <c r="D7" s="694"/>
      <c r="E7" s="331"/>
      <c r="F7" s="331"/>
      <c r="G7" s="336">
        <f>SUM(G8:G40)</f>
        <v>2491</v>
      </c>
      <c r="H7" s="336">
        <f t="shared" ref="H7:K7" si="4">SUM(H8:H40)</f>
        <v>2815</v>
      </c>
      <c r="I7" s="336">
        <f t="shared" si="4"/>
        <v>2959</v>
      </c>
      <c r="J7" s="336">
        <f t="shared" si="4"/>
        <v>3210</v>
      </c>
      <c r="K7" s="336">
        <f t="shared" si="4"/>
        <v>3274</v>
      </c>
      <c r="L7" s="336"/>
      <c r="M7" s="336"/>
      <c r="N7" s="336"/>
      <c r="O7" s="336"/>
      <c r="P7" s="336"/>
      <c r="Q7" s="336">
        <f t="shared" ref="Q7:U7" si="5">SUM(Q8:Q40)</f>
        <v>765</v>
      </c>
      <c r="R7" s="336">
        <f t="shared" si="5"/>
        <v>857</v>
      </c>
      <c r="S7" s="336">
        <f t="shared" si="5"/>
        <v>911</v>
      </c>
      <c r="T7" s="336">
        <f t="shared" si="5"/>
        <v>996</v>
      </c>
      <c r="U7" s="336">
        <f t="shared" si="5"/>
        <v>1013</v>
      </c>
      <c r="V7" s="343">
        <f>VLOOKUP(B7,'2013년도 용수량 비율'!$A$5:$F$20,6,FALSE)</f>
        <v>0</v>
      </c>
      <c r="W7" s="449"/>
    </row>
    <row r="8" spans="1:29" ht="19.5" customHeight="1">
      <c r="A8" s="700"/>
      <c r="B8" s="700"/>
      <c r="C8" s="399" t="s">
        <v>1497</v>
      </c>
      <c r="D8" s="330" t="s">
        <v>1807</v>
      </c>
      <c r="E8" s="397">
        <v>1</v>
      </c>
      <c r="F8" s="397" t="s">
        <v>756</v>
      </c>
      <c r="G8" s="302">
        <f>IF($D8="A",ROUND(VLOOKUP($C8,'[2]2.행정구역별 급수인구'!$C$7:$AD$997,17,FALSE)*$E8,0),IF($D8="B",(ROUND(VLOOKUP($C8,'[2]2.행정구역별 급수인구'!$C$7:$AD$997,17,FALSE)-VLOOKUP($C8,'[2]2.행정구역별 급수인구'!$C$7:$AD$997,17,FALSE)*(1-$E8),0)),VLOOKUP($C8,'[2]2.행정구역별 급수인구'!$C$7:$AD$997,17,FALSE)))</f>
        <v>67</v>
      </c>
      <c r="H8" s="302">
        <f>IF($D8="A",ROUND(VLOOKUP($C8,'[2]2.행정구역별 급수인구'!$C$7:$AD$997,25,FALSE)*$E8,0),IF($D8="B",(ROUND(VLOOKUP($C8,'[2]2.행정구역별 급수인구'!$C$7:$AD$997,25,FALSE)-VLOOKUP($C8,'[2]2.행정구역별 급수인구'!$C$7:$AD$997,25,FALSE)*(1-$E8),0)),VLOOKUP($C8,'[2]2.행정구역별 급수인구'!$C$7:$AD$997,25,FALSE)))</f>
        <v>70</v>
      </c>
      <c r="I8" s="302">
        <f>IF($D8="A",ROUND(VLOOKUP($C8,'[2]2.행정구역별 급수인구'!$C$7:$AD$997,26,FALSE)*$E8,0),IF($D8="B",(ROUND(VLOOKUP($C8,'[2]2.행정구역별 급수인구'!$C$7:$AD$997,26,FALSE)-VLOOKUP($C8,'[2]2.행정구역별 급수인구'!$C$7:$AD$997,26,FALSE)*(1-$E8),0)),VLOOKUP($C8,'[2]2.행정구역별 급수인구'!$C$7:$AD$997,26,FALSE)))</f>
        <v>74</v>
      </c>
      <c r="J8" s="302">
        <f>IF($D8="A",ROUND(VLOOKUP($C8,'[2]2.행정구역별 급수인구'!$C$7:$AD$997,27,FALSE)*$E8,0),IF($D8="B",(ROUND(VLOOKUP($C8,'[2]2.행정구역별 급수인구'!$C$7:$AD$997,27,FALSE)-VLOOKUP($C8,'[2]2.행정구역별 급수인구'!$C$7:$AD$997,27,FALSE)*(1-$E8),0)),VLOOKUP($C8,'[2]2.행정구역별 급수인구'!$C$7:$AD$997,27,FALSE)))</f>
        <v>80</v>
      </c>
      <c r="K8" s="302">
        <f>IF($D8="A",ROUND(VLOOKUP($C8,'[2]2.행정구역별 급수인구'!$C$7:$AD$997,28,FALSE)*$E8,0),IF($D8="B",(ROUND(VLOOKUP($C8,'[2]2.행정구역별 급수인구'!$C$7:$AD$997,28,FALSE)-VLOOKUP($C8,'[2]2.행정구역별 급수인구'!$C$7:$AD$997,28,FALSE)*(1-$E8),0)),VLOOKUP($C8,'[2]2.행정구역별 급수인구'!$C$7:$AD$997,28,FALSE)))</f>
        <v>82</v>
      </c>
      <c r="L8" s="302">
        <f>VLOOKUP($F8,'[3]5.급수원단위'!$B$31:$G$35,2,FALSE)</f>
        <v>272</v>
      </c>
      <c r="M8" s="302">
        <f>VLOOKUP($F8,'[3]5.급수원단위'!$B$31:$G$35,3,FALSE)</f>
        <v>304</v>
      </c>
      <c r="N8" s="302">
        <f>VLOOKUP($F8,'[3]5.급수원단위'!$B$31:$G$35,4,FALSE)</f>
        <v>308</v>
      </c>
      <c r="O8" s="302">
        <f>VLOOKUP($F8,'[3]5.급수원단위'!$B$31:$G$35,5,FALSE)</f>
        <v>310</v>
      </c>
      <c r="P8" s="302">
        <f>VLOOKUP($F8,'[3]5.급수원단위'!$B$31:$G$35,6,FALSE)</f>
        <v>310</v>
      </c>
      <c r="Q8" s="302">
        <f>ROUND(IF(G8=0,0,VLOOKUP(C8,'2013실사용량 정리'!$D$6:$F$381,3,FALSE)),0)</f>
        <v>25</v>
      </c>
      <c r="R8" s="302">
        <f t="shared" ref="R8:U23" si="6">ROUND(H8*M8/1000,0)</f>
        <v>21</v>
      </c>
      <c r="S8" s="302">
        <f t="shared" si="6"/>
        <v>23</v>
      </c>
      <c r="T8" s="302">
        <f t="shared" si="6"/>
        <v>25</v>
      </c>
      <c r="U8" s="302">
        <f t="shared" si="6"/>
        <v>25</v>
      </c>
      <c r="W8" s="343">
        <f t="shared" ref="W8:W71" si="7">IF(ISERROR(U8/Q8),"",U8/Q8)</f>
        <v>1</v>
      </c>
    </row>
    <row r="9" spans="1:29" ht="19.5" customHeight="1">
      <c r="A9" s="700"/>
      <c r="B9" s="700"/>
      <c r="C9" s="399" t="s">
        <v>1498</v>
      </c>
      <c r="D9" s="330" t="s">
        <v>1807</v>
      </c>
      <c r="E9" s="397">
        <v>1</v>
      </c>
      <c r="F9" s="397" t="s">
        <v>756</v>
      </c>
      <c r="G9" s="302">
        <f>IF($D9="A",ROUND(VLOOKUP($C9,'[2]2.행정구역별 급수인구'!$C$7:$AD$997,17,FALSE)*$E9,0),IF($D9="B",(ROUND(VLOOKUP($C9,'[2]2.행정구역별 급수인구'!$C$7:$AD$997,17,FALSE)-VLOOKUP($C9,'[2]2.행정구역별 급수인구'!$C$7:$AD$997,17,FALSE)*(1-$E9),0)),VLOOKUP($C9,'[2]2.행정구역별 급수인구'!$C$7:$AD$997,17,FALSE)))</f>
        <v>56</v>
      </c>
      <c r="H9" s="302">
        <f>IF($D9="A",ROUND(VLOOKUP($C9,'[2]2.행정구역별 급수인구'!$C$7:$AD$997,25,FALSE)*$E9,0),IF($D9="B",(ROUND(VLOOKUP($C9,'[2]2.행정구역별 급수인구'!$C$7:$AD$997,25,FALSE)-VLOOKUP($C9,'[2]2.행정구역별 급수인구'!$C$7:$AD$997,25,FALSE)*(1-$E9),0)),VLOOKUP($C9,'[2]2.행정구역별 급수인구'!$C$7:$AD$997,25,FALSE)))</f>
        <v>58</v>
      </c>
      <c r="I9" s="302">
        <f>IF($D9="A",ROUND(VLOOKUP($C9,'[2]2.행정구역별 급수인구'!$C$7:$AD$997,26,FALSE)*$E9,0),IF($D9="B",(ROUND(VLOOKUP($C9,'[2]2.행정구역별 급수인구'!$C$7:$AD$997,26,FALSE)-VLOOKUP($C9,'[2]2.행정구역별 급수인구'!$C$7:$AD$997,26,FALSE)*(1-$E9),0)),VLOOKUP($C9,'[2]2.행정구역별 급수인구'!$C$7:$AD$997,26,FALSE)))</f>
        <v>61</v>
      </c>
      <c r="J9" s="302">
        <f>IF($D9="A",ROUND(VLOOKUP($C9,'[2]2.행정구역별 급수인구'!$C$7:$AD$997,27,FALSE)*$E9,0),IF($D9="B",(ROUND(VLOOKUP($C9,'[2]2.행정구역별 급수인구'!$C$7:$AD$997,27,FALSE)-VLOOKUP($C9,'[2]2.행정구역별 급수인구'!$C$7:$AD$997,27,FALSE)*(1-$E9),0)),VLOOKUP($C9,'[2]2.행정구역별 급수인구'!$C$7:$AD$997,27,FALSE)))</f>
        <v>67</v>
      </c>
      <c r="K9" s="302">
        <f>IF($D9="A",ROUND(VLOOKUP($C9,'[2]2.행정구역별 급수인구'!$C$7:$AD$997,28,FALSE)*$E9,0),IF($D9="B",(ROUND(VLOOKUP($C9,'[2]2.행정구역별 급수인구'!$C$7:$AD$997,28,FALSE)-VLOOKUP($C9,'[2]2.행정구역별 급수인구'!$C$7:$AD$997,28,FALSE)*(1-$E9),0)),VLOOKUP($C9,'[2]2.행정구역별 급수인구'!$C$7:$AD$997,28,FALSE)))</f>
        <v>68</v>
      </c>
      <c r="L9" s="302">
        <f>VLOOKUP($F9,'[3]5.급수원단위'!$B$31:$G$35,2,FALSE)</f>
        <v>272</v>
      </c>
      <c r="M9" s="302">
        <f>VLOOKUP($F9,'[3]5.급수원단위'!$B$31:$G$35,3,FALSE)</f>
        <v>304</v>
      </c>
      <c r="N9" s="302">
        <f>VLOOKUP($F9,'[3]5.급수원단위'!$B$31:$G$35,4,FALSE)</f>
        <v>308</v>
      </c>
      <c r="O9" s="302">
        <f>VLOOKUP($F9,'[3]5.급수원단위'!$B$31:$G$35,5,FALSE)</f>
        <v>310</v>
      </c>
      <c r="P9" s="302">
        <f>VLOOKUP($F9,'[3]5.급수원단위'!$B$31:$G$35,6,FALSE)</f>
        <v>310</v>
      </c>
      <c r="Q9" s="302">
        <f>ROUND(IF(G9=0,0,VLOOKUP(C9,'2013실사용량 정리'!$D$6:$F$381,3,FALSE)),0)</f>
        <v>21</v>
      </c>
      <c r="R9" s="302">
        <f t="shared" si="6"/>
        <v>18</v>
      </c>
      <c r="S9" s="302">
        <f t="shared" si="6"/>
        <v>19</v>
      </c>
      <c r="T9" s="302">
        <f t="shared" si="6"/>
        <v>21</v>
      </c>
      <c r="U9" s="302">
        <f t="shared" si="6"/>
        <v>21</v>
      </c>
      <c r="W9" s="343">
        <f t="shared" si="7"/>
        <v>1</v>
      </c>
    </row>
    <row r="10" spans="1:29" ht="19.5" customHeight="1">
      <c r="A10" s="700"/>
      <c r="B10" s="700"/>
      <c r="C10" s="399" t="s">
        <v>1499</v>
      </c>
      <c r="D10" s="330" t="s">
        <v>1807</v>
      </c>
      <c r="E10" s="397">
        <v>1</v>
      </c>
      <c r="F10" s="397" t="s">
        <v>756</v>
      </c>
      <c r="G10" s="302">
        <f>IF($D10="A",ROUND(VLOOKUP($C10,'[2]2.행정구역별 급수인구'!$C$7:$AD$997,17,FALSE)*$E10,0),IF($D10="B",(ROUND(VLOOKUP($C10,'[2]2.행정구역별 급수인구'!$C$7:$AD$997,17,FALSE)-VLOOKUP($C10,'[2]2.행정구역별 급수인구'!$C$7:$AD$997,17,FALSE)*(1-$E10),0)),VLOOKUP($C10,'[2]2.행정구역별 급수인구'!$C$7:$AD$997,17,FALSE)))</f>
        <v>331</v>
      </c>
      <c r="H10" s="302">
        <f>IF($D10="A",ROUND(VLOOKUP($C10,'[2]2.행정구역별 급수인구'!$C$7:$AD$997,25,FALSE)*$E10,0),IF($D10="B",(ROUND(VLOOKUP($C10,'[2]2.행정구역별 급수인구'!$C$7:$AD$997,25,FALSE)-VLOOKUP($C10,'[2]2.행정구역별 급수인구'!$C$7:$AD$997,25,FALSE)*(1-$E10),0)),VLOOKUP($C10,'[2]2.행정구역별 급수인구'!$C$7:$AD$997,25,FALSE)))</f>
        <v>348</v>
      </c>
      <c r="I10" s="302">
        <f>IF($D10="A",ROUND(VLOOKUP($C10,'[2]2.행정구역별 급수인구'!$C$7:$AD$997,26,FALSE)*$E10,0),IF($D10="B",(ROUND(VLOOKUP($C10,'[2]2.행정구역별 급수인구'!$C$7:$AD$997,26,FALSE)-VLOOKUP($C10,'[2]2.행정구역별 급수인구'!$C$7:$AD$997,26,FALSE)*(1-$E10),0)),VLOOKUP($C10,'[2]2.행정구역별 급수인구'!$C$7:$AD$997,26,FALSE)))</f>
        <v>366</v>
      </c>
      <c r="J10" s="302">
        <f>IF($D10="A",ROUND(VLOOKUP($C10,'[2]2.행정구역별 급수인구'!$C$7:$AD$997,27,FALSE)*$E10,0),IF($D10="B",(ROUND(VLOOKUP($C10,'[2]2.행정구역별 급수인구'!$C$7:$AD$997,27,FALSE)-VLOOKUP($C10,'[2]2.행정구역별 급수인구'!$C$7:$AD$997,27,FALSE)*(1-$E10),0)),VLOOKUP($C10,'[2]2.행정구역별 급수인구'!$C$7:$AD$997,27,FALSE)))</f>
        <v>397</v>
      </c>
      <c r="K10" s="302">
        <f>IF($D10="A",ROUND(VLOOKUP($C10,'[2]2.행정구역별 급수인구'!$C$7:$AD$997,28,FALSE)*$E10,0),IF($D10="B",(ROUND(VLOOKUP($C10,'[2]2.행정구역별 급수인구'!$C$7:$AD$997,28,FALSE)-VLOOKUP($C10,'[2]2.행정구역별 급수인구'!$C$7:$AD$997,28,FALSE)*(1-$E10),0)),VLOOKUP($C10,'[2]2.행정구역별 급수인구'!$C$7:$AD$997,28,FALSE)))</f>
        <v>404</v>
      </c>
      <c r="L10" s="302">
        <f>VLOOKUP($F10,'[3]5.급수원단위'!$B$31:$G$35,2,FALSE)</f>
        <v>272</v>
      </c>
      <c r="M10" s="302">
        <f>VLOOKUP($F10,'[3]5.급수원단위'!$B$31:$G$35,3,FALSE)</f>
        <v>304</v>
      </c>
      <c r="N10" s="302">
        <f>VLOOKUP($F10,'[3]5.급수원단위'!$B$31:$G$35,4,FALSE)</f>
        <v>308</v>
      </c>
      <c r="O10" s="302">
        <f>VLOOKUP($F10,'[3]5.급수원단위'!$B$31:$G$35,5,FALSE)</f>
        <v>310</v>
      </c>
      <c r="P10" s="302">
        <f>VLOOKUP($F10,'[3]5.급수원단위'!$B$31:$G$35,6,FALSE)</f>
        <v>310</v>
      </c>
      <c r="Q10" s="302">
        <f>ROUND(IF(G10=0,0,VLOOKUP(C10,'2013실사용량 정리'!$D$6:$F$381,3,FALSE)),0)</f>
        <v>125</v>
      </c>
      <c r="R10" s="302">
        <f t="shared" si="6"/>
        <v>106</v>
      </c>
      <c r="S10" s="302">
        <f t="shared" si="6"/>
        <v>113</v>
      </c>
      <c r="T10" s="302">
        <f t="shared" si="6"/>
        <v>123</v>
      </c>
      <c r="U10" s="302">
        <f t="shared" si="6"/>
        <v>125</v>
      </c>
      <c r="W10" s="343">
        <f t="shared" si="7"/>
        <v>1</v>
      </c>
    </row>
    <row r="11" spans="1:29" ht="19.5" customHeight="1">
      <c r="A11" s="700"/>
      <c r="B11" s="700"/>
      <c r="C11" s="399" t="s">
        <v>1500</v>
      </c>
      <c r="D11" s="330" t="s">
        <v>1807</v>
      </c>
      <c r="E11" s="397">
        <v>1</v>
      </c>
      <c r="F11" s="397" t="s">
        <v>756</v>
      </c>
      <c r="G11" s="302">
        <f>IF($D11="A",ROUND(VLOOKUP($C11,'[2]2.행정구역별 급수인구'!$C$7:$AD$997,17,FALSE)*$E11,0),IF($D11="B",(ROUND(VLOOKUP($C11,'[2]2.행정구역별 급수인구'!$C$7:$AD$997,17,FALSE)-VLOOKUP($C11,'[2]2.행정구역별 급수인구'!$C$7:$AD$997,17,FALSE)*(1-$E11),0)),VLOOKUP($C11,'[2]2.행정구역별 급수인구'!$C$7:$AD$997,17,FALSE)))</f>
        <v>66</v>
      </c>
      <c r="H11" s="302">
        <f>IF($D11="A",ROUND(VLOOKUP($C11,'[2]2.행정구역별 급수인구'!$C$7:$AD$997,25,FALSE)*$E11,0),IF($D11="B",(ROUND(VLOOKUP($C11,'[2]2.행정구역별 급수인구'!$C$7:$AD$997,25,FALSE)-VLOOKUP($C11,'[2]2.행정구역별 급수인구'!$C$7:$AD$997,25,FALSE)*(1-$E11),0)),VLOOKUP($C11,'[2]2.행정구역별 급수인구'!$C$7:$AD$997,25,FALSE)))</f>
        <v>70</v>
      </c>
      <c r="I11" s="302">
        <f>IF($D11="A",ROUND(VLOOKUP($C11,'[2]2.행정구역별 급수인구'!$C$7:$AD$997,26,FALSE)*$E11,0),IF($D11="B",(ROUND(VLOOKUP($C11,'[2]2.행정구역별 급수인구'!$C$7:$AD$997,26,FALSE)-VLOOKUP($C11,'[2]2.행정구역별 급수인구'!$C$7:$AD$997,26,FALSE)*(1-$E11),0)),VLOOKUP($C11,'[2]2.행정구역별 급수인구'!$C$7:$AD$997,26,FALSE)))</f>
        <v>73</v>
      </c>
      <c r="J11" s="302">
        <f>IF($D11="A",ROUND(VLOOKUP($C11,'[2]2.행정구역별 급수인구'!$C$7:$AD$997,27,FALSE)*$E11,0),IF($D11="B",(ROUND(VLOOKUP($C11,'[2]2.행정구역별 급수인구'!$C$7:$AD$997,27,FALSE)-VLOOKUP($C11,'[2]2.행정구역별 급수인구'!$C$7:$AD$997,27,FALSE)*(1-$E11),0)),VLOOKUP($C11,'[2]2.행정구역별 급수인구'!$C$7:$AD$997,27,FALSE)))</f>
        <v>79</v>
      </c>
      <c r="K11" s="302">
        <f>IF($D11="A",ROUND(VLOOKUP($C11,'[2]2.행정구역별 급수인구'!$C$7:$AD$997,28,FALSE)*$E11,0),IF($D11="B",(ROUND(VLOOKUP($C11,'[2]2.행정구역별 급수인구'!$C$7:$AD$997,28,FALSE)-VLOOKUP($C11,'[2]2.행정구역별 급수인구'!$C$7:$AD$997,28,FALSE)*(1-$E11),0)),VLOOKUP($C11,'[2]2.행정구역별 급수인구'!$C$7:$AD$997,28,FALSE)))</f>
        <v>81</v>
      </c>
      <c r="L11" s="302">
        <f>VLOOKUP($F11,'[3]5.급수원단위'!$B$31:$G$35,2,FALSE)</f>
        <v>272</v>
      </c>
      <c r="M11" s="302">
        <f>VLOOKUP($F11,'[3]5.급수원단위'!$B$31:$G$35,3,FALSE)</f>
        <v>304</v>
      </c>
      <c r="N11" s="302">
        <f>VLOOKUP($F11,'[3]5.급수원단위'!$B$31:$G$35,4,FALSE)</f>
        <v>308</v>
      </c>
      <c r="O11" s="302">
        <f>VLOOKUP($F11,'[3]5.급수원단위'!$B$31:$G$35,5,FALSE)</f>
        <v>310</v>
      </c>
      <c r="P11" s="302">
        <f>VLOOKUP($F11,'[3]5.급수원단위'!$B$31:$G$35,6,FALSE)</f>
        <v>310</v>
      </c>
      <c r="Q11" s="302">
        <f>ROUND(IF(G11=0,0,VLOOKUP(C11,'2013실사용량 정리'!$D$6:$F$381,3,FALSE)),0)</f>
        <v>25</v>
      </c>
      <c r="R11" s="302">
        <f t="shared" si="6"/>
        <v>21</v>
      </c>
      <c r="S11" s="302">
        <f t="shared" si="6"/>
        <v>22</v>
      </c>
      <c r="T11" s="302">
        <f t="shared" si="6"/>
        <v>24</v>
      </c>
      <c r="U11" s="302">
        <f t="shared" si="6"/>
        <v>25</v>
      </c>
      <c r="W11" s="343">
        <f t="shared" si="7"/>
        <v>1</v>
      </c>
    </row>
    <row r="12" spans="1:29" ht="19.5" customHeight="1">
      <c r="A12" s="700"/>
      <c r="B12" s="700"/>
      <c r="C12" s="399" t="s">
        <v>1501</v>
      </c>
      <c r="D12" s="330" t="s">
        <v>1807</v>
      </c>
      <c r="E12" s="397">
        <v>1</v>
      </c>
      <c r="F12" s="397" t="s">
        <v>756</v>
      </c>
      <c r="G12" s="302">
        <f>IF($D12="A",ROUND(VLOOKUP($C12,'[2]2.행정구역별 급수인구'!$C$7:$AD$997,17,FALSE)*$E12,0),IF($D12="B",(ROUND(VLOOKUP($C12,'[2]2.행정구역별 급수인구'!$C$7:$AD$997,17,FALSE)-VLOOKUP($C12,'[2]2.행정구역별 급수인구'!$C$7:$AD$997,17,FALSE)*(1-$E12),0)),VLOOKUP($C12,'[2]2.행정구역별 급수인구'!$C$7:$AD$997,17,FALSE)))</f>
        <v>77</v>
      </c>
      <c r="H12" s="302">
        <f>IF($D12="A",ROUND(VLOOKUP($C12,'[2]2.행정구역별 급수인구'!$C$7:$AD$997,25,FALSE)*$E12,0),IF($D12="B",(ROUND(VLOOKUP($C12,'[2]2.행정구역별 급수인구'!$C$7:$AD$997,25,FALSE)-VLOOKUP($C12,'[2]2.행정구역별 급수인구'!$C$7:$AD$997,25,FALSE)*(1-$E12),0)),VLOOKUP($C12,'[2]2.행정구역별 급수인구'!$C$7:$AD$997,25,FALSE)))</f>
        <v>80</v>
      </c>
      <c r="I12" s="302">
        <f>IF($D12="A",ROUND(VLOOKUP($C12,'[2]2.행정구역별 급수인구'!$C$7:$AD$997,26,FALSE)*$E12,0),IF($D12="B",(ROUND(VLOOKUP($C12,'[2]2.행정구역별 급수인구'!$C$7:$AD$997,26,FALSE)-VLOOKUP($C12,'[2]2.행정구역별 급수인구'!$C$7:$AD$997,26,FALSE)*(1-$E12),0)),VLOOKUP($C12,'[2]2.행정구역별 급수인구'!$C$7:$AD$997,26,FALSE)))</f>
        <v>84</v>
      </c>
      <c r="J12" s="302">
        <f>IF($D12="A",ROUND(VLOOKUP($C12,'[2]2.행정구역별 급수인구'!$C$7:$AD$997,27,FALSE)*$E12,0),IF($D12="B",(ROUND(VLOOKUP($C12,'[2]2.행정구역별 급수인구'!$C$7:$AD$997,27,FALSE)-VLOOKUP($C12,'[2]2.행정구역별 급수인구'!$C$7:$AD$997,27,FALSE)*(1-$E12),0)),VLOOKUP($C12,'[2]2.행정구역별 급수인구'!$C$7:$AD$997,27,FALSE)))</f>
        <v>92</v>
      </c>
      <c r="K12" s="302">
        <f>IF($D12="A",ROUND(VLOOKUP($C12,'[2]2.행정구역별 급수인구'!$C$7:$AD$997,28,FALSE)*$E12,0),IF($D12="B",(ROUND(VLOOKUP($C12,'[2]2.행정구역별 급수인구'!$C$7:$AD$997,28,FALSE)-VLOOKUP($C12,'[2]2.행정구역별 급수인구'!$C$7:$AD$997,28,FALSE)*(1-$E12),0)),VLOOKUP($C12,'[2]2.행정구역별 급수인구'!$C$7:$AD$997,28,FALSE)))</f>
        <v>94</v>
      </c>
      <c r="L12" s="302">
        <f>VLOOKUP($F12,'[3]5.급수원단위'!$B$31:$G$35,2,FALSE)</f>
        <v>272</v>
      </c>
      <c r="M12" s="302">
        <f>VLOOKUP($F12,'[3]5.급수원단위'!$B$31:$G$35,3,FALSE)</f>
        <v>304</v>
      </c>
      <c r="N12" s="302">
        <f>VLOOKUP($F12,'[3]5.급수원단위'!$B$31:$G$35,4,FALSE)</f>
        <v>308</v>
      </c>
      <c r="O12" s="302">
        <f>VLOOKUP($F12,'[3]5.급수원단위'!$B$31:$G$35,5,FALSE)</f>
        <v>310</v>
      </c>
      <c r="P12" s="302">
        <f>VLOOKUP($F12,'[3]5.급수원단위'!$B$31:$G$35,6,FALSE)</f>
        <v>310</v>
      </c>
      <c r="Q12" s="302">
        <f>ROUND(IF(G12=0,0,VLOOKUP(C12,'2013실사용량 정리'!$D$6:$F$381,3,FALSE)),0)</f>
        <v>29</v>
      </c>
      <c r="R12" s="302">
        <f t="shared" si="6"/>
        <v>24</v>
      </c>
      <c r="S12" s="302">
        <f t="shared" si="6"/>
        <v>26</v>
      </c>
      <c r="T12" s="302">
        <f t="shared" si="6"/>
        <v>29</v>
      </c>
      <c r="U12" s="302">
        <f t="shared" si="6"/>
        <v>29</v>
      </c>
      <c r="W12" s="343">
        <f t="shared" si="7"/>
        <v>1</v>
      </c>
    </row>
    <row r="13" spans="1:29" ht="19.5" customHeight="1">
      <c r="A13" s="700"/>
      <c r="B13" s="700"/>
      <c r="C13" s="399" t="s">
        <v>1502</v>
      </c>
      <c r="D13" s="330" t="s">
        <v>1807</v>
      </c>
      <c r="E13" s="397">
        <v>1</v>
      </c>
      <c r="F13" s="397" t="s">
        <v>756</v>
      </c>
      <c r="G13" s="302">
        <f>IF($D13="A",ROUND(VLOOKUP($C13,'[2]2.행정구역별 급수인구'!$C$7:$AD$997,17,FALSE)*$E13,0),IF($D13="B",(ROUND(VLOOKUP($C13,'[2]2.행정구역별 급수인구'!$C$7:$AD$997,17,FALSE)-VLOOKUP($C13,'[2]2.행정구역별 급수인구'!$C$7:$AD$997,17,FALSE)*(1-$E13),0)),VLOOKUP($C13,'[2]2.행정구역별 급수인구'!$C$7:$AD$997,17,FALSE)))</f>
        <v>124</v>
      </c>
      <c r="H13" s="302">
        <f>IF($D13="A",ROUND(VLOOKUP($C13,'[2]2.행정구역별 급수인구'!$C$7:$AD$997,25,FALSE)*$E13,0),IF($D13="B",(ROUND(VLOOKUP($C13,'[2]2.행정구역별 급수인구'!$C$7:$AD$997,25,FALSE)-VLOOKUP($C13,'[2]2.행정구역별 급수인구'!$C$7:$AD$997,25,FALSE)*(1-$E13),0)),VLOOKUP($C13,'[2]2.행정구역별 급수인구'!$C$7:$AD$997,25,FALSE)))</f>
        <v>130</v>
      </c>
      <c r="I13" s="302">
        <f>IF($D13="A",ROUND(VLOOKUP($C13,'[2]2.행정구역별 급수인구'!$C$7:$AD$997,26,FALSE)*$E13,0),IF($D13="B",(ROUND(VLOOKUP($C13,'[2]2.행정구역별 급수인구'!$C$7:$AD$997,26,FALSE)-VLOOKUP($C13,'[2]2.행정구역별 급수인구'!$C$7:$AD$997,26,FALSE)*(1-$E13),0)),VLOOKUP($C13,'[2]2.행정구역별 급수인구'!$C$7:$AD$997,26,FALSE)))</f>
        <v>137</v>
      </c>
      <c r="J13" s="302">
        <f>IF($D13="A",ROUND(VLOOKUP($C13,'[2]2.행정구역별 급수인구'!$C$7:$AD$997,27,FALSE)*$E13,0),IF($D13="B",(ROUND(VLOOKUP($C13,'[2]2.행정구역별 급수인구'!$C$7:$AD$997,27,FALSE)-VLOOKUP($C13,'[2]2.행정구역별 급수인구'!$C$7:$AD$997,27,FALSE)*(1-$E13),0)),VLOOKUP($C13,'[2]2.행정구역별 급수인구'!$C$7:$AD$997,27,FALSE)))</f>
        <v>149</v>
      </c>
      <c r="K13" s="302">
        <f>IF($D13="A",ROUND(VLOOKUP($C13,'[2]2.행정구역별 급수인구'!$C$7:$AD$997,28,FALSE)*$E13,0),IF($D13="B",(ROUND(VLOOKUP($C13,'[2]2.행정구역별 급수인구'!$C$7:$AD$997,28,FALSE)-VLOOKUP($C13,'[2]2.행정구역별 급수인구'!$C$7:$AD$997,28,FALSE)*(1-$E13),0)),VLOOKUP($C13,'[2]2.행정구역별 급수인구'!$C$7:$AD$997,28,FALSE)))</f>
        <v>151</v>
      </c>
      <c r="L13" s="302">
        <f>VLOOKUP($F13,'[3]5.급수원단위'!$B$31:$G$35,2,FALSE)</f>
        <v>272</v>
      </c>
      <c r="M13" s="302">
        <f>VLOOKUP($F13,'[3]5.급수원단위'!$B$31:$G$35,3,FALSE)</f>
        <v>304</v>
      </c>
      <c r="N13" s="302">
        <f>VLOOKUP($F13,'[3]5.급수원단위'!$B$31:$G$35,4,FALSE)</f>
        <v>308</v>
      </c>
      <c r="O13" s="302">
        <f>VLOOKUP($F13,'[3]5.급수원단위'!$B$31:$G$35,5,FALSE)</f>
        <v>310</v>
      </c>
      <c r="P13" s="302">
        <f>VLOOKUP($F13,'[3]5.급수원단위'!$B$31:$G$35,6,FALSE)</f>
        <v>310</v>
      </c>
      <c r="Q13" s="302">
        <f>ROUND(IF(G13=0,0,VLOOKUP(C13,'2013실사용량 정리'!$D$6:$F$381,3,FALSE)),0)</f>
        <v>37</v>
      </c>
      <c r="R13" s="302">
        <f t="shared" si="6"/>
        <v>40</v>
      </c>
      <c r="S13" s="302">
        <f t="shared" si="6"/>
        <v>42</v>
      </c>
      <c r="T13" s="302">
        <f t="shared" si="6"/>
        <v>46</v>
      </c>
      <c r="U13" s="302">
        <f t="shared" si="6"/>
        <v>47</v>
      </c>
      <c r="W13" s="343">
        <f t="shared" si="7"/>
        <v>1.2702702702702702</v>
      </c>
    </row>
    <row r="14" spans="1:29" ht="19.5" customHeight="1">
      <c r="A14" s="700"/>
      <c r="B14" s="700"/>
      <c r="C14" s="399" t="s">
        <v>1503</v>
      </c>
      <c r="D14" s="330" t="s">
        <v>1807</v>
      </c>
      <c r="E14" s="397">
        <v>1</v>
      </c>
      <c r="F14" s="397" t="s">
        <v>756</v>
      </c>
      <c r="G14" s="302">
        <f>IF($D14="A",ROUND(VLOOKUP($C14,'[2]2.행정구역별 급수인구'!$C$7:$AD$997,17,FALSE)*$E14,0),IF($D14="B",(ROUND(VLOOKUP($C14,'[2]2.행정구역별 급수인구'!$C$7:$AD$997,17,FALSE)-VLOOKUP($C14,'[2]2.행정구역별 급수인구'!$C$7:$AD$997,17,FALSE)*(1-$E14),0)),VLOOKUP($C14,'[2]2.행정구역별 급수인구'!$C$7:$AD$997,17,FALSE)))</f>
        <v>128</v>
      </c>
      <c r="H14" s="302">
        <f>IF($D14="A",ROUND(VLOOKUP($C14,'[2]2.행정구역별 급수인구'!$C$7:$AD$997,25,FALSE)*$E14,0),IF($D14="B",(ROUND(VLOOKUP($C14,'[2]2.행정구역별 급수인구'!$C$7:$AD$997,25,FALSE)-VLOOKUP($C14,'[2]2.행정구역별 급수인구'!$C$7:$AD$997,25,FALSE)*(1-$E14),0)),VLOOKUP($C14,'[2]2.행정구역별 급수인구'!$C$7:$AD$997,25,FALSE)))</f>
        <v>134</v>
      </c>
      <c r="I14" s="302">
        <f>IF($D14="A",ROUND(VLOOKUP($C14,'[2]2.행정구역별 급수인구'!$C$7:$AD$997,26,FALSE)*$E14,0),IF($D14="B",(ROUND(VLOOKUP($C14,'[2]2.행정구역별 급수인구'!$C$7:$AD$997,26,FALSE)-VLOOKUP($C14,'[2]2.행정구역별 급수인구'!$C$7:$AD$997,26,FALSE)*(1-$E14),0)),VLOOKUP($C14,'[2]2.행정구역별 급수인구'!$C$7:$AD$997,26,FALSE)))</f>
        <v>141</v>
      </c>
      <c r="J14" s="302">
        <f>IF($D14="A",ROUND(VLOOKUP($C14,'[2]2.행정구역별 급수인구'!$C$7:$AD$997,27,FALSE)*$E14,0),IF($D14="B",(ROUND(VLOOKUP($C14,'[2]2.행정구역별 급수인구'!$C$7:$AD$997,27,FALSE)-VLOOKUP($C14,'[2]2.행정구역별 급수인구'!$C$7:$AD$997,27,FALSE)*(1-$E14),0)),VLOOKUP($C14,'[2]2.행정구역별 급수인구'!$C$7:$AD$997,27,FALSE)))</f>
        <v>153</v>
      </c>
      <c r="K14" s="302">
        <f>IF($D14="A",ROUND(VLOOKUP($C14,'[2]2.행정구역별 급수인구'!$C$7:$AD$997,28,FALSE)*$E14,0),IF($D14="B",(ROUND(VLOOKUP($C14,'[2]2.행정구역별 급수인구'!$C$7:$AD$997,28,FALSE)-VLOOKUP($C14,'[2]2.행정구역별 급수인구'!$C$7:$AD$997,28,FALSE)*(1-$E14),0)),VLOOKUP($C14,'[2]2.행정구역별 급수인구'!$C$7:$AD$997,28,FALSE)))</f>
        <v>156</v>
      </c>
      <c r="L14" s="302">
        <f>VLOOKUP($F14,'[3]5.급수원단위'!$B$31:$G$35,2,FALSE)</f>
        <v>272</v>
      </c>
      <c r="M14" s="302">
        <f>VLOOKUP($F14,'[3]5.급수원단위'!$B$31:$G$35,3,FALSE)</f>
        <v>304</v>
      </c>
      <c r="N14" s="302">
        <f>VLOOKUP($F14,'[3]5.급수원단위'!$B$31:$G$35,4,FALSE)</f>
        <v>308</v>
      </c>
      <c r="O14" s="302">
        <f>VLOOKUP($F14,'[3]5.급수원단위'!$B$31:$G$35,5,FALSE)</f>
        <v>310</v>
      </c>
      <c r="P14" s="302">
        <f>VLOOKUP($F14,'[3]5.급수원단위'!$B$31:$G$35,6,FALSE)</f>
        <v>310</v>
      </c>
      <c r="Q14" s="302">
        <f>ROUND(IF(G14=0,0,VLOOKUP(C14,'2013실사용량 정리'!$D$6:$F$381,3,FALSE)),0)</f>
        <v>38</v>
      </c>
      <c r="R14" s="302">
        <f t="shared" si="6"/>
        <v>41</v>
      </c>
      <c r="S14" s="302">
        <f t="shared" si="6"/>
        <v>43</v>
      </c>
      <c r="T14" s="302">
        <f t="shared" si="6"/>
        <v>47</v>
      </c>
      <c r="U14" s="302">
        <f t="shared" si="6"/>
        <v>48</v>
      </c>
      <c r="W14" s="343">
        <f t="shared" si="7"/>
        <v>1.263157894736842</v>
      </c>
    </row>
    <row r="15" spans="1:29" ht="19.5" customHeight="1">
      <c r="A15" s="700"/>
      <c r="B15" s="700"/>
      <c r="C15" s="399" t="s">
        <v>1504</v>
      </c>
      <c r="D15" s="330" t="s">
        <v>1807</v>
      </c>
      <c r="E15" s="397">
        <v>1</v>
      </c>
      <c r="F15" s="397" t="s">
        <v>756</v>
      </c>
      <c r="G15" s="302">
        <f>IF($D15="A",ROUND(VLOOKUP($C15,'[2]2.행정구역별 급수인구'!$C$7:$AD$997,17,FALSE)*$E15,0),IF($D15="B",(ROUND(VLOOKUP($C15,'[2]2.행정구역별 급수인구'!$C$7:$AD$997,17,FALSE)-VLOOKUP($C15,'[2]2.행정구역별 급수인구'!$C$7:$AD$997,17,FALSE)*(1-$E15),0)),VLOOKUP($C15,'[2]2.행정구역별 급수인구'!$C$7:$AD$997,17,FALSE)))</f>
        <v>37</v>
      </c>
      <c r="H15" s="302">
        <f>IF($D15="A",ROUND(VLOOKUP($C15,'[2]2.행정구역별 급수인구'!$C$7:$AD$997,25,FALSE)*$E15,0),IF($D15="B",(ROUND(VLOOKUP($C15,'[2]2.행정구역별 급수인구'!$C$7:$AD$997,25,FALSE)-VLOOKUP($C15,'[2]2.행정구역별 급수인구'!$C$7:$AD$997,25,FALSE)*(1-$E15),0)),VLOOKUP($C15,'[2]2.행정구역별 급수인구'!$C$7:$AD$997,25,FALSE)))</f>
        <v>39</v>
      </c>
      <c r="I15" s="302">
        <f>IF($D15="A",ROUND(VLOOKUP($C15,'[2]2.행정구역별 급수인구'!$C$7:$AD$997,26,FALSE)*$E15,0),IF($D15="B",(ROUND(VLOOKUP($C15,'[2]2.행정구역별 급수인구'!$C$7:$AD$997,26,FALSE)-VLOOKUP($C15,'[2]2.행정구역별 급수인구'!$C$7:$AD$997,26,FALSE)*(1-$E15),0)),VLOOKUP($C15,'[2]2.행정구역별 급수인구'!$C$7:$AD$997,26,FALSE)))</f>
        <v>41</v>
      </c>
      <c r="J15" s="302">
        <f>IF($D15="A",ROUND(VLOOKUP($C15,'[2]2.행정구역별 급수인구'!$C$7:$AD$997,27,FALSE)*$E15,0),IF($D15="B",(ROUND(VLOOKUP($C15,'[2]2.행정구역별 급수인구'!$C$7:$AD$997,27,FALSE)-VLOOKUP($C15,'[2]2.행정구역별 급수인구'!$C$7:$AD$997,27,FALSE)*(1-$E15),0)),VLOOKUP($C15,'[2]2.행정구역별 급수인구'!$C$7:$AD$997,27,FALSE)))</f>
        <v>44</v>
      </c>
      <c r="K15" s="302">
        <f>IF($D15="A",ROUND(VLOOKUP($C15,'[2]2.행정구역별 급수인구'!$C$7:$AD$997,28,FALSE)*$E15,0),IF($D15="B",(ROUND(VLOOKUP($C15,'[2]2.행정구역별 급수인구'!$C$7:$AD$997,28,FALSE)-VLOOKUP($C15,'[2]2.행정구역별 급수인구'!$C$7:$AD$997,28,FALSE)*(1-$E15),0)),VLOOKUP($C15,'[2]2.행정구역별 급수인구'!$C$7:$AD$997,28,FALSE)))</f>
        <v>45</v>
      </c>
      <c r="L15" s="302">
        <f>VLOOKUP($F15,'[3]5.급수원단위'!$B$31:$G$35,2,FALSE)</f>
        <v>272</v>
      </c>
      <c r="M15" s="302">
        <f>VLOOKUP($F15,'[3]5.급수원단위'!$B$31:$G$35,3,FALSE)</f>
        <v>304</v>
      </c>
      <c r="N15" s="302">
        <f>VLOOKUP($F15,'[3]5.급수원단위'!$B$31:$G$35,4,FALSE)</f>
        <v>308</v>
      </c>
      <c r="O15" s="302">
        <f>VLOOKUP($F15,'[3]5.급수원단위'!$B$31:$G$35,5,FALSE)</f>
        <v>310</v>
      </c>
      <c r="P15" s="302">
        <f>VLOOKUP($F15,'[3]5.급수원단위'!$B$31:$G$35,6,FALSE)</f>
        <v>310</v>
      </c>
      <c r="Q15" s="302">
        <f>ROUND(IF(G15=0,0,VLOOKUP(C15,'2013실사용량 정리'!$D$6:$F$381,3,FALSE)),0)</f>
        <v>11</v>
      </c>
      <c r="R15" s="302">
        <f t="shared" si="6"/>
        <v>12</v>
      </c>
      <c r="S15" s="302">
        <f t="shared" si="6"/>
        <v>13</v>
      </c>
      <c r="T15" s="302">
        <f t="shared" si="6"/>
        <v>14</v>
      </c>
      <c r="U15" s="302">
        <f t="shared" si="6"/>
        <v>14</v>
      </c>
      <c r="W15" s="343">
        <f t="shared" si="7"/>
        <v>1.2727272727272727</v>
      </c>
    </row>
    <row r="16" spans="1:29" ht="19.5" customHeight="1">
      <c r="A16" s="700"/>
      <c r="B16" s="700"/>
      <c r="C16" s="399" t="s">
        <v>1505</v>
      </c>
      <c r="D16" s="330" t="s">
        <v>1807</v>
      </c>
      <c r="E16" s="397">
        <v>1</v>
      </c>
      <c r="F16" s="397" t="s">
        <v>756</v>
      </c>
      <c r="G16" s="302">
        <f>IF($D16="A",ROUND(VLOOKUP($C16,'[2]2.행정구역별 급수인구'!$C$7:$AD$997,17,FALSE)*$E16,0),IF($D16="B",(ROUND(VLOOKUP($C16,'[2]2.행정구역별 급수인구'!$C$7:$AD$997,17,FALSE)-VLOOKUP($C16,'[2]2.행정구역별 급수인구'!$C$7:$AD$997,17,FALSE)*(1-$E16),0)),VLOOKUP($C16,'[2]2.행정구역별 급수인구'!$C$7:$AD$997,17,FALSE)))</f>
        <v>59</v>
      </c>
      <c r="H16" s="302">
        <f>IF($D16="A",ROUND(VLOOKUP($C16,'[2]2.행정구역별 급수인구'!$C$7:$AD$997,25,FALSE)*$E16,0),IF($D16="B",(ROUND(VLOOKUP($C16,'[2]2.행정구역별 급수인구'!$C$7:$AD$997,25,FALSE)-VLOOKUP($C16,'[2]2.행정구역별 급수인구'!$C$7:$AD$997,25,FALSE)*(1-$E16),0)),VLOOKUP($C16,'[2]2.행정구역별 급수인구'!$C$7:$AD$997,25,FALSE)))</f>
        <v>62</v>
      </c>
      <c r="I16" s="302">
        <f>IF($D16="A",ROUND(VLOOKUP($C16,'[2]2.행정구역별 급수인구'!$C$7:$AD$997,26,FALSE)*$E16,0),IF($D16="B",(ROUND(VLOOKUP($C16,'[2]2.행정구역별 급수인구'!$C$7:$AD$997,26,FALSE)-VLOOKUP($C16,'[2]2.행정구역별 급수인구'!$C$7:$AD$997,26,FALSE)*(1-$E16),0)),VLOOKUP($C16,'[2]2.행정구역별 급수인구'!$C$7:$AD$997,26,FALSE)))</f>
        <v>65</v>
      </c>
      <c r="J16" s="302">
        <f>IF($D16="A",ROUND(VLOOKUP($C16,'[2]2.행정구역별 급수인구'!$C$7:$AD$997,27,FALSE)*$E16,0),IF($D16="B",(ROUND(VLOOKUP($C16,'[2]2.행정구역별 급수인구'!$C$7:$AD$997,27,FALSE)-VLOOKUP($C16,'[2]2.행정구역별 급수인구'!$C$7:$AD$997,27,FALSE)*(1-$E16),0)),VLOOKUP($C16,'[2]2.행정구역별 급수인구'!$C$7:$AD$997,27,FALSE)))</f>
        <v>70</v>
      </c>
      <c r="K16" s="302">
        <f>IF($D16="A",ROUND(VLOOKUP($C16,'[2]2.행정구역별 급수인구'!$C$7:$AD$997,28,FALSE)*$E16,0),IF($D16="B",(ROUND(VLOOKUP($C16,'[2]2.행정구역별 급수인구'!$C$7:$AD$997,28,FALSE)-VLOOKUP($C16,'[2]2.행정구역별 급수인구'!$C$7:$AD$997,28,FALSE)*(1-$E16),0)),VLOOKUP($C16,'[2]2.행정구역별 급수인구'!$C$7:$AD$997,28,FALSE)))</f>
        <v>72</v>
      </c>
      <c r="L16" s="302">
        <f>VLOOKUP($F16,'[3]5.급수원단위'!$B$31:$G$35,2,FALSE)</f>
        <v>272</v>
      </c>
      <c r="M16" s="302">
        <f>VLOOKUP($F16,'[3]5.급수원단위'!$B$31:$G$35,3,FALSE)</f>
        <v>304</v>
      </c>
      <c r="N16" s="302">
        <f>VLOOKUP($F16,'[3]5.급수원단위'!$B$31:$G$35,4,FALSE)</f>
        <v>308</v>
      </c>
      <c r="O16" s="302">
        <f>VLOOKUP($F16,'[3]5.급수원단위'!$B$31:$G$35,5,FALSE)</f>
        <v>310</v>
      </c>
      <c r="P16" s="302">
        <f>VLOOKUP($F16,'[3]5.급수원단위'!$B$31:$G$35,6,FALSE)</f>
        <v>310</v>
      </c>
      <c r="Q16" s="302">
        <f>ROUND(IF(G16=0,0,VLOOKUP(C16,'2013실사용량 정리'!$D$6:$F$381,3,FALSE)),0)</f>
        <v>22</v>
      </c>
      <c r="R16" s="302">
        <f t="shared" si="6"/>
        <v>19</v>
      </c>
      <c r="S16" s="302">
        <f t="shared" si="6"/>
        <v>20</v>
      </c>
      <c r="T16" s="302">
        <f t="shared" si="6"/>
        <v>22</v>
      </c>
      <c r="U16" s="302">
        <f t="shared" si="6"/>
        <v>22</v>
      </c>
      <c r="W16" s="343">
        <f t="shared" si="7"/>
        <v>1</v>
      </c>
    </row>
    <row r="17" spans="1:45" ht="19.5" customHeight="1">
      <c r="A17" s="700"/>
      <c r="B17" s="700"/>
      <c r="C17" s="399" t="s">
        <v>1506</v>
      </c>
      <c r="D17" s="330" t="s">
        <v>1807</v>
      </c>
      <c r="E17" s="397">
        <v>1</v>
      </c>
      <c r="F17" s="397" t="s">
        <v>756</v>
      </c>
      <c r="G17" s="302">
        <f>IF($D17="A",ROUND(VLOOKUP($C17,'[2]2.행정구역별 급수인구'!$C$7:$AD$997,17,FALSE)*$E17,0),IF($D17="B",(ROUND(VLOOKUP($C17,'[2]2.행정구역별 급수인구'!$C$7:$AD$997,17,FALSE)-VLOOKUP($C17,'[2]2.행정구역별 급수인구'!$C$7:$AD$997,17,FALSE)*(1-$E17),0)),VLOOKUP($C17,'[2]2.행정구역별 급수인구'!$C$7:$AD$997,17,FALSE)))</f>
        <v>56</v>
      </c>
      <c r="H17" s="302">
        <f>IF($D17="A",ROUND(VLOOKUP($C17,'[2]2.행정구역별 급수인구'!$C$7:$AD$997,25,FALSE)*$E17,0),IF($D17="B",(ROUND(VLOOKUP($C17,'[2]2.행정구역별 급수인구'!$C$7:$AD$997,25,FALSE)-VLOOKUP($C17,'[2]2.행정구역별 급수인구'!$C$7:$AD$997,25,FALSE)*(1-$E17),0)),VLOOKUP($C17,'[2]2.행정구역별 급수인구'!$C$7:$AD$997,25,FALSE)))</f>
        <v>59</v>
      </c>
      <c r="I17" s="302">
        <f>IF($D17="A",ROUND(VLOOKUP($C17,'[2]2.행정구역별 급수인구'!$C$7:$AD$997,26,FALSE)*$E17,0),IF($D17="B",(ROUND(VLOOKUP($C17,'[2]2.행정구역별 급수인구'!$C$7:$AD$997,26,FALSE)-VLOOKUP($C17,'[2]2.행정구역별 급수인구'!$C$7:$AD$997,26,FALSE)*(1-$E17),0)),VLOOKUP($C17,'[2]2.행정구역별 급수인구'!$C$7:$AD$997,26,FALSE)))</f>
        <v>62</v>
      </c>
      <c r="J17" s="302">
        <f>IF($D17="A",ROUND(VLOOKUP($C17,'[2]2.행정구역별 급수인구'!$C$7:$AD$997,27,FALSE)*$E17,0),IF($D17="B",(ROUND(VLOOKUP($C17,'[2]2.행정구역별 급수인구'!$C$7:$AD$997,27,FALSE)-VLOOKUP($C17,'[2]2.행정구역별 급수인구'!$C$7:$AD$997,27,FALSE)*(1-$E17),0)),VLOOKUP($C17,'[2]2.행정구역별 급수인구'!$C$7:$AD$997,27,FALSE)))</f>
        <v>68</v>
      </c>
      <c r="K17" s="302">
        <f>IF($D17="A",ROUND(VLOOKUP($C17,'[2]2.행정구역별 급수인구'!$C$7:$AD$997,28,FALSE)*$E17,0),IF($D17="B",(ROUND(VLOOKUP($C17,'[2]2.행정구역별 급수인구'!$C$7:$AD$997,28,FALSE)-VLOOKUP($C17,'[2]2.행정구역별 급수인구'!$C$7:$AD$997,28,FALSE)*(1-$E17),0)),VLOOKUP($C17,'[2]2.행정구역별 급수인구'!$C$7:$AD$997,28,FALSE)))</f>
        <v>69</v>
      </c>
      <c r="L17" s="302">
        <f>VLOOKUP($F17,'[3]5.급수원단위'!$B$31:$G$35,2,FALSE)</f>
        <v>272</v>
      </c>
      <c r="M17" s="302">
        <f>VLOOKUP($F17,'[3]5.급수원단위'!$B$31:$G$35,3,FALSE)</f>
        <v>304</v>
      </c>
      <c r="N17" s="302">
        <f>VLOOKUP($F17,'[3]5.급수원단위'!$B$31:$G$35,4,FALSE)</f>
        <v>308</v>
      </c>
      <c r="O17" s="302">
        <f>VLOOKUP($F17,'[3]5.급수원단위'!$B$31:$G$35,5,FALSE)</f>
        <v>310</v>
      </c>
      <c r="P17" s="302">
        <f>VLOOKUP($F17,'[3]5.급수원단위'!$B$31:$G$35,6,FALSE)</f>
        <v>310</v>
      </c>
      <c r="Q17" s="302">
        <f>ROUND(IF(G17=0,0,VLOOKUP(C17,'2013실사용량 정리'!$D$6:$F$381,3,FALSE)),0)</f>
        <v>21</v>
      </c>
      <c r="R17" s="302">
        <f t="shared" si="6"/>
        <v>18</v>
      </c>
      <c r="S17" s="302">
        <f t="shared" si="6"/>
        <v>19</v>
      </c>
      <c r="T17" s="302">
        <f t="shared" si="6"/>
        <v>21</v>
      </c>
      <c r="U17" s="302">
        <f t="shared" si="6"/>
        <v>21</v>
      </c>
      <c r="W17" s="343">
        <f t="shared" si="7"/>
        <v>1</v>
      </c>
    </row>
    <row r="18" spans="1:45" ht="19.5" customHeight="1">
      <c r="A18" s="700"/>
      <c r="B18" s="700"/>
      <c r="C18" s="399" t="s">
        <v>1507</v>
      </c>
      <c r="D18" s="330" t="s">
        <v>1807</v>
      </c>
      <c r="E18" s="397">
        <v>1</v>
      </c>
      <c r="F18" s="397" t="s">
        <v>756</v>
      </c>
      <c r="G18" s="302">
        <f>IF($D18="A",ROUND(VLOOKUP($C18,'[2]2.행정구역별 급수인구'!$C$7:$AD$997,17,FALSE)*$E18,0),IF($D18="B",(ROUND(VLOOKUP($C18,'[2]2.행정구역별 급수인구'!$C$7:$AD$997,17,FALSE)-VLOOKUP($C18,'[2]2.행정구역별 급수인구'!$C$7:$AD$997,17,FALSE)*(1-$E18),0)),VLOOKUP($C18,'[2]2.행정구역별 급수인구'!$C$7:$AD$997,17,FALSE)))</f>
        <v>55</v>
      </c>
      <c r="H18" s="302">
        <f>IF($D18="A",ROUND(VLOOKUP($C18,'[2]2.행정구역별 급수인구'!$C$7:$AD$997,25,FALSE)*$E18,0),IF($D18="B",(ROUND(VLOOKUP($C18,'[2]2.행정구역별 급수인구'!$C$7:$AD$997,25,FALSE)-VLOOKUP($C18,'[2]2.행정구역별 급수인구'!$C$7:$AD$997,25,FALSE)*(1-$E18),0)),VLOOKUP($C18,'[2]2.행정구역별 급수인구'!$C$7:$AD$997,25,FALSE)))</f>
        <v>58</v>
      </c>
      <c r="I18" s="302">
        <f>IF($D18="A",ROUND(VLOOKUP($C18,'[2]2.행정구역별 급수인구'!$C$7:$AD$997,26,FALSE)*$E18,0),IF($D18="B",(ROUND(VLOOKUP($C18,'[2]2.행정구역별 급수인구'!$C$7:$AD$997,26,FALSE)-VLOOKUP($C18,'[2]2.행정구역별 급수인구'!$C$7:$AD$997,26,FALSE)*(1-$E18),0)),VLOOKUP($C18,'[2]2.행정구역별 급수인구'!$C$7:$AD$997,26,FALSE)))</f>
        <v>60</v>
      </c>
      <c r="J18" s="302">
        <f>IF($D18="A",ROUND(VLOOKUP($C18,'[2]2.행정구역별 급수인구'!$C$7:$AD$997,27,FALSE)*$E18,0),IF($D18="B",(ROUND(VLOOKUP($C18,'[2]2.행정구역별 급수인구'!$C$7:$AD$997,27,FALSE)-VLOOKUP($C18,'[2]2.행정구역별 급수인구'!$C$7:$AD$997,27,FALSE)*(1-$E18),0)),VLOOKUP($C18,'[2]2.행정구역별 급수인구'!$C$7:$AD$997,27,FALSE)))</f>
        <v>66</v>
      </c>
      <c r="K18" s="302">
        <f>IF($D18="A",ROUND(VLOOKUP($C18,'[2]2.행정구역별 급수인구'!$C$7:$AD$997,28,FALSE)*$E18,0),IF($D18="B",(ROUND(VLOOKUP($C18,'[2]2.행정구역별 급수인구'!$C$7:$AD$997,28,FALSE)-VLOOKUP($C18,'[2]2.행정구역별 급수인구'!$C$7:$AD$997,28,FALSE)*(1-$E18),0)),VLOOKUP($C18,'[2]2.행정구역별 급수인구'!$C$7:$AD$997,28,FALSE)))</f>
        <v>67</v>
      </c>
      <c r="L18" s="302">
        <f>VLOOKUP($F18,'[3]5.급수원단위'!$B$31:$G$35,2,FALSE)</f>
        <v>272</v>
      </c>
      <c r="M18" s="302">
        <f>VLOOKUP($F18,'[3]5.급수원단위'!$B$31:$G$35,3,FALSE)</f>
        <v>304</v>
      </c>
      <c r="N18" s="302">
        <f>VLOOKUP($F18,'[3]5.급수원단위'!$B$31:$G$35,4,FALSE)</f>
        <v>308</v>
      </c>
      <c r="O18" s="302">
        <f>VLOOKUP($F18,'[3]5.급수원단위'!$B$31:$G$35,5,FALSE)</f>
        <v>310</v>
      </c>
      <c r="P18" s="302">
        <f>VLOOKUP($F18,'[3]5.급수원단위'!$B$31:$G$35,6,FALSE)</f>
        <v>310</v>
      </c>
      <c r="Q18" s="302">
        <f>ROUND(IF(G18=0,0,VLOOKUP(C18,'2013실사용량 정리'!$D$6:$F$381,3,FALSE)),0)</f>
        <v>20</v>
      </c>
      <c r="R18" s="302">
        <f t="shared" si="6"/>
        <v>18</v>
      </c>
      <c r="S18" s="302">
        <f t="shared" si="6"/>
        <v>18</v>
      </c>
      <c r="T18" s="302">
        <f t="shared" si="6"/>
        <v>20</v>
      </c>
      <c r="U18" s="302">
        <f t="shared" si="6"/>
        <v>21</v>
      </c>
      <c r="W18" s="343">
        <f t="shared" si="7"/>
        <v>1.05</v>
      </c>
    </row>
    <row r="19" spans="1:45" ht="19.5" customHeight="1">
      <c r="A19" s="700"/>
      <c r="B19" s="700"/>
      <c r="C19" s="399" t="s">
        <v>1508</v>
      </c>
      <c r="D19" s="330" t="s">
        <v>1807</v>
      </c>
      <c r="E19" s="397">
        <v>0.69</v>
      </c>
      <c r="F19" s="397" t="s">
        <v>756</v>
      </c>
      <c r="G19" s="302">
        <f>IF($D19="A",ROUND(VLOOKUP($C19,'[2]2.행정구역별 급수인구'!$C$7:$AD$997,17,FALSE)*$E19,0),IF($D19="B",(ROUND(VLOOKUP($C19,'[2]2.행정구역별 급수인구'!$C$7:$AD$997,17,FALSE)-VLOOKUP($C19,'[2]2.행정구역별 급수인구'!$C$7:$AD$997,17,FALSE)*(1-$E19),0)),VLOOKUP($C19,'[2]2.행정구역별 급수인구'!$C$7:$AD$997,17,FALSE)))</f>
        <v>72</v>
      </c>
      <c r="H19" s="302">
        <f>IF($D19="A",ROUND(VLOOKUP($C19,'[2]2.행정구역별 급수인구'!$C$7:$AD$997,25,FALSE)*$E19,0),IF($D19="B",(ROUND(VLOOKUP($C19,'[2]2.행정구역별 급수인구'!$C$7:$AD$997,25,FALSE)-VLOOKUP($C19,'[2]2.행정구역별 급수인구'!$C$7:$AD$997,25,FALSE)*(1-$E19),0)),VLOOKUP($C19,'[2]2.행정구역별 급수인구'!$C$7:$AD$997,25,FALSE)))</f>
        <v>76</v>
      </c>
      <c r="I19" s="302">
        <f>IF($D19="A",ROUND(VLOOKUP($C19,'[2]2.행정구역별 급수인구'!$C$7:$AD$997,26,FALSE)*$E19,0),IF($D19="B",(ROUND(VLOOKUP($C19,'[2]2.행정구역별 급수인구'!$C$7:$AD$997,26,FALSE)-VLOOKUP($C19,'[2]2.행정구역별 급수인구'!$C$7:$AD$997,26,FALSE)*(1-$E19),0)),VLOOKUP($C19,'[2]2.행정구역별 급수인구'!$C$7:$AD$997,26,FALSE)))</f>
        <v>80</v>
      </c>
      <c r="J19" s="302">
        <f>IF($D19="A",ROUND(VLOOKUP($C19,'[2]2.행정구역별 급수인구'!$C$7:$AD$997,27,FALSE)*$E19,0),IF($D19="B",(ROUND(VLOOKUP($C19,'[2]2.행정구역별 급수인구'!$C$7:$AD$997,27,FALSE)-VLOOKUP($C19,'[2]2.행정구역별 급수인구'!$C$7:$AD$997,27,FALSE)*(1-$E19),0)),VLOOKUP($C19,'[2]2.행정구역별 급수인구'!$C$7:$AD$997,27,FALSE)))</f>
        <v>86</v>
      </c>
      <c r="K19" s="302">
        <f>IF($D19="A",ROUND(VLOOKUP($C19,'[2]2.행정구역별 급수인구'!$C$7:$AD$997,28,FALSE)*$E19,0),IF($D19="B",(ROUND(VLOOKUP($C19,'[2]2.행정구역별 급수인구'!$C$7:$AD$997,28,FALSE)-VLOOKUP($C19,'[2]2.행정구역별 급수인구'!$C$7:$AD$997,28,FALSE)*(1-$E19),0)),VLOOKUP($C19,'[2]2.행정구역별 급수인구'!$C$7:$AD$997,28,FALSE)))</f>
        <v>88</v>
      </c>
      <c r="L19" s="302">
        <f>VLOOKUP($F19,'[3]5.급수원단위'!$B$31:$G$35,2,FALSE)</f>
        <v>272</v>
      </c>
      <c r="M19" s="302">
        <f>VLOOKUP($F19,'[3]5.급수원단위'!$B$31:$G$35,3,FALSE)</f>
        <v>304</v>
      </c>
      <c r="N19" s="302">
        <f>VLOOKUP($F19,'[3]5.급수원단위'!$B$31:$G$35,4,FALSE)</f>
        <v>308</v>
      </c>
      <c r="O19" s="302">
        <f>VLOOKUP($F19,'[3]5.급수원단위'!$B$31:$G$35,5,FALSE)</f>
        <v>310</v>
      </c>
      <c r="P19" s="302">
        <f>VLOOKUP($F19,'[3]5.급수원단위'!$B$31:$G$35,6,FALSE)</f>
        <v>310</v>
      </c>
      <c r="Q19" s="302">
        <f>ROUND(IF(G19=0,0,VLOOKUP(C19,'2013실사용량 정리'!$D$6:$F$381,3,FALSE)),0)</f>
        <v>23</v>
      </c>
      <c r="R19" s="302">
        <f t="shared" si="6"/>
        <v>23</v>
      </c>
      <c r="S19" s="302">
        <f t="shared" si="6"/>
        <v>25</v>
      </c>
      <c r="T19" s="302">
        <f t="shared" si="6"/>
        <v>27</v>
      </c>
      <c r="U19" s="302">
        <f t="shared" si="6"/>
        <v>27</v>
      </c>
      <c r="W19" s="343">
        <f t="shared" si="7"/>
        <v>1.173913043478261</v>
      </c>
    </row>
    <row r="20" spans="1:45" ht="19.5" customHeight="1">
      <c r="A20" s="700"/>
      <c r="B20" s="700"/>
      <c r="C20" s="399" t="s">
        <v>1509</v>
      </c>
      <c r="D20" s="330" t="s">
        <v>1807</v>
      </c>
      <c r="E20" s="397">
        <v>0.69</v>
      </c>
      <c r="F20" s="397" t="s">
        <v>756</v>
      </c>
      <c r="G20" s="302">
        <f>IF($D20="A",ROUND(VLOOKUP($C20,'[2]2.행정구역별 급수인구'!$C$7:$AD$997,17,FALSE)*$E20,0),IF($D20="B",(ROUND(VLOOKUP($C20,'[2]2.행정구역별 급수인구'!$C$7:$AD$997,17,FALSE)-VLOOKUP($C20,'[2]2.행정구역별 급수인구'!$C$7:$AD$997,17,FALSE)*(1-$E20),0)),VLOOKUP($C20,'[2]2.행정구역별 급수인구'!$C$7:$AD$997,17,FALSE)))</f>
        <v>69</v>
      </c>
      <c r="H20" s="302">
        <f>IF($D20="A",ROUND(VLOOKUP($C20,'[2]2.행정구역별 급수인구'!$C$7:$AD$997,25,FALSE)*$E20,0),IF($D20="B",(ROUND(VLOOKUP($C20,'[2]2.행정구역별 급수인구'!$C$7:$AD$997,25,FALSE)-VLOOKUP($C20,'[2]2.행정구역별 급수인구'!$C$7:$AD$997,25,FALSE)*(1-$E20),0)),VLOOKUP($C20,'[2]2.행정구역별 급수인구'!$C$7:$AD$997,25,FALSE)))</f>
        <v>79</v>
      </c>
      <c r="I20" s="302">
        <f>IF($D20="A",ROUND(VLOOKUP($C20,'[2]2.행정구역별 급수인구'!$C$7:$AD$997,26,FALSE)*$E20,0),IF($D20="B",(ROUND(VLOOKUP($C20,'[2]2.행정구역별 급수인구'!$C$7:$AD$997,26,FALSE)-VLOOKUP($C20,'[2]2.행정구역별 급수인구'!$C$7:$AD$997,26,FALSE)*(1-$E20),0)),VLOOKUP($C20,'[2]2.행정구역별 급수인구'!$C$7:$AD$997,26,FALSE)))</f>
        <v>83</v>
      </c>
      <c r="J20" s="302">
        <f>IF($D20="A",ROUND(VLOOKUP($C20,'[2]2.행정구역별 급수인구'!$C$7:$AD$997,27,FALSE)*$E20,0),IF($D20="B",(ROUND(VLOOKUP($C20,'[2]2.행정구역별 급수인구'!$C$7:$AD$997,27,FALSE)-VLOOKUP($C20,'[2]2.행정구역별 급수인구'!$C$7:$AD$997,27,FALSE)*(1-$E20),0)),VLOOKUP($C20,'[2]2.행정구역별 급수인구'!$C$7:$AD$997,27,FALSE)))</f>
        <v>90</v>
      </c>
      <c r="K20" s="302">
        <f>IF($D20="A",ROUND(VLOOKUP($C20,'[2]2.행정구역별 급수인구'!$C$7:$AD$997,28,FALSE)*$E20,0),IF($D20="B",(ROUND(VLOOKUP($C20,'[2]2.행정구역별 급수인구'!$C$7:$AD$997,28,FALSE)-VLOOKUP($C20,'[2]2.행정구역별 급수인구'!$C$7:$AD$997,28,FALSE)*(1-$E20),0)),VLOOKUP($C20,'[2]2.행정구역별 급수인구'!$C$7:$AD$997,28,FALSE)))</f>
        <v>92</v>
      </c>
      <c r="L20" s="302">
        <f>VLOOKUP($F20,'[3]5.급수원단위'!$B$31:$G$35,2,FALSE)</f>
        <v>272</v>
      </c>
      <c r="M20" s="302">
        <f>VLOOKUP($F20,'[3]5.급수원단위'!$B$31:$G$35,3,FALSE)</f>
        <v>304</v>
      </c>
      <c r="N20" s="302">
        <f>VLOOKUP($F20,'[3]5.급수원단위'!$B$31:$G$35,4,FALSE)</f>
        <v>308</v>
      </c>
      <c r="O20" s="302">
        <f>VLOOKUP($F20,'[3]5.급수원단위'!$B$31:$G$35,5,FALSE)</f>
        <v>310</v>
      </c>
      <c r="P20" s="302">
        <f>VLOOKUP($F20,'[3]5.급수원단위'!$B$31:$G$35,6,FALSE)</f>
        <v>310</v>
      </c>
      <c r="Q20" s="302">
        <f>ROUND(IF(G20=0,0,VLOOKUP(C20,'2013실사용량 정리'!$D$6:$F$381,3,FALSE)),0)</f>
        <v>22</v>
      </c>
      <c r="R20" s="302">
        <f t="shared" si="6"/>
        <v>24</v>
      </c>
      <c r="S20" s="302">
        <f t="shared" si="6"/>
        <v>26</v>
      </c>
      <c r="T20" s="302">
        <f t="shared" si="6"/>
        <v>28</v>
      </c>
      <c r="U20" s="302">
        <f t="shared" si="6"/>
        <v>29</v>
      </c>
      <c r="W20" s="343">
        <f t="shared" si="7"/>
        <v>1.3181818181818181</v>
      </c>
    </row>
    <row r="21" spans="1:45" ht="19.5" customHeight="1">
      <c r="A21" s="700"/>
      <c r="B21" s="700"/>
      <c r="C21" s="399" t="s">
        <v>1510</v>
      </c>
      <c r="D21" s="330" t="s">
        <v>1807</v>
      </c>
      <c r="E21" s="397">
        <v>0.69</v>
      </c>
      <c r="F21" s="397" t="s">
        <v>756</v>
      </c>
      <c r="G21" s="302">
        <f>IF($D21="A",ROUND(VLOOKUP($C21,'[2]2.행정구역별 급수인구'!$C$7:$AD$997,17,FALSE)*$E21,0),IF($D21="B",(ROUND(VLOOKUP($C21,'[2]2.행정구역별 급수인구'!$C$7:$AD$997,17,FALSE)-VLOOKUP($C21,'[2]2.행정구역별 급수인구'!$C$7:$AD$997,17,FALSE)*(1-$E21),0)),VLOOKUP($C21,'[2]2.행정구역별 급수인구'!$C$7:$AD$997,17,FALSE)))</f>
        <v>52</v>
      </c>
      <c r="H21" s="302">
        <f>IF($D21="A",ROUND(VLOOKUP($C21,'[2]2.행정구역별 급수인구'!$C$7:$AD$997,25,FALSE)*$E21,0),IF($D21="B",(ROUND(VLOOKUP($C21,'[2]2.행정구역별 급수인구'!$C$7:$AD$997,25,FALSE)-VLOOKUP($C21,'[2]2.행정구역별 급수인구'!$C$7:$AD$997,25,FALSE)*(1-$E21),0)),VLOOKUP($C21,'[2]2.행정구역별 급수인구'!$C$7:$AD$997,25,FALSE)))</f>
        <v>55</v>
      </c>
      <c r="I21" s="302">
        <f>IF($D21="A",ROUND(VLOOKUP($C21,'[2]2.행정구역별 급수인구'!$C$7:$AD$997,26,FALSE)*$E21,0),IF($D21="B",(ROUND(VLOOKUP($C21,'[2]2.행정구역별 급수인구'!$C$7:$AD$997,26,FALSE)-VLOOKUP($C21,'[2]2.행정구역별 급수인구'!$C$7:$AD$997,26,FALSE)*(1-$E21),0)),VLOOKUP($C21,'[2]2.행정구역별 급수인구'!$C$7:$AD$997,26,FALSE)))</f>
        <v>57</v>
      </c>
      <c r="J21" s="302">
        <f>IF($D21="A",ROUND(VLOOKUP($C21,'[2]2.행정구역별 급수인구'!$C$7:$AD$997,27,FALSE)*$E21,0),IF($D21="B",(ROUND(VLOOKUP($C21,'[2]2.행정구역별 급수인구'!$C$7:$AD$997,27,FALSE)-VLOOKUP($C21,'[2]2.행정구역별 급수인구'!$C$7:$AD$997,27,FALSE)*(1-$E21),0)),VLOOKUP($C21,'[2]2.행정구역별 급수인구'!$C$7:$AD$997,27,FALSE)))</f>
        <v>63</v>
      </c>
      <c r="K21" s="302">
        <f>IF($D21="A",ROUND(VLOOKUP($C21,'[2]2.행정구역별 급수인구'!$C$7:$AD$997,28,FALSE)*$E21,0),IF($D21="B",(ROUND(VLOOKUP($C21,'[2]2.행정구역별 급수인구'!$C$7:$AD$997,28,FALSE)-VLOOKUP($C21,'[2]2.행정구역별 급수인구'!$C$7:$AD$997,28,FALSE)*(1-$E21),0)),VLOOKUP($C21,'[2]2.행정구역별 급수인구'!$C$7:$AD$997,28,FALSE)))</f>
        <v>64</v>
      </c>
      <c r="L21" s="302">
        <f>VLOOKUP($F21,'[3]5.급수원단위'!$B$31:$G$35,2,FALSE)</f>
        <v>272</v>
      </c>
      <c r="M21" s="302">
        <f>VLOOKUP($F21,'[3]5.급수원단위'!$B$31:$G$35,3,FALSE)</f>
        <v>304</v>
      </c>
      <c r="N21" s="302">
        <f>VLOOKUP($F21,'[3]5.급수원단위'!$B$31:$G$35,4,FALSE)</f>
        <v>308</v>
      </c>
      <c r="O21" s="302">
        <f>VLOOKUP($F21,'[3]5.급수원단위'!$B$31:$G$35,5,FALSE)</f>
        <v>310</v>
      </c>
      <c r="P21" s="302">
        <f>VLOOKUP($F21,'[3]5.급수원단위'!$B$31:$G$35,6,FALSE)</f>
        <v>310</v>
      </c>
      <c r="Q21" s="302">
        <f>ROUND(IF(G21=0,0,VLOOKUP(C21,'2013실사용량 정리'!$D$6:$F$381,3,FALSE)),0)</f>
        <v>17</v>
      </c>
      <c r="R21" s="302">
        <f t="shared" si="6"/>
        <v>17</v>
      </c>
      <c r="S21" s="302">
        <f t="shared" si="6"/>
        <v>18</v>
      </c>
      <c r="T21" s="302">
        <f t="shared" si="6"/>
        <v>20</v>
      </c>
      <c r="U21" s="302">
        <f t="shared" si="6"/>
        <v>20</v>
      </c>
      <c r="W21" s="343">
        <f t="shared" si="7"/>
        <v>1.1764705882352942</v>
      </c>
    </row>
    <row r="22" spans="1:45" s="412" customFormat="1" ht="19.5" customHeight="1">
      <c r="A22" s="700"/>
      <c r="B22" s="700"/>
      <c r="C22" s="380" t="s">
        <v>1511</v>
      </c>
      <c r="D22" s="330" t="s">
        <v>1807</v>
      </c>
      <c r="E22" s="397">
        <v>0</v>
      </c>
      <c r="F22" s="382" t="s">
        <v>756</v>
      </c>
      <c r="G22" s="383">
        <f>IF($D22="A",ROUND(VLOOKUP($C22,'[2]2.행정구역별 급수인구'!$C$7:$AD$997,17,FALSE)*$E22,0),IF($D22="B",(ROUND(VLOOKUP($C22,'[2]2.행정구역별 급수인구'!$C$7:$AD$997,17,FALSE)-VLOOKUP($C22,'[2]2.행정구역별 급수인구'!$C$7:$AD$997,17,FALSE)*(1-$E22),0)),VLOOKUP($C22,'[2]2.행정구역별 급수인구'!$C$7:$AD$997,17,FALSE)))</f>
        <v>0</v>
      </c>
      <c r="H22" s="383">
        <f>IF($D22="A",ROUND(VLOOKUP($C22,'[2]2.행정구역별 급수인구'!$C$7:$AD$997,25,FALSE)*$E22,0),IF($D22="B",(ROUND(VLOOKUP($C22,'[2]2.행정구역별 급수인구'!$C$7:$AD$997,25,FALSE)-VLOOKUP($C22,'[2]2.행정구역별 급수인구'!$C$7:$AD$997,25,FALSE)*(1-$E22),0)),VLOOKUP($C22,'[2]2.행정구역별 급수인구'!$C$7:$AD$997,25,FALSE)))</f>
        <v>0</v>
      </c>
      <c r="I22" s="383">
        <f>IF($D22="A",ROUND(VLOOKUP($C22,'[2]2.행정구역별 급수인구'!$C$7:$AD$997,26,FALSE)*$E22,0),IF($D22="B",(ROUND(VLOOKUP($C22,'[2]2.행정구역별 급수인구'!$C$7:$AD$997,26,FALSE)-VLOOKUP($C22,'[2]2.행정구역별 급수인구'!$C$7:$AD$997,26,FALSE)*(1-$E22),0)),VLOOKUP($C22,'[2]2.행정구역별 급수인구'!$C$7:$AD$997,26,FALSE)))</f>
        <v>0</v>
      </c>
      <c r="J22" s="383">
        <f>IF($D22="A",ROUND(VLOOKUP($C22,'[2]2.행정구역별 급수인구'!$C$7:$AD$997,27,FALSE)*$E22,0),IF($D22="B",(ROUND(VLOOKUP($C22,'[2]2.행정구역별 급수인구'!$C$7:$AD$997,27,FALSE)-VLOOKUP($C22,'[2]2.행정구역별 급수인구'!$C$7:$AD$997,27,FALSE)*(1-$E22),0)),VLOOKUP($C22,'[2]2.행정구역별 급수인구'!$C$7:$AD$997,27,FALSE)))</f>
        <v>0</v>
      </c>
      <c r="K22" s="383">
        <f>IF($D22="A",ROUND(VLOOKUP($C22,'[2]2.행정구역별 급수인구'!$C$7:$AD$997,28,FALSE)*$E22,0),IF($D22="B",(ROUND(VLOOKUP($C22,'[2]2.행정구역별 급수인구'!$C$7:$AD$997,28,FALSE)-VLOOKUP($C22,'[2]2.행정구역별 급수인구'!$C$7:$AD$997,28,FALSE)*(1-$E22),0)),VLOOKUP($C22,'[2]2.행정구역별 급수인구'!$C$7:$AD$997,28,FALSE)))</f>
        <v>0</v>
      </c>
      <c r="L22" s="383">
        <f>VLOOKUP($F22,'[3]5.급수원단위'!$B$31:$G$35,2,FALSE)</f>
        <v>272</v>
      </c>
      <c r="M22" s="383">
        <f>VLOOKUP($F22,'[3]5.급수원단위'!$B$31:$G$35,3,FALSE)</f>
        <v>304</v>
      </c>
      <c r="N22" s="383">
        <f>VLOOKUP($F22,'[3]5.급수원단위'!$B$31:$G$35,4,FALSE)</f>
        <v>308</v>
      </c>
      <c r="O22" s="383">
        <f>VLOOKUP($F22,'[3]5.급수원단위'!$B$31:$G$35,5,FALSE)</f>
        <v>310</v>
      </c>
      <c r="P22" s="383">
        <f>VLOOKUP($F22,'[3]5.급수원단위'!$B$31:$G$35,6,FALSE)</f>
        <v>310</v>
      </c>
      <c r="Q22" s="302">
        <f>ROUND(IF(G22=0,0,VLOOKUP(C22,'2013실사용량 정리'!$D$6:$F$381,3,FALSE)),0)</f>
        <v>0</v>
      </c>
      <c r="R22" s="383">
        <f t="shared" si="6"/>
        <v>0</v>
      </c>
      <c r="S22" s="383">
        <f t="shared" si="6"/>
        <v>0</v>
      </c>
      <c r="T22" s="383">
        <f t="shared" si="6"/>
        <v>0</v>
      </c>
      <c r="U22" s="383">
        <f t="shared" si="6"/>
        <v>0</v>
      </c>
      <c r="W22" s="343" t="str">
        <f t="shared" si="7"/>
        <v/>
      </c>
      <c r="Z22" s="413"/>
      <c r="AA22" s="413"/>
      <c r="AB22" s="413"/>
      <c r="AC22" s="413"/>
      <c r="AD22" s="413"/>
      <c r="AE22" s="413"/>
      <c r="AF22" s="413"/>
      <c r="AG22" s="413"/>
      <c r="AH22" s="413"/>
      <c r="AI22" s="413"/>
      <c r="AJ22" s="413"/>
      <c r="AK22" s="413"/>
      <c r="AL22" s="413"/>
      <c r="AM22" s="413"/>
      <c r="AN22" s="413"/>
      <c r="AO22" s="413"/>
      <c r="AP22" s="413"/>
      <c r="AQ22" s="413"/>
      <c r="AR22" s="413"/>
      <c r="AS22" s="413"/>
    </row>
    <row r="23" spans="1:45" s="412" customFormat="1" ht="19.5" customHeight="1">
      <c r="A23" s="700"/>
      <c r="B23" s="700"/>
      <c r="C23" s="380" t="s">
        <v>1512</v>
      </c>
      <c r="D23" s="330" t="s">
        <v>1807</v>
      </c>
      <c r="E23" s="397">
        <v>0</v>
      </c>
      <c r="F23" s="382" t="s">
        <v>756</v>
      </c>
      <c r="G23" s="383">
        <f>IF($D23="A",ROUND(VLOOKUP($C23,'[2]2.행정구역별 급수인구'!$C$7:$AD$997,17,FALSE)*$E23,0),IF($D23="B",(ROUND(VLOOKUP($C23,'[2]2.행정구역별 급수인구'!$C$7:$AD$997,17,FALSE)-VLOOKUP($C23,'[2]2.행정구역별 급수인구'!$C$7:$AD$997,17,FALSE)*(1-$E23),0)),VLOOKUP($C23,'[2]2.행정구역별 급수인구'!$C$7:$AD$997,17,FALSE)))</f>
        <v>0</v>
      </c>
      <c r="H23" s="383">
        <f>IF($D23="A",ROUND(VLOOKUP($C23,'[2]2.행정구역별 급수인구'!$C$7:$AD$997,25,FALSE)*$E23,0),IF($D23="B",(ROUND(VLOOKUP($C23,'[2]2.행정구역별 급수인구'!$C$7:$AD$997,25,FALSE)-VLOOKUP($C23,'[2]2.행정구역별 급수인구'!$C$7:$AD$997,25,FALSE)*(1-$E23),0)),VLOOKUP($C23,'[2]2.행정구역별 급수인구'!$C$7:$AD$997,25,FALSE)))</f>
        <v>0</v>
      </c>
      <c r="I23" s="383">
        <f>IF($D23="A",ROUND(VLOOKUP($C23,'[2]2.행정구역별 급수인구'!$C$7:$AD$997,26,FALSE)*$E23,0),IF($D23="B",(ROUND(VLOOKUP($C23,'[2]2.행정구역별 급수인구'!$C$7:$AD$997,26,FALSE)-VLOOKUP($C23,'[2]2.행정구역별 급수인구'!$C$7:$AD$997,26,FALSE)*(1-$E23),0)),VLOOKUP($C23,'[2]2.행정구역별 급수인구'!$C$7:$AD$997,26,FALSE)))</f>
        <v>0</v>
      </c>
      <c r="J23" s="383">
        <f>IF($D23="A",ROUND(VLOOKUP($C23,'[2]2.행정구역별 급수인구'!$C$7:$AD$997,27,FALSE)*$E23,0),IF($D23="B",(ROUND(VLOOKUP($C23,'[2]2.행정구역별 급수인구'!$C$7:$AD$997,27,FALSE)-VLOOKUP($C23,'[2]2.행정구역별 급수인구'!$C$7:$AD$997,27,FALSE)*(1-$E23),0)),VLOOKUP($C23,'[2]2.행정구역별 급수인구'!$C$7:$AD$997,27,FALSE)))</f>
        <v>0</v>
      </c>
      <c r="K23" s="383">
        <f>IF($D23="A",ROUND(VLOOKUP($C23,'[2]2.행정구역별 급수인구'!$C$7:$AD$997,28,FALSE)*$E23,0),IF($D23="B",(ROUND(VLOOKUP($C23,'[2]2.행정구역별 급수인구'!$C$7:$AD$997,28,FALSE)-VLOOKUP($C23,'[2]2.행정구역별 급수인구'!$C$7:$AD$997,28,FALSE)*(1-$E23),0)),VLOOKUP($C23,'[2]2.행정구역별 급수인구'!$C$7:$AD$997,28,FALSE)))</f>
        <v>0</v>
      </c>
      <c r="L23" s="383">
        <f>VLOOKUP($F23,'[3]5.급수원단위'!$B$31:$G$35,2,FALSE)</f>
        <v>272</v>
      </c>
      <c r="M23" s="383">
        <f>VLOOKUP($F23,'[3]5.급수원단위'!$B$31:$G$35,3,FALSE)</f>
        <v>304</v>
      </c>
      <c r="N23" s="383">
        <f>VLOOKUP($F23,'[3]5.급수원단위'!$B$31:$G$35,4,FALSE)</f>
        <v>308</v>
      </c>
      <c r="O23" s="383">
        <f>VLOOKUP($F23,'[3]5.급수원단위'!$B$31:$G$35,5,FALSE)</f>
        <v>310</v>
      </c>
      <c r="P23" s="383">
        <f>VLOOKUP($F23,'[3]5.급수원단위'!$B$31:$G$35,6,FALSE)</f>
        <v>310</v>
      </c>
      <c r="Q23" s="302">
        <f>ROUND(IF(G23=0,0,VLOOKUP(C23,'2013실사용량 정리'!$D$6:$F$381,3,FALSE)),0)</f>
        <v>0</v>
      </c>
      <c r="R23" s="383">
        <f t="shared" si="6"/>
        <v>0</v>
      </c>
      <c r="S23" s="383">
        <f t="shared" si="6"/>
        <v>0</v>
      </c>
      <c r="T23" s="383">
        <f t="shared" si="6"/>
        <v>0</v>
      </c>
      <c r="U23" s="383">
        <f t="shared" si="6"/>
        <v>0</v>
      </c>
      <c r="W23" s="343" t="str">
        <f t="shared" si="7"/>
        <v/>
      </c>
      <c r="Z23" s="413"/>
      <c r="AA23" s="413"/>
      <c r="AB23" s="413"/>
      <c r="AC23" s="413"/>
      <c r="AD23" s="413"/>
      <c r="AE23" s="413"/>
      <c r="AF23" s="413"/>
      <c r="AG23" s="413"/>
      <c r="AH23" s="413"/>
      <c r="AI23" s="413"/>
      <c r="AJ23" s="413"/>
      <c r="AK23" s="413"/>
      <c r="AL23" s="413"/>
      <c r="AM23" s="413"/>
      <c r="AN23" s="413"/>
      <c r="AO23" s="413"/>
      <c r="AP23" s="413"/>
      <c r="AQ23" s="413"/>
      <c r="AR23" s="413"/>
      <c r="AS23" s="413"/>
    </row>
    <row r="24" spans="1:45" s="412" customFormat="1" ht="19.5" customHeight="1">
      <c r="A24" s="700"/>
      <c r="B24" s="700"/>
      <c r="C24" s="380" t="s">
        <v>1513</v>
      </c>
      <c r="D24" s="330" t="s">
        <v>1807</v>
      </c>
      <c r="E24" s="397">
        <v>0</v>
      </c>
      <c r="F24" s="382" t="s">
        <v>756</v>
      </c>
      <c r="G24" s="383">
        <f>IF($D24="A",ROUND(VLOOKUP($C24,'[2]2.행정구역별 급수인구'!$C$7:$AD$997,17,FALSE)*$E24,0),IF($D24="B",(ROUND(VLOOKUP($C24,'[2]2.행정구역별 급수인구'!$C$7:$AD$997,17,FALSE)-VLOOKUP($C24,'[2]2.행정구역별 급수인구'!$C$7:$AD$997,17,FALSE)*(1-$E24),0)),VLOOKUP($C24,'[2]2.행정구역별 급수인구'!$C$7:$AD$997,17,FALSE)))</f>
        <v>0</v>
      </c>
      <c r="H24" s="383">
        <f>IF($D24="A",ROUND(VLOOKUP($C24,'[2]2.행정구역별 급수인구'!$C$7:$AD$997,25,FALSE)*$E24,0),IF($D24="B",(ROUND(VLOOKUP($C24,'[2]2.행정구역별 급수인구'!$C$7:$AD$997,25,FALSE)-VLOOKUP($C24,'[2]2.행정구역별 급수인구'!$C$7:$AD$997,25,FALSE)*(1-$E24),0)),VLOOKUP($C24,'[2]2.행정구역별 급수인구'!$C$7:$AD$997,25,FALSE)))</f>
        <v>0</v>
      </c>
      <c r="I24" s="383">
        <f>IF($D24="A",ROUND(VLOOKUP($C24,'[2]2.행정구역별 급수인구'!$C$7:$AD$997,26,FALSE)*$E24,0),IF($D24="B",(ROUND(VLOOKUP($C24,'[2]2.행정구역별 급수인구'!$C$7:$AD$997,26,FALSE)-VLOOKUP($C24,'[2]2.행정구역별 급수인구'!$C$7:$AD$997,26,FALSE)*(1-$E24),0)),VLOOKUP($C24,'[2]2.행정구역별 급수인구'!$C$7:$AD$997,26,FALSE)))</f>
        <v>0</v>
      </c>
      <c r="J24" s="383">
        <f>IF($D24="A",ROUND(VLOOKUP($C24,'[2]2.행정구역별 급수인구'!$C$7:$AD$997,27,FALSE)*$E24,0),IF($D24="B",(ROUND(VLOOKUP($C24,'[2]2.행정구역별 급수인구'!$C$7:$AD$997,27,FALSE)-VLOOKUP($C24,'[2]2.행정구역별 급수인구'!$C$7:$AD$997,27,FALSE)*(1-$E24),0)),VLOOKUP($C24,'[2]2.행정구역별 급수인구'!$C$7:$AD$997,27,FALSE)))</f>
        <v>0</v>
      </c>
      <c r="K24" s="383">
        <f>IF($D24="A",ROUND(VLOOKUP($C24,'[2]2.행정구역별 급수인구'!$C$7:$AD$997,28,FALSE)*$E24,0),IF($D24="B",(ROUND(VLOOKUP($C24,'[2]2.행정구역별 급수인구'!$C$7:$AD$997,28,FALSE)-VLOOKUP($C24,'[2]2.행정구역별 급수인구'!$C$7:$AD$997,28,FALSE)*(1-$E24),0)),VLOOKUP($C24,'[2]2.행정구역별 급수인구'!$C$7:$AD$997,28,FALSE)))</f>
        <v>0</v>
      </c>
      <c r="L24" s="383">
        <f>VLOOKUP($F24,'[3]5.급수원단위'!$B$31:$G$35,2,FALSE)</f>
        <v>272</v>
      </c>
      <c r="M24" s="383">
        <f>VLOOKUP($F24,'[3]5.급수원단위'!$B$31:$G$35,3,FALSE)</f>
        <v>304</v>
      </c>
      <c r="N24" s="383">
        <f>VLOOKUP($F24,'[3]5.급수원단위'!$B$31:$G$35,4,FALSE)</f>
        <v>308</v>
      </c>
      <c r="O24" s="383">
        <f>VLOOKUP($F24,'[3]5.급수원단위'!$B$31:$G$35,5,FALSE)</f>
        <v>310</v>
      </c>
      <c r="P24" s="383">
        <f>VLOOKUP($F24,'[3]5.급수원단위'!$B$31:$G$35,6,FALSE)</f>
        <v>310</v>
      </c>
      <c r="Q24" s="302">
        <f>ROUND(IF(G24=0,0,VLOOKUP(C24,'2013실사용량 정리'!$D$6:$F$381,3,FALSE)),0)</f>
        <v>0</v>
      </c>
      <c r="R24" s="383">
        <f t="shared" ref="R24:U40" si="8">ROUND(H24*M24/1000,0)</f>
        <v>0</v>
      </c>
      <c r="S24" s="383">
        <f t="shared" si="8"/>
        <v>0</v>
      </c>
      <c r="T24" s="383">
        <f t="shared" si="8"/>
        <v>0</v>
      </c>
      <c r="U24" s="383">
        <f t="shared" si="8"/>
        <v>0</v>
      </c>
      <c r="W24" s="343" t="str">
        <f t="shared" si="7"/>
        <v/>
      </c>
      <c r="Z24" s="413"/>
      <c r="AA24" s="413"/>
      <c r="AB24" s="413"/>
      <c r="AC24" s="413"/>
      <c r="AD24" s="413"/>
      <c r="AE24" s="413"/>
      <c r="AF24" s="413"/>
      <c r="AG24" s="413"/>
      <c r="AH24" s="413"/>
      <c r="AI24" s="413"/>
      <c r="AJ24" s="413"/>
      <c r="AK24" s="413"/>
      <c r="AL24" s="413"/>
      <c r="AM24" s="413"/>
      <c r="AN24" s="413"/>
      <c r="AO24" s="413"/>
      <c r="AP24" s="413"/>
      <c r="AQ24" s="413"/>
      <c r="AR24" s="413"/>
      <c r="AS24" s="413"/>
    </row>
    <row r="25" spans="1:45" s="412" customFormat="1" ht="19.5" customHeight="1">
      <c r="A25" s="700"/>
      <c r="B25" s="700"/>
      <c r="C25" s="380" t="s">
        <v>1514</v>
      </c>
      <c r="D25" s="330" t="s">
        <v>1807</v>
      </c>
      <c r="E25" s="397">
        <v>0</v>
      </c>
      <c r="F25" s="382" t="s">
        <v>756</v>
      </c>
      <c r="G25" s="383">
        <f>IF($D25="A",ROUND(VLOOKUP($C25,'[2]2.행정구역별 급수인구'!$C$7:$AD$997,17,FALSE)*$E25,0),IF($D25="B",(ROUND(VLOOKUP($C25,'[2]2.행정구역별 급수인구'!$C$7:$AD$997,17,FALSE)-VLOOKUP($C25,'[2]2.행정구역별 급수인구'!$C$7:$AD$997,17,FALSE)*(1-$E25),0)),VLOOKUP($C25,'[2]2.행정구역별 급수인구'!$C$7:$AD$997,17,FALSE)))</f>
        <v>0</v>
      </c>
      <c r="H25" s="383">
        <f>IF($D25="A",ROUND(VLOOKUP($C25,'[2]2.행정구역별 급수인구'!$C$7:$AD$997,25,FALSE)*$E25,0),IF($D25="B",(ROUND(VLOOKUP($C25,'[2]2.행정구역별 급수인구'!$C$7:$AD$997,25,FALSE)-VLOOKUP($C25,'[2]2.행정구역별 급수인구'!$C$7:$AD$997,25,FALSE)*(1-$E25),0)),VLOOKUP($C25,'[2]2.행정구역별 급수인구'!$C$7:$AD$997,25,FALSE)))</f>
        <v>0</v>
      </c>
      <c r="I25" s="383">
        <f>IF($D25="A",ROUND(VLOOKUP($C25,'[2]2.행정구역별 급수인구'!$C$7:$AD$997,26,FALSE)*$E25,0),IF($D25="B",(ROUND(VLOOKUP($C25,'[2]2.행정구역별 급수인구'!$C$7:$AD$997,26,FALSE)-VLOOKUP($C25,'[2]2.행정구역별 급수인구'!$C$7:$AD$997,26,FALSE)*(1-$E25),0)),VLOOKUP($C25,'[2]2.행정구역별 급수인구'!$C$7:$AD$997,26,FALSE)))</f>
        <v>0</v>
      </c>
      <c r="J25" s="383">
        <f>IF($D25="A",ROUND(VLOOKUP($C25,'[2]2.행정구역별 급수인구'!$C$7:$AD$997,27,FALSE)*$E25,0),IF($D25="B",(ROUND(VLOOKUP($C25,'[2]2.행정구역별 급수인구'!$C$7:$AD$997,27,FALSE)-VLOOKUP($C25,'[2]2.행정구역별 급수인구'!$C$7:$AD$997,27,FALSE)*(1-$E25),0)),VLOOKUP($C25,'[2]2.행정구역별 급수인구'!$C$7:$AD$997,27,FALSE)))</f>
        <v>0</v>
      </c>
      <c r="K25" s="383">
        <f>IF($D25="A",ROUND(VLOOKUP($C25,'[2]2.행정구역별 급수인구'!$C$7:$AD$997,28,FALSE)*$E25,0),IF($D25="B",(ROUND(VLOOKUP($C25,'[2]2.행정구역별 급수인구'!$C$7:$AD$997,28,FALSE)-VLOOKUP($C25,'[2]2.행정구역별 급수인구'!$C$7:$AD$997,28,FALSE)*(1-$E25),0)),VLOOKUP($C25,'[2]2.행정구역별 급수인구'!$C$7:$AD$997,28,FALSE)))</f>
        <v>0</v>
      </c>
      <c r="L25" s="383">
        <f>VLOOKUP($F25,'[3]5.급수원단위'!$B$31:$G$35,2,FALSE)</f>
        <v>272</v>
      </c>
      <c r="M25" s="383">
        <f>VLOOKUP($F25,'[3]5.급수원단위'!$B$31:$G$35,3,FALSE)</f>
        <v>304</v>
      </c>
      <c r="N25" s="383">
        <f>VLOOKUP($F25,'[3]5.급수원단위'!$B$31:$G$35,4,FALSE)</f>
        <v>308</v>
      </c>
      <c r="O25" s="383">
        <f>VLOOKUP($F25,'[3]5.급수원단위'!$B$31:$G$35,5,FALSE)</f>
        <v>310</v>
      </c>
      <c r="P25" s="383">
        <f>VLOOKUP($F25,'[3]5.급수원단위'!$B$31:$G$35,6,FALSE)</f>
        <v>310</v>
      </c>
      <c r="Q25" s="302">
        <f>ROUND(IF(G25=0,0,VLOOKUP(C25,'2013실사용량 정리'!$D$6:$F$381,3,FALSE)),0)</f>
        <v>0</v>
      </c>
      <c r="R25" s="383">
        <f t="shared" si="8"/>
        <v>0</v>
      </c>
      <c r="S25" s="383">
        <f t="shared" si="8"/>
        <v>0</v>
      </c>
      <c r="T25" s="383">
        <f t="shared" si="8"/>
        <v>0</v>
      </c>
      <c r="U25" s="383">
        <f t="shared" si="8"/>
        <v>0</v>
      </c>
      <c r="W25" s="343" t="str">
        <f t="shared" si="7"/>
        <v/>
      </c>
      <c r="Z25" s="413"/>
      <c r="AA25" s="413"/>
      <c r="AB25" s="413"/>
      <c r="AC25" s="413"/>
      <c r="AD25" s="413"/>
      <c r="AE25" s="413"/>
      <c r="AF25" s="413"/>
      <c r="AG25" s="413"/>
      <c r="AH25" s="413"/>
      <c r="AI25" s="413"/>
      <c r="AJ25" s="413"/>
      <c r="AK25" s="413"/>
      <c r="AL25" s="413"/>
      <c r="AM25" s="413"/>
      <c r="AN25" s="413"/>
      <c r="AO25" s="413"/>
      <c r="AP25" s="413"/>
      <c r="AQ25" s="413"/>
      <c r="AR25" s="413"/>
      <c r="AS25" s="413"/>
    </row>
    <row r="26" spans="1:45" s="412" customFormat="1" ht="19.5" customHeight="1">
      <c r="A26" s="700"/>
      <c r="B26" s="700"/>
      <c r="C26" s="380" t="s">
        <v>1515</v>
      </c>
      <c r="D26" s="330" t="s">
        <v>1807</v>
      </c>
      <c r="E26" s="397">
        <v>0</v>
      </c>
      <c r="F26" s="382" t="s">
        <v>756</v>
      </c>
      <c r="G26" s="383">
        <f>IF($D26="A",ROUND(VLOOKUP($C26,'[2]2.행정구역별 급수인구'!$C$7:$AD$997,17,FALSE)*$E26,0),IF($D26="B",(ROUND(VLOOKUP($C26,'[2]2.행정구역별 급수인구'!$C$7:$AD$997,17,FALSE)-VLOOKUP($C26,'[2]2.행정구역별 급수인구'!$C$7:$AD$997,17,FALSE)*(1-$E26),0)),VLOOKUP($C26,'[2]2.행정구역별 급수인구'!$C$7:$AD$997,17,FALSE)))</f>
        <v>0</v>
      </c>
      <c r="H26" s="383">
        <f>IF($D26="A",ROUND(VLOOKUP($C26,'[2]2.행정구역별 급수인구'!$C$7:$AD$997,25,FALSE)*$E26,0),IF($D26="B",(ROUND(VLOOKUP($C26,'[2]2.행정구역별 급수인구'!$C$7:$AD$997,25,FALSE)-VLOOKUP($C26,'[2]2.행정구역별 급수인구'!$C$7:$AD$997,25,FALSE)*(1-$E26),0)),VLOOKUP($C26,'[2]2.행정구역별 급수인구'!$C$7:$AD$997,25,FALSE)))</f>
        <v>0</v>
      </c>
      <c r="I26" s="383">
        <f>IF($D26="A",ROUND(VLOOKUP($C26,'[2]2.행정구역별 급수인구'!$C$7:$AD$997,26,FALSE)*$E26,0),IF($D26="B",(ROUND(VLOOKUP($C26,'[2]2.행정구역별 급수인구'!$C$7:$AD$997,26,FALSE)-VLOOKUP($C26,'[2]2.행정구역별 급수인구'!$C$7:$AD$997,26,FALSE)*(1-$E26),0)),VLOOKUP($C26,'[2]2.행정구역별 급수인구'!$C$7:$AD$997,26,FALSE)))</f>
        <v>0</v>
      </c>
      <c r="J26" s="383">
        <f>IF($D26="A",ROUND(VLOOKUP($C26,'[2]2.행정구역별 급수인구'!$C$7:$AD$997,27,FALSE)*$E26,0),IF($D26="B",(ROUND(VLOOKUP($C26,'[2]2.행정구역별 급수인구'!$C$7:$AD$997,27,FALSE)-VLOOKUP($C26,'[2]2.행정구역별 급수인구'!$C$7:$AD$997,27,FALSE)*(1-$E26),0)),VLOOKUP($C26,'[2]2.행정구역별 급수인구'!$C$7:$AD$997,27,FALSE)))</f>
        <v>0</v>
      </c>
      <c r="K26" s="383">
        <f>IF($D26="A",ROUND(VLOOKUP($C26,'[2]2.행정구역별 급수인구'!$C$7:$AD$997,28,FALSE)*$E26,0),IF($D26="B",(ROUND(VLOOKUP($C26,'[2]2.행정구역별 급수인구'!$C$7:$AD$997,28,FALSE)-VLOOKUP($C26,'[2]2.행정구역별 급수인구'!$C$7:$AD$997,28,FALSE)*(1-$E26),0)),VLOOKUP($C26,'[2]2.행정구역별 급수인구'!$C$7:$AD$997,28,FALSE)))</f>
        <v>0</v>
      </c>
      <c r="L26" s="383">
        <f>VLOOKUP($F26,'[3]5.급수원단위'!$B$31:$G$35,2,FALSE)</f>
        <v>272</v>
      </c>
      <c r="M26" s="383">
        <f>VLOOKUP($F26,'[3]5.급수원단위'!$B$31:$G$35,3,FALSE)</f>
        <v>304</v>
      </c>
      <c r="N26" s="383">
        <f>VLOOKUP($F26,'[3]5.급수원단위'!$B$31:$G$35,4,FALSE)</f>
        <v>308</v>
      </c>
      <c r="O26" s="383">
        <f>VLOOKUP($F26,'[3]5.급수원단위'!$B$31:$G$35,5,FALSE)</f>
        <v>310</v>
      </c>
      <c r="P26" s="383">
        <f>VLOOKUP($F26,'[3]5.급수원단위'!$B$31:$G$35,6,FALSE)</f>
        <v>310</v>
      </c>
      <c r="Q26" s="302">
        <f>ROUND(IF(G26=0,0,VLOOKUP(C26,'2013실사용량 정리'!$D$6:$F$381,3,FALSE)),0)</f>
        <v>0</v>
      </c>
      <c r="R26" s="383">
        <f t="shared" si="8"/>
        <v>0</v>
      </c>
      <c r="S26" s="383">
        <f t="shared" si="8"/>
        <v>0</v>
      </c>
      <c r="T26" s="383">
        <f t="shared" si="8"/>
        <v>0</v>
      </c>
      <c r="U26" s="383">
        <f t="shared" si="8"/>
        <v>0</v>
      </c>
      <c r="W26" s="343" t="str">
        <f t="shared" si="7"/>
        <v/>
      </c>
      <c r="Z26" s="413"/>
      <c r="AA26" s="413"/>
      <c r="AB26" s="413"/>
      <c r="AC26" s="413"/>
      <c r="AD26" s="413"/>
      <c r="AE26" s="413"/>
      <c r="AF26" s="413"/>
      <c r="AG26" s="413"/>
      <c r="AH26" s="413"/>
      <c r="AI26" s="413"/>
      <c r="AJ26" s="413"/>
      <c r="AK26" s="413"/>
      <c r="AL26" s="413"/>
      <c r="AM26" s="413"/>
      <c r="AN26" s="413"/>
      <c r="AO26" s="413"/>
      <c r="AP26" s="413"/>
      <c r="AQ26" s="413"/>
      <c r="AR26" s="413"/>
      <c r="AS26" s="413"/>
    </row>
    <row r="27" spans="1:45" ht="19.5" customHeight="1">
      <c r="A27" s="700"/>
      <c r="B27" s="700"/>
      <c r="C27" s="399" t="s">
        <v>1516</v>
      </c>
      <c r="D27" s="330" t="s">
        <v>1807</v>
      </c>
      <c r="E27" s="397">
        <v>1</v>
      </c>
      <c r="F27" s="397" t="s">
        <v>756</v>
      </c>
      <c r="G27" s="302">
        <f>IF($D27="A",ROUND(VLOOKUP($C27,'[2]2.행정구역별 급수인구'!$C$7:$AD$997,17,FALSE)*$E27,0),IF($D27="B",(ROUND(VLOOKUP($C27,'[2]2.행정구역별 급수인구'!$C$7:$AD$997,17,FALSE)-VLOOKUP($C27,'[2]2.행정구역별 급수인구'!$C$7:$AD$997,17,FALSE)*(1-$E27),0)),VLOOKUP($C27,'[2]2.행정구역별 급수인구'!$C$7:$AD$997,17,FALSE)))</f>
        <v>59</v>
      </c>
      <c r="H27" s="302">
        <f>IF($D27="A",ROUND(VLOOKUP($C27,'[2]2.행정구역별 급수인구'!$C$7:$AD$997,25,FALSE)*$E27,0),IF($D27="B",(ROUND(VLOOKUP($C27,'[2]2.행정구역별 급수인구'!$C$7:$AD$997,25,FALSE)-VLOOKUP($C27,'[2]2.행정구역별 급수인구'!$C$7:$AD$997,25,FALSE)*(1-$E27),0)),VLOOKUP($C27,'[2]2.행정구역별 급수인구'!$C$7:$AD$997,25,FALSE)))</f>
        <v>62</v>
      </c>
      <c r="I27" s="302">
        <f>IF($D27="A",ROUND(VLOOKUP($C27,'[2]2.행정구역별 급수인구'!$C$7:$AD$997,26,FALSE)*$E27,0),IF($D27="B",(ROUND(VLOOKUP($C27,'[2]2.행정구역별 급수인구'!$C$7:$AD$997,26,FALSE)-VLOOKUP($C27,'[2]2.행정구역별 급수인구'!$C$7:$AD$997,26,FALSE)*(1-$E27),0)),VLOOKUP($C27,'[2]2.행정구역별 급수인구'!$C$7:$AD$997,26,FALSE)))</f>
        <v>65</v>
      </c>
      <c r="J27" s="302">
        <f>IF($D27="A",ROUND(VLOOKUP($C27,'[2]2.행정구역별 급수인구'!$C$7:$AD$997,27,FALSE)*$E27,0),IF($D27="B",(ROUND(VLOOKUP($C27,'[2]2.행정구역별 급수인구'!$C$7:$AD$997,27,FALSE)-VLOOKUP($C27,'[2]2.행정구역별 급수인구'!$C$7:$AD$997,27,FALSE)*(1-$E27),0)),VLOOKUP($C27,'[2]2.행정구역별 급수인구'!$C$7:$AD$997,27,FALSE)))</f>
        <v>70</v>
      </c>
      <c r="K27" s="302">
        <f>IF($D27="A",ROUND(VLOOKUP($C27,'[2]2.행정구역별 급수인구'!$C$7:$AD$997,28,FALSE)*$E27,0),IF($D27="B",(ROUND(VLOOKUP($C27,'[2]2.행정구역별 급수인구'!$C$7:$AD$997,28,FALSE)-VLOOKUP($C27,'[2]2.행정구역별 급수인구'!$C$7:$AD$997,28,FALSE)*(1-$E27),0)),VLOOKUP($C27,'[2]2.행정구역별 급수인구'!$C$7:$AD$997,28,FALSE)))</f>
        <v>72</v>
      </c>
      <c r="L27" s="302">
        <f>VLOOKUP($F27,'[3]5.급수원단위'!$B$31:$G$35,2,FALSE)</f>
        <v>272</v>
      </c>
      <c r="M27" s="302">
        <f>VLOOKUP($F27,'[3]5.급수원단위'!$B$31:$G$35,3,FALSE)</f>
        <v>304</v>
      </c>
      <c r="N27" s="302">
        <f>VLOOKUP($F27,'[3]5.급수원단위'!$B$31:$G$35,4,FALSE)</f>
        <v>308</v>
      </c>
      <c r="O27" s="302">
        <f>VLOOKUP($F27,'[3]5.급수원단위'!$B$31:$G$35,5,FALSE)</f>
        <v>310</v>
      </c>
      <c r="P27" s="302">
        <f>VLOOKUP($F27,'[3]5.급수원단위'!$B$31:$G$35,6,FALSE)</f>
        <v>310</v>
      </c>
      <c r="Q27" s="302">
        <f>ROUND(IF(G27=0,0,VLOOKUP(C27,'2013실사용량 정리'!$D$6:$F$381,3,FALSE)),0)</f>
        <v>16</v>
      </c>
      <c r="R27" s="302">
        <f t="shared" si="8"/>
        <v>19</v>
      </c>
      <c r="S27" s="302">
        <f t="shared" si="8"/>
        <v>20</v>
      </c>
      <c r="T27" s="302">
        <f t="shared" si="8"/>
        <v>22</v>
      </c>
      <c r="U27" s="302">
        <f t="shared" si="8"/>
        <v>22</v>
      </c>
      <c r="W27" s="343">
        <f t="shared" si="7"/>
        <v>1.375</v>
      </c>
    </row>
    <row r="28" spans="1:45" ht="19.5" customHeight="1">
      <c r="A28" s="700"/>
      <c r="B28" s="700"/>
      <c r="C28" s="399" t="s">
        <v>1517</v>
      </c>
      <c r="D28" s="330" t="s">
        <v>1807</v>
      </c>
      <c r="E28" s="397">
        <v>1</v>
      </c>
      <c r="F28" s="397" t="s">
        <v>756</v>
      </c>
      <c r="G28" s="302">
        <f>IF($D28="A",ROUND(VLOOKUP($C28,'[2]2.행정구역별 급수인구'!$C$7:$AD$997,17,FALSE)*$E28,0),IF($D28="B",(ROUND(VLOOKUP($C28,'[2]2.행정구역별 급수인구'!$C$7:$AD$997,17,FALSE)-VLOOKUP($C28,'[2]2.행정구역별 급수인구'!$C$7:$AD$997,17,FALSE)*(1-$E28),0)),VLOOKUP($C28,'[2]2.행정구역별 급수인구'!$C$7:$AD$997,17,FALSE)))</f>
        <v>81</v>
      </c>
      <c r="H28" s="302">
        <f>IF($D28="A",ROUND(VLOOKUP($C28,'[2]2.행정구역별 급수인구'!$C$7:$AD$997,25,FALSE)*$E28,0),IF($D28="B",(ROUND(VLOOKUP($C28,'[2]2.행정구역별 급수인구'!$C$7:$AD$997,25,FALSE)-VLOOKUP($C28,'[2]2.행정구역별 급수인구'!$C$7:$AD$997,25,FALSE)*(1-$E28),0)),VLOOKUP($C28,'[2]2.행정구역별 급수인구'!$C$7:$AD$997,25,FALSE)))</f>
        <v>85</v>
      </c>
      <c r="I28" s="302">
        <f>IF($D28="A",ROUND(VLOOKUP($C28,'[2]2.행정구역별 급수인구'!$C$7:$AD$997,26,FALSE)*$E28,0),IF($D28="B",(ROUND(VLOOKUP($C28,'[2]2.행정구역별 급수인구'!$C$7:$AD$997,26,FALSE)-VLOOKUP($C28,'[2]2.행정구역별 급수인구'!$C$7:$AD$997,26,FALSE)*(1-$E28),0)),VLOOKUP($C28,'[2]2.행정구역별 급수인구'!$C$7:$AD$997,26,FALSE)))</f>
        <v>90</v>
      </c>
      <c r="J28" s="302">
        <f>IF($D28="A",ROUND(VLOOKUP($C28,'[2]2.행정구역별 급수인구'!$C$7:$AD$997,27,FALSE)*$E28,0),IF($D28="B",(ROUND(VLOOKUP($C28,'[2]2.행정구역별 급수인구'!$C$7:$AD$997,27,FALSE)-VLOOKUP($C28,'[2]2.행정구역별 급수인구'!$C$7:$AD$997,27,FALSE)*(1-$E28),0)),VLOOKUP($C28,'[2]2.행정구역별 급수인구'!$C$7:$AD$997,27,FALSE)))</f>
        <v>97</v>
      </c>
      <c r="K28" s="302">
        <f>IF($D28="A",ROUND(VLOOKUP($C28,'[2]2.행정구역별 급수인구'!$C$7:$AD$997,28,FALSE)*$E28,0),IF($D28="B",(ROUND(VLOOKUP($C28,'[2]2.행정구역별 급수인구'!$C$7:$AD$997,28,FALSE)-VLOOKUP($C28,'[2]2.행정구역별 급수인구'!$C$7:$AD$997,28,FALSE)*(1-$E28),0)),VLOOKUP($C28,'[2]2.행정구역별 급수인구'!$C$7:$AD$997,28,FALSE)))</f>
        <v>99</v>
      </c>
      <c r="L28" s="302">
        <f>VLOOKUP($F28,'[3]5.급수원단위'!$B$31:$G$35,2,FALSE)</f>
        <v>272</v>
      </c>
      <c r="M28" s="302">
        <f>VLOOKUP($F28,'[3]5.급수원단위'!$B$31:$G$35,3,FALSE)</f>
        <v>304</v>
      </c>
      <c r="N28" s="302">
        <f>VLOOKUP($F28,'[3]5.급수원단위'!$B$31:$G$35,4,FALSE)</f>
        <v>308</v>
      </c>
      <c r="O28" s="302">
        <f>VLOOKUP($F28,'[3]5.급수원단위'!$B$31:$G$35,5,FALSE)</f>
        <v>310</v>
      </c>
      <c r="P28" s="302">
        <f>VLOOKUP($F28,'[3]5.급수원단위'!$B$31:$G$35,6,FALSE)</f>
        <v>310</v>
      </c>
      <c r="Q28" s="302">
        <f>ROUND(IF(G28=0,0,VLOOKUP(C28,'2013실사용량 정리'!$D$6:$F$381,3,FALSE)),0)</f>
        <v>23</v>
      </c>
      <c r="R28" s="302">
        <f t="shared" si="8"/>
        <v>26</v>
      </c>
      <c r="S28" s="302">
        <f t="shared" si="8"/>
        <v>28</v>
      </c>
      <c r="T28" s="302">
        <f t="shared" si="8"/>
        <v>30</v>
      </c>
      <c r="U28" s="302">
        <f t="shared" si="8"/>
        <v>31</v>
      </c>
      <c r="W28" s="343">
        <f t="shared" si="7"/>
        <v>1.3478260869565217</v>
      </c>
    </row>
    <row r="29" spans="1:45" ht="19.5" customHeight="1">
      <c r="A29" s="700"/>
      <c r="B29" s="700"/>
      <c r="C29" s="399" t="s">
        <v>1518</v>
      </c>
      <c r="D29" s="330" t="s">
        <v>1807</v>
      </c>
      <c r="E29" s="397">
        <v>1</v>
      </c>
      <c r="F29" s="397" t="s">
        <v>756</v>
      </c>
      <c r="G29" s="302">
        <f>IF($D29="A",ROUND(VLOOKUP($C29,'[2]2.행정구역별 급수인구'!$C$7:$AD$997,17,FALSE)*$E29,0),IF($D29="B",(ROUND(VLOOKUP($C29,'[2]2.행정구역별 급수인구'!$C$7:$AD$997,17,FALSE)-VLOOKUP($C29,'[2]2.행정구역별 급수인구'!$C$7:$AD$997,17,FALSE)*(1-$E29),0)),VLOOKUP($C29,'[2]2.행정구역별 급수인구'!$C$7:$AD$997,17,FALSE)))</f>
        <v>57</v>
      </c>
      <c r="H29" s="302">
        <f>IF($D29="A",ROUND(VLOOKUP($C29,'[2]2.행정구역별 급수인구'!$C$7:$AD$997,25,FALSE)*$E29,0),IF($D29="B",(ROUND(VLOOKUP($C29,'[2]2.행정구역별 급수인구'!$C$7:$AD$997,25,FALSE)-VLOOKUP($C29,'[2]2.행정구역별 급수인구'!$C$7:$AD$997,25,FALSE)*(1-$E29),0)),VLOOKUP($C29,'[2]2.행정구역별 급수인구'!$C$7:$AD$997,25,FALSE)))</f>
        <v>60</v>
      </c>
      <c r="I29" s="302">
        <f>IF($D29="A",ROUND(VLOOKUP($C29,'[2]2.행정구역별 급수인구'!$C$7:$AD$997,26,FALSE)*$E29,0),IF($D29="B",(ROUND(VLOOKUP($C29,'[2]2.행정구역별 급수인구'!$C$7:$AD$997,26,FALSE)-VLOOKUP($C29,'[2]2.행정구역별 급수인구'!$C$7:$AD$997,26,FALSE)*(1-$E29),0)),VLOOKUP($C29,'[2]2.행정구역별 급수인구'!$C$7:$AD$997,26,FALSE)))</f>
        <v>63</v>
      </c>
      <c r="J29" s="302">
        <f>IF($D29="A",ROUND(VLOOKUP($C29,'[2]2.행정구역별 급수인구'!$C$7:$AD$997,27,FALSE)*$E29,0),IF($D29="B",(ROUND(VLOOKUP($C29,'[2]2.행정구역별 급수인구'!$C$7:$AD$997,27,FALSE)-VLOOKUP($C29,'[2]2.행정구역별 급수인구'!$C$7:$AD$997,27,FALSE)*(1-$E29),0)),VLOOKUP($C29,'[2]2.행정구역별 급수인구'!$C$7:$AD$997,27,FALSE)))</f>
        <v>68</v>
      </c>
      <c r="K29" s="302">
        <f>IF($D29="A",ROUND(VLOOKUP($C29,'[2]2.행정구역별 급수인구'!$C$7:$AD$997,28,FALSE)*$E29,0),IF($D29="B",(ROUND(VLOOKUP($C29,'[2]2.행정구역별 급수인구'!$C$7:$AD$997,28,FALSE)-VLOOKUP($C29,'[2]2.행정구역별 급수인구'!$C$7:$AD$997,28,FALSE)*(1-$E29),0)),VLOOKUP($C29,'[2]2.행정구역별 급수인구'!$C$7:$AD$997,28,FALSE)))</f>
        <v>70</v>
      </c>
      <c r="L29" s="302">
        <f>VLOOKUP($F29,'[3]5.급수원단위'!$B$31:$G$35,2,FALSE)</f>
        <v>272</v>
      </c>
      <c r="M29" s="302">
        <f>VLOOKUP($F29,'[3]5.급수원단위'!$B$31:$G$35,3,FALSE)</f>
        <v>304</v>
      </c>
      <c r="N29" s="302">
        <f>VLOOKUP($F29,'[3]5.급수원단위'!$B$31:$G$35,4,FALSE)</f>
        <v>308</v>
      </c>
      <c r="O29" s="302">
        <f>VLOOKUP($F29,'[3]5.급수원단위'!$B$31:$G$35,5,FALSE)</f>
        <v>310</v>
      </c>
      <c r="P29" s="302">
        <f>VLOOKUP($F29,'[3]5.급수원단위'!$B$31:$G$35,6,FALSE)</f>
        <v>310</v>
      </c>
      <c r="Q29" s="302">
        <f>ROUND(IF(G29=0,0,VLOOKUP(C29,'2013실사용량 정리'!$D$6:$F$381,3,FALSE)),0)</f>
        <v>16</v>
      </c>
      <c r="R29" s="302">
        <f t="shared" si="8"/>
        <v>18</v>
      </c>
      <c r="S29" s="302">
        <f t="shared" si="8"/>
        <v>19</v>
      </c>
      <c r="T29" s="302">
        <f t="shared" si="8"/>
        <v>21</v>
      </c>
      <c r="U29" s="302">
        <f t="shared" si="8"/>
        <v>22</v>
      </c>
      <c r="W29" s="343">
        <f t="shared" si="7"/>
        <v>1.375</v>
      </c>
    </row>
    <row r="30" spans="1:45" ht="19.5" customHeight="1">
      <c r="A30" s="700"/>
      <c r="B30" s="700"/>
      <c r="C30" s="399" t="s">
        <v>1519</v>
      </c>
      <c r="D30" s="330" t="s">
        <v>1807</v>
      </c>
      <c r="E30" s="397">
        <v>1</v>
      </c>
      <c r="F30" s="397" t="s">
        <v>756</v>
      </c>
      <c r="G30" s="302">
        <f>IF($D30="A",ROUND(VLOOKUP($C30,'[2]2.행정구역별 급수인구'!$C$7:$AD$997,17,FALSE)*$E30,0),IF($D30="B",(ROUND(VLOOKUP($C30,'[2]2.행정구역별 급수인구'!$C$7:$AD$997,17,FALSE)-VLOOKUP($C30,'[2]2.행정구역별 급수인구'!$C$7:$AD$997,17,FALSE)*(1-$E30),0)),VLOOKUP($C30,'[2]2.행정구역별 급수인구'!$C$7:$AD$997,17,FALSE)))</f>
        <v>136</v>
      </c>
      <c r="H30" s="302">
        <f>IF($D30="A",ROUND(VLOOKUP($C30,'[2]2.행정구역별 급수인구'!$C$7:$AD$997,25,FALSE)*$E30,0),IF($D30="B",(ROUND(VLOOKUP($C30,'[2]2.행정구역별 급수인구'!$C$7:$AD$997,25,FALSE)-VLOOKUP($C30,'[2]2.행정구역별 급수인구'!$C$7:$AD$997,25,FALSE)*(1-$E30),0)),VLOOKUP($C30,'[2]2.행정구역별 급수인구'!$C$7:$AD$997,25,FALSE)))</f>
        <v>142</v>
      </c>
      <c r="I30" s="302">
        <f>IF($D30="A",ROUND(VLOOKUP($C30,'[2]2.행정구역별 급수인구'!$C$7:$AD$997,26,FALSE)*$E30,0),IF($D30="B",(ROUND(VLOOKUP($C30,'[2]2.행정구역별 급수인구'!$C$7:$AD$997,26,FALSE)-VLOOKUP($C30,'[2]2.행정구역별 급수인구'!$C$7:$AD$997,26,FALSE)*(1-$E30),0)),VLOOKUP($C30,'[2]2.행정구역별 급수인구'!$C$7:$AD$997,26,FALSE)))</f>
        <v>150</v>
      </c>
      <c r="J30" s="302">
        <f>IF($D30="A",ROUND(VLOOKUP($C30,'[2]2.행정구역별 급수인구'!$C$7:$AD$997,27,FALSE)*$E30,0),IF($D30="B",(ROUND(VLOOKUP($C30,'[2]2.행정구역별 급수인구'!$C$7:$AD$997,27,FALSE)-VLOOKUP($C30,'[2]2.행정구역별 급수인구'!$C$7:$AD$997,27,FALSE)*(1-$E30),0)),VLOOKUP($C30,'[2]2.행정구역별 급수인구'!$C$7:$AD$997,27,FALSE)))</f>
        <v>163</v>
      </c>
      <c r="K30" s="302">
        <f>IF($D30="A",ROUND(VLOOKUP($C30,'[2]2.행정구역별 급수인구'!$C$7:$AD$997,28,FALSE)*$E30,0),IF($D30="B",(ROUND(VLOOKUP($C30,'[2]2.행정구역별 급수인구'!$C$7:$AD$997,28,FALSE)-VLOOKUP($C30,'[2]2.행정구역별 급수인구'!$C$7:$AD$997,28,FALSE)*(1-$E30),0)),VLOOKUP($C30,'[2]2.행정구역별 급수인구'!$C$7:$AD$997,28,FALSE)))</f>
        <v>166</v>
      </c>
      <c r="L30" s="302">
        <f>VLOOKUP($F30,'[3]5.급수원단위'!$B$31:$G$35,2,FALSE)</f>
        <v>272</v>
      </c>
      <c r="M30" s="302">
        <f>VLOOKUP($F30,'[3]5.급수원단위'!$B$31:$G$35,3,FALSE)</f>
        <v>304</v>
      </c>
      <c r="N30" s="302">
        <f>VLOOKUP($F30,'[3]5.급수원단위'!$B$31:$G$35,4,FALSE)</f>
        <v>308</v>
      </c>
      <c r="O30" s="302">
        <f>VLOOKUP($F30,'[3]5.급수원단위'!$B$31:$G$35,5,FALSE)</f>
        <v>310</v>
      </c>
      <c r="P30" s="302">
        <f>VLOOKUP($F30,'[3]5.급수원단위'!$B$31:$G$35,6,FALSE)</f>
        <v>310</v>
      </c>
      <c r="Q30" s="302">
        <f>ROUND(IF(G30=0,0,VLOOKUP(C30,'2013실사용량 정리'!$D$6:$F$381,3,FALSE)),0)</f>
        <v>28</v>
      </c>
      <c r="R30" s="302">
        <f t="shared" si="8"/>
        <v>43</v>
      </c>
      <c r="S30" s="302">
        <f t="shared" si="8"/>
        <v>46</v>
      </c>
      <c r="T30" s="302">
        <f t="shared" si="8"/>
        <v>51</v>
      </c>
      <c r="U30" s="302">
        <f t="shared" si="8"/>
        <v>51</v>
      </c>
      <c r="W30" s="343">
        <f t="shared" si="7"/>
        <v>1.8214285714285714</v>
      </c>
    </row>
    <row r="31" spans="1:45" ht="19.5" customHeight="1">
      <c r="A31" s="700"/>
      <c r="B31" s="700"/>
      <c r="C31" s="399" t="s">
        <v>1520</v>
      </c>
      <c r="D31" s="330" t="s">
        <v>1807</v>
      </c>
      <c r="E31" s="397">
        <v>1</v>
      </c>
      <c r="F31" s="397" t="s">
        <v>756</v>
      </c>
      <c r="G31" s="302">
        <f>IF($D31="A",ROUND(VLOOKUP($C31,'[2]2.행정구역별 급수인구'!$C$7:$AD$997,17,FALSE)*$E31,0),IF($D31="B",(ROUND(VLOOKUP($C31,'[2]2.행정구역별 급수인구'!$C$7:$AD$997,17,FALSE)-VLOOKUP($C31,'[2]2.행정구역별 급수인구'!$C$7:$AD$997,17,FALSE)*(1-$E31),0)),VLOOKUP($C31,'[2]2.행정구역별 급수인구'!$C$7:$AD$997,17,FALSE)))</f>
        <v>163</v>
      </c>
      <c r="H31" s="302">
        <f>IF($D31="A",ROUND(VLOOKUP($C31,'[2]2.행정구역별 급수인구'!$C$7:$AD$997,25,FALSE)*$E31,0),IF($D31="B",(ROUND(VLOOKUP($C31,'[2]2.행정구역별 급수인구'!$C$7:$AD$997,25,FALSE)-VLOOKUP($C31,'[2]2.행정구역별 급수인구'!$C$7:$AD$997,25,FALSE)*(1-$E31),0)),VLOOKUP($C31,'[2]2.행정구역별 급수인구'!$C$7:$AD$997,25,FALSE)))</f>
        <v>171</v>
      </c>
      <c r="I31" s="302">
        <f>IF($D31="A",ROUND(VLOOKUP($C31,'[2]2.행정구역별 급수인구'!$C$7:$AD$997,26,FALSE)*$E31,0),IF($D31="B",(ROUND(VLOOKUP($C31,'[2]2.행정구역별 급수인구'!$C$7:$AD$997,26,FALSE)-VLOOKUP($C31,'[2]2.행정구역별 급수인구'!$C$7:$AD$997,26,FALSE)*(1-$E31),0)),VLOOKUP($C31,'[2]2.행정구역별 급수인구'!$C$7:$AD$997,26,FALSE)))</f>
        <v>180</v>
      </c>
      <c r="J31" s="302">
        <f>IF($D31="A",ROUND(VLOOKUP($C31,'[2]2.행정구역별 급수인구'!$C$7:$AD$997,27,FALSE)*$E31,0),IF($D31="B",(ROUND(VLOOKUP($C31,'[2]2.행정구역별 급수인구'!$C$7:$AD$997,27,FALSE)-VLOOKUP($C31,'[2]2.행정구역별 급수인구'!$C$7:$AD$997,27,FALSE)*(1-$E31),0)),VLOOKUP($C31,'[2]2.행정구역별 급수인구'!$C$7:$AD$997,27,FALSE)))</f>
        <v>195</v>
      </c>
      <c r="K31" s="302">
        <f>IF($D31="A",ROUND(VLOOKUP($C31,'[2]2.행정구역별 급수인구'!$C$7:$AD$997,28,FALSE)*$E31,0),IF($D31="B",(ROUND(VLOOKUP($C31,'[2]2.행정구역별 급수인구'!$C$7:$AD$997,28,FALSE)-VLOOKUP($C31,'[2]2.행정구역별 급수인구'!$C$7:$AD$997,28,FALSE)*(1-$E31),0)),VLOOKUP($C31,'[2]2.행정구역별 급수인구'!$C$7:$AD$997,28,FALSE)))</f>
        <v>199</v>
      </c>
      <c r="L31" s="302">
        <f>VLOOKUP($F31,'[3]5.급수원단위'!$B$31:$G$35,2,FALSE)</f>
        <v>272</v>
      </c>
      <c r="M31" s="302">
        <f>VLOOKUP($F31,'[3]5.급수원단위'!$B$31:$G$35,3,FALSE)</f>
        <v>304</v>
      </c>
      <c r="N31" s="302">
        <f>VLOOKUP($F31,'[3]5.급수원단위'!$B$31:$G$35,4,FALSE)</f>
        <v>308</v>
      </c>
      <c r="O31" s="302">
        <f>VLOOKUP($F31,'[3]5.급수원단위'!$B$31:$G$35,5,FALSE)</f>
        <v>310</v>
      </c>
      <c r="P31" s="302">
        <f>VLOOKUP($F31,'[3]5.급수원단위'!$B$31:$G$35,6,FALSE)</f>
        <v>310</v>
      </c>
      <c r="Q31" s="302">
        <f>ROUND(IF(G31=0,0,VLOOKUP(C31,'2013실사용량 정리'!$D$6:$F$381,3,FALSE)),0)</f>
        <v>33</v>
      </c>
      <c r="R31" s="302">
        <f t="shared" si="8"/>
        <v>52</v>
      </c>
      <c r="S31" s="302">
        <f t="shared" si="8"/>
        <v>55</v>
      </c>
      <c r="T31" s="302">
        <f t="shared" si="8"/>
        <v>60</v>
      </c>
      <c r="U31" s="302">
        <f t="shared" si="8"/>
        <v>62</v>
      </c>
      <c r="W31" s="343">
        <f t="shared" si="7"/>
        <v>1.8787878787878789</v>
      </c>
    </row>
    <row r="32" spans="1:45" ht="19.5" customHeight="1">
      <c r="A32" s="700"/>
      <c r="B32" s="700"/>
      <c r="C32" s="399" t="s">
        <v>1521</v>
      </c>
      <c r="D32" s="330" t="s">
        <v>1807</v>
      </c>
      <c r="E32" s="397">
        <v>1</v>
      </c>
      <c r="F32" s="397" t="s">
        <v>756</v>
      </c>
      <c r="G32" s="302">
        <f>IF($D32="A",ROUND(VLOOKUP($C32,'[2]2.행정구역별 급수인구'!$C$7:$AD$997,17,FALSE)*$E32,0),IF($D32="B",(ROUND(VLOOKUP($C32,'[2]2.행정구역별 급수인구'!$C$7:$AD$997,17,FALSE)-VLOOKUP($C32,'[2]2.행정구역별 급수인구'!$C$7:$AD$997,17,FALSE)*(1-$E32),0)),VLOOKUP($C32,'[2]2.행정구역별 급수인구'!$C$7:$AD$997,17,FALSE)))</f>
        <v>97</v>
      </c>
      <c r="H32" s="302">
        <f>IF($D32="A",ROUND(VLOOKUP($C32,'[2]2.행정구역별 급수인구'!$C$7:$AD$997,25,FALSE)*$E32,0),IF($D32="B",(ROUND(VLOOKUP($C32,'[2]2.행정구역별 급수인구'!$C$7:$AD$997,25,FALSE)-VLOOKUP($C32,'[2]2.행정구역별 급수인구'!$C$7:$AD$997,25,FALSE)*(1-$E32),0)),VLOOKUP($C32,'[2]2.행정구역별 급수인구'!$C$7:$AD$997,25,FALSE)))</f>
        <v>102</v>
      </c>
      <c r="I32" s="302">
        <f>IF($D32="A",ROUND(VLOOKUP($C32,'[2]2.행정구역별 급수인구'!$C$7:$AD$997,26,FALSE)*$E32,0),IF($D32="B",(ROUND(VLOOKUP($C32,'[2]2.행정구역별 급수인구'!$C$7:$AD$997,26,FALSE)-VLOOKUP($C32,'[2]2.행정구역별 급수인구'!$C$7:$AD$997,26,FALSE)*(1-$E32),0)),VLOOKUP($C32,'[2]2.행정구역별 급수인구'!$C$7:$AD$997,26,FALSE)))</f>
        <v>107</v>
      </c>
      <c r="J32" s="302">
        <f>IF($D32="A",ROUND(VLOOKUP($C32,'[2]2.행정구역별 급수인구'!$C$7:$AD$997,27,FALSE)*$E32,0),IF($D32="B",(ROUND(VLOOKUP($C32,'[2]2.행정구역별 급수인구'!$C$7:$AD$997,27,FALSE)-VLOOKUP($C32,'[2]2.행정구역별 급수인구'!$C$7:$AD$997,27,FALSE)*(1-$E32),0)),VLOOKUP($C32,'[2]2.행정구역별 급수인구'!$C$7:$AD$997,27,FALSE)))</f>
        <v>116</v>
      </c>
      <c r="K32" s="302">
        <f>IF($D32="A",ROUND(VLOOKUP($C32,'[2]2.행정구역별 급수인구'!$C$7:$AD$997,28,FALSE)*$E32,0),IF($D32="B",(ROUND(VLOOKUP($C32,'[2]2.행정구역별 급수인구'!$C$7:$AD$997,28,FALSE)-VLOOKUP($C32,'[2]2.행정구역별 급수인구'!$C$7:$AD$997,28,FALSE)*(1-$E32),0)),VLOOKUP($C32,'[2]2.행정구역별 급수인구'!$C$7:$AD$997,28,FALSE)))</f>
        <v>119</v>
      </c>
      <c r="L32" s="302">
        <f>VLOOKUP($F32,'[3]5.급수원단위'!$B$31:$G$35,2,FALSE)</f>
        <v>272</v>
      </c>
      <c r="M32" s="302">
        <f>VLOOKUP($F32,'[3]5.급수원단위'!$B$31:$G$35,3,FALSE)</f>
        <v>304</v>
      </c>
      <c r="N32" s="302">
        <f>VLOOKUP($F32,'[3]5.급수원단위'!$B$31:$G$35,4,FALSE)</f>
        <v>308</v>
      </c>
      <c r="O32" s="302">
        <f>VLOOKUP($F32,'[3]5.급수원단위'!$B$31:$G$35,5,FALSE)</f>
        <v>310</v>
      </c>
      <c r="P32" s="302">
        <f>VLOOKUP($F32,'[3]5.급수원단위'!$B$31:$G$35,6,FALSE)</f>
        <v>310</v>
      </c>
      <c r="Q32" s="302">
        <f>ROUND(IF(G32=0,0,VLOOKUP(C32,'2013실사용량 정리'!$D$6:$F$381,3,FALSE)),0)</f>
        <v>20</v>
      </c>
      <c r="R32" s="302">
        <f t="shared" si="8"/>
        <v>31</v>
      </c>
      <c r="S32" s="302">
        <f t="shared" si="8"/>
        <v>33</v>
      </c>
      <c r="T32" s="302">
        <f t="shared" si="8"/>
        <v>36</v>
      </c>
      <c r="U32" s="302">
        <f t="shared" si="8"/>
        <v>37</v>
      </c>
      <c r="W32" s="343">
        <f t="shared" si="7"/>
        <v>1.85</v>
      </c>
    </row>
    <row r="33" spans="1:23" ht="19.5" customHeight="1">
      <c r="A33" s="700"/>
      <c r="B33" s="700"/>
      <c r="C33" s="399" t="s">
        <v>1522</v>
      </c>
      <c r="D33" s="330" t="s">
        <v>1807</v>
      </c>
      <c r="E33" s="397">
        <v>1</v>
      </c>
      <c r="F33" s="397" t="s">
        <v>756</v>
      </c>
      <c r="G33" s="302">
        <f>IF($D33="A",ROUND(VLOOKUP($C33,'[2]2.행정구역별 급수인구'!$C$7:$AD$997,17,FALSE)*$E33,0),IF($D33="B",(ROUND(VLOOKUP($C33,'[2]2.행정구역별 급수인구'!$C$7:$AD$997,17,FALSE)-VLOOKUP($C33,'[2]2.행정구역별 급수인구'!$C$7:$AD$997,17,FALSE)*(1-$E33),0)),VLOOKUP($C33,'[2]2.행정구역별 급수인구'!$C$7:$AD$997,17,FALSE)))</f>
        <v>104</v>
      </c>
      <c r="H33" s="302">
        <f>IF($D33="A",ROUND(VLOOKUP($C33,'[2]2.행정구역별 급수인구'!$C$7:$AD$997,25,FALSE)*$E33,0),IF($D33="B",(ROUND(VLOOKUP($C33,'[2]2.행정구역별 급수인구'!$C$7:$AD$997,25,FALSE)-VLOOKUP($C33,'[2]2.행정구역별 급수인구'!$C$7:$AD$997,25,FALSE)*(1-$E33),0)),VLOOKUP($C33,'[2]2.행정구역별 급수인구'!$C$7:$AD$997,25,FALSE)))</f>
        <v>109</v>
      </c>
      <c r="I33" s="302">
        <f>IF($D33="A",ROUND(VLOOKUP($C33,'[2]2.행정구역별 급수인구'!$C$7:$AD$997,26,FALSE)*$E33,0),IF($D33="B",(ROUND(VLOOKUP($C33,'[2]2.행정구역별 급수인구'!$C$7:$AD$997,26,FALSE)-VLOOKUP($C33,'[2]2.행정구역별 급수인구'!$C$7:$AD$997,26,FALSE)*(1-$E33),0)),VLOOKUP($C33,'[2]2.행정구역별 급수인구'!$C$7:$AD$997,26,FALSE)))</f>
        <v>115</v>
      </c>
      <c r="J33" s="302">
        <f>IF($D33="A",ROUND(VLOOKUP($C33,'[2]2.행정구역별 급수인구'!$C$7:$AD$997,27,FALSE)*$E33,0),IF($D33="B",(ROUND(VLOOKUP($C33,'[2]2.행정구역별 급수인구'!$C$7:$AD$997,27,FALSE)-VLOOKUP($C33,'[2]2.행정구역별 급수인구'!$C$7:$AD$997,27,FALSE)*(1-$E33),0)),VLOOKUP($C33,'[2]2.행정구역별 급수인구'!$C$7:$AD$997,27,FALSE)))</f>
        <v>124</v>
      </c>
      <c r="K33" s="302">
        <f>IF($D33="A",ROUND(VLOOKUP($C33,'[2]2.행정구역별 급수인구'!$C$7:$AD$997,28,FALSE)*$E33,0),IF($D33="B",(ROUND(VLOOKUP($C33,'[2]2.행정구역별 급수인구'!$C$7:$AD$997,28,FALSE)-VLOOKUP($C33,'[2]2.행정구역별 급수인구'!$C$7:$AD$997,28,FALSE)*(1-$E33),0)),VLOOKUP($C33,'[2]2.행정구역별 급수인구'!$C$7:$AD$997,28,FALSE)))</f>
        <v>126</v>
      </c>
      <c r="L33" s="302">
        <f>VLOOKUP($F33,'[3]5.급수원단위'!$B$31:$G$35,2,FALSE)</f>
        <v>272</v>
      </c>
      <c r="M33" s="302">
        <f>VLOOKUP($F33,'[3]5.급수원단위'!$B$31:$G$35,3,FALSE)</f>
        <v>304</v>
      </c>
      <c r="N33" s="302">
        <f>VLOOKUP($F33,'[3]5.급수원단위'!$B$31:$G$35,4,FALSE)</f>
        <v>308</v>
      </c>
      <c r="O33" s="302">
        <f>VLOOKUP($F33,'[3]5.급수원단위'!$B$31:$G$35,5,FALSE)</f>
        <v>310</v>
      </c>
      <c r="P33" s="302">
        <f>VLOOKUP($F33,'[3]5.급수원단위'!$B$31:$G$35,6,FALSE)</f>
        <v>310</v>
      </c>
      <c r="Q33" s="302">
        <f>ROUND(IF(G33=0,0,VLOOKUP(C33,'2013실사용량 정리'!$D$6:$F$381,3,FALSE)),0)</f>
        <v>34</v>
      </c>
      <c r="R33" s="302">
        <f t="shared" si="8"/>
        <v>33</v>
      </c>
      <c r="S33" s="302">
        <f t="shared" si="8"/>
        <v>35</v>
      </c>
      <c r="T33" s="302">
        <f t="shared" si="8"/>
        <v>38</v>
      </c>
      <c r="U33" s="302">
        <f t="shared" si="8"/>
        <v>39</v>
      </c>
      <c r="W33" s="343">
        <f t="shared" si="7"/>
        <v>1.1470588235294117</v>
      </c>
    </row>
    <row r="34" spans="1:23" ht="19.5" customHeight="1">
      <c r="A34" s="700"/>
      <c r="B34" s="700"/>
      <c r="C34" s="399" t="s">
        <v>1523</v>
      </c>
      <c r="D34" s="330" t="s">
        <v>1807</v>
      </c>
      <c r="E34" s="397">
        <v>1</v>
      </c>
      <c r="F34" s="397" t="s">
        <v>756</v>
      </c>
      <c r="G34" s="302">
        <f>IF($D34="A",ROUND(VLOOKUP($C34,'[2]2.행정구역별 급수인구'!$C$7:$AD$997,17,FALSE)*$E34,0),IF($D34="B",(ROUND(VLOOKUP($C34,'[2]2.행정구역별 급수인구'!$C$7:$AD$997,17,FALSE)-VLOOKUP($C34,'[2]2.행정구역별 급수인구'!$C$7:$AD$997,17,FALSE)*(1-$E34),0)),VLOOKUP($C34,'[2]2.행정구역별 급수인구'!$C$7:$AD$997,17,FALSE)))</f>
        <v>196</v>
      </c>
      <c r="H34" s="302">
        <f>IF($D34="A",ROUND(VLOOKUP($C34,'[2]2.행정구역별 급수인구'!$C$7:$AD$997,25,FALSE)*$E34,0),IF($D34="B",(ROUND(VLOOKUP($C34,'[2]2.행정구역별 급수인구'!$C$7:$AD$997,25,FALSE)-VLOOKUP($C34,'[2]2.행정구역별 급수인구'!$C$7:$AD$997,25,FALSE)*(1-$E34),0)),VLOOKUP($C34,'[2]2.행정구역별 급수인구'!$C$7:$AD$997,25,FALSE)))</f>
        <v>207</v>
      </c>
      <c r="I34" s="302">
        <f>IF($D34="A",ROUND(VLOOKUP($C34,'[2]2.행정구역별 급수인구'!$C$7:$AD$997,26,FALSE)*$E34,0),IF($D34="B",(ROUND(VLOOKUP($C34,'[2]2.행정구역별 급수인구'!$C$7:$AD$997,26,FALSE)-VLOOKUP($C34,'[2]2.행정구역별 급수인구'!$C$7:$AD$997,26,FALSE)*(1-$E34),0)),VLOOKUP($C34,'[2]2.행정구역별 급수인구'!$C$7:$AD$997,26,FALSE)))</f>
        <v>218</v>
      </c>
      <c r="J34" s="302">
        <f>IF($D34="A",ROUND(VLOOKUP($C34,'[2]2.행정구역별 급수인구'!$C$7:$AD$997,27,FALSE)*$E34,0),IF($D34="B",(ROUND(VLOOKUP($C34,'[2]2.행정구역별 급수인구'!$C$7:$AD$997,27,FALSE)-VLOOKUP($C34,'[2]2.행정구역별 급수인구'!$C$7:$AD$997,27,FALSE)*(1-$E34),0)),VLOOKUP($C34,'[2]2.행정구역별 급수인구'!$C$7:$AD$997,27,FALSE)))</f>
        <v>236</v>
      </c>
      <c r="K34" s="302">
        <f>IF($D34="A",ROUND(VLOOKUP($C34,'[2]2.행정구역별 급수인구'!$C$7:$AD$997,28,FALSE)*$E34,0),IF($D34="B",(ROUND(VLOOKUP($C34,'[2]2.행정구역별 급수인구'!$C$7:$AD$997,28,FALSE)-VLOOKUP($C34,'[2]2.행정구역별 급수인구'!$C$7:$AD$997,28,FALSE)*(1-$E34),0)),VLOOKUP($C34,'[2]2.행정구역별 급수인구'!$C$7:$AD$997,28,FALSE)))</f>
        <v>240</v>
      </c>
      <c r="L34" s="302">
        <f>VLOOKUP($F34,'[3]5.급수원단위'!$B$31:$G$35,2,FALSE)</f>
        <v>272</v>
      </c>
      <c r="M34" s="302">
        <f>VLOOKUP($F34,'[3]5.급수원단위'!$B$31:$G$35,3,FALSE)</f>
        <v>304</v>
      </c>
      <c r="N34" s="302">
        <f>VLOOKUP($F34,'[3]5.급수원단위'!$B$31:$G$35,4,FALSE)</f>
        <v>308</v>
      </c>
      <c r="O34" s="302">
        <f>VLOOKUP($F34,'[3]5.급수원단위'!$B$31:$G$35,5,FALSE)</f>
        <v>310</v>
      </c>
      <c r="P34" s="302">
        <f>VLOOKUP($F34,'[3]5.급수원단위'!$B$31:$G$35,6,FALSE)</f>
        <v>310</v>
      </c>
      <c r="Q34" s="302">
        <f>ROUND(IF(G34=0,0,VLOOKUP(C34,'2013실사용량 정리'!$D$6:$F$381,3,FALSE)),0)</f>
        <v>64</v>
      </c>
      <c r="R34" s="302">
        <f t="shared" si="8"/>
        <v>63</v>
      </c>
      <c r="S34" s="302">
        <f t="shared" si="8"/>
        <v>67</v>
      </c>
      <c r="T34" s="302">
        <f t="shared" si="8"/>
        <v>73</v>
      </c>
      <c r="U34" s="302">
        <f t="shared" si="8"/>
        <v>74</v>
      </c>
      <c r="W34" s="343">
        <f t="shared" si="7"/>
        <v>1.15625</v>
      </c>
    </row>
    <row r="35" spans="1:23" ht="19.5" customHeight="1">
      <c r="A35" s="700"/>
      <c r="B35" s="700"/>
      <c r="C35" s="399" t="s">
        <v>1524</v>
      </c>
      <c r="D35" s="330" t="s">
        <v>1807</v>
      </c>
      <c r="E35" s="397">
        <v>1</v>
      </c>
      <c r="F35" s="397" t="s">
        <v>756</v>
      </c>
      <c r="G35" s="302">
        <f>IF($D35="A",ROUND(VLOOKUP($C35,'[2]2.행정구역별 급수인구'!$C$7:$AD$997,17,FALSE)*$E35,0),IF($D35="B",(ROUND(VLOOKUP($C35,'[2]2.행정구역별 급수인구'!$C$7:$AD$997,17,FALSE)-VLOOKUP($C35,'[2]2.행정구역별 급수인구'!$C$7:$AD$997,17,FALSE)*(1-$E35),0)),VLOOKUP($C35,'[2]2.행정구역별 급수인구'!$C$7:$AD$997,17,FALSE)))</f>
        <v>79</v>
      </c>
      <c r="H35" s="302">
        <f>IF($D35="A",ROUND(VLOOKUP($C35,'[2]2.행정구역별 급수인구'!$C$7:$AD$997,25,FALSE)*$E35,0),IF($D35="B",(ROUND(VLOOKUP($C35,'[2]2.행정구역별 급수인구'!$C$7:$AD$997,25,FALSE)-VLOOKUP($C35,'[2]2.행정구역별 급수인구'!$C$7:$AD$997,25,FALSE)*(1-$E35),0)),VLOOKUP($C35,'[2]2.행정구역별 급수인구'!$C$7:$AD$997,25,FALSE)))</f>
        <v>82</v>
      </c>
      <c r="I35" s="302">
        <f>IF($D35="A",ROUND(VLOOKUP($C35,'[2]2.행정구역별 급수인구'!$C$7:$AD$997,26,FALSE)*$E35,0),IF($D35="B",(ROUND(VLOOKUP($C35,'[2]2.행정구역별 급수인구'!$C$7:$AD$997,26,FALSE)-VLOOKUP($C35,'[2]2.행정구역별 급수인구'!$C$7:$AD$997,26,FALSE)*(1-$E35),0)),VLOOKUP($C35,'[2]2.행정구역별 급수인구'!$C$7:$AD$997,26,FALSE)))</f>
        <v>87</v>
      </c>
      <c r="J35" s="302">
        <f>IF($D35="A",ROUND(VLOOKUP($C35,'[2]2.행정구역별 급수인구'!$C$7:$AD$997,27,FALSE)*$E35,0),IF($D35="B",(ROUND(VLOOKUP($C35,'[2]2.행정구역별 급수인구'!$C$7:$AD$997,27,FALSE)-VLOOKUP($C35,'[2]2.행정구역별 급수인구'!$C$7:$AD$997,27,FALSE)*(1-$E35),0)),VLOOKUP($C35,'[2]2.행정구역별 급수인구'!$C$7:$AD$997,27,FALSE)))</f>
        <v>95</v>
      </c>
      <c r="K35" s="302">
        <f>IF($D35="A",ROUND(VLOOKUP($C35,'[2]2.행정구역별 급수인구'!$C$7:$AD$997,28,FALSE)*$E35,0),IF($D35="B",(ROUND(VLOOKUP($C35,'[2]2.행정구역별 급수인구'!$C$7:$AD$997,28,FALSE)-VLOOKUP($C35,'[2]2.행정구역별 급수인구'!$C$7:$AD$997,28,FALSE)*(1-$E35),0)),VLOOKUP($C35,'[2]2.행정구역별 급수인구'!$C$7:$AD$997,28,FALSE)))</f>
        <v>96</v>
      </c>
      <c r="L35" s="302">
        <f>VLOOKUP($F35,'[3]5.급수원단위'!$B$31:$G$35,2,FALSE)</f>
        <v>272</v>
      </c>
      <c r="M35" s="302">
        <f>VLOOKUP($F35,'[3]5.급수원단위'!$B$31:$G$35,3,FALSE)</f>
        <v>304</v>
      </c>
      <c r="N35" s="302">
        <f>VLOOKUP($F35,'[3]5.급수원단위'!$B$31:$G$35,4,FALSE)</f>
        <v>308</v>
      </c>
      <c r="O35" s="302">
        <f>VLOOKUP($F35,'[3]5.급수원단위'!$B$31:$G$35,5,FALSE)</f>
        <v>310</v>
      </c>
      <c r="P35" s="302">
        <f>VLOOKUP($F35,'[3]5.급수원단위'!$B$31:$G$35,6,FALSE)</f>
        <v>310</v>
      </c>
      <c r="Q35" s="302">
        <f>ROUND(IF(G35=0,0,VLOOKUP(C35,'2013실사용량 정리'!$D$6:$F$381,3,FALSE)),0)</f>
        <v>25</v>
      </c>
      <c r="R35" s="302">
        <f t="shared" si="8"/>
        <v>25</v>
      </c>
      <c r="S35" s="302">
        <f t="shared" si="8"/>
        <v>27</v>
      </c>
      <c r="T35" s="302">
        <f t="shared" si="8"/>
        <v>29</v>
      </c>
      <c r="U35" s="302">
        <f t="shared" si="8"/>
        <v>30</v>
      </c>
      <c r="W35" s="343">
        <f t="shared" si="7"/>
        <v>1.2</v>
      </c>
    </row>
    <row r="36" spans="1:23" ht="19.5" customHeight="1">
      <c r="A36" s="700"/>
      <c r="B36" s="700"/>
      <c r="C36" s="399" t="s">
        <v>1525</v>
      </c>
      <c r="D36" s="330" t="s">
        <v>1807</v>
      </c>
      <c r="E36" s="397">
        <v>1</v>
      </c>
      <c r="F36" s="397" t="s">
        <v>756</v>
      </c>
      <c r="G36" s="302">
        <f>IF($D36="A",ROUND(VLOOKUP($C36,'[2]2.행정구역별 급수인구'!$C$7:$AD$997,17,FALSE)*$E36,0),IF($D36="B",(ROUND(VLOOKUP($C36,'[2]2.행정구역별 급수인구'!$C$7:$AD$997,17,FALSE)-VLOOKUP($C36,'[2]2.행정구역별 급수인구'!$C$7:$AD$997,17,FALSE)*(1-$E36),0)),VLOOKUP($C36,'[2]2.행정구역별 급수인구'!$C$7:$AD$997,17,FALSE)))</f>
        <v>151</v>
      </c>
      <c r="H36" s="302">
        <f>IF($D36="A",ROUND(VLOOKUP($C36,'[2]2.행정구역별 급수인구'!$C$7:$AD$997,25,FALSE)*$E36,0),IF($D36="B",(ROUND(VLOOKUP($C36,'[2]2.행정구역별 급수인구'!$C$7:$AD$997,25,FALSE)-VLOOKUP($C36,'[2]2.행정구역별 급수인구'!$C$7:$AD$997,25,FALSE)*(1-$E36),0)),VLOOKUP($C36,'[2]2.행정구역별 급수인구'!$C$7:$AD$997,25,FALSE)))</f>
        <v>158</v>
      </c>
      <c r="I36" s="302">
        <f>IF($D36="A",ROUND(VLOOKUP($C36,'[2]2.행정구역별 급수인구'!$C$7:$AD$997,26,FALSE)*$E36,0),IF($D36="B",(ROUND(VLOOKUP($C36,'[2]2.행정구역별 급수인구'!$C$7:$AD$997,26,FALSE)-VLOOKUP($C36,'[2]2.행정구역별 급수인구'!$C$7:$AD$997,26,FALSE)*(1-$E36),0)),VLOOKUP($C36,'[2]2.행정구역별 급수인구'!$C$7:$AD$997,26,FALSE)))</f>
        <v>167</v>
      </c>
      <c r="J36" s="302">
        <f>IF($D36="A",ROUND(VLOOKUP($C36,'[2]2.행정구역별 급수인구'!$C$7:$AD$997,27,FALSE)*$E36,0),IF($D36="B",(ROUND(VLOOKUP($C36,'[2]2.행정구역별 급수인구'!$C$7:$AD$997,27,FALSE)-VLOOKUP($C36,'[2]2.행정구역별 급수인구'!$C$7:$AD$997,27,FALSE)*(1-$E36),0)),VLOOKUP($C36,'[2]2.행정구역별 급수인구'!$C$7:$AD$997,27,FALSE)))</f>
        <v>181</v>
      </c>
      <c r="K36" s="302">
        <f>IF($D36="A",ROUND(VLOOKUP($C36,'[2]2.행정구역별 급수인구'!$C$7:$AD$997,28,FALSE)*$E36,0),IF($D36="B",(ROUND(VLOOKUP($C36,'[2]2.행정구역별 급수인구'!$C$7:$AD$997,28,FALSE)-VLOOKUP($C36,'[2]2.행정구역별 급수인구'!$C$7:$AD$997,28,FALSE)*(1-$E36),0)),VLOOKUP($C36,'[2]2.행정구역별 급수인구'!$C$7:$AD$997,28,FALSE)))</f>
        <v>185</v>
      </c>
      <c r="L36" s="302">
        <f>VLOOKUP($F36,'[3]5.급수원단위'!$B$31:$G$35,2,FALSE)</f>
        <v>272</v>
      </c>
      <c r="M36" s="302">
        <f>VLOOKUP($F36,'[3]5.급수원단위'!$B$31:$G$35,3,FALSE)</f>
        <v>304</v>
      </c>
      <c r="N36" s="302">
        <f>VLOOKUP($F36,'[3]5.급수원단위'!$B$31:$G$35,4,FALSE)</f>
        <v>308</v>
      </c>
      <c r="O36" s="302">
        <f>VLOOKUP($F36,'[3]5.급수원단위'!$B$31:$G$35,5,FALSE)</f>
        <v>310</v>
      </c>
      <c r="P36" s="302">
        <f>VLOOKUP($F36,'[3]5.급수원단위'!$B$31:$G$35,6,FALSE)</f>
        <v>310</v>
      </c>
      <c r="Q36" s="302">
        <f>ROUND(IF(G36=0,0,VLOOKUP(C36,'2013실사용량 정리'!$D$6:$F$381,3,FALSE)),0)</f>
        <v>33</v>
      </c>
      <c r="R36" s="302">
        <f t="shared" si="8"/>
        <v>48</v>
      </c>
      <c r="S36" s="302">
        <f t="shared" si="8"/>
        <v>51</v>
      </c>
      <c r="T36" s="302">
        <f t="shared" si="8"/>
        <v>56</v>
      </c>
      <c r="U36" s="302">
        <f t="shared" si="8"/>
        <v>57</v>
      </c>
      <c r="W36" s="343">
        <f t="shared" si="7"/>
        <v>1.7272727272727273</v>
      </c>
    </row>
    <row r="37" spans="1:23" ht="19.5" customHeight="1">
      <c r="A37" s="700"/>
      <c r="B37" s="700"/>
      <c r="C37" s="399" t="s">
        <v>1526</v>
      </c>
      <c r="D37" s="330" t="s">
        <v>1807</v>
      </c>
      <c r="E37" s="397">
        <v>1</v>
      </c>
      <c r="F37" s="397" t="s">
        <v>756</v>
      </c>
      <c r="G37" s="302">
        <f>IF($D37="A",ROUND(VLOOKUP($C37,'[2]2.행정구역별 급수인구'!$C$7:$AD$997,17,FALSE)*$E37,0),IF($D37="B",(ROUND(VLOOKUP($C37,'[2]2.행정구역별 급수인구'!$C$7:$AD$997,17,FALSE)-VLOOKUP($C37,'[2]2.행정구역별 급수인구'!$C$7:$AD$997,17,FALSE)*(1-$E37),0)),VLOOKUP($C37,'[2]2.행정구역별 급수인구'!$C$7:$AD$997,17,FALSE)))</f>
        <v>75</v>
      </c>
      <c r="H37" s="302">
        <f>IF($D37="A",ROUND(VLOOKUP($C37,'[2]2.행정구역별 급수인구'!$C$7:$AD$997,25,FALSE)*$E37,0),IF($D37="B",(ROUND(VLOOKUP($C37,'[2]2.행정구역별 급수인구'!$C$7:$AD$997,25,FALSE)-VLOOKUP($C37,'[2]2.행정구역별 급수인구'!$C$7:$AD$997,25,FALSE)*(1-$E37),0)),VLOOKUP($C37,'[2]2.행정구역별 급수인구'!$C$7:$AD$997,25,FALSE)))</f>
        <v>78</v>
      </c>
      <c r="I37" s="302">
        <f>IF($D37="A",ROUND(VLOOKUP($C37,'[2]2.행정구역별 급수인구'!$C$7:$AD$997,26,FALSE)*$E37,0),IF($D37="B",(ROUND(VLOOKUP($C37,'[2]2.행정구역별 급수인구'!$C$7:$AD$997,26,FALSE)-VLOOKUP($C37,'[2]2.행정구역별 급수인구'!$C$7:$AD$997,26,FALSE)*(1-$E37),0)),VLOOKUP($C37,'[2]2.행정구역별 급수인구'!$C$7:$AD$997,26,FALSE)))</f>
        <v>81</v>
      </c>
      <c r="J37" s="302">
        <f>IF($D37="A",ROUND(VLOOKUP($C37,'[2]2.행정구역별 급수인구'!$C$7:$AD$997,27,FALSE)*$E37,0),IF($D37="B",(ROUND(VLOOKUP($C37,'[2]2.행정구역별 급수인구'!$C$7:$AD$997,27,FALSE)-VLOOKUP($C37,'[2]2.행정구역별 급수인구'!$C$7:$AD$997,27,FALSE)*(1-$E37),0)),VLOOKUP($C37,'[2]2.행정구역별 급수인구'!$C$7:$AD$997,27,FALSE)))</f>
        <v>89</v>
      </c>
      <c r="K37" s="302">
        <f>IF($D37="A",ROUND(VLOOKUP($C37,'[2]2.행정구역별 급수인구'!$C$7:$AD$997,28,FALSE)*$E37,0),IF($D37="B",(ROUND(VLOOKUP($C37,'[2]2.행정구역별 급수인구'!$C$7:$AD$997,28,FALSE)-VLOOKUP($C37,'[2]2.행정구역별 급수인구'!$C$7:$AD$997,28,FALSE)*(1-$E37),0)),VLOOKUP($C37,'[2]2.행정구역별 급수인구'!$C$7:$AD$997,28,FALSE)))</f>
        <v>90</v>
      </c>
      <c r="L37" s="302">
        <f>VLOOKUP($F37,'[3]5.급수원단위'!$B$31:$G$35,2,FALSE)</f>
        <v>272</v>
      </c>
      <c r="M37" s="302">
        <f>VLOOKUP($F37,'[3]5.급수원단위'!$B$31:$G$35,3,FALSE)</f>
        <v>304</v>
      </c>
      <c r="N37" s="302">
        <f>VLOOKUP($F37,'[3]5.급수원단위'!$B$31:$G$35,4,FALSE)</f>
        <v>308</v>
      </c>
      <c r="O37" s="302">
        <f>VLOOKUP($F37,'[3]5.급수원단위'!$B$31:$G$35,5,FALSE)</f>
        <v>310</v>
      </c>
      <c r="P37" s="302">
        <f>VLOOKUP($F37,'[3]5.급수원단위'!$B$31:$G$35,6,FALSE)</f>
        <v>310</v>
      </c>
      <c r="Q37" s="302">
        <f>ROUND(IF(G37=0,0,VLOOKUP(C37,'2013실사용량 정리'!$D$6:$F$381,3,FALSE)),0)</f>
        <v>17</v>
      </c>
      <c r="R37" s="302">
        <f t="shared" si="8"/>
        <v>24</v>
      </c>
      <c r="S37" s="302">
        <f t="shared" si="8"/>
        <v>25</v>
      </c>
      <c r="T37" s="302">
        <f t="shared" si="8"/>
        <v>28</v>
      </c>
      <c r="U37" s="302">
        <f t="shared" si="8"/>
        <v>28</v>
      </c>
      <c r="W37" s="343">
        <f t="shared" si="7"/>
        <v>1.6470588235294117</v>
      </c>
    </row>
    <row r="38" spans="1:23" ht="19.5" customHeight="1">
      <c r="A38" s="700"/>
      <c r="B38" s="700"/>
      <c r="C38" s="399" t="s">
        <v>1527</v>
      </c>
      <c r="D38" s="330" t="s">
        <v>1807</v>
      </c>
      <c r="E38" s="397">
        <v>1</v>
      </c>
      <c r="F38" s="397" t="s">
        <v>756</v>
      </c>
      <c r="G38" s="302">
        <f>IF($D38="A",ROUND(VLOOKUP($C38,'[2]2.행정구역별 급수인구'!$C$7:$AD$997,17,FALSE)*$E38,0),IF($D38="B",(ROUND(VLOOKUP($C38,'[2]2.행정구역별 급수인구'!$C$7:$AD$997,17,FALSE)-VLOOKUP($C38,'[2]2.행정구역별 급수인구'!$C$7:$AD$997,17,FALSE)*(1-$E38),0)),VLOOKUP($C38,'[2]2.행정구역별 급수인구'!$C$7:$AD$997,17,FALSE)))</f>
        <v>44</v>
      </c>
      <c r="H38" s="302">
        <f>IF($D38="A",ROUND(VLOOKUP($C38,'[2]2.행정구역별 급수인구'!$C$7:$AD$997,25,FALSE)*$E38,0),IF($D38="B",(ROUND(VLOOKUP($C38,'[2]2.행정구역별 급수인구'!$C$7:$AD$997,25,FALSE)-VLOOKUP($C38,'[2]2.행정구역별 급수인구'!$C$7:$AD$997,25,FALSE)*(1-$E38),0)),VLOOKUP($C38,'[2]2.행정구역별 급수인구'!$C$7:$AD$997,25,FALSE)))</f>
        <v>46</v>
      </c>
      <c r="I38" s="302">
        <f>IF($D38="A",ROUND(VLOOKUP($C38,'[2]2.행정구역별 급수인구'!$C$7:$AD$997,26,FALSE)*$E38,0),IF($D38="B",(ROUND(VLOOKUP($C38,'[2]2.행정구역별 급수인구'!$C$7:$AD$997,26,FALSE)-VLOOKUP($C38,'[2]2.행정구역별 급수인구'!$C$7:$AD$997,26,FALSE)*(1-$E38),0)),VLOOKUP($C38,'[2]2.행정구역별 급수인구'!$C$7:$AD$997,26,FALSE)))</f>
        <v>48</v>
      </c>
      <c r="J38" s="302">
        <f>IF($D38="A",ROUND(VLOOKUP($C38,'[2]2.행정구역별 급수인구'!$C$7:$AD$997,27,FALSE)*$E38,0),IF($D38="B",(ROUND(VLOOKUP($C38,'[2]2.행정구역별 급수인구'!$C$7:$AD$997,27,FALSE)-VLOOKUP($C38,'[2]2.행정구역별 급수인구'!$C$7:$AD$997,27,FALSE)*(1-$E38),0)),VLOOKUP($C38,'[2]2.행정구역별 급수인구'!$C$7:$AD$997,27,FALSE)))</f>
        <v>52</v>
      </c>
      <c r="K38" s="302">
        <f>IF($D38="A",ROUND(VLOOKUP($C38,'[2]2.행정구역별 급수인구'!$C$7:$AD$997,28,FALSE)*$E38,0),IF($D38="B",(ROUND(VLOOKUP($C38,'[2]2.행정구역별 급수인구'!$C$7:$AD$997,28,FALSE)-VLOOKUP($C38,'[2]2.행정구역별 급수인구'!$C$7:$AD$997,28,FALSE)*(1-$E38),0)),VLOOKUP($C38,'[2]2.행정구역별 급수인구'!$C$7:$AD$997,28,FALSE)))</f>
        <v>53</v>
      </c>
      <c r="L38" s="302">
        <f>VLOOKUP($F38,'[3]5.급수원단위'!$B$31:$G$35,2,FALSE)</f>
        <v>272</v>
      </c>
      <c r="M38" s="302">
        <f>VLOOKUP($F38,'[3]5.급수원단위'!$B$31:$G$35,3,FALSE)</f>
        <v>304</v>
      </c>
      <c r="N38" s="302">
        <f>VLOOKUP($F38,'[3]5.급수원단위'!$B$31:$G$35,4,FALSE)</f>
        <v>308</v>
      </c>
      <c r="O38" s="302">
        <f>VLOOKUP($F38,'[3]5.급수원단위'!$B$31:$G$35,5,FALSE)</f>
        <v>310</v>
      </c>
      <c r="P38" s="302">
        <f>VLOOKUP($F38,'[3]5.급수원단위'!$B$31:$G$35,6,FALSE)</f>
        <v>310</v>
      </c>
      <c r="Q38" s="302">
        <f>ROUND(IF(G38=0,0,VLOOKUP(C38,'2013실사용량 정리'!$D$6:$F$381,3,FALSE)),0)</f>
        <v>20</v>
      </c>
      <c r="R38" s="302">
        <f t="shared" si="8"/>
        <v>14</v>
      </c>
      <c r="S38" s="302">
        <f t="shared" si="8"/>
        <v>15</v>
      </c>
      <c r="T38" s="302">
        <f t="shared" si="8"/>
        <v>16</v>
      </c>
      <c r="U38" s="302">
        <f t="shared" si="8"/>
        <v>16</v>
      </c>
      <c r="W38" s="343">
        <f t="shared" si="7"/>
        <v>0.8</v>
      </c>
    </row>
    <row r="39" spans="1:23" ht="19.5" customHeight="1">
      <c r="A39" s="700"/>
      <c r="B39" s="700"/>
      <c r="C39" s="399" t="s">
        <v>1528</v>
      </c>
      <c r="D39" s="330" t="s">
        <v>1807</v>
      </c>
      <c r="E39" s="397">
        <v>1</v>
      </c>
      <c r="F39" s="397" t="s">
        <v>756</v>
      </c>
      <c r="G39" s="302">
        <f>IF($D39="A",ROUND(VLOOKUP($C39,'[2]2.행정구역별 급수인구'!$C$7:$AD$997,17,FALSE)*$E39,0),IF($D39="B",(ROUND(VLOOKUP($C39,'[2]2.행정구역별 급수인구'!$C$7:$AD$997,17,FALSE)-VLOOKUP($C39,'[2]2.행정구역별 급수인구'!$C$7:$AD$997,17,FALSE)*(1-$E39),0)),VLOOKUP($C39,'[2]2.행정구역별 급수인구'!$C$7:$AD$997,17,FALSE)))</f>
        <v>0</v>
      </c>
      <c r="H39" s="302">
        <f>IF($D39="A",ROUND(VLOOKUP($C39,'[2]2.행정구역별 급수인구'!$C$7:$AD$997,25,FALSE)*$E39,0),IF($D39="B",(ROUND(VLOOKUP($C39,'[2]2.행정구역별 급수인구'!$C$7:$AD$997,25,FALSE)-VLOOKUP($C39,'[2]2.행정구역별 급수인구'!$C$7:$AD$997,25,FALSE)*(1-$E39),0)),VLOOKUP($C39,'[2]2.행정구역별 급수인구'!$C$7:$AD$997,25,FALSE)))</f>
        <v>133</v>
      </c>
      <c r="I39" s="302">
        <f>IF($D39="A",ROUND(VLOOKUP($C39,'[2]2.행정구역별 급수인구'!$C$7:$AD$997,26,FALSE)*$E39,0),IF($D39="B",(ROUND(VLOOKUP($C39,'[2]2.행정구역별 급수인구'!$C$7:$AD$997,26,FALSE)-VLOOKUP($C39,'[2]2.행정구역별 급수인구'!$C$7:$AD$997,26,FALSE)*(1-$E39),0)),VLOOKUP($C39,'[2]2.행정구역별 급수인구'!$C$7:$AD$997,26,FALSE)))</f>
        <v>139</v>
      </c>
      <c r="J39" s="302">
        <f>IF($D39="A",ROUND(VLOOKUP($C39,'[2]2.행정구역별 급수인구'!$C$7:$AD$997,27,FALSE)*$E39,0),IF($D39="B",(ROUND(VLOOKUP($C39,'[2]2.행정구역별 급수인구'!$C$7:$AD$997,27,FALSE)-VLOOKUP($C39,'[2]2.행정구역별 급수인구'!$C$7:$AD$997,27,FALSE)*(1-$E39),0)),VLOOKUP($C39,'[2]2.행정구역별 급수인구'!$C$7:$AD$997,27,FALSE)))</f>
        <v>150</v>
      </c>
      <c r="K39" s="302">
        <f>IF($D39="A",ROUND(VLOOKUP($C39,'[2]2.행정구역별 급수인구'!$C$7:$AD$997,28,FALSE)*$E39,0),IF($D39="B",(ROUND(VLOOKUP($C39,'[2]2.행정구역별 급수인구'!$C$7:$AD$997,28,FALSE)-VLOOKUP($C39,'[2]2.행정구역별 급수인구'!$C$7:$AD$997,28,FALSE)*(1-$E39),0)),VLOOKUP($C39,'[2]2.행정구역별 급수인구'!$C$7:$AD$997,28,FALSE)))</f>
        <v>154</v>
      </c>
      <c r="L39" s="302">
        <f>VLOOKUP($F39,'[3]5.급수원단위'!$B$31:$G$35,2,FALSE)</f>
        <v>272</v>
      </c>
      <c r="M39" s="302">
        <f>VLOOKUP($F39,'[3]5.급수원단위'!$B$31:$G$35,3,FALSE)</f>
        <v>304</v>
      </c>
      <c r="N39" s="302">
        <f>VLOOKUP($F39,'[3]5.급수원단위'!$B$31:$G$35,4,FALSE)</f>
        <v>308</v>
      </c>
      <c r="O39" s="302">
        <f>VLOOKUP($F39,'[3]5.급수원단위'!$B$31:$G$35,5,FALSE)</f>
        <v>310</v>
      </c>
      <c r="P39" s="302">
        <f>VLOOKUP($F39,'[3]5.급수원단위'!$B$31:$G$35,6,FALSE)</f>
        <v>310</v>
      </c>
      <c r="Q39" s="302">
        <f>ROUND(IF(G39=0,0,VLOOKUP(C39,'2013실사용량 정리'!$D$6:$F$381,3,FALSE)),0)</f>
        <v>0</v>
      </c>
      <c r="R39" s="302">
        <f t="shared" si="8"/>
        <v>40</v>
      </c>
      <c r="S39" s="302">
        <f t="shared" si="8"/>
        <v>43</v>
      </c>
      <c r="T39" s="302">
        <f t="shared" si="8"/>
        <v>47</v>
      </c>
      <c r="U39" s="302">
        <f t="shared" si="8"/>
        <v>48</v>
      </c>
      <c r="W39" s="343" t="str">
        <f t="shared" si="7"/>
        <v/>
      </c>
    </row>
    <row r="40" spans="1:23" ht="19.5" customHeight="1">
      <c r="A40" s="700"/>
      <c r="B40" s="700"/>
      <c r="C40" s="399" t="s">
        <v>1529</v>
      </c>
      <c r="D40" s="330" t="s">
        <v>1807</v>
      </c>
      <c r="E40" s="397">
        <v>1</v>
      </c>
      <c r="F40" s="397" t="s">
        <v>756</v>
      </c>
      <c r="G40" s="302">
        <f>IF($D40="A",ROUND(VLOOKUP($C40,'[2]2.행정구역별 급수인구'!$C$7:$AD$997,17,FALSE)*$E40,0),IF($D40="B",(ROUND(VLOOKUP($C40,'[2]2.행정구역별 급수인구'!$C$7:$AD$997,17,FALSE)-VLOOKUP($C40,'[2]2.행정구역별 급수인구'!$C$7:$AD$997,17,FALSE)*(1-$E40),0)),VLOOKUP($C40,'[2]2.행정구역별 급수인구'!$C$7:$AD$997,17,FALSE)))</f>
        <v>0</v>
      </c>
      <c r="H40" s="302">
        <f>IF($D40="A",ROUND(VLOOKUP($C40,'[2]2.행정구역별 급수인구'!$C$7:$AD$997,25,FALSE)*$E40,0),IF($D40="B",(ROUND(VLOOKUP($C40,'[2]2.행정구역별 급수인구'!$C$7:$AD$997,25,FALSE)-VLOOKUP($C40,'[2]2.행정구역별 급수인구'!$C$7:$AD$997,25,FALSE)*(1-$E40),0)),VLOOKUP($C40,'[2]2.행정구역별 급수인구'!$C$7:$AD$997,25,FALSE)))</f>
        <v>62</v>
      </c>
      <c r="I40" s="302">
        <f>IF($D40="A",ROUND(VLOOKUP($C40,'[2]2.행정구역별 급수인구'!$C$7:$AD$997,26,FALSE)*$E40,0),IF($D40="B",(ROUND(VLOOKUP($C40,'[2]2.행정구역별 급수인구'!$C$7:$AD$997,26,FALSE)-VLOOKUP($C40,'[2]2.행정구역별 급수인구'!$C$7:$AD$997,26,FALSE)*(1-$E40),0)),VLOOKUP($C40,'[2]2.행정구역별 급수인구'!$C$7:$AD$997,26,FALSE)))</f>
        <v>65</v>
      </c>
      <c r="J40" s="302">
        <f>IF($D40="A",ROUND(VLOOKUP($C40,'[2]2.행정구역별 급수인구'!$C$7:$AD$997,27,FALSE)*$E40,0),IF($D40="B",(ROUND(VLOOKUP($C40,'[2]2.행정구역별 급수인구'!$C$7:$AD$997,27,FALSE)-VLOOKUP($C40,'[2]2.행정구역별 급수인구'!$C$7:$AD$997,27,FALSE)*(1-$E40),0)),VLOOKUP($C40,'[2]2.행정구역별 급수인구'!$C$7:$AD$997,27,FALSE)))</f>
        <v>70</v>
      </c>
      <c r="K40" s="302">
        <f>IF($D40="A",ROUND(VLOOKUP($C40,'[2]2.행정구역별 급수인구'!$C$7:$AD$997,28,FALSE)*$E40,0),IF($D40="B",(ROUND(VLOOKUP($C40,'[2]2.행정구역별 급수인구'!$C$7:$AD$997,28,FALSE)-VLOOKUP($C40,'[2]2.행정구역별 급수인구'!$C$7:$AD$997,28,FALSE)*(1-$E40),0)),VLOOKUP($C40,'[2]2.행정구역별 급수인구'!$C$7:$AD$997,28,FALSE)))</f>
        <v>72</v>
      </c>
      <c r="L40" s="302">
        <f>VLOOKUP($F40,'[3]5.급수원단위'!$B$31:$G$35,2,FALSE)</f>
        <v>272</v>
      </c>
      <c r="M40" s="302">
        <f>VLOOKUP($F40,'[3]5.급수원단위'!$B$31:$G$35,3,FALSE)</f>
        <v>304</v>
      </c>
      <c r="N40" s="302">
        <f>VLOOKUP($F40,'[3]5.급수원단위'!$B$31:$G$35,4,FALSE)</f>
        <v>308</v>
      </c>
      <c r="O40" s="302">
        <f>VLOOKUP($F40,'[3]5.급수원단위'!$B$31:$G$35,5,FALSE)</f>
        <v>310</v>
      </c>
      <c r="P40" s="302">
        <f>VLOOKUP($F40,'[3]5.급수원단위'!$B$31:$G$35,6,FALSE)</f>
        <v>310</v>
      </c>
      <c r="Q40" s="302">
        <f>ROUND(IF(G40=0,0,VLOOKUP(C40,'2013실사용량 정리'!$D$6:$F$381,3,FALSE)),0)</f>
        <v>0</v>
      </c>
      <c r="R40" s="302">
        <f t="shared" si="8"/>
        <v>19</v>
      </c>
      <c r="S40" s="302">
        <f t="shared" si="8"/>
        <v>20</v>
      </c>
      <c r="T40" s="302">
        <f t="shared" si="8"/>
        <v>22</v>
      </c>
      <c r="U40" s="302">
        <f t="shared" si="8"/>
        <v>22</v>
      </c>
      <c r="W40" s="343" t="str">
        <f t="shared" si="7"/>
        <v/>
      </c>
    </row>
    <row r="41" spans="1:23" ht="18.95" customHeight="1">
      <c r="A41" s="719" t="s">
        <v>1866</v>
      </c>
      <c r="B41" s="719"/>
      <c r="C41" s="719"/>
      <c r="D41" s="719"/>
      <c r="E41" s="332"/>
      <c r="F41" s="332"/>
      <c r="G41" s="298">
        <f>G42</f>
        <v>470</v>
      </c>
      <c r="H41" s="298">
        <f t="shared" ref="H41:K41" si="9">H42</f>
        <v>582</v>
      </c>
      <c r="I41" s="298">
        <f t="shared" si="9"/>
        <v>616</v>
      </c>
      <c r="J41" s="298">
        <f t="shared" si="9"/>
        <v>667</v>
      </c>
      <c r="K41" s="298">
        <f t="shared" si="9"/>
        <v>679</v>
      </c>
      <c r="L41" s="298"/>
      <c r="M41" s="298"/>
      <c r="N41" s="298"/>
      <c r="O41" s="298"/>
      <c r="P41" s="298"/>
      <c r="Q41" s="298">
        <f t="shared" ref="Q41:U41" si="10">Q42</f>
        <v>176</v>
      </c>
      <c r="R41" s="298">
        <f t="shared" si="10"/>
        <v>176</v>
      </c>
      <c r="S41" s="298">
        <f t="shared" si="10"/>
        <v>189</v>
      </c>
      <c r="T41" s="298">
        <f t="shared" si="10"/>
        <v>208</v>
      </c>
      <c r="U41" s="298">
        <f t="shared" si="10"/>
        <v>210</v>
      </c>
      <c r="W41" s="343"/>
    </row>
    <row r="42" spans="1:23" ht="18.95" customHeight="1">
      <c r="A42" s="700"/>
      <c r="B42" s="694" t="s">
        <v>990</v>
      </c>
      <c r="C42" s="694"/>
      <c r="D42" s="694"/>
      <c r="E42" s="331"/>
      <c r="F42" s="331"/>
      <c r="G42" s="336">
        <f>SUM(G43:G75)</f>
        <v>470</v>
      </c>
      <c r="H42" s="336">
        <f t="shared" ref="H42:K42" si="11">SUM(H43:H75)</f>
        <v>582</v>
      </c>
      <c r="I42" s="336">
        <f t="shared" si="11"/>
        <v>616</v>
      </c>
      <c r="J42" s="336">
        <f t="shared" si="11"/>
        <v>667</v>
      </c>
      <c r="K42" s="336">
        <f t="shared" si="11"/>
        <v>679</v>
      </c>
      <c r="L42" s="336"/>
      <c r="M42" s="336"/>
      <c r="N42" s="336"/>
      <c r="O42" s="336"/>
      <c r="P42" s="336"/>
      <c r="Q42" s="336">
        <f t="shared" ref="Q42:U42" si="12">SUM(Q43:Q75)</f>
        <v>176</v>
      </c>
      <c r="R42" s="336">
        <f t="shared" si="12"/>
        <v>176</v>
      </c>
      <c r="S42" s="336">
        <f t="shared" si="12"/>
        <v>189</v>
      </c>
      <c r="T42" s="336">
        <f t="shared" si="12"/>
        <v>208</v>
      </c>
      <c r="U42" s="336">
        <f t="shared" si="12"/>
        <v>210</v>
      </c>
      <c r="V42" s="343">
        <f>VLOOKUP(B42,'2013년도 용수량 비율'!$A$5:$F$20,6,FALSE)</f>
        <v>0</v>
      </c>
      <c r="W42" s="343"/>
    </row>
    <row r="43" spans="1:23" ht="18.95" customHeight="1">
      <c r="A43" s="700"/>
      <c r="B43" s="700"/>
      <c r="C43" s="399" t="s">
        <v>1497</v>
      </c>
      <c r="D43" s="330" t="s">
        <v>1808</v>
      </c>
      <c r="E43" s="397">
        <f>1-E8</f>
        <v>0</v>
      </c>
      <c r="F43" s="397" t="s">
        <v>756</v>
      </c>
      <c r="G43" s="302">
        <f>IF($D43="A",ROUND(VLOOKUP($C43,'[2]2.행정구역별 급수인구'!$C$7:$AD$997,17,FALSE)*$E43,0),IF($D43="B",(ROUND(VLOOKUP($C43,'[2]2.행정구역별 급수인구'!$C$7:$AD$997,17,FALSE)-VLOOKUP($C43,'[2]2.행정구역별 급수인구'!$C$7:$AD$997,17,FALSE)*(1-$E43),0)),VLOOKUP($C43,'[2]2.행정구역별 급수인구'!$C$7:$AD$997,17,FALSE)))</f>
        <v>0</v>
      </c>
      <c r="H43" s="302">
        <f>IF($D43="A",ROUND(VLOOKUP($C43,'[2]2.행정구역별 급수인구'!$C$7:$AD$997,25,FALSE)*$E43,0),IF($D43="B",(ROUND(VLOOKUP($C43,'[2]2.행정구역별 급수인구'!$C$7:$AD$997,25,FALSE)-VLOOKUP($C43,'[2]2.행정구역별 급수인구'!$C$7:$AD$997,25,FALSE)*(1-$E43),0)),VLOOKUP($C43,'[2]2.행정구역별 급수인구'!$C$7:$AD$997,25,FALSE)))</f>
        <v>0</v>
      </c>
      <c r="I43" s="302">
        <f>IF($D43="A",ROUND(VLOOKUP($C43,'[2]2.행정구역별 급수인구'!$C$7:$AD$997,26,FALSE)*$E43,0),IF($D43="B",(ROUND(VLOOKUP($C43,'[2]2.행정구역별 급수인구'!$C$7:$AD$997,26,FALSE)-VLOOKUP($C43,'[2]2.행정구역별 급수인구'!$C$7:$AD$997,26,FALSE)*(1-$E43),0)),VLOOKUP($C43,'[2]2.행정구역별 급수인구'!$C$7:$AD$997,26,FALSE)))</f>
        <v>0</v>
      </c>
      <c r="J43" s="302">
        <f>IF($D43="A",ROUND(VLOOKUP($C43,'[2]2.행정구역별 급수인구'!$C$7:$AD$997,27,FALSE)*$E43,0),IF($D43="B",(ROUND(VLOOKUP($C43,'[2]2.행정구역별 급수인구'!$C$7:$AD$997,27,FALSE)-VLOOKUP($C43,'[2]2.행정구역별 급수인구'!$C$7:$AD$997,27,FALSE)*(1-$E43),0)),VLOOKUP($C43,'[2]2.행정구역별 급수인구'!$C$7:$AD$997,27,FALSE)))</f>
        <v>0</v>
      </c>
      <c r="K43" s="302">
        <f>IF($D43="A",ROUND(VLOOKUP($C43,'[2]2.행정구역별 급수인구'!$C$7:$AD$997,28,FALSE)*$E43,0),IF($D43="B",(ROUND(VLOOKUP($C43,'[2]2.행정구역별 급수인구'!$C$7:$AD$997,28,FALSE)-VLOOKUP($C43,'[2]2.행정구역별 급수인구'!$C$7:$AD$997,28,FALSE)*(1-$E43),0)),VLOOKUP($C43,'[2]2.행정구역별 급수인구'!$C$7:$AD$997,28,FALSE)))</f>
        <v>0</v>
      </c>
      <c r="L43" s="302">
        <f>VLOOKUP($F43,'[3]5.급수원단위'!$B$31:$G$35,2,FALSE)</f>
        <v>272</v>
      </c>
      <c r="M43" s="302">
        <f>VLOOKUP($F43,'[3]5.급수원단위'!$B$31:$G$35,3,FALSE)</f>
        <v>304</v>
      </c>
      <c r="N43" s="302">
        <f>VLOOKUP($F43,'[3]5.급수원단위'!$B$31:$G$35,4,FALSE)</f>
        <v>308</v>
      </c>
      <c r="O43" s="302">
        <f>VLOOKUP($F43,'[3]5.급수원단위'!$B$31:$G$35,5,FALSE)</f>
        <v>310</v>
      </c>
      <c r="P43" s="302">
        <f>VLOOKUP($F43,'[3]5.급수원단위'!$B$31:$G$35,6,FALSE)</f>
        <v>310</v>
      </c>
      <c r="Q43" s="302">
        <f>ROUND(IF(G43=0,0,VLOOKUP(C43,'2013실사용량 정리'!$D$6:$F$381,3,FALSE)),0)</f>
        <v>0</v>
      </c>
      <c r="R43" s="302">
        <f t="shared" ref="R43:R75" si="13">ROUND(H43*M43/1000,0)</f>
        <v>0</v>
      </c>
      <c r="S43" s="302">
        <f t="shared" ref="S43:S75" si="14">ROUND(I43*N43/1000,0)</f>
        <v>0</v>
      </c>
      <c r="T43" s="302">
        <f t="shared" ref="T43:T75" si="15">ROUND(J43*O43/1000,0)</f>
        <v>0</v>
      </c>
      <c r="U43" s="302">
        <f t="shared" ref="U43:U75" si="16">ROUND(K43*P43/1000,0)</f>
        <v>0</v>
      </c>
      <c r="W43" s="343" t="str">
        <f t="shared" si="7"/>
        <v/>
      </c>
    </row>
    <row r="44" spans="1:23" ht="18.95" customHeight="1">
      <c r="A44" s="700"/>
      <c r="B44" s="700"/>
      <c r="C44" s="399" t="s">
        <v>1498</v>
      </c>
      <c r="D44" s="330" t="s">
        <v>1808</v>
      </c>
      <c r="E44" s="397">
        <f t="shared" ref="E44:E75" si="17">1-E9</f>
        <v>0</v>
      </c>
      <c r="F44" s="397" t="s">
        <v>756</v>
      </c>
      <c r="G44" s="302">
        <f>IF($D44="A",ROUND(VLOOKUP($C44,'[2]2.행정구역별 급수인구'!$C$7:$AD$997,17,FALSE)*$E44,0),IF($D44="B",(ROUND(VLOOKUP($C44,'[2]2.행정구역별 급수인구'!$C$7:$AD$997,17,FALSE)-VLOOKUP($C44,'[2]2.행정구역별 급수인구'!$C$7:$AD$997,17,FALSE)*(1-$E44),0)),VLOOKUP($C44,'[2]2.행정구역별 급수인구'!$C$7:$AD$997,17,FALSE)))</f>
        <v>0</v>
      </c>
      <c r="H44" s="302">
        <f>IF($D44="A",ROUND(VLOOKUP($C44,'[2]2.행정구역별 급수인구'!$C$7:$AD$997,25,FALSE)*$E44,0),IF($D44="B",(ROUND(VLOOKUP($C44,'[2]2.행정구역별 급수인구'!$C$7:$AD$997,25,FALSE)-VLOOKUP($C44,'[2]2.행정구역별 급수인구'!$C$7:$AD$997,25,FALSE)*(1-$E44),0)),VLOOKUP($C44,'[2]2.행정구역별 급수인구'!$C$7:$AD$997,25,FALSE)))</f>
        <v>0</v>
      </c>
      <c r="I44" s="302">
        <f>IF($D44="A",ROUND(VLOOKUP($C44,'[2]2.행정구역별 급수인구'!$C$7:$AD$997,26,FALSE)*$E44,0),IF($D44="B",(ROUND(VLOOKUP($C44,'[2]2.행정구역별 급수인구'!$C$7:$AD$997,26,FALSE)-VLOOKUP($C44,'[2]2.행정구역별 급수인구'!$C$7:$AD$997,26,FALSE)*(1-$E44),0)),VLOOKUP($C44,'[2]2.행정구역별 급수인구'!$C$7:$AD$997,26,FALSE)))</f>
        <v>0</v>
      </c>
      <c r="J44" s="302">
        <f>IF($D44="A",ROUND(VLOOKUP($C44,'[2]2.행정구역별 급수인구'!$C$7:$AD$997,27,FALSE)*$E44,0),IF($D44="B",(ROUND(VLOOKUP($C44,'[2]2.행정구역별 급수인구'!$C$7:$AD$997,27,FALSE)-VLOOKUP($C44,'[2]2.행정구역별 급수인구'!$C$7:$AD$997,27,FALSE)*(1-$E44),0)),VLOOKUP($C44,'[2]2.행정구역별 급수인구'!$C$7:$AD$997,27,FALSE)))</f>
        <v>0</v>
      </c>
      <c r="K44" s="302">
        <f>IF($D44="A",ROUND(VLOOKUP($C44,'[2]2.행정구역별 급수인구'!$C$7:$AD$997,28,FALSE)*$E44,0),IF($D44="B",(ROUND(VLOOKUP($C44,'[2]2.행정구역별 급수인구'!$C$7:$AD$997,28,FALSE)-VLOOKUP($C44,'[2]2.행정구역별 급수인구'!$C$7:$AD$997,28,FALSE)*(1-$E44),0)),VLOOKUP($C44,'[2]2.행정구역별 급수인구'!$C$7:$AD$997,28,FALSE)))</f>
        <v>0</v>
      </c>
      <c r="L44" s="302">
        <f>VLOOKUP($F44,'[3]5.급수원단위'!$B$31:$G$35,2,FALSE)</f>
        <v>272</v>
      </c>
      <c r="M44" s="302">
        <f>VLOOKUP($F44,'[3]5.급수원단위'!$B$31:$G$35,3,FALSE)</f>
        <v>304</v>
      </c>
      <c r="N44" s="302">
        <f>VLOOKUP($F44,'[3]5.급수원단위'!$B$31:$G$35,4,FALSE)</f>
        <v>308</v>
      </c>
      <c r="O44" s="302">
        <f>VLOOKUP($F44,'[3]5.급수원단위'!$B$31:$G$35,5,FALSE)</f>
        <v>310</v>
      </c>
      <c r="P44" s="302">
        <f>VLOOKUP($F44,'[3]5.급수원단위'!$B$31:$G$35,6,FALSE)</f>
        <v>310</v>
      </c>
      <c r="Q44" s="302">
        <f>ROUND(IF(G44=0,0,VLOOKUP(C44,'2013실사용량 정리'!$D$6:$F$381,3,FALSE)),0)</f>
        <v>0</v>
      </c>
      <c r="R44" s="302">
        <f t="shared" si="13"/>
        <v>0</v>
      </c>
      <c r="S44" s="302">
        <f t="shared" si="14"/>
        <v>0</v>
      </c>
      <c r="T44" s="302">
        <f t="shared" si="15"/>
        <v>0</v>
      </c>
      <c r="U44" s="302">
        <f t="shared" si="16"/>
        <v>0</v>
      </c>
      <c r="W44" s="343" t="str">
        <f t="shared" si="7"/>
        <v/>
      </c>
    </row>
    <row r="45" spans="1:23" ht="18.95" customHeight="1">
      <c r="A45" s="700"/>
      <c r="B45" s="700"/>
      <c r="C45" s="399" t="s">
        <v>1499</v>
      </c>
      <c r="D45" s="330" t="s">
        <v>1808</v>
      </c>
      <c r="E45" s="397">
        <f t="shared" si="17"/>
        <v>0</v>
      </c>
      <c r="F45" s="397" t="s">
        <v>756</v>
      </c>
      <c r="G45" s="302">
        <f>IF($D45="A",ROUND(VLOOKUP($C45,'[2]2.행정구역별 급수인구'!$C$7:$AD$997,17,FALSE)*$E45,0),IF($D45="B",(ROUND(VLOOKUP($C45,'[2]2.행정구역별 급수인구'!$C$7:$AD$997,17,FALSE)-VLOOKUP($C45,'[2]2.행정구역별 급수인구'!$C$7:$AD$997,17,FALSE)*(1-$E45),0)),VLOOKUP($C45,'[2]2.행정구역별 급수인구'!$C$7:$AD$997,17,FALSE)))</f>
        <v>0</v>
      </c>
      <c r="H45" s="302">
        <f>IF($D45="A",ROUND(VLOOKUP($C45,'[2]2.행정구역별 급수인구'!$C$7:$AD$997,25,FALSE)*$E45,0),IF($D45="B",(ROUND(VLOOKUP($C45,'[2]2.행정구역별 급수인구'!$C$7:$AD$997,25,FALSE)-VLOOKUP($C45,'[2]2.행정구역별 급수인구'!$C$7:$AD$997,25,FALSE)*(1-$E45),0)),VLOOKUP($C45,'[2]2.행정구역별 급수인구'!$C$7:$AD$997,25,FALSE)))</f>
        <v>0</v>
      </c>
      <c r="I45" s="302">
        <f>IF($D45="A",ROUND(VLOOKUP($C45,'[2]2.행정구역별 급수인구'!$C$7:$AD$997,26,FALSE)*$E45,0),IF($D45="B",(ROUND(VLOOKUP($C45,'[2]2.행정구역별 급수인구'!$C$7:$AD$997,26,FALSE)-VLOOKUP($C45,'[2]2.행정구역별 급수인구'!$C$7:$AD$997,26,FALSE)*(1-$E45),0)),VLOOKUP($C45,'[2]2.행정구역별 급수인구'!$C$7:$AD$997,26,FALSE)))</f>
        <v>0</v>
      </c>
      <c r="J45" s="302">
        <f>IF($D45="A",ROUND(VLOOKUP($C45,'[2]2.행정구역별 급수인구'!$C$7:$AD$997,27,FALSE)*$E45,0),IF($D45="B",(ROUND(VLOOKUP($C45,'[2]2.행정구역별 급수인구'!$C$7:$AD$997,27,FALSE)-VLOOKUP($C45,'[2]2.행정구역별 급수인구'!$C$7:$AD$997,27,FALSE)*(1-$E45),0)),VLOOKUP($C45,'[2]2.행정구역별 급수인구'!$C$7:$AD$997,27,FALSE)))</f>
        <v>0</v>
      </c>
      <c r="K45" s="302">
        <f>IF($D45="A",ROUND(VLOOKUP($C45,'[2]2.행정구역별 급수인구'!$C$7:$AD$997,28,FALSE)*$E45,0),IF($D45="B",(ROUND(VLOOKUP($C45,'[2]2.행정구역별 급수인구'!$C$7:$AD$997,28,FALSE)-VLOOKUP($C45,'[2]2.행정구역별 급수인구'!$C$7:$AD$997,28,FALSE)*(1-$E45),0)),VLOOKUP($C45,'[2]2.행정구역별 급수인구'!$C$7:$AD$997,28,FALSE)))</f>
        <v>0</v>
      </c>
      <c r="L45" s="302">
        <f>VLOOKUP($F45,'[3]5.급수원단위'!$B$31:$G$35,2,FALSE)</f>
        <v>272</v>
      </c>
      <c r="M45" s="302">
        <f>VLOOKUP($F45,'[3]5.급수원단위'!$B$31:$G$35,3,FALSE)</f>
        <v>304</v>
      </c>
      <c r="N45" s="302">
        <f>VLOOKUP($F45,'[3]5.급수원단위'!$B$31:$G$35,4,FALSE)</f>
        <v>308</v>
      </c>
      <c r="O45" s="302">
        <f>VLOOKUP($F45,'[3]5.급수원단위'!$B$31:$G$35,5,FALSE)</f>
        <v>310</v>
      </c>
      <c r="P45" s="302">
        <f>VLOOKUP($F45,'[3]5.급수원단위'!$B$31:$G$35,6,FALSE)</f>
        <v>310</v>
      </c>
      <c r="Q45" s="302">
        <f>ROUND(IF(G45=0,0,VLOOKUP(C45,'2013실사용량 정리'!$D$6:$F$381,3,FALSE)),0)</f>
        <v>0</v>
      </c>
      <c r="R45" s="302">
        <f t="shared" si="13"/>
        <v>0</v>
      </c>
      <c r="S45" s="302">
        <f t="shared" si="14"/>
        <v>0</v>
      </c>
      <c r="T45" s="302">
        <f t="shared" si="15"/>
        <v>0</v>
      </c>
      <c r="U45" s="302">
        <f t="shared" si="16"/>
        <v>0</v>
      </c>
      <c r="W45" s="343" t="str">
        <f t="shared" si="7"/>
        <v/>
      </c>
    </row>
    <row r="46" spans="1:23" ht="18.95" customHeight="1">
      <c r="A46" s="700"/>
      <c r="B46" s="700"/>
      <c r="C46" s="399" t="s">
        <v>1500</v>
      </c>
      <c r="D46" s="330" t="s">
        <v>1808</v>
      </c>
      <c r="E46" s="397">
        <f t="shared" si="17"/>
        <v>0</v>
      </c>
      <c r="F46" s="397" t="s">
        <v>756</v>
      </c>
      <c r="G46" s="302">
        <f>IF($D46="A",ROUND(VLOOKUP($C46,'[2]2.행정구역별 급수인구'!$C$7:$AD$997,17,FALSE)*$E46,0),IF($D46="B",(ROUND(VLOOKUP($C46,'[2]2.행정구역별 급수인구'!$C$7:$AD$997,17,FALSE)-VLOOKUP($C46,'[2]2.행정구역별 급수인구'!$C$7:$AD$997,17,FALSE)*(1-$E46),0)),VLOOKUP($C46,'[2]2.행정구역별 급수인구'!$C$7:$AD$997,17,FALSE)))</f>
        <v>0</v>
      </c>
      <c r="H46" s="302">
        <f>IF($D46="A",ROUND(VLOOKUP($C46,'[2]2.행정구역별 급수인구'!$C$7:$AD$997,25,FALSE)*$E46,0),IF($D46="B",(ROUND(VLOOKUP($C46,'[2]2.행정구역별 급수인구'!$C$7:$AD$997,25,FALSE)-VLOOKUP($C46,'[2]2.행정구역별 급수인구'!$C$7:$AD$997,25,FALSE)*(1-$E46),0)),VLOOKUP($C46,'[2]2.행정구역별 급수인구'!$C$7:$AD$997,25,FALSE)))</f>
        <v>0</v>
      </c>
      <c r="I46" s="302">
        <f>IF($D46="A",ROUND(VLOOKUP($C46,'[2]2.행정구역별 급수인구'!$C$7:$AD$997,26,FALSE)*$E46,0),IF($D46="B",(ROUND(VLOOKUP($C46,'[2]2.행정구역별 급수인구'!$C$7:$AD$997,26,FALSE)-VLOOKUP($C46,'[2]2.행정구역별 급수인구'!$C$7:$AD$997,26,FALSE)*(1-$E46),0)),VLOOKUP($C46,'[2]2.행정구역별 급수인구'!$C$7:$AD$997,26,FALSE)))</f>
        <v>0</v>
      </c>
      <c r="J46" s="302">
        <f>IF($D46="A",ROUND(VLOOKUP($C46,'[2]2.행정구역별 급수인구'!$C$7:$AD$997,27,FALSE)*$E46,0),IF($D46="B",(ROUND(VLOOKUP($C46,'[2]2.행정구역별 급수인구'!$C$7:$AD$997,27,FALSE)-VLOOKUP($C46,'[2]2.행정구역별 급수인구'!$C$7:$AD$997,27,FALSE)*(1-$E46),0)),VLOOKUP($C46,'[2]2.행정구역별 급수인구'!$C$7:$AD$997,27,FALSE)))</f>
        <v>0</v>
      </c>
      <c r="K46" s="302">
        <f>IF($D46="A",ROUND(VLOOKUP($C46,'[2]2.행정구역별 급수인구'!$C$7:$AD$997,28,FALSE)*$E46,0),IF($D46="B",(ROUND(VLOOKUP($C46,'[2]2.행정구역별 급수인구'!$C$7:$AD$997,28,FALSE)-VLOOKUP($C46,'[2]2.행정구역별 급수인구'!$C$7:$AD$997,28,FALSE)*(1-$E46),0)),VLOOKUP($C46,'[2]2.행정구역별 급수인구'!$C$7:$AD$997,28,FALSE)))</f>
        <v>0</v>
      </c>
      <c r="L46" s="302">
        <f>VLOOKUP($F46,'[3]5.급수원단위'!$B$31:$G$35,2,FALSE)</f>
        <v>272</v>
      </c>
      <c r="M46" s="302">
        <f>VLOOKUP($F46,'[3]5.급수원단위'!$B$31:$G$35,3,FALSE)</f>
        <v>304</v>
      </c>
      <c r="N46" s="302">
        <f>VLOOKUP($F46,'[3]5.급수원단위'!$B$31:$G$35,4,FALSE)</f>
        <v>308</v>
      </c>
      <c r="O46" s="302">
        <f>VLOOKUP($F46,'[3]5.급수원단위'!$B$31:$G$35,5,FALSE)</f>
        <v>310</v>
      </c>
      <c r="P46" s="302">
        <f>VLOOKUP($F46,'[3]5.급수원단위'!$B$31:$G$35,6,FALSE)</f>
        <v>310</v>
      </c>
      <c r="Q46" s="302">
        <f>ROUND(IF(G46=0,0,VLOOKUP(C46,'2013실사용량 정리'!$D$6:$F$381,3,FALSE)),0)</f>
        <v>0</v>
      </c>
      <c r="R46" s="302">
        <f t="shared" si="13"/>
        <v>0</v>
      </c>
      <c r="S46" s="302">
        <f t="shared" si="14"/>
        <v>0</v>
      </c>
      <c r="T46" s="302">
        <f t="shared" si="15"/>
        <v>0</v>
      </c>
      <c r="U46" s="302">
        <f t="shared" si="16"/>
        <v>0</v>
      </c>
      <c r="W46" s="343" t="str">
        <f t="shared" si="7"/>
        <v/>
      </c>
    </row>
    <row r="47" spans="1:23" ht="18.95" customHeight="1">
      <c r="A47" s="700"/>
      <c r="B47" s="700"/>
      <c r="C47" s="399" t="s">
        <v>1501</v>
      </c>
      <c r="D47" s="330" t="s">
        <v>1808</v>
      </c>
      <c r="E47" s="397">
        <f t="shared" si="17"/>
        <v>0</v>
      </c>
      <c r="F47" s="397" t="s">
        <v>756</v>
      </c>
      <c r="G47" s="302">
        <f>IF($D47="A",ROUND(VLOOKUP($C47,'[2]2.행정구역별 급수인구'!$C$7:$AD$997,17,FALSE)*$E47,0),IF($D47="B",(ROUND(VLOOKUP($C47,'[2]2.행정구역별 급수인구'!$C$7:$AD$997,17,FALSE)-VLOOKUP($C47,'[2]2.행정구역별 급수인구'!$C$7:$AD$997,17,FALSE)*(1-$E47),0)),VLOOKUP($C47,'[2]2.행정구역별 급수인구'!$C$7:$AD$997,17,FALSE)))</f>
        <v>0</v>
      </c>
      <c r="H47" s="302">
        <f>IF($D47="A",ROUND(VLOOKUP($C47,'[2]2.행정구역별 급수인구'!$C$7:$AD$997,25,FALSE)*$E47,0),IF($D47="B",(ROUND(VLOOKUP($C47,'[2]2.행정구역별 급수인구'!$C$7:$AD$997,25,FALSE)-VLOOKUP($C47,'[2]2.행정구역별 급수인구'!$C$7:$AD$997,25,FALSE)*(1-$E47),0)),VLOOKUP($C47,'[2]2.행정구역별 급수인구'!$C$7:$AD$997,25,FALSE)))</f>
        <v>0</v>
      </c>
      <c r="I47" s="302">
        <f>IF($D47="A",ROUND(VLOOKUP($C47,'[2]2.행정구역별 급수인구'!$C$7:$AD$997,26,FALSE)*$E47,0),IF($D47="B",(ROUND(VLOOKUP($C47,'[2]2.행정구역별 급수인구'!$C$7:$AD$997,26,FALSE)-VLOOKUP($C47,'[2]2.행정구역별 급수인구'!$C$7:$AD$997,26,FALSE)*(1-$E47),0)),VLOOKUP($C47,'[2]2.행정구역별 급수인구'!$C$7:$AD$997,26,FALSE)))</f>
        <v>0</v>
      </c>
      <c r="J47" s="302">
        <f>IF($D47="A",ROUND(VLOOKUP($C47,'[2]2.행정구역별 급수인구'!$C$7:$AD$997,27,FALSE)*$E47,0),IF($D47="B",(ROUND(VLOOKUP($C47,'[2]2.행정구역별 급수인구'!$C$7:$AD$997,27,FALSE)-VLOOKUP($C47,'[2]2.행정구역별 급수인구'!$C$7:$AD$997,27,FALSE)*(1-$E47),0)),VLOOKUP($C47,'[2]2.행정구역별 급수인구'!$C$7:$AD$997,27,FALSE)))</f>
        <v>0</v>
      </c>
      <c r="K47" s="302">
        <f>IF($D47="A",ROUND(VLOOKUP($C47,'[2]2.행정구역별 급수인구'!$C$7:$AD$997,28,FALSE)*$E47,0),IF($D47="B",(ROUND(VLOOKUP($C47,'[2]2.행정구역별 급수인구'!$C$7:$AD$997,28,FALSE)-VLOOKUP($C47,'[2]2.행정구역별 급수인구'!$C$7:$AD$997,28,FALSE)*(1-$E47),0)),VLOOKUP($C47,'[2]2.행정구역별 급수인구'!$C$7:$AD$997,28,FALSE)))</f>
        <v>0</v>
      </c>
      <c r="L47" s="302">
        <f>VLOOKUP($F47,'[3]5.급수원단위'!$B$31:$G$35,2,FALSE)</f>
        <v>272</v>
      </c>
      <c r="M47" s="302">
        <f>VLOOKUP($F47,'[3]5.급수원단위'!$B$31:$G$35,3,FALSE)</f>
        <v>304</v>
      </c>
      <c r="N47" s="302">
        <f>VLOOKUP($F47,'[3]5.급수원단위'!$B$31:$G$35,4,FALSE)</f>
        <v>308</v>
      </c>
      <c r="O47" s="302">
        <f>VLOOKUP($F47,'[3]5.급수원단위'!$B$31:$G$35,5,FALSE)</f>
        <v>310</v>
      </c>
      <c r="P47" s="302">
        <f>VLOOKUP($F47,'[3]5.급수원단위'!$B$31:$G$35,6,FALSE)</f>
        <v>310</v>
      </c>
      <c r="Q47" s="302">
        <f>ROUND(IF(G47=0,0,VLOOKUP(C47,'2013실사용량 정리'!$D$6:$F$381,3,FALSE)),0)</f>
        <v>0</v>
      </c>
      <c r="R47" s="302">
        <f t="shared" si="13"/>
        <v>0</v>
      </c>
      <c r="S47" s="302">
        <f t="shared" si="14"/>
        <v>0</v>
      </c>
      <c r="T47" s="302">
        <f t="shared" si="15"/>
        <v>0</v>
      </c>
      <c r="U47" s="302">
        <f t="shared" si="16"/>
        <v>0</v>
      </c>
      <c r="W47" s="343" t="str">
        <f t="shared" si="7"/>
        <v/>
      </c>
    </row>
    <row r="48" spans="1:23" ht="18.95" customHeight="1">
      <c r="A48" s="700"/>
      <c r="B48" s="700"/>
      <c r="C48" s="399" t="s">
        <v>1502</v>
      </c>
      <c r="D48" s="330" t="s">
        <v>1808</v>
      </c>
      <c r="E48" s="397">
        <f t="shared" si="17"/>
        <v>0</v>
      </c>
      <c r="F48" s="397" t="s">
        <v>756</v>
      </c>
      <c r="G48" s="302">
        <f>IF($D48="A",ROUND(VLOOKUP($C48,'[2]2.행정구역별 급수인구'!$C$7:$AD$997,17,FALSE)*$E48,0),IF($D48="B",(ROUND(VLOOKUP($C48,'[2]2.행정구역별 급수인구'!$C$7:$AD$997,17,FALSE)-VLOOKUP($C48,'[2]2.행정구역별 급수인구'!$C$7:$AD$997,17,FALSE)*(1-$E48),0)),VLOOKUP($C48,'[2]2.행정구역별 급수인구'!$C$7:$AD$997,17,FALSE)))</f>
        <v>0</v>
      </c>
      <c r="H48" s="302">
        <f>IF($D48="A",ROUND(VLOOKUP($C48,'[2]2.행정구역별 급수인구'!$C$7:$AD$997,25,FALSE)*$E48,0),IF($D48="B",(ROUND(VLOOKUP($C48,'[2]2.행정구역별 급수인구'!$C$7:$AD$997,25,FALSE)-VLOOKUP($C48,'[2]2.행정구역별 급수인구'!$C$7:$AD$997,25,FALSE)*(1-$E48),0)),VLOOKUP($C48,'[2]2.행정구역별 급수인구'!$C$7:$AD$997,25,FALSE)))</f>
        <v>0</v>
      </c>
      <c r="I48" s="302">
        <f>IF($D48="A",ROUND(VLOOKUP($C48,'[2]2.행정구역별 급수인구'!$C$7:$AD$997,26,FALSE)*$E48,0),IF($D48="B",(ROUND(VLOOKUP($C48,'[2]2.행정구역별 급수인구'!$C$7:$AD$997,26,FALSE)-VLOOKUP($C48,'[2]2.행정구역별 급수인구'!$C$7:$AD$997,26,FALSE)*(1-$E48),0)),VLOOKUP($C48,'[2]2.행정구역별 급수인구'!$C$7:$AD$997,26,FALSE)))</f>
        <v>0</v>
      </c>
      <c r="J48" s="302">
        <f>IF($D48="A",ROUND(VLOOKUP($C48,'[2]2.행정구역별 급수인구'!$C$7:$AD$997,27,FALSE)*$E48,0),IF($D48="B",(ROUND(VLOOKUP($C48,'[2]2.행정구역별 급수인구'!$C$7:$AD$997,27,FALSE)-VLOOKUP($C48,'[2]2.행정구역별 급수인구'!$C$7:$AD$997,27,FALSE)*(1-$E48),0)),VLOOKUP($C48,'[2]2.행정구역별 급수인구'!$C$7:$AD$997,27,FALSE)))</f>
        <v>0</v>
      </c>
      <c r="K48" s="302">
        <f>IF($D48="A",ROUND(VLOOKUP($C48,'[2]2.행정구역별 급수인구'!$C$7:$AD$997,28,FALSE)*$E48,0),IF($D48="B",(ROUND(VLOOKUP($C48,'[2]2.행정구역별 급수인구'!$C$7:$AD$997,28,FALSE)-VLOOKUP($C48,'[2]2.행정구역별 급수인구'!$C$7:$AD$997,28,FALSE)*(1-$E48),0)),VLOOKUP($C48,'[2]2.행정구역별 급수인구'!$C$7:$AD$997,28,FALSE)))</f>
        <v>0</v>
      </c>
      <c r="L48" s="302">
        <f>VLOOKUP($F48,'[3]5.급수원단위'!$B$31:$G$35,2,FALSE)</f>
        <v>272</v>
      </c>
      <c r="M48" s="302">
        <f>VLOOKUP($F48,'[3]5.급수원단위'!$B$31:$G$35,3,FALSE)</f>
        <v>304</v>
      </c>
      <c r="N48" s="302">
        <f>VLOOKUP($F48,'[3]5.급수원단위'!$B$31:$G$35,4,FALSE)</f>
        <v>308</v>
      </c>
      <c r="O48" s="302">
        <f>VLOOKUP($F48,'[3]5.급수원단위'!$B$31:$G$35,5,FALSE)</f>
        <v>310</v>
      </c>
      <c r="P48" s="302">
        <f>VLOOKUP($F48,'[3]5.급수원단위'!$B$31:$G$35,6,FALSE)</f>
        <v>310</v>
      </c>
      <c r="Q48" s="302">
        <f>ROUND(IF(G48=0,0,VLOOKUP(C48,'2013실사용량 정리'!$D$6:$F$381,3,FALSE)),0)</f>
        <v>0</v>
      </c>
      <c r="R48" s="302">
        <f t="shared" si="13"/>
        <v>0</v>
      </c>
      <c r="S48" s="302">
        <f t="shared" si="14"/>
        <v>0</v>
      </c>
      <c r="T48" s="302">
        <f t="shared" si="15"/>
        <v>0</v>
      </c>
      <c r="U48" s="302">
        <f t="shared" si="16"/>
        <v>0</v>
      </c>
      <c r="W48" s="343" t="str">
        <f t="shared" si="7"/>
        <v/>
      </c>
    </row>
    <row r="49" spans="1:23" ht="18.95" customHeight="1">
      <c r="A49" s="700"/>
      <c r="B49" s="700"/>
      <c r="C49" s="399" t="s">
        <v>1503</v>
      </c>
      <c r="D49" s="330" t="s">
        <v>1808</v>
      </c>
      <c r="E49" s="397">
        <f t="shared" si="17"/>
        <v>0</v>
      </c>
      <c r="F49" s="397" t="s">
        <v>756</v>
      </c>
      <c r="G49" s="302">
        <f>IF($D49="A",ROUND(VLOOKUP($C49,'[2]2.행정구역별 급수인구'!$C$7:$AD$997,17,FALSE)*$E49,0),IF($D49="B",(ROUND(VLOOKUP($C49,'[2]2.행정구역별 급수인구'!$C$7:$AD$997,17,FALSE)-VLOOKUP($C49,'[2]2.행정구역별 급수인구'!$C$7:$AD$997,17,FALSE)*(1-$E49),0)),VLOOKUP($C49,'[2]2.행정구역별 급수인구'!$C$7:$AD$997,17,FALSE)))</f>
        <v>0</v>
      </c>
      <c r="H49" s="302">
        <f>IF($D49="A",ROUND(VLOOKUP($C49,'[2]2.행정구역별 급수인구'!$C$7:$AD$997,25,FALSE)*$E49,0),IF($D49="B",(ROUND(VLOOKUP($C49,'[2]2.행정구역별 급수인구'!$C$7:$AD$997,25,FALSE)-VLOOKUP($C49,'[2]2.행정구역별 급수인구'!$C$7:$AD$997,25,FALSE)*(1-$E49),0)),VLOOKUP($C49,'[2]2.행정구역별 급수인구'!$C$7:$AD$997,25,FALSE)))</f>
        <v>0</v>
      </c>
      <c r="I49" s="302">
        <f>IF($D49="A",ROUND(VLOOKUP($C49,'[2]2.행정구역별 급수인구'!$C$7:$AD$997,26,FALSE)*$E49,0),IF($D49="B",(ROUND(VLOOKUP($C49,'[2]2.행정구역별 급수인구'!$C$7:$AD$997,26,FALSE)-VLOOKUP($C49,'[2]2.행정구역별 급수인구'!$C$7:$AD$997,26,FALSE)*(1-$E49),0)),VLOOKUP($C49,'[2]2.행정구역별 급수인구'!$C$7:$AD$997,26,FALSE)))</f>
        <v>0</v>
      </c>
      <c r="J49" s="302">
        <f>IF($D49="A",ROUND(VLOOKUP($C49,'[2]2.행정구역별 급수인구'!$C$7:$AD$997,27,FALSE)*$E49,0),IF($D49="B",(ROUND(VLOOKUP($C49,'[2]2.행정구역별 급수인구'!$C$7:$AD$997,27,FALSE)-VLOOKUP($C49,'[2]2.행정구역별 급수인구'!$C$7:$AD$997,27,FALSE)*(1-$E49),0)),VLOOKUP($C49,'[2]2.행정구역별 급수인구'!$C$7:$AD$997,27,FALSE)))</f>
        <v>0</v>
      </c>
      <c r="K49" s="302">
        <f>IF($D49="A",ROUND(VLOOKUP($C49,'[2]2.행정구역별 급수인구'!$C$7:$AD$997,28,FALSE)*$E49,0),IF($D49="B",(ROUND(VLOOKUP($C49,'[2]2.행정구역별 급수인구'!$C$7:$AD$997,28,FALSE)-VLOOKUP($C49,'[2]2.행정구역별 급수인구'!$C$7:$AD$997,28,FALSE)*(1-$E49),0)),VLOOKUP($C49,'[2]2.행정구역별 급수인구'!$C$7:$AD$997,28,FALSE)))</f>
        <v>0</v>
      </c>
      <c r="L49" s="302">
        <f>VLOOKUP($F49,'[3]5.급수원단위'!$B$31:$G$35,2,FALSE)</f>
        <v>272</v>
      </c>
      <c r="M49" s="302">
        <f>VLOOKUP($F49,'[3]5.급수원단위'!$B$31:$G$35,3,FALSE)</f>
        <v>304</v>
      </c>
      <c r="N49" s="302">
        <f>VLOOKUP($F49,'[3]5.급수원단위'!$B$31:$G$35,4,FALSE)</f>
        <v>308</v>
      </c>
      <c r="O49" s="302">
        <f>VLOOKUP($F49,'[3]5.급수원단위'!$B$31:$G$35,5,FALSE)</f>
        <v>310</v>
      </c>
      <c r="P49" s="302">
        <f>VLOOKUP($F49,'[3]5.급수원단위'!$B$31:$G$35,6,FALSE)</f>
        <v>310</v>
      </c>
      <c r="Q49" s="302">
        <f>ROUND(IF(G49=0,0,VLOOKUP(C49,'2013실사용량 정리'!$D$6:$F$381,3,FALSE)),0)</f>
        <v>0</v>
      </c>
      <c r="R49" s="302">
        <f t="shared" si="13"/>
        <v>0</v>
      </c>
      <c r="S49" s="302">
        <f t="shared" si="14"/>
        <v>0</v>
      </c>
      <c r="T49" s="302">
        <f t="shared" si="15"/>
        <v>0</v>
      </c>
      <c r="U49" s="302">
        <f t="shared" si="16"/>
        <v>0</v>
      </c>
      <c r="W49" s="343" t="str">
        <f t="shared" si="7"/>
        <v/>
      </c>
    </row>
    <row r="50" spans="1:23" ht="18.95" customHeight="1">
      <c r="A50" s="700"/>
      <c r="B50" s="700"/>
      <c r="C50" s="399" t="s">
        <v>1504</v>
      </c>
      <c r="D50" s="330" t="s">
        <v>1808</v>
      </c>
      <c r="E50" s="397">
        <f t="shared" si="17"/>
        <v>0</v>
      </c>
      <c r="F50" s="397" t="s">
        <v>756</v>
      </c>
      <c r="G50" s="302">
        <f>IF($D50="A",ROUND(VLOOKUP($C50,'[2]2.행정구역별 급수인구'!$C$7:$AD$997,17,FALSE)*$E50,0),IF($D50="B",(ROUND(VLOOKUP($C50,'[2]2.행정구역별 급수인구'!$C$7:$AD$997,17,FALSE)-VLOOKUP($C50,'[2]2.행정구역별 급수인구'!$C$7:$AD$997,17,FALSE)*(1-$E50),0)),VLOOKUP($C50,'[2]2.행정구역별 급수인구'!$C$7:$AD$997,17,FALSE)))</f>
        <v>0</v>
      </c>
      <c r="H50" s="302">
        <f>IF($D50="A",ROUND(VLOOKUP($C50,'[2]2.행정구역별 급수인구'!$C$7:$AD$997,25,FALSE)*$E50,0),IF($D50="B",(ROUND(VLOOKUP($C50,'[2]2.행정구역별 급수인구'!$C$7:$AD$997,25,FALSE)-VLOOKUP($C50,'[2]2.행정구역별 급수인구'!$C$7:$AD$997,25,FALSE)*(1-$E50),0)),VLOOKUP($C50,'[2]2.행정구역별 급수인구'!$C$7:$AD$997,25,FALSE)))</f>
        <v>0</v>
      </c>
      <c r="I50" s="302">
        <f>IF($D50="A",ROUND(VLOOKUP($C50,'[2]2.행정구역별 급수인구'!$C$7:$AD$997,26,FALSE)*$E50,0),IF($D50="B",(ROUND(VLOOKUP($C50,'[2]2.행정구역별 급수인구'!$C$7:$AD$997,26,FALSE)-VLOOKUP($C50,'[2]2.행정구역별 급수인구'!$C$7:$AD$997,26,FALSE)*(1-$E50),0)),VLOOKUP($C50,'[2]2.행정구역별 급수인구'!$C$7:$AD$997,26,FALSE)))</f>
        <v>0</v>
      </c>
      <c r="J50" s="302">
        <f>IF($D50="A",ROUND(VLOOKUP($C50,'[2]2.행정구역별 급수인구'!$C$7:$AD$997,27,FALSE)*$E50,0),IF($D50="B",(ROUND(VLOOKUP($C50,'[2]2.행정구역별 급수인구'!$C$7:$AD$997,27,FALSE)-VLOOKUP($C50,'[2]2.행정구역별 급수인구'!$C$7:$AD$997,27,FALSE)*(1-$E50),0)),VLOOKUP($C50,'[2]2.행정구역별 급수인구'!$C$7:$AD$997,27,FALSE)))</f>
        <v>0</v>
      </c>
      <c r="K50" s="302">
        <f>IF($D50="A",ROUND(VLOOKUP($C50,'[2]2.행정구역별 급수인구'!$C$7:$AD$997,28,FALSE)*$E50,0),IF($D50="B",(ROUND(VLOOKUP($C50,'[2]2.행정구역별 급수인구'!$C$7:$AD$997,28,FALSE)-VLOOKUP($C50,'[2]2.행정구역별 급수인구'!$C$7:$AD$997,28,FALSE)*(1-$E50),0)),VLOOKUP($C50,'[2]2.행정구역별 급수인구'!$C$7:$AD$997,28,FALSE)))</f>
        <v>0</v>
      </c>
      <c r="L50" s="302">
        <f>VLOOKUP($F50,'[3]5.급수원단위'!$B$31:$G$35,2,FALSE)</f>
        <v>272</v>
      </c>
      <c r="M50" s="302">
        <f>VLOOKUP($F50,'[3]5.급수원단위'!$B$31:$G$35,3,FALSE)</f>
        <v>304</v>
      </c>
      <c r="N50" s="302">
        <f>VLOOKUP($F50,'[3]5.급수원단위'!$B$31:$G$35,4,FALSE)</f>
        <v>308</v>
      </c>
      <c r="O50" s="302">
        <f>VLOOKUP($F50,'[3]5.급수원단위'!$B$31:$G$35,5,FALSE)</f>
        <v>310</v>
      </c>
      <c r="P50" s="302">
        <f>VLOOKUP($F50,'[3]5.급수원단위'!$B$31:$G$35,6,FALSE)</f>
        <v>310</v>
      </c>
      <c r="Q50" s="302">
        <f>ROUND(IF(G50=0,0,VLOOKUP(C50,'2013실사용량 정리'!$D$6:$F$381,3,FALSE)),0)</f>
        <v>0</v>
      </c>
      <c r="R50" s="302">
        <f t="shared" si="13"/>
        <v>0</v>
      </c>
      <c r="S50" s="302">
        <f t="shared" si="14"/>
        <v>0</v>
      </c>
      <c r="T50" s="302">
        <f t="shared" si="15"/>
        <v>0</v>
      </c>
      <c r="U50" s="302">
        <f t="shared" si="16"/>
        <v>0</v>
      </c>
      <c r="W50" s="343" t="str">
        <f t="shared" si="7"/>
        <v/>
      </c>
    </row>
    <row r="51" spans="1:23" ht="18.95" customHeight="1">
      <c r="A51" s="700"/>
      <c r="B51" s="700"/>
      <c r="C51" s="399" t="s">
        <v>1505</v>
      </c>
      <c r="D51" s="330" t="s">
        <v>1808</v>
      </c>
      <c r="E51" s="397">
        <f t="shared" si="17"/>
        <v>0</v>
      </c>
      <c r="F51" s="397" t="s">
        <v>756</v>
      </c>
      <c r="G51" s="302">
        <f>IF($D51="A",ROUND(VLOOKUP($C51,'[2]2.행정구역별 급수인구'!$C$7:$AD$997,17,FALSE)*$E51,0),IF($D51="B",(ROUND(VLOOKUP($C51,'[2]2.행정구역별 급수인구'!$C$7:$AD$997,17,FALSE)-VLOOKUP($C51,'[2]2.행정구역별 급수인구'!$C$7:$AD$997,17,FALSE)*(1-$E51),0)),VLOOKUP($C51,'[2]2.행정구역별 급수인구'!$C$7:$AD$997,17,FALSE)))</f>
        <v>0</v>
      </c>
      <c r="H51" s="302">
        <f>IF($D51="A",ROUND(VLOOKUP($C51,'[2]2.행정구역별 급수인구'!$C$7:$AD$997,25,FALSE)*$E51,0),IF($D51="B",(ROUND(VLOOKUP($C51,'[2]2.행정구역별 급수인구'!$C$7:$AD$997,25,FALSE)-VLOOKUP($C51,'[2]2.행정구역별 급수인구'!$C$7:$AD$997,25,FALSE)*(1-$E51),0)),VLOOKUP($C51,'[2]2.행정구역별 급수인구'!$C$7:$AD$997,25,FALSE)))</f>
        <v>0</v>
      </c>
      <c r="I51" s="302">
        <f>IF($D51="A",ROUND(VLOOKUP($C51,'[2]2.행정구역별 급수인구'!$C$7:$AD$997,26,FALSE)*$E51,0),IF($D51="B",(ROUND(VLOOKUP($C51,'[2]2.행정구역별 급수인구'!$C$7:$AD$997,26,FALSE)-VLOOKUP($C51,'[2]2.행정구역별 급수인구'!$C$7:$AD$997,26,FALSE)*(1-$E51),0)),VLOOKUP($C51,'[2]2.행정구역별 급수인구'!$C$7:$AD$997,26,FALSE)))</f>
        <v>0</v>
      </c>
      <c r="J51" s="302">
        <f>IF($D51="A",ROUND(VLOOKUP($C51,'[2]2.행정구역별 급수인구'!$C$7:$AD$997,27,FALSE)*$E51,0),IF($D51="B",(ROUND(VLOOKUP($C51,'[2]2.행정구역별 급수인구'!$C$7:$AD$997,27,FALSE)-VLOOKUP($C51,'[2]2.행정구역별 급수인구'!$C$7:$AD$997,27,FALSE)*(1-$E51),0)),VLOOKUP($C51,'[2]2.행정구역별 급수인구'!$C$7:$AD$997,27,FALSE)))</f>
        <v>0</v>
      </c>
      <c r="K51" s="302">
        <f>IF($D51="A",ROUND(VLOOKUP($C51,'[2]2.행정구역별 급수인구'!$C$7:$AD$997,28,FALSE)*$E51,0),IF($D51="B",(ROUND(VLOOKUP($C51,'[2]2.행정구역별 급수인구'!$C$7:$AD$997,28,FALSE)-VLOOKUP($C51,'[2]2.행정구역별 급수인구'!$C$7:$AD$997,28,FALSE)*(1-$E51),0)),VLOOKUP($C51,'[2]2.행정구역별 급수인구'!$C$7:$AD$997,28,FALSE)))</f>
        <v>0</v>
      </c>
      <c r="L51" s="302">
        <f>VLOOKUP($F51,'[3]5.급수원단위'!$B$31:$G$35,2,FALSE)</f>
        <v>272</v>
      </c>
      <c r="M51" s="302">
        <f>VLOOKUP($F51,'[3]5.급수원단위'!$B$31:$G$35,3,FALSE)</f>
        <v>304</v>
      </c>
      <c r="N51" s="302">
        <f>VLOOKUP($F51,'[3]5.급수원단위'!$B$31:$G$35,4,FALSE)</f>
        <v>308</v>
      </c>
      <c r="O51" s="302">
        <f>VLOOKUP($F51,'[3]5.급수원단위'!$B$31:$G$35,5,FALSE)</f>
        <v>310</v>
      </c>
      <c r="P51" s="302">
        <f>VLOOKUP($F51,'[3]5.급수원단위'!$B$31:$G$35,6,FALSE)</f>
        <v>310</v>
      </c>
      <c r="Q51" s="302">
        <f>ROUND(IF(G51=0,0,VLOOKUP(C51,'2013실사용량 정리'!$D$6:$F$381,3,FALSE)),0)</f>
        <v>0</v>
      </c>
      <c r="R51" s="302">
        <f t="shared" si="13"/>
        <v>0</v>
      </c>
      <c r="S51" s="302">
        <f t="shared" si="14"/>
        <v>0</v>
      </c>
      <c r="T51" s="302">
        <f t="shared" si="15"/>
        <v>0</v>
      </c>
      <c r="U51" s="302">
        <f t="shared" si="16"/>
        <v>0</v>
      </c>
      <c r="W51" s="343" t="str">
        <f t="shared" si="7"/>
        <v/>
      </c>
    </row>
    <row r="52" spans="1:23" ht="18.95" customHeight="1">
      <c r="A52" s="700"/>
      <c r="B52" s="700"/>
      <c r="C52" s="399" t="s">
        <v>1506</v>
      </c>
      <c r="D52" s="330" t="s">
        <v>1808</v>
      </c>
      <c r="E52" s="397">
        <f t="shared" si="17"/>
        <v>0</v>
      </c>
      <c r="F52" s="397" t="s">
        <v>756</v>
      </c>
      <c r="G52" s="302">
        <f>IF($D52="A",ROUND(VLOOKUP($C52,'[2]2.행정구역별 급수인구'!$C$7:$AD$997,17,FALSE)*$E52,0),IF($D52="B",(ROUND(VLOOKUP($C52,'[2]2.행정구역별 급수인구'!$C$7:$AD$997,17,FALSE)-VLOOKUP($C52,'[2]2.행정구역별 급수인구'!$C$7:$AD$997,17,FALSE)*(1-$E52),0)),VLOOKUP($C52,'[2]2.행정구역별 급수인구'!$C$7:$AD$997,17,FALSE)))</f>
        <v>0</v>
      </c>
      <c r="H52" s="302">
        <f>IF($D52="A",ROUND(VLOOKUP($C52,'[2]2.행정구역별 급수인구'!$C$7:$AD$997,25,FALSE)*$E52,0),IF($D52="B",(ROUND(VLOOKUP($C52,'[2]2.행정구역별 급수인구'!$C$7:$AD$997,25,FALSE)-VLOOKUP($C52,'[2]2.행정구역별 급수인구'!$C$7:$AD$997,25,FALSE)*(1-$E52),0)),VLOOKUP($C52,'[2]2.행정구역별 급수인구'!$C$7:$AD$997,25,FALSE)))</f>
        <v>0</v>
      </c>
      <c r="I52" s="302">
        <f>IF($D52="A",ROUND(VLOOKUP($C52,'[2]2.행정구역별 급수인구'!$C$7:$AD$997,26,FALSE)*$E52,0),IF($D52="B",(ROUND(VLOOKUP($C52,'[2]2.행정구역별 급수인구'!$C$7:$AD$997,26,FALSE)-VLOOKUP($C52,'[2]2.행정구역별 급수인구'!$C$7:$AD$997,26,FALSE)*(1-$E52),0)),VLOOKUP($C52,'[2]2.행정구역별 급수인구'!$C$7:$AD$997,26,FALSE)))</f>
        <v>0</v>
      </c>
      <c r="J52" s="302">
        <f>IF($D52="A",ROUND(VLOOKUP($C52,'[2]2.행정구역별 급수인구'!$C$7:$AD$997,27,FALSE)*$E52,0),IF($D52="B",(ROUND(VLOOKUP($C52,'[2]2.행정구역별 급수인구'!$C$7:$AD$997,27,FALSE)-VLOOKUP($C52,'[2]2.행정구역별 급수인구'!$C$7:$AD$997,27,FALSE)*(1-$E52),0)),VLOOKUP($C52,'[2]2.행정구역별 급수인구'!$C$7:$AD$997,27,FALSE)))</f>
        <v>0</v>
      </c>
      <c r="K52" s="302">
        <f>IF($D52="A",ROUND(VLOOKUP($C52,'[2]2.행정구역별 급수인구'!$C$7:$AD$997,28,FALSE)*$E52,0),IF($D52="B",(ROUND(VLOOKUP($C52,'[2]2.행정구역별 급수인구'!$C$7:$AD$997,28,FALSE)-VLOOKUP($C52,'[2]2.행정구역별 급수인구'!$C$7:$AD$997,28,FALSE)*(1-$E52),0)),VLOOKUP($C52,'[2]2.행정구역별 급수인구'!$C$7:$AD$997,28,FALSE)))</f>
        <v>0</v>
      </c>
      <c r="L52" s="302">
        <f>VLOOKUP($F52,'[3]5.급수원단위'!$B$31:$G$35,2,FALSE)</f>
        <v>272</v>
      </c>
      <c r="M52" s="302">
        <f>VLOOKUP($F52,'[3]5.급수원단위'!$B$31:$G$35,3,FALSE)</f>
        <v>304</v>
      </c>
      <c r="N52" s="302">
        <f>VLOOKUP($F52,'[3]5.급수원단위'!$B$31:$G$35,4,FALSE)</f>
        <v>308</v>
      </c>
      <c r="O52" s="302">
        <f>VLOOKUP($F52,'[3]5.급수원단위'!$B$31:$G$35,5,FALSE)</f>
        <v>310</v>
      </c>
      <c r="P52" s="302">
        <f>VLOOKUP($F52,'[3]5.급수원단위'!$B$31:$G$35,6,FALSE)</f>
        <v>310</v>
      </c>
      <c r="Q52" s="302">
        <f>ROUND(IF(G52=0,0,VLOOKUP(C52,'2013실사용량 정리'!$D$6:$F$381,3,FALSE)),0)</f>
        <v>0</v>
      </c>
      <c r="R52" s="302">
        <f t="shared" si="13"/>
        <v>0</v>
      </c>
      <c r="S52" s="302">
        <f t="shared" si="14"/>
        <v>0</v>
      </c>
      <c r="T52" s="302">
        <f t="shared" si="15"/>
        <v>0</v>
      </c>
      <c r="U52" s="302">
        <f t="shared" si="16"/>
        <v>0</v>
      </c>
      <c r="W52" s="343" t="str">
        <f t="shared" si="7"/>
        <v/>
      </c>
    </row>
    <row r="53" spans="1:23" ht="18.95" customHeight="1">
      <c r="A53" s="700"/>
      <c r="B53" s="700"/>
      <c r="C53" s="399" t="s">
        <v>1507</v>
      </c>
      <c r="D53" s="330" t="s">
        <v>1808</v>
      </c>
      <c r="E53" s="397">
        <f t="shared" si="17"/>
        <v>0</v>
      </c>
      <c r="F53" s="397" t="s">
        <v>756</v>
      </c>
      <c r="G53" s="302">
        <f>IF($D53="A",ROUND(VLOOKUP($C53,'[2]2.행정구역별 급수인구'!$C$7:$AD$997,17,FALSE)*$E53,0),IF($D53="B",(ROUND(VLOOKUP($C53,'[2]2.행정구역별 급수인구'!$C$7:$AD$997,17,FALSE)-VLOOKUP($C53,'[2]2.행정구역별 급수인구'!$C$7:$AD$997,17,FALSE)*(1-$E53),0)),VLOOKUP($C53,'[2]2.행정구역별 급수인구'!$C$7:$AD$997,17,FALSE)))</f>
        <v>0</v>
      </c>
      <c r="H53" s="302">
        <f>IF($D53="A",ROUND(VLOOKUP($C53,'[2]2.행정구역별 급수인구'!$C$7:$AD$997,25,FALSE)*$E53,0),IF($D53="B",(ROUND(VLOOKUP($C53,'[2]2.행정구역별 급수인구'!$C$7:$AD$997,25,FALSE)-VLOOKUP($C53,'[2]2.행정구역별 급수인구'!$C$7:$AD$997,25,FALSE)*(1-$E53),0)),VLOOKUP($C53,'[2]2.행정구역별 급수인구'!$C$7:$AD$997,25,FALSE)))</f>
        <v>0</v>
      </c>
      <c r="I53" s="302">
        <f>IF($D53="A",ROUND(VLOOKUP($C53,'[2]2.행정구역별 급수인구'!$C$7:$AD$997,26,FALSE)*$E53,0),IF($D53="B",(ROUND(VLOOKUP($C53,'[2]2.행정구역별 급수인구'!$C$7:$AD$997,26,FALSE)-VLOOKUP($C53,'[2]2.행정구역별 급수인구'!$C$7:$AD$997,26,FALSE)*(1-$E53),0)),VLOOKUP($C53,'[2]2.행정구역별 급수인구'!$C$7:$AD$997,26,FALSE)))</f>
        <v>0</v>
      </c>
      <c r="J53" s="302">
        <f>IF($D53="A",ROUND(VLOOKUP($C53,'[2]2.행정구역별 급수인구'!$C$7:$AD$997,27,FALSE)*$E53,0),IF($D53="B",(ROUND(VLOOKUP($C53,'[2]2.행정구역별 급수인구'!$C$7:$AD$997,27,FALSE)-VLOOKUP($C53,'[2]2.행정구역별 급수인구'!$C$7:$AD$997,27,FALSE)*(1-$E53),0)),VLOOKUP($C53,'[2]2.행정구역별 급수인구'!$C$7:$AD$997,27,FALSE)))</f>
        <v>0</v>
      </c>
      <c r="K53" s="302">
        <f>IF($D53="A",ROUND(VLOOKUP($C53,'[2]2.행정구역별 급수인구'!$C$7:$AD$997,28,FALSE)*$E53,0),IF($D53="B",(ROUND(VLOOKUP($C53,'[2]2.행정구역별 급수인구'!$C$7:$AD$997,28,FALSE)-VLOOKUP($C53,'[2]2.행정구역별 급수인구'!$C$7:$AD$997,28,FALSE)*(1-$E53),0)),VLOOKUP($C53,'[2]2.행정구역별 급수인구'!$C$7:$AD$997,28,FALSE)))</f>
        <v>0</v>
      </c>
      <c r="L53" s="302">
        <f>VLOOKUP($F53,'[3]5.급수원단위'!$B$31:$G$35,2,FALSE)</f>
        <v>272</v>
      </c>
      <c r="M53" s="302">
        <f>VLOOKUP($F53,'[3]5.급수원단위'!$B$31:$G$35,3,FALSE)</f>
        <v>304</v>
      </c>
      <c r="N53" s="302">
        <f>VLOOKUP($F53,'[3]5.급수원단위'!$B$31:$G$35,4,FALSE)</f>
        <v>308</v>
      </c>
      <c r="O53" s="302">
        <f>VLOOKUP($F53,'[3]5.급수원단위'!$B$31:$G$35,5,FALSE)</f>
        <v>310</v>
      </c>
      <c r="P53" s="302">
        <f>VLOOKUP($F53,'[3]5.급수원단위'!$B$31:$G$35,6,FALSE)</f>
        <v>310</v>
      </c>
      <c r="Q53" s="302">
        <f>ROUND(IF(G53=0,0,VLOOKUP(C53,'2013실사용량 정리'!$D$6:$F$381,3,FALSE)),0)</f>
        <v>0</v>
      </c>
      <c r="R53" s="302">
        <f t="shared" si="13"/>
        <v>0</v>
      </c>
      <c r="S53" s="302">
        <f t="shared" si="14"/>
        <v>0</v>
      </c>
      <c r="T53" s="302">
        <f t="shared" si="15"/>
        <v>0</v>
      </c>
      <c r="U53" s="302">
        <f t="shared" si="16"/>
        <v>0</v>
      </c>
      <c r="W53" s="343" t="str">
        <f t="shared" si="7"/>
        <v/>
      </c>
    </row>
    <row r="54" spans="1:23" ht="18.95" customHeight="1">
      <c r="A54" s="700"/>
      <c r="B54" s="700"/>
      <c r="C54" s="399" t="s">
        <v>1508</v>
      </c>
      <c r="D54" s="330" t="s">
        <v>1808</v>
      </c>
      <c r="E54" s="397">
        <f t="shared" si="17"/>
        <v>0.31000000000000005</v>
      </c>
      <c r="F54" s="397" t="s">
        <v>756</v>
      </c>
      <c r="G54" s="302">
        <f>IF($D54="A",ROUND(VLOOKUP($C54,'[2]2.행정구역별 급수인구'!$C$7:$AD$997,17,FALSE)*$E54,0),IF($D54="B",(ROUND(VLOOKUP($C54,'[2]2.행정구역별 급수인구'!$C$7:$AD$997,17,FALSE)-VLOOKUP($C54,'[2]2.행정구역별 급수인구'!$C$7:$AD$997,17,FALSE)*(1-$E54),0)),VLOOKUP($C54,'[2]2.행정구역별 급수인구'!$C$7:$AD$997,17,FALSE)))</f>
        <v>32</v>
      </c>
      <c r="H54" s="302">
        <f>IF($D54="A",ROUND(VLOOKUP($C54,'[2]2.행정구역별 급수인구'!$C$7:$AD$997,25,FALSE)*$E54,0),IF($D54="B",(ROUND(VLOOKUP($C54,'[2]2.행정구역별 급수인구'!$C$7:$AD$997,25,FALSE)-VLOOKUP($C54,'[2]2.행정구역별 급수인구'!$C$7:$AD$997,25,FALSE)*(1-$E54),0)),VLOOKUP($C54,'[2]2.행정구역별 급수인구'!$C$7:$AD$997,25,FALSE)))</f>
        <v>34</v>
      </c>
      <c r="I54" s="302">
        <f>IF($D54="A",ROUND(VLOOKUP($C54,'[2]2.행정구역별 급수인구'!$C$7:$AD$997,26,FALSE)*$E54,0),IF($D54="B",(ROUND(VLOOKUP($C54,'[2]2.행정구역별 급수인구'!$C$7:$AD$997,26,FALSE)-VLOOKUP($C54,'[2]2.행정구역별 급수인구'!$C$7:$AD$997,26,FALSE)*(1-$E54),0)),VLOOKUP($C54,'[2]2.행정구역별 급수인구'!$C$7:$AD$997,26,FALSE)))</f>
        <v>36</v>
      </c>
      <c r="J54" s="302">
        <f>IF($D54="A",ROUND(VLOOKUP($C54,'[2]2.행정구역별 급수인구'!$C$7:$AD$997,27,FALSE)*$E54,0),IF($D54="B",(ROUND(VLOOKUP($C54,'[2]2.행정구역별 급수인구'!$C$7:$AD$997,27,FALSE)-VLOOKUP($C54,'[2]2.행정구역별 급수인구'!$C$7:$AD$997,27,FALSE)*(1-$E54),0)),VLOOKUP($C54,'[2]2.행정구역별 급수인구'!$C$7:$AD$997,27,FALSE)))</f>
        <v>39</v>
      </c>
      <c r="K54" s="302">
        <f>IF($D54="A",ROUND(VLOOKUP($C54,'[2]2.행정구역별 급수인구'!$C$7:$AD$997,28,FALSE)*$E54,0),IF($D54="B",(ROUND(VLOOKUP($C54,'[2]2.행정구역별 급수인구'!$C$7:$AD$997,28,FALSE)-VLOOKUP($C54,'[2]2.행정구역별 급수인구'!$C$7:$AD$997,28,FALSE)*(1-$E54),0)),VLOOKUP($C54,'[2]2.행정구역별 급수인구'!$C$7:$AD$997,28,FALSE)))</f>
        <v>39</v>
      </c>
      <c r="L54" s="302">
        <f>VLOOKUP($F54,'[3]5.급수원단위'!$B$31:$G$35,2,FALSE)</f>
        <v>272</v>
      </c>
      <c r="M54" s="302">
        <f>VLOOKUP($F54,'[3]5.급수원단위'!$B$31:$G$35,3,FALSE)</f>
        <v>304</v>
      </c>
      <c r="N54" s="302">
        <f>VLOOKUP($F54,'[3]5.급수원단위'!$B$31:$G$35,4,FALSE)</f>
        <v>308</v>
      </c>
      <c r="O54" s="302">
        <f>VLOOKUP($F54,'[3]5.급수원단위'!$B$31:$G$35,5,FALSE)</f>
        <v>310</v>
      </c>
      <c r="P54" s="302">
        <f>VLOOKUP($F54,'[3]5.급수원단위'!$B$31:$G$35,6,FALSE)</f>
        <v>310</v>
      </c>
      <c r="Q54" s="417">
        <f>'2013실사용량 정리'!F236</f>
        <v>10</v>
      </c>
      <c r="R54" s="302">
        <f t="shared" si="13"/>
        <v>10</v>
      </c>
      <c r="S54" s="302">
        <f t="shared" si="14"/>
        <v>11</v>
      </c>
      <c r="T54" s="302">
        <f t="shared" si="15"/>
        <v>12</v>
      </c>
      <c r="U54" s="302">
        <f t="shared" si="16"/>
        <v>12</v>
      </c>
      <c r="W54" s="343">
        <f t="shared" si="7"/>
        <v>1.2</v>
      </c>
    </row>
    <row r="55" spans="1:23" ht="18.95" customHeight="1">
      <c r="A55" s="700"/>
      <c r="B55" s="700"/>
      <c r="C55" s="399" t="s">
        <v>1509</v>
      </c>
      <c r="D55" s="330" t="s">
        <v>1808</v>
      </c>
      <c r="E55" s="397">
        <f t="shared" si="17"/>
        <v>0.31000000000000005</v>
      </c>
      <c r="F55" s="397" t="s">
        <v>756</v>
      </c>
      <c r="G55" s="302">
        <f>IF($D55="A",ROUND(VLOOKUP($C55,'[2]2.행정구역별 급수인구'!$C$7:$AD$997,17,FALSE)*$E55,0),IF($D55="B",(ROUND(VLOOKUP($C55,'[2]2.행정구역별 급수인구'!$C$7:$AD$997,17,FALSE)-VLOOKUP($C55,'[2]2.행정구역별 급수인구'!$C$7:$AD$997,17,FALSE)*(1-$E55),0)),VLOOKUP($C55,'[2]2.행정구역별 급수인구'!$C$7:$AD$997,17,FALSE)))</f>
        <v>31</v>
      </c>
      <c r="H55" s="302">
        <f>IF($D55="A",ROUND(VLOOKUP($C55,'[2]2.행정구역별 급수인구'!$C$7:$AD$997,25,FALSE)*$E55,0),IF($D55="B",(ROUND(VLOOKUP($C55,'[2]2.행정구역별 급수인구'!$C$7:$AD$997,25,FALSE)-VLOOKUP($C55,'[2]2.행정구역별 급수인구'!$C$7:$AD$997,25,FALSE)*(1-$E55),0)),VLOOKUP($C55,'[2]2.행정구역별 급수인구'!$C$7:$AD$997,25,FALSE)))</f>
        <v>35</v>
      </c>
      <c r="I55" s="302">
        <f>IF($D55="A",ROUND(VLOOKUP($C55,'[2]2.행정구역별 급수인구'!$C$7:$AD$997,26,FALSE)*$E55,0),IF($D55="B",(ROUND(VLOOKUP($C55,'[2]2.행정구역별 급수인구'!$C$7:$AD$997,26,FALSE)-VLOOKUP($C55,'[2]2.행정구역별 급수인구'!$C$7:$AD$997,26,FALSE)*(1-$E55),0)),VLOOKUP($C55,'[2]2.행정구역별 급수인구'!$C$7:$AD$997,26,FALSE)))</f>
        <v>37</v>
      </c>
      <c r="J55" s="302">
        <f>IF($D55="A",ROUND(VLOOKUP($C55,'[2]2.행정구역별 급수인구'!$C$7:$AD$997,27,FALSE)*$E55,0),IF($D55="B",(ROUND(VLOOKUP($C55,'[2]2.행정구역별 급수인구'!$C$7:$AD$997,27,FALSE)-VLOOKUP($C55,'[2]2.행정구역별 급수인구'!$C$7:$AD$997,27,FALSE)*(1-$E55),0)),VLOOKUP($C55,'[2]2.행정구역별 급수인구'!$C$7:$AD$997,27,FALSE)))</f>
        <v>41</v>
      </c>
      <c r="K55" s="302">
        <f>IF($D55="A",ROUND(VLOOKUP($C55,'[2]2.행정구역별 급수인구'!$C$7:$AD$997,28,FALSE)*$E55,0),IF($D55="B",(ROUND(VLOOKUP($C55,'[2]2.행정구역별 급수인구'!$C$7:$AD$997,28,FALSE)-VLOOKUP($C55,'[2]2.행정구역별 급수인구'!$C$7:$AD$997,28,FALSE)*(1-$E55),0)),VLOOKUP($C55,'[2]2.행정구역별 급수인구'!$C$7:$AD$997,28,FALSE)))</f>
        <v>41</v>
      </c>
      <c r="L55" s="302">
        <f>VLOOKUP($F55,'[3]5.급수원단위'!$B$31:$G$35,2,FALSE)</f>
        <v>272</v>
      </c>
      <c r="M55" s="302">
        <f>VLOOKUP($F55,'[3]5.급수원단위'!$B$31:$G$35,3,FALSE)</f>
        <v>304</v>
      </c>
      <c r="N55" s="302">
        <f>VLOOKUP($F55,'[3]5.급수원단위'!$B$31:$G$35,4,FALSE)</f>
        <v>308</v>
      </c>
      <c r="O55" s="302">
        <f>VLOOKUP($F55,'[3]5.급수원단위'!$B$31:$G$35,5,FALSE)</f>
        <v>310</v>
      </c>
      <c r="P55" s="302">
        <f>VLOOKUP($F55,'[3]5.급수원단위'!$B$31:$G$35,6,FALSE)</f>
        <v>310</v>
      </c>
      <c r="Q55" s="417">
        <f>'2013실사용량 정리'!F237</f>
        <v>10</v>
      </c>
      <c r="R55" s="302">
        <f t="shared" si="13"/>
        <v>11</v>
      </c>
      <c r="S55" s="302">
        <f t="shared" si="14"/>
        <v>11</v>
      </c>
      <c r="T55" s="302">
        <f t="shared" si="15"/>
        <v>13</v>
      </c>
      <c r="U55" s="302">
        <f t="shared" si="16"/>
        <v>13</v>
      </c>
      <c r="W55" s="343">
        <f t="shared" si="7"/>
        <v>1.3</v>
      </c>
    </row>
    <row r="56" spans="1:23" ht="18.95" customHeight="1">
      <c r="A56" s="700"/>
      <c r="B56" s="700"/>
      <c r="C56" s="399" t="s">
        <v>1510</v>
      </c>
      <c r="D56" s="330" t="s">
        <v>1808</v>
      </c>
      <c r="E56" s="397">
        <f t="shared" si="17"/>
        <v>0.31000000000000005</v>
      </c>
      <c r="F56" s="397" t="s">
        <v>756</v>
      </c>
      <c r="G56" s="302">
        <f>IF($D56="A",ROUND(VLOOKUP($C56,'[2]2.행정구역별 급수인구'!$C$7:$AD$997,17,FALSE)*$E56,0),IF($D56="B",(ROUND(VLOOKUP($C56,'[2]2.행정구역별 급수인구'!$C$7:$AD$997,17,FALSE)-VLOOKUP($C56,'[2]2.행정구역별 급수인구'!$C$7:$AD$997,17,FALSE)*(1-$E56),0)),VLOOKUP($C56,'[2]2.행정구역별 급수인구'!$C$7:$AD$997,17,FALSE)))</f>
        <v>24</v>
      </c>
      <c r="H56" s="302">
        <f>IF($D56="A",ROUND(VLOOKUP($C56,'[2]2.행정구역별 급수인구'!$C$7:$AD$997,25,FALSE)*$E56,0),IF($D56="B",(ROUND(VLOOKUP($C56,'[2]2.행정구역별 급수인구'!$C$7:$AD$997,25,FALSE)-VLOOKUP($C56,'[2]2.행정구역별 급수인구'!$C$7:$AD$997,25,FALSE)*(1-$E56),0)),VLOOKUP($C56,'[2]2.행정구역별 급수인구'!$C$7:$AD$997,25,FALSE)))</f>
        <v>24</v>
      </c>
      <c r="I56" s="302">
        <f>IF($D56="A",ROUND(VLOOKUP($C56,'[2]2.행정구역별 급수인구'!$C$7:$AD$997,26,FALSE)*$E56,0),IF($D56="B",(ROUND(VLOOKUP($C56,'[2]2.행정구역별 급수인구'!$C$7:$AD$997,26,FALSE)-VLOOKUP($C56,'[2]2.행정구역별 급수인구'!$C$7:$AD$997,26,FALSE)*(1-$E56),0)),VLOOKUP($C56,'[2]2.행정구역별 급수인구'!$C$7:$AD$997,26,FALSE)))</f>
        <v>26</v>
      </c>
      <c r="J56" s="302">
        <f>IF($D56="A",ROUND(VLOOKUP($C56,'[2]2.행정구역별 급수인구'!$C$7:$AD$997,27,FALSE)*$E56,0),IF($D56="B",(ROUND(VLOOKUP($C56,'[2]2.행정구역별 급수인구'!$C$7:$AD$997,27,FALSE)-VLOOKUP($C56,'[2]2.행정구역별 급수인구'!$C$7:$AD$997,27,FALSE)*(1-$E56),0)),VLOOKUP($C56,'[2]2.행정구역별 급수인구'!$C$7:$AD$997,27,FALSE)))</f>
        <v>28</v>
      </c>
      <c r="K56" s="302">
        <f>IF($D56="A",ROUND(VLOOKUP($C56,'[2]2.행정구역별 급수인구'!$C$7:$AD$997,28,FALSE)*$E56,0),IF($D56="B",(ROUND(VLOOKUP($C56,'[2]2.행정구역별 급수인구'!$C$7:$AD$997,28,FALSE)-VLOOKUP($C56,'[2]2.행정구역별 급수인구'!$C$7:$AD$997,28,FALSE)*(1-$E56),0)),VLOOKUP($C56,'[2]2.행정구역별 급수인구'!$C$7:$AD$997,28,FALSE)))</f>
        <v>29</v>
      </c>
      <c r="L56" s="302">
        <f>VLOOKUP($F56,'[3]5.급수원단위'!$B$31:$G$35,2,FALSE)</f>
        <v>272</v>
      </c>
      <c r="M56" s="302">
        <f>VLOOKUP($F56,'[3]5.급수원단위'!$B$31:$G$35,3,FALSE)</f>
        <v>304</v>
      </c>
      <c r="N56" s="302">
        <f>VLOOKUP($F56,'[3]5.급수원단위'!$B$31:$G$35,4,FALSE)</f>
        <v>308</v>
      </c>
      <c r="O56" s="302">
        <f>VLOOKUP($F56,'[3]5.급수원단위'!$B$31:$G$35,5,FALSE)</f>
        <v>310</v>
      </c>
      <c r="P56" s="302">
        <f>VLOOKUP($F56,'[3]5.급수원단위'!$B$31:$G$35,6,FALSE)</f>
        <v>310</v>
      </c>
      <c r="Q56" s="417">
        <f>'2013실사용량 정리'!F238</f>
        <v>8</v>
      </c>
      <c r="R56" s="302">
        <f t="shared" si="13"/>
        <v>7</v>
      </c>
      <c r="S56" s="302">
        <f t="shared" si="14"/>
        <v>8</v>
      </c>
      <c r="T56" s="302">
        <f t="shared" si="15"/>
        <v>9</v>
      </c>
      <c r="U56" s="302">
        <f t="shared" si="16"/>
        <v>9</v>
      </c>
      <c r="W56" s="343">
        <f t="shared" si="7"/>
        <v>1.125</v>
      </c>
    </row>
    <row r="57" spans="1:23" ht="18.95" customHeight="1">
      <c r="A57" s="700"/>
      <c r="B57" s="700"/>
      <c r="C57" s="399" t="s">
        <v>1511</v>
      </c>
      <c r="D57" s="330" t="s">
        <v>1808</v>
      </c>
      <c r="E57" s="397">
        <f t="shared" si="17"/>
        <v>1</v>
      </c>
      <c r="F57" s="397" t="s">
        <v>756</v>
      </c>
      <c r="G57" s="302">
        <f>IF($D57="A",ROUND(VLOOKUP($C57,'[2]2.행정구역별 급수인구'!$C$7:$AD$997,17,FALSE)*$E57,0),IF($D57="B",(ROUND(VLOOKUP($C57,'[2]2.행정구역별 급수인구'!$C$7:$AD$997,17,FALSE)-VLOOKUP($C57,'[2]2.행정구역별 급수인구'!$C$7:$AD$997,17,FALSE)*(1-$E57),0)),VLOOKUP($C57,'[2]2.행정구역별 급수인구'!$C$7:$AD$997,17,FALSE)))</f>
        <v>70</v>
      </c>
      <c r="H57" s="302">
        <f>IF($D57="A",ROUND(VLOOKUP($C57,'[2]2.행정구역별 급수인구'!$C$7:$AD$997,25,FALSE)*$E57,0),IF($D57="B",(ROUND(VLOOKUP($C57,'[2]2.행정구역별 급수인구'!$C$7:$AD$997,25,FALSE)-VLOOKUP($C57,'[2]2.행정구역별 급수인구'!$C$7:$AD$997,25,FALSE)*(1-$E57),0)),VLOOKUP($C57,'[2]2.행정구역별 급수인구'!$C$7:$AD$997,25,FALSE)))</f>
        <v>74</v>
      </c>
      <c r="I57" s="302">
        <f>IF($D57="A",ROUND(VLOOKUP($C57,'[2]2.행정구역별 급수인구'!$C$7:$AD$997,26,FALSE)*$E57,0),IF($D57="B",(ROUND(VLOOKUP($C57,'[2]2.행정구역별 급수인구'!$C$7:$AD$997,26,FALSE)-VLOOKUP($C57,'[2]2.행정구역별 급수인구'!$C$7:$AD$997,26,FALSE)*(1-$E57),0)),VLOOKUP($C57,'[2]2.행정구역별 급수인구'!$C$7:$AD$997,26,FALSE)))</f>
        <v>77</v>
      </c>
      <c r="J57" s="302">
        <f>IF($D57="A",ROUND(VLOOKUP($C57,'[2]2.행정구역별 급수인구'!$C$7:$AD$997,27,FALSE)*$E57,0),IF($D57="B",(ROUND(VLOOKUP($C57,'[2]2.행정구역별 급수인구'!$C$7:$AD$997,27,FALSE)-VLOOKUP($C57,'[2]2.행정구역별 급수인구'!$C$7:$AD$997,27,FALSE)*(1-$E57),0)),VLOOKUP($C57,'[2]2.행정구역별 급수인구'!$C$7:$AD$997,27,FALSE)))</f>
        <v>84</v>
      </c>
      <c r="K57" s="302">
        <f>IF($D57="A",ROUND(VLOOKUP($C57,'[2]2.행정구역별 급수인구'!$C$7:$AD$997,28,FALSE)*$E57,0),IF($D57="B",(ROUND(VLOOKUP($C57,'[2]2.행정구역별 급수인구'!$C$7:$AD$997,28,FALSE)-VLOOKUP($C57,'[2]2.행정구역별 급수인구'!$C$7:$AD$997,28,FALSE)*(1-$E57),0)),VLOOKUP($C57,'[2]2.행정구역별 급수인구'!$C$7:$AD$997,28,FALSE)))</f>
        <v>86</v>
      </c>
      <c r="L57" s="302">
        <f>VLOOKUP($F57,'[3]5.급수원단위'!$B$31:$G$35,2,FALSE)</f>
        <v>272</v>
      </c>
      <c r="M57" s="302">
        <f>VLOOKUP($F57,'[3]5.급수원단위'!$B$31:$G$35,3,FALSE)</f>
        <v>304</v>
      </c>
      <c r="N57" s="302">
        <f>VLOOKUP($F57,'[3]5.급수원단위'!$B$31:$G$35,4,FALSE)</f>
        <v>308</v>
      </c>
      <c r="O57" s="302">
        <f>VLOOKUP($F57,'[3]5.급수원단위'!$B$31:$G$35,5,FALSE)</f>
        <v>310</v>
      </c>
      <c r="P57" s="302">
        <f>VLOOKUP($F57,'[3]5.급수원단위'!$B$31:$G$35,6,FALSE)</f>
        <v>310</v>
      </c>
      <c r="Q57" s="302">
        <f>ROUND(IF(G57=0,0,VLOOKUP(C57,'2013실사용량 정리'!$D$6:$F$381,3,FALSE)),0)</f>
        <v>27</v>
      </c>
      <c r="R57" s="302">
        <f t="shared" si="13"/>
        <v>22</v>
      </c>
      <c r="S57" s="302">
        <f t="shared" si="14"/>
        <v>24</v>
      </c>
      <c r="T57" s="302">
        <f t="shared" si="15"/>
        <v>26</v>
      </c>
      <c r="U57" s="302">
        <f t="shared" si="16"/>
        <v>27</v>
      </c>
      <c r="W57" s="343">
        <f t="shared" si="7"/>
        <v>1</v>
      </c>
    </row>
    <row r="58" spans="1:23" ht="18.95" customHeight="1">
      <c r="A58" s="700"/>
      <c r="B58" s="700"/>
      <c r="C58" s="399" t="s">
        <v>1512</v>
      </c>
      <c r="D58" s="330" t="s">
        <v>1808</v>
      </c>
      <c r="E58" s="397">
        <f t="shared" si="17"/>
        <v>1</v>
      </c>
      <c r="F58" s="397" t="s">
        <v>756</v>
      </c>
      <c r="G58" s="302">
        <f>IF($D58="A",ROUND(VLOOKUP($C58,'[2]2.행정구역별 급수인구'!$C$7:$AD$997,17,FALSE)*$E58,0),IF($D58="B",(ROUND(VLOOKUP($C58,'[2]2.행정구역별 급수인구'!$C$7:$AD$997,17,FALSE)-VLOOKUP($C58,'[2]2.행정구역별 급수인구'!$C$7:$AD$997,17,FALSE)*(1-$E58),0)),VLOOKUP($C58,'[2]2.행정구역별 급수인구'!$C$7:$AD$997,17,FALSE)))</f>
        <v>135</v>
      </c>
      <c r="H58" s="302">
        <f>IF($D58="A",ROUND(VLOOKUP($C58,'[2]2.행정구역별 급수인구'!$C$7:$AD$997,25,FALSE)*$E58,0),IF($D58="B",(ROUND(VLOOKUP($C58,'[2]2.행정구역별 급수인구'!$C$7:$AD$997,25,FALSE)-VLOOKUP($C58,'[2]2.행정구역별 급수인구'!$C$7:$AD$997,25,FALSE)*(1-$E58),0)),VLOOKUP($C58,'[2]2.행정구역별 급수인구'!$C$7:$AD$997,25,FALSE)))</f>
        <v>142</v>
      </c>
      <c r="I58" s="302">
        <f>IF($D58="A",ROUND(VLOOKUP($C58,'[2]2.행정구역별 급수인구'!$C$7:$AD$997,26,FALSE)*$E58,0),IF($D58="B",(ROUND(VLOOKUP($C58,'[2]2.행정구역별 급수인구'!$C$7:$AD$997,26,FALSE)-VLOOKUP($C58,'[2]2.행정구역별 급수인구'!$C$7:$AD$997,26,FALSE)*(1-$E58),0)),VLOOKUP($C58,'[2]2.행정구역별 급수인구'!$C$7:$AD$997,26,FALSE)))</f>
        <v>150</v>
      </c>
      <c r="J58" s="302">
        <f>IF($D58="A",ROUND(VLOOKUP($C58,'[2]2.행정구역별 급수인구'!$C$7:$AD$997,27,FALSE)*$E58,0),IF($D58="B",(ROUND(VLOOKUP($C58,'[2]2.행정구역별 급수인구'!$C$7:$AD$997,27,FALSE)-VLOOKUP($C58,'[2]2.행정구역별 급수인구'!$C$7:$AD$997,27,FALSE)*(1-$E58),0)),VLOOKUP($C58,'[2]2.행정구역별 급수인구'!$C$7:$AD$997,27,FALSE)))</f>
        <v>162</v>
      </c>
      <c r="K58" s="302">
        <f>IF($D58="A",ROUND(VLOOKUP($C58,'[2]2.행정구역별 급수인구'!$C$7:$AD$997,28,FALSE)*$E58,0),IF($D58="B",(ROUND(VLOOKUP($C58,'[2]2.행정구역별 급수인구'!$C$7:$AD$997,28,FALSE)-VLOOKUP($C58,'[2]2.행정구역별 급수인구'!$C$7:$AD$997,28,FALSE)*(1-$E58),0)),VLOOKUP($C58,'[2]2.행정구역별 급수인구'!$C$7:$AD$997,28,FALSE)))</f>
        <v>165</v>
      </c>
      <c r="L58" s="302">
        <f>VLOOKUP($F58,'[3]5.급수원단위'!$B$31:$G$35,2,FALSE)</f>
        <v>272</v>
      </c>
      <c r="M58" s="302">
        <f>VLOOKUP($F58,'[3]5.급수원단위'!$B$31:$G$35,3,FALSE)</f>
        <v>304</v>
      </c>
      <c r="N58" s="302">
        <f>VLOOKUP($F58,'[3]5.급수원단위'!$B$31:$G$35,4,FALSE)</f>
        <v>308</v>
      </c>
      <c r="O58" s="302">
        <f>VLOOKUP($F58,'[3]5.급수원단위'!$B$31:$G$35,5,FALSE)</f>
        <v>310</v>
      </c>
      <c r="P58" s="302">
        <f>VLOOKUP($F58,'[3]5.급수원단위'!$B$31:$G$35,6,FALSE)</f>
        <v>310</v>
      </c>
      <c r="Q58" s="302">
        <f>ROUND(IF(G58=0,0,VLOOKUP(C58,'2013실사용량 정리'!$D$6:$F$381,3,FALSE)),0)</f>
        <v>52</v>
      </c>
      <c r="R58" s="302">
        <f t="shared" si="13"/>
        <v>43</v>
      </c>
      <c r="S58" s="302">
        <f t="shared" si="14"/>
        <v>46</v>
      </c>
      <c r="T58" s="302">
        <f t="shared" si="15"/>
        <v>50</v>
      </c>
      <c r="U58" s="302">
        <f t="shared" si="16"/>
        <v>51</v>
      </c>
      <c r="W58" s="343">
        <f t="shared" si="7"/>
        <v>0.98076923076923073</v>
      </c>
    </row>
    <row r="59" spans="1:23" ht="18.95" customHeight="1">
      <c r="A59" s="700"/>
      <c r="B59" s="700"/>
      <c r="C59" s="399" t="s">
        <v>1513</v>
      </c>
      <c r="D59" s="330" t="s">
        <v>1808</v>
      </c>
      <c r="E59" s="397">
        <f t="shared" si="17"/>
        <v>1</v>
      </c>
      <c r="F59" s="397" t="s">
        <v>756</v>
      </c>
      <c r="G59" s="302">
        <f>IF($D59="A",ROUND(VLOOKUP($C59,'[2]2.행정구역별 급수인구'!$C$7:$AD$997,17,FALSE)*$E59,0),IF($D59="B",(ROUND(VLOOKUP($C59,'[2]2.행정구역별 급수인구'!$C$7:$AD$997,17,FALSE)-VLOOKUP($C59,'[2]2.행정구역별 급수인구'!$C$7:$AD$997,17,FALSE)*(1-$E59),0)),VLOOKUP($C59,'[2]2.행정구역별 급수인구'!$C$7:$AD$997,17,FALSE)))</f>
        <v>69</v>
      </c>
      <c r="H59" s="302">
        <f>IF($D59="A",ROUND(VLOOKUP($C59,'[2]2.행정구역별 급수인구'!$C$7:$AD$997,25,FALSE)*$E59,0),IF($D59="B",(ROUND(VLOOKUP($C59,'[2]2.행정구역별 급수인구'!$C$7:$AD$997,25,FALSE)-VLOOKUP($C59,'[2]2.행정구역별 급수인구'!$C$7:$AD$997,25,FALSE)*(1-$E59),0)),VLOOKUP($C59,'[2]2.행정구역별 급수인구'!$C$7:$AD$997,25,FALSE)))</f>
        <v>73</v>
      </c>
      <c r="I59" s="302">
        <f>IF($D59="A",ROUND(VLOOKUP($C59,'[2]2.행정구역별 급수인구'!$C$7:$AD$997,26,FALSE)*$E59,0),IF($D59="B",(ROUND(VLOOKUP($C59,'[2]2.행정구역별 급수인구'!$C$7:$AD$997,26,FALSE)-VLOOKUP($C59,'[2]2.행정구역별 급수인구'!$C$7:$AD$997,26,FALSE)*(1-$E59),0)),VLOOKUP($C59,'[2]2.행정구역별 급수인구'!$C$7:$AD$997,26,FALSE)))</f>
        <v>77</v>
      </c>
      <c r="J59" s="302">
        <f>IF($D59="A",ROUND(VLOOKUP($C59,'[2]2.행정구역별 급수인구'!$C$7:$AD$997,27,FALSE)*$E59,0),IF($D59="B",(ROUND(VLOOKUP($C59,'[2]2.행정구역별 급수인구'!$C$7:$AD$997,27,FALSE)-VLOOKUP($C59,'[2]2.행정구역별 급수인구'!$C$7:$AD$997,27,FALSE)*(1-$E59),0)),VLOOKUP($C59,'[2]2.행정구역별 급수인구'!$C$7:$AD$997,27,FALSE)))</f>
        <v>83</v>
      </c>
      <c r="K59" s="302">
        <f>IF($D59="A",ROUND(VLOOKUP($C59,'[2]2.행정구역별 급수인구'!$C$7:$AD$997,28,FALSE)*$E59,0),IF($D59="B",(ROUND(VLOOKUP($C59,'[2]2.행정구역별 급수인구'!$C$7:$AD$997,28,FALSE)-VLOOKUP($C59,'[2]2.행정구역별 급수인구'!$C$7:$AD$997,28,FALSE)*(1-$E59),0)),VLOOKUP($C59,'[2]2.행정구역별 급수인구'!$C$7:$AD$997,28,FALSE)))</f>
        <v>85</v>
      </c>
      <c r="L59" s="302">
        <f>VLOOKUP($F59,'[3]5.급수원단위'!$B$31:$G$35,2,FALSE)</f>
        <v>272</v>
      </c>
      <c r="M59" s="302">
        <f>VLOOKUP($F59,'[3]5.급수원단위'!$B$31:$G$35,3,FALSE)</f>
        <v>304</v>
      </c>
      <c r="N59" s="302">
        <f>VLOOKUP($F59,'[3]5.급수원단위'!$B$31:$G$35,4,FALSE)</f>
        <v>308</v>
      </c>
      <c r="O59" s="302">
        <f>VLOOKUP($F59,'[3]5.급수원단위'!$B$31:$G$35,5,FALSE)</f>
        <v>310</v>
      </c>
      <c r="P59" s="302">
        <f>VLOOKUP($F59,'[3]5.급수원단위'!$B$31:$G$35,6,FALSE)</f>
        <v>310</v>
      </c>
      <c r="Q59" s="302">
        <f>ROUND(IF(G59=0,0,VLOOKUP(C59,'2013실사용량 정리'!$D$6:$F$381,3,FALSE)),0)</f>
        <v>27</v>
      </c>
      <c r="R59" s="302">
        <f t="shared" si="13"/>
        <v>22</v>
      </c>
      <c r="S59" s="302">
        <f t="shared" si="14"/>
        <v>24</v>
      </c>
      <c r="T59" s="302">
        <f t="shared" si="15"/>
        <v>26</v>
      </c>
      <c r="U59" s="302">
        <f t="shared" si="16"/>
        <v>26</v>
      </c>
      <c r="W59" s="343">
        <f t="shared" si="7"/>
        <v>0.96296296296296291</v>
      </c>
    </row>
    <row r="60" spans="1:23" ht="18.95" customHeight="1">
      <c r="A60" s="700"/>
      <c r="B60" s="700"/>
      <c r="C60" s="399" t="s">
        <v>1514</v>
      </c>
      <c r="D60" s="330" t="s">
        <v>1808</v>
      </c>
      <c r="E60" s="397">
        <f t="shared" si="17"/>
        <v>1</v>
      </c>
      <c r="F60" s="397" t="s">
        <v>756</v>
      </c>
      <c r="G60" s="302">
        <f>IF($D60="A",ROUND(VLOOKUP($C60,'[2]2.행정구역별 급수인구'!$C$7:$AD$997,17,FALSE)*$E60,0),IF($D60="B",(ROUND(VLOOKUP($C60,'[2]2.행정구역별 급수인구'!$C$7:$AD$997,17,FALSE)-VLOOKUP($C60,'[2]2.행정구역별 급수인구'!$C$7:$AD$997,17,FALSE)*(1-$E60),0)),VLOOKUP($C60,'[2]2.행정구역별 급수인구'!$C$7:$AD$997,17,FALSE)))</f>
        <v>109</v>
      </c>
      <c r="H60" s="302">
        <f>IF($D60="A",ROUND(VLOOKUP($C60,'[2]2.행정구역별 급수인구'!$C$7:$AD$997,25,FALSE)*$E60,0),IF($D60="B",(ROUND(VLOOKUP($C60,'[2]2.행정구역별 급수인구'!$C$7:$AD$997,25,FALSE)-VLOOKUP($C60,'[2]2.행정구역별 급수인구'!$C$7:$AD$997,25,FALSE)*(1-$E60),0)),VLOOKUP($C60,'[2]2.행정구역별 급수인구'!$C$7:$AD$997,25,FALSE)))</f>
        <v>114</v>
      </c>
      <c r="I60" s="302">
        <f>IF($D60="A",ROUND(VLOOKUP($C60,'[2]2.행정구역별 급수인구'!$C$7:$AD$997,26,FALSE)*$E60,0),IF($D60="B",(ROUND(VLOOKUP($C60,'[2]2.행정구역별 급수인구'!$C$7:$AD$997,26,FALSE)-VLOOKUP($C60,'[2]2.행정구역별 급수인구'!$C$7:$AD$997,26,FALSE)*(1-$E60),0)),VLOOKUP($C60,'[2]2.행정구역별 급수인구'!$C$7:$AD$997,26,FALSE)))</f>
        <v>121</v>
      </c>
      <c r="J60" s="302">
        <f>IF($D60="A",ROUND(VLOOKUP($C60,'[2]2.행정구역별 급수인구'!$C$7:$AD$997,27,FALSE)*$E60,0),IF($D60="B",(ROUND(VLOOKUP($C60,'[2]2.행정구역별 급수인구'!$C$7:$AD$997,27,FALSE)-VLOOKUP($C60,'[2]2.행정구역별 급수인구'!$C$7:$AD$997,27,FALSE)*(1-$E60),0)),VLOOKUP($C60,'[2]2.행정구역별 급수인구'!$C$7:$AD$997,27,FALSE)))</f>
        <v>131</v>
      </c>
      <c r="K60" s="302">
        <f>IF($D60="A",ROUND(VLOOKUP($C60,'[2]2.행정구역별 급수인구'!$C$7:$AD$997,28,FALSE)*$E60,0),IF($D60="B",(ROUND(VLOOKUP($C60,'[2]2.행정구역별 급수인구'!$C$7:$AD$997,28,FALSE)-VLOOKUP($C60,'[2]2.행정구역별 급수인구'!$C$7:$AD$997,28,FALSE)*(1-$E60),0)),VLOOKUP($C60,'[2]2.행정구역별 급수인구'!$C$7:$AD$997,28,FALSE)))</f>
        <v>133</v>
      </c>
      <c r="L60" s="302">
        <f>VLOOKUP($F60,'[3]5.급수원단위'!$B$31:$G$35,2,FALSE)</f>
        <v>272</v>
      </c>
      <c r="M60" s="302">
        <f>VLOOKUP($F60,'[3]5.급수원단위'!$B$31:$G$35,3,FALSE)</f>
        <v>304</v>
      </c>
      <c r="N60" s="302">
        <f>VLOOKUP($F60,'[3]5.급수원단위'!$B$31:$G$35,4,FALSE)</f>
        <v>308</v>
      </c>
      <c r="O60" s="302">
        <f>VLOOKUP($F60,'[3]5.급수원단위'!$B$31:$G$35,5,FALSE)</f>
        <v>310</v>
      </c>
      <c r="P60" s="302">
        <f>VLOOKUP($F60,'[3]5.급수원단위'!$B$31:$G$35,6,FALSE)</f>
        <v>310</v>
      </c>
      <c r="Q60" s="302">
        <f>ROUND(IF(G60=0,0,VLOOKUP(C60,'2013실사용량 정리'!$D$6:$F$381,3,FALSE)),0)</f>
        <v>42</v>
      </c>
      <c r="R60" s="302">
        <f t="shared" si="13"/>
        <v>35</v>
      </c>
      <c r="S60" s="302">
        <f t="shared" si="14"/>
        <v>37</v>
      </c>
      <c r="T60" s="302">
        <f t="shared" si="15"/>
        <v>41</v>
      </c>
      <c r="U60" s="302">
        <f t="shared" si="16"/>
        <v>41</v>
      </c>
      <c r="W60" s="343">
        <f t="shared" si="7"/>
        <v>0.97619047619047616</v>
      </c>
    </row>
    <row r="61" spans="1:23" ht="18.95" customHeight="1">
      <c r="A61" s="700"/>
      <c r="B61" s="700"/>
      <c r="C61" s="399" t="s">
        <v>1515</v>
      </c>
      <c r="D61" s="330" t="s">
        <v>1808</v>
      </c>
      <c r="E61" s="397">
        <f t="shared" si="17"/>
        <v>1</v>
      </c>
      <c r="F61" s="397" t="s">
        <v>756</v>
      </c>
      <c r="G61" s="302">
        <f>IF($D61="A",ROUND(VLOOKUP($C61,'[2]2.행정구역별 급수인구'!$C$7:$AD$997,17,FALSE)*$E61,0),IF($D61="B",(ROUND(VLOOKUP($C61,'[2]2.행정구역별 급수인구'!$C$7:$AD$997,17,FALSE)-VLOOKUP($C61,'[2]2.행정구역별 급수인구'!$C$7:$AD$997,17,FALSE)*(1-$E61),0)),VLOOKUP($C61,'[2]2.행정구역별 급수인구'!$C$7:$AD$997,17,FALSE)))</f>
        <v>0</v>
      </c>
      <c r="H61" s="302">
        <f>IF($D61="A",ROUND(VLOOKUP($C61,'[2]2.행정구역별 급수인구'!$C$7:$AD$997,25,FALSE)*$E61,0),IF($D61="B",(ROUND(VLOOKUP($C61,'[2]2.행정구역별 급수인구'!$C$7:$AD$997,25,FALSE)-VLOOKUP($C61,'[2]2.행정구역별 급수인구'!$C$7:$AD$997,25,FALSE)*(1-$E61),0)),VLOOKUP($C61,'[2]2.행정구역별 급수인구'!$C$7:$AD$997,25,FALSE)))</f>
        <v>86</v>
      </c>
      <c r="I61" s="302">
        <f>IF($D61="A",ROUND(VLOOKUP($C61,'[2]2.행정구역별 급수인구'!$C$7:$AD$997,26,FALSE)*$E61,0),IF($D61="B",(ROUND(VLOOKUP($C61,'[2]2.행정구역별 급수인구'!$C$7:$AD$997,26,FALSE)-VLOOKUP($C61,'[2]2.행정구역별 급수인구'!$C$7:$AD$997,26,FALSE)*(1-$E61),0)),VLOOKUP($C61,'[2]2.행정구역별 급수인구'!$C$7:$AD$997,26,FALSE)))</f>
        <v>92</v>
      </c>
      <c r="J61" s="302">
        <f>IF($D61="A",ROUND(VLOOKUP($C61,'[2]2.행정구역별 급수인구'!$C$7:$AD$997,27,FALSE)*$E61,0),IF($D61="B",(ROUND(VLOOKUP($C61,'[2]2.행정구역별 급수인구'!$C$7:$AD$997,27,FALSE)-VLOOKUP($C61,'[2]2.행정구역별 급수인구'!$C$7:$AD$997,27,FALSE)*(1-$E61),0)),VLOOKUP($C61,'[2]2.행정구역별 급수인구'!$C$7:$AD$997,27,FALSE)))</f>
        <v>99</v>
      </c>
      <c r="K61" s="302">
        <f>IF($D61="A",ROUND(VLOOKUP($C61,'[2]2.행정구역별 급수인구'!$C$7:$AD$997,28,FALSE)*$E61,0),IF($D61="B",(ROUND(VLOOKUP($C61,'[2]2.행정구역별 급수인구'!$C$7:$AD$997,28,FALSE)-VLOOKUP($C61,'[2]2.행정구역별 급수인구'!$C$7:$AD$997,28,FALSE)*(1-$E61),0)),VLOOKUP($C61,'[2]2.행정구역별 급수인구'!$C$7:$AD$997,28,FALSE)))</f>
        <v>101</v>
      </c>
      <c r="L61" s="302">
        <f>VLOOKUP($F61,'[3]5.급수원단위'!$B$31:$G$35,2,FALSE)</f>
        <v>272</v>
      </c>
      <c r="M61" s="302">
        <f>VLOOKUP($F61,'[3]5.급수원단위'!$B$31:$G$35,3,FALSE)</f>
        <v>304</v>
      </c>
      <c r="N61" s="302">
        <f>VLOOKUP($F61,'[3]5.급수원단위'!$B$31:$G$35,4,FALSE)</f>
        <v>308</v>
      </c>
      <c r="O61" s="302">
        <f>VLOOKUP($F61,'[3]5.급수원단위'!$B$31:$G$35,5,FALSE)</f>
        <v>310</v>
      </c>
      <c r="P61" s="302">
        <f>VLOOKUP($F61,'[3]5.급수원단위'!$B$31:$G$35,6,FALSE)</f>
        <v>310</v>
      </c>
      <c r="Q61" s="302">
        <f>ROUND(IF(G61=0,0,VLOOKUP(C61,'2013실사용량 정리'!$D$6:$F$381,3,FALSE)),0)</f>
        <v>0</v>
      </c>
      <c r="R61" s="302">
        <f t="shared" si="13"/>
        <v>26</v>
      </c>
      <c r="S61" s="302">
        <f t="shared" si="14"/>
        <v>28</v>
      </c>
      <c r="T61" s="302">
        <f t="shared" si="15"/>
        <v>31</v>
      </c>
      <c r="U61" s="302">
        <f t="shared" si="16"/>
        <v>31</v>
      </c>
      <c r="W61" s="343" t="str">
        <f t="shared" si="7"/>
        <v/>
      </c>
    </row>
    <row r="62" spans="1:23" ht="18.95" customHeight="1">
      <c r="A62" s="700"/>
      <c r="B62" s="700"/>
      <c r="C62" s="399" t="s">
        <v>1516</v>
      </c>
      <c r="D62" s="330" t="s">
        <v>1808</v>
      </c>
      <c r="E62" s="397">
        <f t="shared" si="17"/>
        <v>0</v>
      </c>
      <c r="F62" s="397" t="s">
        <v>756</v>
      </c>
      <c r="G62" s="302">
        <f>IF($D62="A",ROUND(VLOOKUP($C62,'[2]2.행정구역별 급수인구'!$C$7:$AD$997,17,FALSE)*$E62,0),IF($D62="B",(ROUND(VLOOKUP($C62,'[2]2.행정구역별 급수인구'!$C$7:$AD$997,17,FALSE)-VLOOKUP($C62,'[2]2.행정구역별 급수인구'!$C$7:$AD$997,17,FALSE)*(1-$E62),0)),VLOOKUP($C62,'[2]2.행정구역별 급수인구'!$C$7:$AD$997,17,FALSE)))</f>
        <v>0</v>
      </c>
      <c r="H62" s="302">
        <f>IF($D62="A",ROUND(VLOOKUP($C62,'[2]2.행정구역별 급수인구'!$C$7:$AD$997,25,FALSE)*$E62,0),IF($D62="B",(ROUND(VLOOKUP($C62,'[2]2.행정구역별 급수인구'!$C$7:$AD$997,25,FALSE)-VLOOKUP($C62,'[2]2.행정구역별 급수인구'!$C$7:$AD$997,25,FALSE)*(1-$E62),0)),VLOOKUP($C62,'[2]2.행정구역별 급수인구'!$C$7:$AD$997,25,FALSE)))</f>
        <v>0</v>
      </c>
      <c r="I62" s="302">
        <f>IF($D62="A",ROUND(VLOOKUP($C62,'[2]2.행정구역별 급수인구'!$C$7:$AD$997,26,FALSE)*$E62,0),IF($D62="B",(ROUND(VLOOKUP($C62,'[2]2.행정구역별 급수인구'!$C$7:$AD$997,26,FALSE)-VLOOKUP($C62,'[2]2.행정구역별 급수인구'!$C$7:$AD$997,26,FALSE)*(1-$E62),0)),VLOOKUP($C62,'[2]2.행정구역별 급수인구'!$C$7:$AD$997,26,FALSE)))</f>
        <v>0</v>
      </c>
      <c r="J62" s="302">
        <f>IF($D62="A",ROUND(VLOOKUP($C62,'[2]2.행정구역별 급수인구'!$C$7:$AD$997,27,FALSE)*$E62,0),IF($D62="B",(ROUND(VLOOKUP($C62,'[2]2.행정구역별 급수인구'!$C$7:$AD$997,27,FALSE)-VLOOKUP($C62,'[2]2.행정구역별 급수인구'!$C$7:$AD$997,27,FALSE)*(1-$E62),0)),VLOOKUP($C62,'[2]2.행정구역별 급수인구'!$C$7:$AD$997,27,FALSE)))</f>
        <v>0</v>
      </c>
      <c r="K62" s="302">
        <f>IF($D62="A",ROUND(VLOOKUP($C62,'[2]2.행정구역별 급수인구'!$C$7:$AD$997,28,FALSE)*$E62,0),IF($D62="B",(ROUND(VLOOKUP($C62,'[2]2.행정구역별 급수인구'!$C$7:$AD$997,28,FALSE)-VLOOKUP($C62,'[2]2.행정구역별 급수인구'!$C$7:$AD$997,28,FALSE)*(1-$E62),0)),VLOOKUP($C62,'[2]2.행정구역별 급수인구'!$C$7:$AD$997,28,FALSE)))</f>
        <v>0</v>
      </c>
      <c r="L62" s="302">
        <f>VLOOKUP($F62,'[3]5.급수원단위'!$B$31:$G$35,2,FALSE)</f>
        <v>272</v>
      </c>
      <c r="M62" s="302">
        <f>VLOOKUP($F62,'[3]5.급수원단위'!$B$31:$G$35,3,FALSE)</f>
        <v>304</v>
      </c>
      <c r="N62" s="302">
        <f>VLOOKUP($F62,'[3]5.급수원단위'!$B$31:$G$35,4,FALSE)</f>
        <v>308</v>
      </c>
      <c r="O62" s="302">
        <f>VLOOKUP($F62,'[3]5.급수원단위'!$B$31:$G$35,5,FALSE)</f>
        <v>310</v>
      </c>
      <c r="P62" s="302">
        <f>VLOOKUP($F62,'[3]5.급수원단위'!$B$31:$G$35,6,FALSE)</f>
        <v>310</v>
      </c>
      <c r="Q62" s="302">
        <f>ROUND(IF(G62=0,0,VLOOKUP(C62,'2013실사용량 정리'!$D$6:$F$381,3,FALSE)),0)</f>
        <v>0</v>
      </c>
      <c r="R62" s="302">
        <f t="shared" si="13"/>
        <v>0</v>
      </c>
      <c r="S62" s="302">
        <f t="shared" si="14"/>
        <v>0</v>
      </c>
      <c r="T62" s="302">
        <f t="shared" si="15"/>
        <v>0</v>
      </c>
      <c r="U62" s="302">
        <f t="shared" si="16"/>
        <v>0</v>
      </c>
      <c r="W62" s="343" t="str">
        <f t="shared" si="7"/>
        <v/>
      </c>
    </row>
    <row r="63" spans="1:23" ht="18.95" customHeight="1">
      <c r="A63" s="700"/>
      <c r="B63" s="700"/>
      <c r="C63" s="399" t="s">
        <v>1517</v>
      </c>
      <c r="D63" s="330" t="s">
        <v>1808</v>
      </c>
      <c r="E63" s="397">
        <f t="shared" si="17"/>
        <v>0</v>
      </c>
      <c r="F63" s="397" t="s">
        <v>756</v>
      </c>
      <c r="G63" s="302">
        <f>IF($D63="A",ROUND(VLOOKUP($C63,'[2]2.행정구역별 급수인구'!$C$7:$AD$997,17,FALSE)*$E63,0),IF($D63="B",(ROUND(VLOOKUP($C63,'[2]2.행정구역별 급수인구'!$C$7:$AD$997,17,FALSE)-VLOOKUP($C63,'[2]2.행정구역별 급수인구'!$C$7:$AD$997,17,FALSE)*(1-$E63),0)),VLOOKUP($C63,'[2]2.행정구역별 급수인구'!$C$7:$AD$997,17,FALSE)))</f>
        <v>0</v>
      </c>
      <c r="H63" s="302">
        <f>IF($D63="A",ROUND(VLOOKUP($C63,'[2]2.행정구역별 급수인구'!$C$7:$AD$997,25,FALSE)*$E63,0),IF($D63="B",(ROUND(VLOOKUP($C63,'[2]2.행정구역별 급수인구'!$C$7:$AD$997,25,FALSE)-VLOOKUP($C63,'[2]2.행정구역별 급수인구'!$C$7:$AD$997,25,FALSE)*(1-$E63),0)),VLOOKUP($C63,'[2]2.행정구역별 급수인구'!$C$7:$AD$997,25,FALSE)))</f>
        <v>0</v>
      </c>
      <c r="I63" s="302">
        <f>IF($D63="A",ROUND(VLOOKUP($C63,'[2]2.행정구역별 급수인구'!$C$7:$AD$997,26,FALSE)*$E63,0),IF($D63="B",(ROUND(VLOOKUP($C63,'[2]2.행정구역별 급수인구'!$C$7:$AD$997,26,FALSE)-VLOOKUP($C63,'[2]2.행정구역별 급수인구'!$C$7:$AD$997,26,FALSE)*(1-$E63),0)),VLOOKUP($C63,'[2]2.행정구역별 급수인구'!$C$7:$AD$997,26,FALSE)))</f>
        <v>0</v>
      </c>
      <c r="J63" s="302">
        <f>IF($D63="A",ROUND(VLOOKUP($C63,'[2]2.행정구역별 급수인구'!$C$7:$AD$997,27,FALSE)*$E63,0),IF($D63="B",(ROUND(VLOOKUP($C63,'[2]2.행정구역별 급수인구'!$C$7:$AD$997,27,FALSE)-VLOOKUP($C63,'[2]2.행정구역별 급수인구'!$C$7:$AD$997,27,FALSE)*(1-$E63),0)),VLOOKUP($C63,'[2]2.행정구역별 급수인구'!$C$7:$AD$997,27,FALSE)))</f>
        <v>0</v>
      </c>
      <c r="K63" s="302">
        <f>IF($D63="A",ROUND(VLOOKUP($C63,'[2]2.행정구역별 급수인구'!$C$7:$AD$997,28,FALSE)*$E63,0),IF($D63="B",(ROUND(VLOOKUP($C63,'[2]2.행정구역별 급수인구'!$C$7:$AD$997,28,FALSE)-VLOOKUP($C63,'[2]2.행정구역별 급수인구'!$C$7:$AD$997,28,FALSE)*(1-$E63),0)),VLOOKUP($C63,'[2]2.행정구역별 급수인구'!$C$7:$AD$997,28,FALSE)))</f>
        <v>0</v>
      </c>
      <c r="L63" s="302">
        <f>VLOOKUP($F63,'[3]5.급수원단위'!$B$31:$G$35,2,FALSE)</f>
        <v>272</v>
      </c>
      <c r="M63" s="302">
        <f>VLOOKUP($F63,'[3]5.급수원단위'!$B$31:$G$35,3,FALSE)</f>
        <v>304</v>
      </c>
      <c r="N63" s="302">
        <f>VLOOKUP($F63,'[3]5.급수원단위'!$B$31:$G$35,4,FALSE)</f>
        <v>308</v>
      </c>
      <c r="O63" s="302">
        <f>VLOOKUP($F63,'[3]5.급수원단위'!$B$31:$G$35,5,FALSE)</f>
        <v>310</v>
      </c>
      <c r="P63" s="302">
        <f>VLOOKUP($F63,'[3]5.급수원단위'!$B$31:$G$35,6,FALSE)</f>
        <v>310</v>
      </c>
      <c r="Q63" s="302">
        <f>ROUND(IF(G63=0,0,VLOOKUP(C63,'2013실사용량 정리'!$D$6:$F$381,3,FALSE)),0)</f>
        <v>0</v>
      </c>
      <c r="R63" s="302">
        <f t="shared" si="13"/>
        <v>0</v>
      </c>
      <c r="S63" s="302">
        <f t="shared" si="14"/>
        <v>0</v>
      </c>
      <c r="T63" s="302">
        <f t="shared" si="15"/>
        <v>0</v>
      </c>
      <c r="U63" s="302">
        <f t="shared" si="16"/>
        <v>0</v>
      </c>
      <c r="W63" s="343" t="str">
        <f t="shared" si="7"/>
        <v/>
      </c>
    </row>
    <row r="64" spans="1:23" ht="18.95" customHeight="1">
      <c r="A64" s="700"/>
      <c r="B64" s="700"/>
      <c r="C64" s="399" t="s">
        <v>1518</v>
      </c>
      <c r="D64" s="330" t="s">
        <v>1808</v>
      </c>
      <c r="E64" s="397">
        <f t="shared" si="17"/>
        <v>0</v>
      </c>
      <c r="F64" s="397" t="s">
        <v>756</v>
      </c>
      <c r="G64" s="302">
        <f>IF($D64="A",ROUND(VLOOKUP($C64,'[2]2.행정구역별 급수인구'!$C$7:$AD$997,17,FALSE)*$E64,0),IF($D64="B",(ROUND(VLOOKUP($C64,'[2]2.행정구역별 급수인구'!$C$7:$AD$997,17,FALSE)-VLOOKUP($C64,'[2]2.행정구역별 급수인구'!$C$7:$AD$997,17,FALSE)*(1-$E64),0)),VLOOKUP($C64,'[2]2.행정구역별 급수인구'!$C$7:$AD$997,17,FALSE)))</f>
        <v>0</v>
      </c>
      <c r="H64" s="302">
        <f>IF($D64="A",ROUND(VLOOKUP($C64,'[2]2.행정구역별 급수인구'!$C$7:$AD$997,25,FALSE)*$E64,0),IF($D64="B",(ROUND(VLOOKUP($C64,'[2]2.행정구역별 급수인구'!$C$7:$AD$997,25,FALSE)-VLOOKUP($C64,'[2]2.행정구역별 급수인구'!$C$7:$AD$997,25,FALSE)*(1-$E64),0)),VLOOKUP($C64,'[2]2.행정구역별 급수인구'!$C$7:$AD$997,25,FALSE)))</f>
        <v>0</v>
      </c>
      <c r="I64" s="302">
        <f>IF($D64="A",ROUND(VLOOKUP($C64,'[2]2.행정구역별 급수인구'!$C$7:$AD$997,26,FALSE)*$E64,0),IF($D64="B",(ROUND(VLOOKUP($C64,'[2]2.행정구역별 급수인구'!$C$7:$AD$997,26,FALSE)-VLOOKUP($C64,'[2]2.행정구역별 급수인구'!$C$7:$AD$997,26,FALSE)*(1-$E64),0)),VLOOKUP($C64,'[2]2.행정구역별 급수인구'!$C$7:$AD$997,26,FALSE)))</f>
        <v>0</v>
      </c>
      <c r="J64" s="302">
        <f>IF($D64="A",ROUND(VLOOKUP($C64,'[2]2.행정구역별 급수인구'!$C$7:$AD$997,27,FALSE)*$E64,0),IF($D64="B",(ROUND(VLOOKUP($C64,'[2]2.행정구역별 급수인구'!$C$7:$AD$997,27,FALSE)-VLOOKUP($C64,'[2]2.행정구역별 급수인구'!$C$7:$AD$997,27,FALSE)*(1-$E64),0)),VLOOKUP($C64,'[2]2.행정구역별 급수인구'!$C$7:$AD$997,27,FALSE)))</f>
        <v>0</v>
      </c>
      <c r="K64" s="302">
        <f>IF($D64="A",ROUND(VLOOKUP($C64,'[2]2.행정구역별 급수인구'!$C$7:$AD$997,28,FALSE)*$E64,0),IF($D64="B",(ROUND(VLOOKUP($C64,'[2]2.행정구역별 급수인구'!$C$7:$AD$997,28,FALSE)-VLOOKUP($C64,'[2]2.행정구역별 급수인구'!$C$7:$AD$997,28,FALSE)*(1-$E64),0)),VLOOKUP($C64,'[2]2.행정구역별 급수인구'!$C$7:$AD$997,28,FALSE)))</f>
        <v>0</v>
      </c>
      <c r="L64" s="302">
        <f>VLOOKUP($F64,'[3]5.급수원단위'!$B$31:$G$35,2,FALSE)</f>
        <v>272</v>
      </c>
      <c r="M64" s="302">
        <f>VLOOKUP($F64,'[3]5.급수원단위'!$B$31:$G$35,3,FALSE)</f>
        <v>304</v>
      </c>
      <c r="N64" s="302">
        <f>VLOOKUP($F64,'[3]5.급수원단위'!$B$31:$G$35,4,FALSE)</f>
        <v>308</v>
      </c>
      <c r="O64" s="302">
        <f>VLOOKUP($F64,'[3]5.급수원단위'!$B$31:$G$35,5,FALSE)</f>
        <v>310</v>
      </c>
      <c r="P64" s="302">
        <f>VLOOKUP($F64,'[3]5.급수원단위'!$B$31:$G$35,6,FALSE)</f>
        <v>310</v>
      </c>
      <c r="Q64" s="302">
        <f>ROUND(IF(G64=0,0,VLOOKUP(C64,'2013실사용량 정리'!$D$6:$F$381,3,FALSE)),0)</f>
        <v>0</v>
      </c>
      <c r="R64" s="302">
        <f t="shared" si="13"/>
        <v>0</v>
      </c>
      <c r="S64" s="302">
        <f t="shared" si="14"/>
        <v>0</v>
      </c>
      <c r="T64" s="302">
        <f t="shared" si="15"/>
        <v>0</v>
      </c>
      <c r="U64" s="302">
        <f t="shared" si="16"/>
        <v>0</v>
      </c>
      <c r="W64" s="343" t="str">
        <f t="shared" si="7"/>
        <v/>
      </c>
    </row>
    <row r="65" spans="1:23" ht="18.95" customHeight="1">
      <c r="A65" s="700"/>
      <c r="B65" s="700"/>
      <c r="C65" s="399" t="s">
        <v>1519</v>
      </c>
      <c r="D65" s="330" t="s">
        <v>1808</v>
      </c>
      <c r="E65" s="397">
        <f t="shared" si="17"/>
        <v>0</v>
      </c>
      <c r="F65" s="397" t="s">
        <v>756</v>
      </c>
      <c r="G65" s="302">
        <f>IF($D65="A",ROUND(VLOOKUP($C65,'[2]2.행정구역별 급수인구'!$C$7:$AD$997,17,FALSE)*$E65,0),IF($D65="B",(ROUND(VLOOKUP($C65,'[2]2.행정구역별 급수인구'!$C$7:$AD$997,17,FALSE)-VLOOKUP($C65,'[2]2.행정구역별 급수인구'!$C$7:$AD$997,17,FALSE)*(1-$E65),0)),VLOOKUP($C65,'[2]2.행정구역별 급수인구'!$C$7:$AD$997,17,FALSE)))</f>
        <v>0</v>
      </c>
      <c r="H65" s="302">
        <f>IF($D65="A",ROUND(VLOOKUP($C65,'[2]2.행정구역별 급수인구'!$C$7:$AD$997,25,FALSE)*$E65,0),IF($D65="B",(ROUND(VLOOKUP($C65,'[2]2.행정구역별 급수인구'!$C$7:$AD$997,25,FALSE)-VLOOKUP($C65,'[2]2.행정구역별 급수인구'!$C$7:$AD$997,25,FALSE)*(1-$E65),0)),VLOOKUP($C65,'[2]2.행정구역별 급수인구'!$C$7:$AD$997,25,FALSE)))</f>
        <v>0</v>
      </c>
      <c r="I65" s="302">
        <f>IF($D65="A",ROUND(VLOOKUP($C65,'[2]2.행정구역별 급수인구'!$C$7:$AD$997,26,FALSE)*$E65,0),IF($D65="B",(ROUND(VLOOKUP($C65,'[2]2.행정구역별 급수인구'!$C$7:$AD$997,26,FALSE)-VLOOKUP($C65,'[2]2.행정구역별 급수인구'!$C$7:$AD$997,26,FALSE)*(1-$E65),0)),VLOOKUP($C65,'[2]2.행정구역별 급수인구'!$C$7:$AD$997,26,FALSE)))</f>
        <v>0</v>
      </c>
      <c r="J65" s="302">
        <f>IF($D65="A",ROUND(VLOOKUP($C65,'[2]2.행정구역별 급수인구'!$C$7:$AD$997,27,FALSE)*$E65,0),IF($D65="B",(ROUND(VLOOKUP($C65,'[2]2.행정구역별 급수인구'!$C$7:$AD$997,27,FALSE)-VLOOKUP($C65,'[2]2.행정구역별 급수인구'!$C$7:$AD$997,27,FALSE)*(1-$E65),0)),VLOOKUP($C65,'[2]2.행정구역별 급수인구'!$C$7:$AD$997,27,FALSE)))</f>
        <v>0</v>
      </c>
      <c r="K65" s="302">
        <f>IF($D65="A",ROUND(VLOOKUP($C65,'[2]2.행정구역별 급수인구'!$C$7:$AD$997,28,FALSE)*$E65,0),IF($D65="B",(ROUND(VLOOKUP($C65,'[2]2.행정구역별 급수인구'!$C$7:$AD$997,28,FALSE)-VLOOKUP($C65,'[2]2.행정구역별 급수인구'!$C$7:$AD$997,28,FALSE)*(1-$E65),0)),VLOOKUP($C65,'[2]2.행정구역별 급수인구'!$C$7:$AD$997,28,FALSE)))</f>
        <v>0</v>
      </c>
      <c r="L65" s="302">
        <f>VLOOKUP($F65,'[3]5.급수원단위'!$B$31:$G$35,2,FALSE)</f>
        <v>272</v>
      </c>
      <c r="M65" s="302">
        <f>VLOOKUP($F65,'[3]5.급수원단위'!$B$31:$G$35,3,FALSE)</f>
        <v>304</v>
      </c>
      <c r="N65" s="302">
        <f>VLOOKUP($F65,'[3]5.급수원단위'!$B$31:$G$35,4,FALSE)</f>
        <v>308</v>
      </c>
      <c r="O65" s="302">
        <f>VLOOKUP($F65,'[3]5.급수원단위'!$B$31:$G$35,5,FALSE)</f>
        <v>310</v>
      </c>
      <c r="P65" s="302">
        <f>VLOOKUP($F65,'[3]5.급수원단위'!$B$31:$G$35,6,FALSE)</f>
        <v>310</v>
      </c>
      <c r="Q65" s="302">
        <f>ROUND(IF(G65=0,0,VLOOKUP(C65,'2013실사용량 정리'!$D$6:$F$381,3,FALSE)),0)</f>
        <v>0</v>
      </c>
      <c r="R65" s="302">
        <f t="shared" si="13"/>
        <v>0</v>
      </c>
      <c r="S65" s="302">
        <f t="shared" si="14"/>
        <v>0</v>
      </c>
      <c r="T65" s="302">
        <f t="shared" si="15"/>
        <v>0</v>
      </c>
      <c r="U65" s="302">
        <f t="shared" si="16"/>
        <v>0</v>
      </c>
      <c r="W65" s="343" t="str">
        <f t="shared" si="7"/>
        <v/>
      </c>
    </row>
    <row r="66" spans="1:23" ht="18.95" customHeight="1">
      <c r="A66" s="700"/>
      <c r="B66" s="700"/>
      <c r="C66" s="399" t="s">
        <v>1520</v>
      </c>
      <c r="D66" s="330" t="s">
        <v>1808</v>
      </c>
      <c r="E66" s="397">
        <f t="shared" si="17"/>
        <v>0</v>
      </c>
      <c r="F66" s="397" t="s">
        <v>756</v>
      </c>
      <c r="G66" s="302">
        <f>IF($D66="A",ROUND(VLOOKUP($C66,'[2]2.행정구역별 급수인구'!$C$7:$AD$997,17,FALSE)*$E66,0),IF($D66="B",(ROUND(VLOOKUP($C66,'[2]2.행정구역별 급수인구'!$C$7:$AD$997,17,FALSE)-VLOOKUP($C66,'[2]2.행정구역별 급수인구'!$C$7:$AD$997,17,FALSE)*(1-$E66),0)),VLOOKUP($C66,'[2]2.행정구역별 급수인구'!$C$7:$AD$997,17,FALSE)))</f>
        <v>0</v>
      </c>
      <c r="H66" s="302">
        <f>IF($D66="A",ROUND(VLOOKUP($C66,'[2]2.행정구역별 급수인구'!$C$7:$AD$997,25,FALSE)*$E66,0),IF($D66="B",(ROUND(VLOOKUP($C66,'[2]2.행정구역별 급수인구'!$C$7:$AD$997,25,FALSE)-VLOOKUP($C66,'[2]2.행정구역별 급수인구'!$C$7:$AD$997,25,FALSE)*(1-$E66),0)),VLOOKUP($C66,'[2]2.행정구역별 급수인구'!$C$7:$AD$997,25,FALSE)))</f>
        <v>0</v>
      </c>
      <c r="I66" s="302">
        <f>IF($D66="A",ROUND(VLOOKUP($C66,'[2]2.행정구역별 급수인구'!$C$7:$AD$997,26,FALSE)*$E66,0),IF($D66="B",(ROUND(VLOOKUP($C66,'[2]2.행정구역별 급수인구'!$C$7:$AD$997,26,FALSE)-VLOOKUP($C66,'[2]2.행정구역별 급수인구'!$C$7:$AD$997,26,FALSE)*(1-$E66),0)),VLOOKUP($C66,'[2]2.행정구역별 급수인구'!$C$7:$AD$997,26,FALSE)))</f>
        <v>0</v>
      </c>
      <c r="J66" s="302">
        <f>IF($D66="A",ROUND(VLOOKUP($C66,'[2]2.행정구역별 급수인구'!$C$7:$AD$997,27,FALSE)*$E66,0),IF($D66="B",(ROUND(VLOOKUP($C66,'[2]2.행정구역별 급수인구'!$C$7:$AD$997,27,FALSE)-VLOOKUP($C66,'[2]2.행정구역별 급수인구'!$C$7:$AD$997,27,FALSE)*(1-$E66),0)),VLOOKUP($C66,'[2]2.행정구역별 급수인구'!$C$7:$AD$997,27,FALSE)))</f>
        <v>0</v>
      </c>
      <c r="K66" s="302">
        <f>IF($D66="A",ROUND(VLOOKUP($C66,'[2]2.행정구역별 급수인구'!$C$7:$AD$997,28,FALSE)*$E66,0),IF($D66="B",(ROUND(VLOOKUP($C66,'[2]2.행정구역별 급수인구'!$C$7:$AD$997,28,FALSE)-VLOOKUP($C66,'[2]2.행정구역별 급수인구'!$C$7:$AD$997,28,FALSE)*(1-$E66),0)),VLOOKUP($C66,'[2]2.행정구역별 급수인구'!$C$7:$AD$997,28,FALSE)))</f>
        <v>0</v>
      </c>
      <c r="L66" s="302">
        <f>VLOOKUP($F66,'[3]5.급수원단위'!$B$31:$G$35,2,FALSE)</f>
        <v>272</v>
      </c>
      <c r="M66" s="302">
        <f>VLOOKUP($F66,'[3]5.급수원단위'!$B$31:$G$35,3,FALSE)</f>
        <v>304</v>
      </c>
      <c r="N66" s="302">
        <f>VLOOKUP($F66,'[3]5.급수원단위'!$B$31:$G$35,4,FALSE)</f>
        <v>308</v>
      </c>
      <c r="O66" s="302">
        <f>VLOOKUP($F66,'[3]5.급수원단위'!$B$31:$G$35,5,FALSE)</f>
        <v>310</v>
      </c>
      <c r="P66" s="302">
        <f>VLOOKUP($F66,'[3]5.급수원단위'!$B$31:$G$35,6,FALSE)</f>
        <v>310</v>
      </c>
      <c r="Q66" s="302">
        <f>ROUND(IF(G66=0,0,VLOOKUP(C66,'2013실사용량 정리'!$D$6:$F$381,3,FALSE)),0)</f>
        <v>0</v>
      </c>
      <c r="R66" s="302">
        <f t="shared" si="13"/>
        <v>0</v>
      </c>
      <c r="S66" s="302">
        <f t="shared" si="14"/>
        <v>0</v>
      </c>
      <c r="T66" s="302">
        <f t="shared" si="15"/>
        <v>0</v>
      </c>
      <c r="U66" s="302">
        <f t="shared" si="16"/>
        <v>0</v>
      </c>
      <c r="W66" s="343" t="str">
        <f t="shared" si="7"/>
        <v/>
      </c>
    </row>
    <row r="67" spans="1:23" ht="18.95" customHeight="1">
      <c r="A67" s="700"/>
      <c r="B67" s="700"/>
      <c r="C67" s="399" t="s">
        <v>1521</v>
      </c>
      <c r="D67" s="330" t="s">
        <v>1808</v>
      </c>
      <c r="E67" s="397">
        <f t="shared" si="17"/>
        <v>0</v>
      </c>
      <c r="F67" s="397" t="s">
        <v>756</v>
      </c>
      <c r="G67" s="302">
        <f>IF($D67="A",ROUND(VLOOKUP($C67,'[2]2.행정구역별 급수인구'!$C$7:$AD$997,17,FALSE)*$E67,0),IF($D67="B",(ROUND(VLOOKUP($C67,'[2]2.행정구역별 급수인구'!$C$7:$AD$997,17,FALSE)-VLOOKUP($C67,'[2]2.행정구역별 급수인구'!$C$7:$AD$997,17,FALSE)*(1-$E67),0)),VLOOKUP($C67,'[2]2.행정구역별 급수인구'!$C$7:$AD$997,17,FALSE)))</f>
        <v>0</v>
      </c>
      <c r="H67" s="302">
        <f>IF($D67="A",ROUND(VLOOKUP($C67,'[2]2.행정구역별 급수인구'!$C$7:$AD$997,25,FALSE)*$E67,0),IF($D67="B",(ROUND(VLOOKUP($C67,'[2]2.행정구역별 급수인구'!$C$7:$AD$997,25,FALSE)-VLOOKUP($C67,'[2]2.행정구역별 급수인구'!$C$7:$AD$997,25,FALSE)*(1-$E67),0)),VLOOKUP($C67,'[2]2.행정구역별 급수인구'!$C$7:$AD$997,25,FALSE)))</f>
        <v>0</v>
      </c>
      <c r="I67" s="302">
        <f>IF($D67="A",ROUND(VLOOKUP($C67,'[2]2.행정구역별 급수인구'!$C$7:$AD$997,26,FALSE)*$E67,0),IF($D67="B",(ROUND(VLOOKUP($C67,'[2]2.행정구역별 급수인구'!$C$7:$AD$997,26,FALSE)-VLOOKUP($C67,'[2]2.행정구역별 급수인구'!$C$7:$AD$997,26,FALSE)*(1-$E67),0)),VLOOKUP($C67,'[2]2.행정구역별 급수인구'!$C$7:$AD$997,26,FALSE)))</f>
        <v>0</v>
      </c>
      <c r="J67" s="302">
        <f>IF($D67="A",ROUND(VLOOKUP($C67,'[2]2.행정구역별 급수인구'!$C$7:$AD$997,27,FALSE)*$E67,0),IF($D67="B",(ROUND(VLOOKUP($C67,'[2]2.행정구역별 급수인구'!$C$7:$AD$997,27,FALSE)-VLOOKUP($C67,'[2]2.행정구역별 급수인구'!$C$7:$AD$997,27,FALSE)*(1-$E67),0)),VLOOKUP($C67,'[2]2.행정구역별 급수인구'!$C$7:$AD$997,27,FALSE)))</f>
        <v>0</v>
      </c>
      <c r="K67" s="302">
        <f>IF($D67="A",ROUND(VLOOKUP($C67,'[2]2.행정구역별 급수인구'!$C$7:$AD$997,28,FALSE)*$E67,0),IF($D67="B",(ROUND(VLOOKUP($C67,'[2]2.행정구역별 급수인구'!$C$7:$AD$997,28,FALSE)-VLOOKUP($C67,'[2]2.행정구역별 급수인구'!$C$7:$AD$997,28,FALSE)*(1-$E67),0)),VLOOKUP($C67,'[2]2.행정구역별 급수인구'!$C$7:$AD$997,28,FALSE)))</f>
        <v>0</v>
      </c>
      <c r="L67" s="302">
        <f>VLOOKUP($F67,'[3]5.급수원단위'!$B$31:$G$35,2,FALSE)</f>
        <v>272</v>
      </c>
      <c r="M67" s="302">
        <f>VLOOKUP($F67,'[3]5.급수원단위'!$B$31:$G$35,3,FALSE)</f>
        <v>304</v>
      </c>
      <c r="N67" s="302">
        <f>VLOOKUP($F67,'[3]5.급수원단위'!$B$31:$G$35,4,FALSE)</f>
        <v>308</v>
      </c>
      <c r="O67" s="302">
        <f>VLOOKUP($F67,'[3]5.급수원단위'!$B$31:$G$35,5,FALSE)</f>
        <v>310</v>
      </c>
      <c r="P67" s="302">
        <f>VLOOKUP($F67,'[3]5.급수원단위'!$B$31:$G$35,6,FALSE)</f>
        <v>310</v>
      </c>
      <c r="Q67" s="302">
        <f>ROUND(IF(G67=0,0,VLOOKUP(C67,'2013실사용량 정리'!$D$6:$F$381,3,FALSE)),0)</f>
        <v>0</v>
      </c>
      <c r="R67" s="302">
        <f t="shared" si="13"/>
        <v>0</v>
      </c>
      <c r="S67" s="302">
        <f t="shared" si="14"/>
        <v>0</v>
      </c>
      <c r="T67" s="302">
        <f t="shared" si="15"/>
        <v>0</v>
      </c>
      <c r="U67" s="302">
        <f t="shared" si="16"/>
        <v>0</v>
      </c>
      <c r="W67" s="343" t="str">
        <f t="shared" si="7"/>
        <v/>
      </c>
    </row>
    <row r="68" spans="1:23" ht="18.95" customHeight="1">
      <c r="A68" s="700"/>
      <c r="B68" s="700"/>
      <c r="C68" s="399" t="s">
        <v>1522</v>
      </c>
      <c r="D68" s="330" t="s">
        <v>1808</v>
      </c>
      <c r="E68" s="397">
        <f t="shared" si="17"/>
        <v>0</v>
      </c>
      <c r="F68" s="397" t="s">
        <v>756</v>
      </c>
      <c r="G68" s="302">
        <f>IF($D68="A",ROUND(VLOOKUP($C68,'[2]2.행정구역별 급수인구'!$C$7:$AD$997,17,FALSE)*$E68,0),IF($D68="B",(ROUND(VLOOKUP($C68,'[2]2.행정구역별 급수인구'!$C$7:$AD$997,17,FALSE)-VLOOKUP($C68,'[2]2.행정구역별 급수인구'!$C$7:$AD$997,17,FALSE)*(1-$E68),0)),VLOOKUP($C68,'[2]2.행정구역별 급수인구'!$C$7:$AD$997,17,FALSE)))</f>
        <v>0</v>
      </c>
      <c r="H68" s="302">
        <f>IF($D68="A",ROUND(VLOOKUP($C68,'[2]2.행정구역별 급수인구'!$C$7:$AD$997,25,FALSE)*$E68,0),IF($D68="B",(ROUND(VLOOKUP($C68,'[2]2.행정구역별 급수인구'!$C$7:$AD$997,25,FALSE)-VLOOKUP($C68,'[2]2.행정구역별 급수인구'!$C$7:$AD$997,25,FALSE)*(1-$E68),0)),VLOOKUP($C68,'[2]2.행정구역별 급수인구'!$C$7:$AD$997,25,FALSE)))</f>
        <v>0</v>
      </c>
      <c r="I68" s="302">
        <f>IF($D68="A",ROUND(VLOOKUP($C68,'[2]2.행정구역별 급수인구'!$C$7:$AD$997,26,FALSE)*$E68,0),IF($D68="B",(ROUND(VLOOKUP($C68,'[2]2.행정구역별 급수인구'!$C$7:$AD$997,26,FALSE)-VLOOKUP($C68,'[2]2.행정구역별 급수인구'!$C$7:$AD$997,26,FALSE)*(1-$E68),0)),VLOOKUP($C68,'[2]2.행정구역별 급수인구'!$C$7:$AD$997,26,FALSE)))</f>
        <v>0</v>
      </c>
      <c r="J68" s="302">
        <f>IF($D68="A",ROUND(VLOOKUP($C68,'[2]2.행정구역별 급수인구'!$C$7:$AD$997,27,FALSE)*$E68,0),IF($D68="B",(ROUND(VLOOKUP($C68,'[2]2.행정구역별 급수인구'!$C$7:$AD$997,27,FALSE)-VLOOKUP($C68,'[2]2.행정구역별 급수인구'!$C$7:$AD$997,27,FALSE)*(1-$E68),0)),VLOOKUP($C68,'[2]2.행정구역별 급수인구'!$C$7:$AD$997,27,FALSE)))</f>
        <v>0</v>
      </c>
      <c r="K68" s="302">
        <f>IF($D68="A",ROUND(VLOOKUP($C68,'[2]2.행정구역별 급수인구'!$C$7:$AD$997,28,FALSE)*$E68,0),IF($D68="B",(ROUND(VLOOKUP($C68,'[2]2.행정구역별 급수인구'!$C$7:$AD$997,28,FALSE)-VLOOKUP($C68,'[2]2.행정구역별 급수인구'!$C$7:$AD$997,28,FALSE)*(1-$E68),0)),VLOOKUP($C68,'[2]2.행정구역별 급수인구'!$C$7:$AD$997,28,FALSE)))</f>
        <v>0</v>
      </c>
      <c r="L68" s="302">
        <f>VLOOKUP($F68,'[3]5.급수원단위'!$B$31:$G$35,2,FALSE)</f>
        <v>272</v>
      </c>
      <c r="M68" s="302">
        <f>VLOOKUP($F68,'[3]5.급수원단위'!$B$31:$G$35,3,FALSE)</f>
        <v>304</v>
      </c>
      <c r="N68" s="302">
        <f>VLOOKUP($F68,'[3]5.급수원단위'!$B$31:$G$35,4,FALSE)</f>
        <v>308</v>
      </c>
      <c r="O68" s="302">
        <f>VLOOKUP($F68,'[3]5.급수원단위'!$B$31:$G$35,5,FALSE)</f>
        <v>310</v>
      </c>
      <c r="P68" s="302">
        <f>VLOOKUP($F68,'[3]5.급수원단위'!$B$31:$G$35,6,FALSE)</f>
        <v>310</v>
      </c>
      <c r="Q68" s="302">
        <f>ROUND(IF(G68=0,0,VLOOKUP(C68,'2013실사용량 정리'!$D$6:$F$381,3,FALSE)),0)</f>
        <v>0</v>
      </c>
      <c r="R68" s="302">
        <f t="shared" si="13"/>
        <v>0</v>
      </c>
      <c r="S68" s="302">
        <f t="shared" si="14"/>
        <v>0</v>
      </c>
      <c r="T68" s="302">
        <f t="shared" si="15"/>
        <v>0</v>
      </c>
      <c r="U68" s="302">
        <f t="shared" si="16"/>
        <v>0</v>
      </c>
      <c r="W68" s="343" t="str">
        <f t="shared" si="7"/>
        <v/>
      </c>
    </row>
    <row r="69" spans="1:23" ht="18.95" customHeight="1">
      <c r="A69" s="700"/>
      <c r="B69" s="700"/>
      <c r="C69" s="399" t="s">
        <v>1523</v>
      </c>
      <c r="D69" s="330" t="s">
        <v>1808</v>
      </c>
      <c r="E69" s="397">
        <f t="shared" si="17"/>
        <v>0</v>
      </c>
      <c r="F69" s="397" t="s">
        <v>756</v>
      </c>
      <c r="G69" s="302">
        <f>IF($D69="A",ROUND(VLOOKUP($C69,'[2]2.행정구역별 급수인구'!$C$7:$AD$997,17,FALSE)*$E69,0),IF($D69="B",(ROUND(VLOOKUP($C69,'[2]2.행정구역별 급수인구'!$C$7:$AD$997,17,FALSE)-VLOOKUP($C69,'[2]2.행정구역별 급수인구'!$C$7:$AD$997,17,FALSE)*(1-$E69),0)),VLOOKUP($C69,'[2]2.행정구역별 급수인구'!$C$7:$AD$997,17,FALSE)))</f>
        <v>0</v>
      </c>
      <c r="H69" s="302">
        <f>IF($D69="A",ROUND(VLOOKUP($C69,'[2]2.행정구역별 급수인구'!$C$7:$AD$997,25,FALSE)*$E69,0),IF($D69="B",(ROUND(VLOOKUP($C69,'[2]2.행정구역별 급수인구'!$C$7:$AD$997,25,FALSE)-VLOOKUP($C69,'[2]2.행정구역별 급수인구'!$C$7:$AD$997,25,FALSE)*(1-$E69),0)),VLOOKUP($C69,'[2]2.행정구역별 급수인구'!$C$7:$AD$997,25,FALSE)))</f>
        <v>0</v>
      </c>
      <c r="I69" s="302">
        <f>IF($D69="A",ROUND(VLOOKUP($C69,'[2]2.행정구역별 급수인구'!$C$7:$AD$997,26,FALSE)*$E69,0),IF($D69="B",(ROUND(VLOOKUP($C69,'[2]2.행정구역별 급수인구'!$C$7:$AD$997,26,FALSE)-VLOOKUP($C69,'[2]2.행정구역별 급수인구'!$C$7:$AD$997,26,FALSE)*(1-$E69),0)),VLOOKUP($C69,'[2]2.행정구역별 급수인구'!$C$7:$AD$997,26,FALSE)))</f>
        <v>0</v>
      </c>
      <c r="J69" s="302">
        <f>IF($D69="A",ROUND(VLOOKUP($C69,'[2]2.행정구역별 급수인구'!$C$7:$AD$997,27,FALSE)*$E69,0),IF($D69="B",(ROUND(VLOOKUP($C69,'[2]2.행정구역별 급수인구'!$C$7:$AD$997,27,FALSE)-VLOOKUP($C69,'[2]2.행정구역별 급수인구'!$C$7:$AD$997,27,FALSE)*(1-$E69),0)),VLOOKUP($C69,'[2]2.행정구역별 급수인구'!$C$7:$AD$997,27,FALSE)))</f>
        <v>0</v>
      </c>
      <c r="K69" s="302">
        <f>IF($D69="A",ROUND(VLOOKUP($C69,'[2]2.행정구역별 급수인구'!$C$7:$AD$997,28,FALSE)*$E69,0),IF($D69="B",(ROUND(VLOOKUP($C69,'[2]2.행정구역별 급수인구'!$C$7:$AD$997,28,FALSE)-VLOOKUP($C69,'[2]2.행정구역별 급수인구'!$C$7:$AD$997,28,FALSE)*(1-$E69),0)),VLOOKUP($C69,'[2]2.행정구역별 급수인구'!$C$7:$AD$997,28,FALSE)))</f>
        <v>0</v>
      </c>
      <c r="L69" s="302">
        <f>VLOOKUP($F69,'[3]5.급수원단위'!$B$31:$G$35,2,FALSE)</f>
        <v>272</v>
      </c>
      <c r="M69" s="302">
        <f>VLOOKUP($F69,'[3]5.급수원단위'!$B$31:$G$35,3,FALSE)</f>
        <v>304</v>
      </c>
      <c r="N69" s="302">
        <f>VLOOKUP($F69,'[3]5.급수원단위'!$B$31:$G$35,4,FALSE)</f>
        <v>308</v>
      </c>
      <c r="O69" s="302">
        <f>VLOOKUP($F69,'[3]5.급수원단위'!$B$31:$G$35,5,FALSE)</f>
        <v>310</v>
      </c>
      <c r="P69" s="302">
        <f>VLOOKUP($F69,'[3]5.급수원단위'!$B$31:$G$35,6,FALSE)</f>
        <v>310</v>
      </c>
      <c r="Q69" s="302">
        <f>ROUND(IF(G69=0,0,VLOOKUP(C69,'2013실사용량 정리'!$D$6:$F$381,3,FALSE)),0)</f>
        <v>0</v>
      </c>
      <c r="R69" s="302">
        <f t="shared" si="13"/>
        <v>0</v>
      </c>
      <c r="S69" s="302">
        <f t="shared" si="14"/>
        <v>0</v>
      </c>
      <c r="T69" s="302">
        <f t="shared" si="15"/>
        <v>0</v>
      </c>
      <c r="U69" s="302">
        <f t="shared" si="16"/>
        <v>0</v>
      </c>
      <c r="W69" s="343" t="str">
        <f t="shared" si="7"/>
        <v/>
      </c>
    </row>
    <row r="70" spans="1:23" ht="18.95" customHeight="1">
      <c r="A70" s="700"/>
      <c r="B70" s="700"/>
      <c r="C70" s="399" t="s">
        <v>1524</v>
      </c>
      <c r="D70" s="330" t="s">
        <v>1808</v>
      </c>
      <c r="E70" s="397">
        <f t="shared" si="17"/>
        <v>0</v>
      </c>
      <c r="F70" s="397" t="s">
        <v>756</v>
      </c>
      <c r="G70" s="302">
        <f>IF($D70="A",ROUND(VLOOKUP($C70,'[2]2.행정구역별 급수인구'!$C$7:$AD$997,17,FALSE)*$E70,0),IF($D70="B",(ROUND(VLOOKUP($C70,'[2]2.행정구역별 급수인구'!$C$7:$AD$997,17,FALSE)-VLOOKUP($C70,'[2]2.행정구역별 급수인구'!$C$7:$AD$997,17,FALSE)*(1-$E70),0)),VLOOKUP($C70,'[2]2.행정구역별 급수인구'!$C$7:$AD$997,17,FALSE)))</f>
        <v>0</v>
      </c>
      <c r="H70" s="302">
        <f>IF($D70="A",ROUND(VLOOKUP($C70,'[2]2.행정구역별 급수인구'!$C$7:$AD$997,25,FALSE)*$E70,0),IF($D70="B",(ROUND(VLOOKUP($C70,'[2]2.행정구역별 급수인구'!$C$7:$AD$997,25,FALSE)-VLOOKUP($C70,'[2]2.행정구역별 급수인구'!$C$7:$AD$997,25,FALSE)*(1-$E70),0)),VLOOKUP($C70,'[2]2.행정구역별 급수인구'!$C$7:$AD$997,25,FALSE)))</f>
        <v>0</v>
      </c>
      <c r="I70" s="302">
        <f>IF($D70="A",ROUND(VLOOKUP($C70,'[2]2.행정구역별 급수인구'!$C$7:$AD$997,26,FALSE)*$E70,0),IF($D70="B",(ROUND(VLOOKUP($C70,'[2]2.행정구역별 급수인구'!$C$7:$AD$997,26,FALSE)-VLOOKUP($C70,'[2]2.행정구역별 급수인구'!$C$7:$AD$997,26,FALSE)*(1-$E70),0)),VLOOKUP($C70,'[2]2.행정구역별 급수인구'!$C$7:$AD$997,26,FALSE)))</f>
        <v>0</v>
      </c>
      <c r="J70" s="302">
        <f>IF($D70="A",ROUND(VLOOKUP($C70,'[2]2.행정구역별 급수인구'!$C$7:$AD$997,27,FALSE)*$E70,0),IF($D70="B",(ROUND(VLOOKUP($C70,'[2]2.행정구역별 급수인구'!$C$7:$AD$997,27,FALSE)-VLOOKUP($C70,'[2]2.행정구역별 급수인구'!$C$7:$AD$997,27,FALSE)*(1-$E70),0)),VLOOKUP($C70,'[2]2.행정구역별 급수인구'!$C$7:$AD$997,27,FALSE)))</f>
        <v>0</v>
      </c>
      <c r="K70" s="302">
        <f>IF($D70="A",ROUND(VLOOKUP($C70,'[2]2.행정구역별 급수인구'!$C$7:$AD$997,28,FALSE)*$E70,0),IF($D70="B",(ROUND(VLOOKUP($C70,'[2]2.행정구역별 급수인구'!$C$7:$AD$997,28,FALSE)-VLOOKUP($C70,'[2]2.행정구역별 급수인구'!$C$7:$AD$997,28,FALSE)*(1-$E70),0)),VLOOKUP($C70,'[2]2.행정구역별 급수인구'!$C$7:$AD$997,28,FALSE)))</f>
        <v>0</v>
      </c>
      <c r="L70" s="302">
        <f>VLOOKUP($F70,'[3]5.급수원단위'!$B$31:$G$35,2,FALSE)</f>
        <v>272</v>
      </c>
      <c r="M70" s="302">
        <f>VLOOKUP($F70,'[3]5.급수원단위'!$B$31:$G$35,3,FALSE)</f>
        <v>304</v>
      </c>
      <c r="N70" s="302">
        <f>VLOOKUP($F70,'[3]5.급수원단위'!$B$31:$G$35,4,FALSE)</f>
        <v>308</v>
      </c>
      <c r="O70" s="302">
        <f>VLOOKUP($F70,'[3]5.급수원단위'!$B$31:$G$35,5,FALSE)</f>
        <v>310</v>
      </c>
      <c r="P70" s="302">
        <f>VLOOKUP($F70,'[3]5.급수원단위'!$B$31:$G$35,6,FALSE)</f>
        <v>310</v>
      </c>
      <c r="Q70" s="302">
        <f>ROUND(IF(G70=0,0,VLOOKUP(C70,'2013실사용량 정리'!$D$6:$F$381,3,FALSE)),0)</f>
        <v>0</v>
      </c>
      <c r="R70" s="302">
        <f t="shared" si="13"/>
        <v>0</v>
      </c>
      <c r="S70" s="302">
        <f t="shared" si="14"/>
        <v>0</v>
      </c>
      <c r="T70" s="302">
        <f t="shared" si="15"/>
        <v>0</v>
      </c>
      <c r="U70" s="302">
        <f t="shared" si="16"/>
        <v>0</v>
      </c>
      <c r="W70" s="343" t="str">
        <f t="shared" si="7"/>
        <v/>
      </c>
    </row>
    <row r="71" spans="1:23" ht="18.95" customHeight="1">
      <c r="A71" s="700"/>
      <c r="B71" s="700"/>
      <c r="C71" s="399" t="s">
        <v>1525</v>
      </c>
      <c r="D71" s="330" t="s">
        <v>1808</v>
      </c>
      <c r="E71" s="397">
        <f t="shared" si="17"/>
        <v>0</v>
      </c>
      <c r="F71" s="397" t="s">
        <v>756</v>
      </c>
      <c r="G71" s="302">
        <f>IF($D71="A",ROUND(VLOOKUP($C71,'[2]2.행정구역별 급수인구'!$C$7:$AD$997,17,FALSE)*$E71,0),IF($D71="B",(ROUND(VLOOKUP($C71,'[2]2.행정구역별 급수인구'!$C$7:$AD$997,17,FALSE)-VLOOKUP($C71,'[2]2.행정구역별 급수인구'!$C$7:$AD$997,17,FALSE)*(1-$E71),0)),VLOOKUP($C71,'[2]2.행정구역별 급수인구'!$C$7:$AD$997,17,FALSE)))</f>
        <v>0</v>
      </c>
      <c r="H71" s="302">
        <f>IF($D71="A",ROUND(VLOOKUP($C71,'[2]2.행정구역별 급수인구'!$C$7:$AD$997,25,FALSE)*$E71,0),IF($D71="B",(ROUND(VLOOKUP($C71,'[2]2.행정구역별 급수인구'!$C$7:$AD$997,25,FALSE)-VLOOKUP($C71,'[2]2.행정구역별 급수인구'!$C$7:$AD$997,25,FALSE)*(1-$E71),0)),VLOOKUP($C71,'[2]2.행정구역별 급수인구'!$C$7:$AD$997,25,FALSE)))</f>
        <v>0</v>
      </c>
      <c r="I71" s="302">
        <f>IF($D71="A",ROUND(VLOOKUP($C71,'[2]2.행정구역별 급수인구'!$C$7:$AD$997,26,FALSE)*$E71,0),IF($D71="B",(ROUND(VLOOKUP($C71,'[2]2.행정구역별 급수인구'!$C$7:$AD$997,26,FALSE)-VLOOKUP($C71,'[2]2.행정구역별 급수인구'!$C$7:$AD$997,26,FALSE)*(1-$E71),0)),VLOOKUP($C71,'[2]2.행정구역별 급수인구'!$C$7:$AD$997,26,FALSE)))</f>
        <v>0</v>
      </c>
      <c r="J71" s="302">
        <f>IF($D71="A",ROUND(VLOOKUP($C71,'[2]2.행정구역별 급수인구'!$C$7:$AD$997,27,FALSE)*$E71,0),IF($D71="B",(ROUND(VLOOKUP($C71,'[2]2.행정구역별 급수인구'!$C$7:$AD$997,27,FALSE)-VLOOKUP($C71,'[2]2.행정구역별 급수인구'!$C$7:$AD$997,27,FALSE)*(1-$E71),0)),VLOOKUP($C71,'[2]2.행정구역별 급수인구'!$C$7:$AD$997,27,FALSE)))</f>
        <v>0</v>
      </c>
      <c r="K71" s="302">
        <f>IF($D71="A",ROUND(VLOOKUP($C71,'[2]2.행정구역별 급수인구'!$C$7:$AD$997,28,FALSE)*$E71,0),IF($D71="B",(ROUND(VLOOKUP($C71,'[2]2.행정구역별 급수인구'!$C$7:$AD$997,28,FALSE)-VLOOKUP($C71,'[2]2.행정구역별 급수인구'!$C$7:$AD$997,28,FALSE)*(1-$E71),0)),VLOOKUP($C71,'[2]2.행정구역별 급수인구'!$C$7:$AD$997,28,FALSE)))</f>
        <v>0</v>
      </c>
      <c r="L71" s="302">
        <f>VLOOKUP($F71,'[3]5.급수원단위'!$B$31:$G$35,2,FALSE)</f>
        <v>272</v>
      </c>
      <c r="M71" s="302">
        <f>VLOOKUP($F71,'[3]5.급수원단위'!$B$31:$G$35,3,FALSE)</f>
        <v>304</v>
      </c>
      <c r="N71" s="302">
        <f>VLOOKUP($F71,'[3]5.급수원단위'!$B$31:$G$35,4,FALSE)</f>
        <v>308</v>
      </c>
      <c r="O71" s="302">
        <f>VLOOKUP($F71,'[3]5.급수원단위'!$B$31:$G$35,5,FALSE)</f>
        <v>310</v>
      </c>
      <c r="P71" s="302">
        <f>VLOOKUP($F71,'[3]5.급수원단위'!$B$31:$G$35,6,FALSE)</f>
        <v>310</v>
      </c>
      <c r="Q71" s="302">
        <f>ROUND(IF(G71=0,0,VLOOKUP(C71,'2013실사용량 정리'!$D$6:$F$381,3,FALSE)),0)</f>
        <v>0</v>
      </c>
      <c r="R71" s="302">
        <f t="shared" si="13"/>
        <v>0</v>
      </c>
      <c r="S71" s="302">
        <f t="shared" si="14"/>
        <v>0</v>
      </c>
      <c r="T71" s="302">
        <f t="shared" si="15"/>
        <v>0</v>
      </c>
      <c r="U71" s="302">
        <f t="shared" si="16"/>
        <v>0</v>
      </c>
      <c r="W71" s="343" t="str">
        <f t="shared" si="7"/>
        <v/>
      </c>
    </row>
    <row r="72" spans="1:23" ht="18.95" customHeight="1">
      <c r="A72" s="700"/>
      <c r="B72" s="700"/>
      <c r="C72" s="399" t="s">
        <v>1526</v>
      </c>
      <c r="D72" s="330" t="s">
        <v>1808</v>
      </c>
      <c r="E72" s="397">
        <f t="shared" si="17"/>
        <v>0</v>
      </c>
      <c r="F72" s="397" t="s">
        <v>756</v>
      </c>
      <c r="G72" s="302">
        <f>IF($D72="A",ROUND(VLOOKUP($C72,'[2]2.행정구역별 급수인구'!$C$7:$AD$997,17,FALSE)*$E72,0),IF($D72="B",(ROUND(VLOOKUP($C72,'[2]2.행정구역별 급수인구'!$C$7:$AD$997,17,FALSE)-VLOOKUP($C72,'[2]2.행정구역별 급수인구'!$C$7:$AD$997,17,FALSE)*(1-$E72),0)),VLOOKUP($C72,'[2]2.행정구역별 급수인구'!$C$7:$AD$997,17,FALSE)))</f>
        <v>0</v>
      </c>
      <c r="H72" s="302">
        <f>IF($D72="A",ROUND(VLOOKUP($C72,'[2]2.행정구역별 급수인구'!$C$7:$AD$997,25,FALSE)*$E72,0),IF($D72="B",(ROUND(VLOOKUP($C72,'[2]2.행정구역별 급수인구'!$C$7:$AD$997,25,FALSE)-VLOOKUP($C72,'[2]2.행정구역별 급수인구'!$C$7:$AD$997,25,FALSE)*(1-$E72),0)),VLOOKUP($C72,'[2]2.행정구역별 급수인구'!$C$7:$AD$997,25,FALSE)))</f>
        <v>0</v>
      </c>
      <c r="I72" s="302">
        <f>IF($D72="A",ROUND(VLOOKUP($C72,'[2]2.행정구역별 급수인구'!$C$7:$AD$997,26,FALSE)*$E72,0),IF($D72="B",(ROUND(VLOOKUP($C72,'[2]2.행정구역별 급수인구'!$C$7:$AD$997,26,FALSE)-VLOOKUP($C72,'[2]2.행정구역별 급수인구'!$C$7:$AD$997,26,FALSE)*(1-$E72),0)),VLOOKUP($C72,'[2]2.행정구역별 급수인구'!$C$7:$AD$997,26,FALSE)))</f>
        <v>0</v>
      </c>
      <c r="J72" s="302">
        <f>IF($D72="A",ROUND(VLOOKUP($C72,'[2]2.행정구역별 급수인구'!$C$7:$AD$997,27,FALSE)*$E72,0),IF($D72="B",(ROUND(VLOOKUP($C72,'[2]2.행정구역별 급수인구'!$C$7:$AD$997,27,FALSE)-VLOOKUP($C72,'[2]2.행정구역별 급수인구'!$C$7:$AD$997,27,FALSE)*(1-$E72),0)),VLOOKUP($C72,'[2]2.행정구역별 급수인구'!$C$7:$AD$997,27,FALSE)))</f>
        <v>0</v>
      </c>
      <c r="K72" s="302">
        <f>IF($D72="A",ROUND(VLOOKUP($C72,'[2]2.행정구역별 급수인구'!$C$7:$AD$997,28,FALSE)*$E72,0),IF($D72="B",(ROUND(VLOOKUP($C72,'[2]2.행정구역별 급수인구'!$C$7:$AD$997,28,FALSE)-VLOOKUP($C72,'[2]2.행정구역별 급수인구'!$C$7:$AD$997,28,FALSE)*(1-$E72),0)),VLOOKUP($C72,'[2]2.행정구역별 급수인구'!$C$7:$AD$997,28,FALSE)))</f>
        <v>0</v>
      </c>
      <c r="L72" s="302">
        <f>VLOOKUP($F72,'[3]5.급수원단위'!$B$31:$G$35,2,FALSE)</f>
        <v>272</v>
      </c>
      <c r="M72" s="302">
        <f>VLOOKUP($F72,'[3]5.급수원단위'!$B$31:$G$35,3,FALSE)</f>
        <v>304</v>
      </c>
      <c r="N72" s="302">
        <f>VLOOKUP($F72,'[3]5.급수원단위'!$B$31:$G$35,4,FALSE)</f>
        <v>308</v>
      </c>
      <c r="O72" s="302">
        <f>VLOOKUP($F72,'[3]5.급수원단위'!$B$31:$G$35,5,FALSE)</f>
        <v>310</v>
      </c>
      <c r="P72" s="302">
        <f>VLOOKUP($F72,'[3]5.급수원단위'!$B$31:$G$35,6,FALSE)</f>
        <v>310</v>
      </c>
      <c r="Q72" s="302">
        <f>ROUND(IF(G72=0,0,VLOOKUP(C72,'2013실사용량 정리'!$D$6:$F$381,3,FALSE)),0)</f>
        <v>0</v>
      </c>
      <c r="R72" s="302">
        <f t="shared" si="13"/>
        <v>0</v>
      </c>
      <c r="S72" s="302">
        <f t="shared" si="14"/>
        <v>0</v>
      </c>
      <c r="T72" s="302">
        <f t="shared" si="15"/>
        <v>0</v>
      </c>
      <c r="U72" s="302">
        <f t="shared" si="16"/>
        <v>0</v>
      </c>
      <c r="W72" s="343" t="str">
        <f t="shared" ref="W72:W75" si="18">IF(ISERROR(U72/Q72),"",U72/Q72)</f>
        <v/>
      </c>
    </row>
    <row r="73" spans="1:23" ht="18.95" customHeight="1">
      <c r="A73" s="700"/>
      <c r="B73" s="700"/>
      <c r="C73" s="399" t="s">
        <v>1527</v>
      </c>
      <c r="D73" s="330" t="s">
        <v>1808</v>
      </c>
      <c r="E73" s="397">
        <f t="shared" si="17"/>
        <v>0</v>
      </c>
      <c r="F73" s="397" t="s">
        <v>756</v>
      </c>
      <c r="G73" s="302">
        <f>IF($D73="A",ROUND(VLOOKUP($C73,'[2]2.행정구역별 급수인구'!$C$7:$AD$997,17,FALSE)*$E73,0),IF($D73="B",(ROUND(VLOOKUP($C73,'[2]2.행정구역별 급수인구'!$C$7:$AD$997,17,FALSE)-VLOOKUP($C73,'[2]2.행정구역별 급수인구'!$C$7:$AD$997,17,FALSE)*(1-$E73),0)),VLOOKUP($C73,'[2]2.행정구역별 급수인구'!$C$7:$AD$997,17,FALSE)))</f>
        <v>0</v>
      </c>
      <c r="H73" s="302">
        <f>IF($D73="A",ROUND(VLOOKUP($C73,'[2]2.행정구역별 급수인구'!$C$7:$AD$997,25,FALSE)*$E73,0),IF($D73="B",(ROUND(VLOOKUP($C73,'[2]2.행정구역별 급수인구'!$C$7:$AD$997,25,FALSE)-VLOOKUP($C73,'[2]2.행정구역별 급수인구'!$C$7:$AD$997,25,FALSE)*(1-$E73),0)),VLOOKUP($C73,'[2]2.행정구역별 급수인구'!$C$7:$AD$997,25,FALSE)))</f>
        <v>0</v>
      </c>
      <c r="I73" s="302">
        <f>IF($D73="A",ROUND(VLOOKUP($C73,'[2]2.행정구역별 급수인구'!$C$7:$AD$997,26,FALSE)*$E73,0),IF($D73="B",(ROUND(VLOOKUP($C73,'[2]2.행정구역별 급수인구'!$C$7:$AD$997,26,FALSE)-VLOOKUP($C73,'[2]2.행정구역별 급수인구'!$C$7:$AD$997,26,FALSE)*(1-$E73),0)),VLOOKUP($C73,'[2]2.행정구역별 급수인구'!$C$7:$AD$997,26,FALSE)))</f>
        <v>0</v>
      </c>
      <c r="J73" s="302">
        <f>IF($D73="A",ROUND(VLOOKUP($C73,'[2]2.행정구역별 급수인구'!$C$7:$AD$997,27,FALSE)*$E73,0),IF($D73="B",(ROUND(VLOOKUP($C73,'[2]2.행정구역별 급수인구'!$C$7:$AD$997,27,FALSE)-VLOOKUP($C73,'[2]2.행정구역별 급수인구'!$C$7:$AD$997,27,FALSE)*(1-$E73),0)),VLOOKUP($C73,'[2]2.행정구역별 급수인구'!$C$7:$AD$997,27,FALSE)))</f>
        <v>0</v>
      </c>
      <c r="K73" s="302">
        <f>IF($D73="A",ROUND(VLOOKUP($C73,'[2]2.행정구역별 급수인구'!$C$7:$AD$997,28,FALSE)*$E73,0),IF($D73="B",(ROUND(VLOOKUP($C73,'[2]2.행정구역별 급수인구'!$C$7:$AD$997,28,FALSE)-VLOOKUP($C73,'[2]2.행정구역별 급수인구'!$C$7:$AD$997,28,FALSE)*(1-$E73),0)),VLOOKUP($C73,'[2]2.행정구역별 급수인구'!$C$7:$AD$997,28,FALSE)))</f>
        <v>0</v>
      </c>
      <c r="L73" s="302">
        <f>VLOOKUP($F73,'[3]5.급수원단위'!$B$31:$G$35,2,FALSE)</f>
        <v>272</v>
      </c>
      <c r="M73" s="302">
        <f>VLOOKUP($F73,'[3]5.급수원단위'!$B$31:$G$35,3,FALSE)</f>
        <v>304</v>
      </c>
      <c r="N73" s="302">
        <f>VLOOKUP($F73,'[3]5.급수원단위'!$B$31:$G$35,4,FALSE)</f>
        <v>308</v>
      </c>
      <c r="O73" s="302">
        <f>VLOOKUP($F73,'[3]5.급수원단위'!$B$31:$G$35,5,FALSE)</f>
        <v>310</v>
      </c>
      <c r="P73" s="302">
        <f>VLOOKUP($F73,'[3]5.급수원단위'!$B$31:$G$35,6,FALSE)</f>
        <v>310</v>
      </c>
      <c r="Q73" s="302">
        <f>ROUND(IF(G73=0,0,VLOOKUP(C73,'2013실사용량 정리'!$D$6:$F$381,3,FALSE)),0)</f>
        <v>0</v>
      </c>
      <c r="R73" s="302">
        <f t="shared" si="13"/>
        <v>0</v>
      </c>
      <c r="S73" s="302">
        <f t="shared" si="14"/>
        <v>0</v>
      </c>
      <c r="T73" s="302">
        <f t="shared" si="15"/>
        <v>0</v>
      </c>
      <c r="U73" s="302">
        <f t="shared" si="16"/>
        <v>0</v>
      </c>
      <c r="W73" s="343" t="str">
        <f t="shared" si="18"/>
        <v/>
      </c>
    </row>
    <row r="74" spans="1:23" ht="18.95" customHeight="1">
      <c r="A74" s="700"/>
      <c r="B74" s="700"/>
      <c r="C74" s="399" t="s">
        <v>1528</v>
      </c>
      <c r="D74" s="330" t="s">
        <v>1808</v>
      </c>
      <c r="E74" s="397">
        <f t="shared" si="17"/>
        <v>0</v>
      </c>
      <c r="F74" s="397" t="s">
        <v>756</v>
      </c>
      <c r="G74" s="302">
        <f>IF($D74="A",ROUND(VLOOKUP($C74,'[2]2.행정구역별 급수인구'!$C$7:$AD$997,17,FALSE)*$E74,0),IF($D74="B",(ROUND(VLOOKUP($C74,'[2]2.행정구역별 급수인구'!$C$7:$AD$997,17,FALSE)-VLOOKUP($C74,'[2]2.행정구역별 급수인구'!$C$7:$AD$997,17,FALSE)*(1-$E74),0)),VLOOKUP($C74,'[2]2.행정구역별 급수인구'!$C$7:$AD$997,17,FALSE)))</f>
        <v>0</v>
      </c>
      <c r="H74" s="302">
        <f>IF($D74="A",ROUND(VLOOKUP($C74,'[2]2.행정구역별 급수인구'!$C$7:$AD$997,25,FALSE)*$E74,0),IF($D74="B",(ROUND(VLOOKUP($C74,'[2]2.행정구역별 급수인구'!$C$7:$AD$997,25,FALSE)-VLOOKUP($C74,'[2]2.행정구역별 급수인구'!$C$7:$AD$997,25,FALSE)*(1-$E74),0)),VLOOKUP($C74,'[2]2.행정구역별 급수인구'!$C$7:$AD$997,25,FALSE)))</f>
        <v>0</v>
      </c>
      <c r="I74" s="302">
        <f>IF($D74="A",ROUND(VLOOKUP($C74,'[2]2.행정구역별 급수인구'!$C$7:$AD$997,26,FALSE)*$E74,0),IF($D74="B",(ROUND(VLOOKUP($C74,'[2]2.행정구역별 급수인구'!$C$7:$AD$997,26,FALSE)-VLOOKUP($C74,'[2]2.행정구역별 급수인구'!$C$7:$AD$997,26,FALSE)*(1-$E74),0)),VLOOKUP($C74,'[2]2.행정구역별 급수인구'!$C$7:$AD$997,26,FALSE)))</f>
        <v>0</v>
      </c>
      <c r="J74" s="302">
        <f>IF($D74="A",ROUND(VLOOKUP($C74,'[2]2.행정구역별 급수인구'!$C$7:$AD$997,27,FALSE)*$E74,0),IF($D74="B",(ROUND(VLOOKUP($C74,'[2]2.행정구역별 급수인구'!$C$7:$AD$997,27,FALSE)-VLOOKUP($C74,'[2]2.행정구역별 급수인구'!$C$7:$AD$997,27,FALSE)*(1-$E74),0)),VLOOKUP($C74,'[2]2.행정구역별 급수인구'!$C$7:$AD$997,27,FALSE)))</f>
        <v>0</v>
      </c>
      <c r="K74" s="302">
        <f>IF($D74="A",ROUND(VLOOKUP($C74,'[2]2.행정구역별 급수인구'!$C$7:$AD$997,28,FALSE)*$E74,0),IF($D74="B",(ROUND(VLOOKUP($C74,'[2]2.행정구역별 급수인구'!$C$7:$AD$997,28,FALSE)-VLOOKUP($C74,'[2]2.행정구역별 급수인구'!$C$7:$AD$997,28,FALSE)*(1-$E74),0)),VLOOKUP($C74,'[2]2.행정구역별 급수인구'!$C$7:$AD$997,28,FALSE)))</f>
        <v>0</v>
      </c>
      <c r="L74" s="302">
        <f>VLOOKUP($F74,'[3]5.급수원단위'!$B$31:$G$35,2,FALSE)</f>
        <v>272</v>
      </c>
      <c r="M74" s="302">
        <f>VLOOKUP($F74,'[3]5.급수원단위'!$B$31:$G$35,3,FALSE)</f>
        <v>304</v>
      </c>
      <c r="N74" s="302">
        <f>VLOOKUP($F74,'[3]5.급수원단위'!$B$31:$G$35,4,FALSE)</f>
        <v>308</v>
      </c>
      <c r="O74" s="302">
        <f>VLOOKUP($F74,'[3]5.급수원단위'!$B$31:$G$35,5,FALSE)</f>
        <v>310</v>
      </c>
      <c r="P74" s="302">
        <f>VLOOKUP($F74,'[3]5.급수원단위'!$B$31:$G$35,6,FALSE)</f>
        <v>310</v>
      </c>
      <c r="Q74" s="302">
        <f>ROUND(IF(G74=0,0,VLOOKUP(C74,'2013실사용량 정리'!$D$6:$F$381,3,FALSE)),0)</f>
        <v>0</v>
      </c>
      <c r="R74" s="302">
        <f t="shared" si="13"/>
        <v>0</v>
      </c>
      <c r="S74" s="302">
        <f t="shared" si="14"/>
        <v>0</v>
      </c>
      <c r="T74" s="302">
        <f t="shared" si="15"/>
        <v>0</v>
      </c>
      <c r="U74" s="302">
        <f t="shared" si="16"/>
        <v>0</v>
      </c>
      <c r="W74" s="343" t="str">
        <f t="shared" si="18"/>
        <v/>
      </c>
    </row>
    <row r="75" spans="1:23" ht="18.95" customHeight="1">
      <c r="A75" s="700"/>
      <c r="B75" s="700"/>
      <c r="C75" s="399" t="s">
        <v>1529</v>
      </c>
      <c r="D75" s="330" t="s">
        <v>1808</v>
      </c>
      <c r="E75" s="397">
        <f t="shared" si="17"/>
        <v>0</v>
      </c>
      <c r="F75" s="397" t="s">
        <v>756</v>
      </c>
      <c r="G75" s="302">
        <f>IF($D75="A",ROUND(VLOOKUP($C75,'[2]2.행정구역별 급수인구'!$C$7:$AD$997,17,FALSE)*$E75,0),IF($D75="B",(ROUND(VLOOKUP($C75,'[2]2.행정구역별 급수인구'!$C$7:$AD$997,17,FALSE)-VLOOKUP($C75,'[2]2.행정구역별 급수인구'!$C$7:$AD$997,17,FALSE)*(1-$E75),0)),VLOOKUP($C75,'[2]2.행정구역별 급수인구'!$C$7:$AD$997,17,FALSE)))</f>
        <v>0</v>
      </c>
      <c r="H75" s="302">
        <f>IF($D75="A",ROUND(VLOOKUP($C75,'[2]2.행정구역별 급수인구'!$C$7:$AD$997,25,FALSE)*$E75,0),IF($D75="B",(ROUND(VLOOKUP($C75,'[2]2.행정구역별 급수인구'!$C$7:$AD$997,25,FALSE)-VLOOKUP($C75,'[2]2.행정구역별 급수인구'!$C$7:$AD$997,25,FALSE)*(1-$E75),0)),VLOOKUP($C75,'[2]2.행정구역별 급수인구'!$C$7:$AD$997,25,FALSE)))</f>
        <v>0</v>
      </c>
      <c r="I75" s="302">
        <f>IF($D75="A",ROUND(VLOOKUP($C75,'[2]2.행정구역별 급수인구'!$C$7:$AD$997,26,FALSE)*$E75,0),IF($D75="B",(ROUND(VLOOKUP($C75,'[2]2.행정구역별 급수인구'!$C$7:$AD$997,26,FALSE)-VLOOKUP($C75,'[2]2.행정구역별 급수인구'!$C$7:$AD$997,26,FALSE)*(1-$E75),0)),VLOOKUP($C75,'[2]2.행정구역별 급수인구'!$C$7:$AD$997,26,FALSE)))</f>
        <v>0</v>
      </c>
      <c r="J75" s="302">
        <f>IF($D75="A",ROUND(VLOOKUP($C75,'[2]2.행정구역별 급수인구'!$C$7:$AD$997,27,FALSE)*$E75,0),IF($D75="B",(ROUND(VLOOKUP($C75,'[2]2.행정구역별 급수인구'!$C$7:$AD$997,27,FALSE)-VLOOKUP($C75,'[2]2.행정구역별 급수인구'!$C$7:$AD$997,27,FALSE)*(1-$E75),0)),VLOOKUP($C75,'[2]2.행정구역별 급수인구'!$C$7:$AD$997,27,FALSE)))</f>
        <v>0</v>
      </c>
      <c r="K75" s="302">
        <f>IF($D75="A",ROUND(VLOOKUP($C75,'[2]2.행정구역별 급수인구'!$C$7:$AD$997,28,FALSE)*$E75,0),IF($D75="B",(ROUND(VLOOKUP($C75,'[2]2.행정구역별 급수인구'!$C$7:$AD$997,28,FALSE)-VLOOKUP($C75,'[2]2.행정구역별 급수인구'!$C$7:$AD$997,28,FALSE)*(1-$E75),0)),VLOOKUP($C75,'[2]2.행정구역별 급수인구'!$C$7:$AD$997,28,FALSE)))</f>
        <v>0</v>
      </c>
      <c r="L75" s="302">
        <f>VLOOKUP($F75,'[3]5.급수원단위'!$B$31:$G$35,2,FALSE)</f>
        <v>272</v>
      </c>
      <c r="M75" s="302">
        <f>VLOOKUP($F75,'[3]5.급수원단위'!$B$31:$G$35,3,FALSE)</f>
        <v>304</v>
      </c>
      <c r="N75" s="302">
        <f>VLOOKUP($F75,'[3]5.급수원단위'!$B$31:$G$35,4,FALSE)</f>
        <v>308</v>
      </c>
      <c r="O75" s="302">
        <f>VLOOKUP($F75,'[3]5.급수원단위'!$B$31:$G$35,5,FALSE)</f>
        <v>310</v>
      </c>
      <c r="P75" s="302">
        <f>VLOOKUP($F75,'[3]5.급수원단위'!$B$31:$G$35,6,FALSE)</f>
        <v>310</v>
      </c>
      <c r="Q75" s="302">
        <f>ROUND(IF(G75=0,0,VLOOKUP(C75,'2013실사용량 정리'!$D$6:$F$381,3,FALSE)),0)</f>
        <v>0</v>
      </c>
      <c r="R75" s="302">
        <f t="shared" si="13"/>
        <v>0</v>
      </c>
      <c r="S75" s="302">
        <f t="shared" si="14"/>
        <v>0</v>
      </c>
      <c r="T75" s="302">
        <f t="shared" si="15"/>
        <v>0</v>
      </c>
      <c r="U75" s="302">
        <f t="shared" si="16"/>
        <v>0</v>
      </c>
      <c r="W75" s="343" t="str">
        <f t="shared" si="18"/>
        <v/>
      </c>
    </row>
    <row r="76" spans="1:23" ht="18.95" customHeight="1"/>
  </sheetData>
  <autoFilter ref="A4:AS75">
    <filterColumn colId="0" showButton="0"/>
    <filterColumn colId="1" showButton="0"/>
    <filterColumn colId="2" showButton="0"/>
    <filterColumn colId="4"/>
  </autoFilter>
  <mergeCells count="17">
    <mergeCell ref="A3:D4"/>
    <mergeCell ref="E3:E4"/>
    <mergeCell ref="A42:A75"/>
    <mergeCell ref="B42:D42"/>
    <mergeCell ref="B43:B75"/>
    <mergeCell ref="A5:D5"/>
    <mergeCell ref="A6:D6"/>
    <mergeCell ref="A7:A40"/>
    <mergeCell ref="B7:D7"/>
    <mergeCell ref="B8:B40"/>
    <mergeCell ref="A41:D41"/>
    <mergeCell ref="F3:F4"/>
    <mergeCell ref="G3:K3"/>
    <mergeCell ref="L3:P3"/>
    <mergeCell ref="Z2:AB2"/>
    <mergeCell ref="W2:Y2"/>
    <mergeCell ref="Q3:U3"/>
  </mergeCells>
  <phoneticPr fontId="3" type="noConversion"/>
  <printOptions horizontalCentered="1"/>
  <pageMargins left="0.62992125984251968" right="0.62992125984251968" top="0.62992125984251968" bottom="0.62992125984251968" header="0.31496062992125984" footer="0.31496062992125984"/>
  <pageSetup paperSize="9" scale="9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C000"/>
  </sheetPr>
  <dimension ref="A1:AS221"/>
  <sheetViews>
    <sheetView view="pageBreakPreview" zoomScale="85" zoomScaleNormal="100" zoomScaleSheetLayoutView="85" workbookViewId="0">
      <selection activeCell="H154" sqref="H154"/>
    </sheetView>
  </sheetViews>
  <sheetFormatPr defaultColWidth="7.6640625" defaultRowHeight="20.100000000000001" customHeight="1" outlineLevelCol="1"/>
  <cols>
    <col min="1" max="2" width="1.77734375" style="327" customWidth="1"/>
    <col min="3" max="3" width="6.33203125" style="327" customWidth="1"/>
    <col min="4" max="4" width="2.33203125" style="327" customWidth="1"/>
    <col min="5" max="6" width="6.77734375" style="327" hidden="1" customWidth="1" outlineLevel="1"/>
    <col min="7" max="7" width="6.33203125" style="327" hidden="1" customWidth="1" outlineLevel="1"/>
    <col min="8" max="8" width="6.33203125" style="327" customWidth="1" collapsed="1"/>
    <col min="9" max="11" width="6.33203125" style="327" customWidth="1"/>
    <col min="12" max="12" width="4.33203125" style="327" hidden="1" customWidth="1" outlineLevel="1"/>
    <col min="13" max="13" width="4.33203125" style="327" customWidth="1" collapsed="1"/>
    <col min="14" max="16" width="4.33203125" style="327" customWidth="1"/>
    <col min="17" max="17" width="6.33203125" style="327" hidden="1" customWidth="1" outlineLevel="1"/>
    <col min="18" max="18" width="6.33203125" style="327" customWidth="1" collapsed="1"/>
    <col min="19" max="21" width="6.33203125" style="327" customWidth="1"/>
    <col min="22" max="22" width="8" style="327" bestFit="1" customWidth="1"/>
    <col min="23" max="25" width="7.6640625" style="327"/>
    <col min="26" max="26" width="10.44140625" bestFit="1" customWidth="1"/>
    <col min="46" max="16384" width="7.6640625" style="327"/>
  </cols>
  <sheetData>
    <row r="1" spans="1:27" s="204" customFormat="1" ht="20.100000000000001" customHeight="1">
      <c r="A1" s="204" t="s">
        <v>804</v>
      </c>
    </row>
    <row r="2" spans="1:27" s="208" customFormat="1" ht="19.5" customHeight="1">
      <c r="A2" s="207" t="s">
        <v>1495</v>
      </c>
      <c r="G2" s="209"/>
      <c r="H2" s="209"/>
      <c r="J2" s="209"/>
      <c r="K2" s="209"/>
      <c r="L2" s="209"/>
      <c r="V2" s="334"/>
      <c r="W2" s="692" t="s">
        <v>1919</v>
      </c>
      <c r="X2" s="692"/>
      <c r="Y2" s="692"/>
      <c r="Z2" s="440" t="s">
        <v>2405</v>
      </c>
      <c r="AA2" s="440" t="s">
        <v>2441</v>
      </c>
    </row>
    <row r="3" spans="1:27" ht="20.100000000000001" customHeight="1">
      <c r="A3" s="693" t="s">
        <v>1246</v>
      </c>
      <c r="B3" s="693"/>
      <c r="C3" s="693"/>
      <c r="D3" s="693"/>
      <c r="E3" s="696" t="s">
        <v>1290</v>
      </c>
      <c r="F3" s="696" t="s">
        <v>1280</v>
      </c>
      <c r="G3" s="693" t="s">
        <v>1281</v>
      </c>
      <c r="H3" s="693"/>
      <c r="I3" s="693"/>
      <c r="J3" s="693"/>
      <c r="K3" s="693"/>
      <c r="L3" s="693" t="s">
        <v>1282</v>
      </c>
      <c r="M3" s="693"/>
      <c r="N3" s="693"/>
      <c r="O3" s="693"/>
      <c r="P3" s="693"/>
      <c r="Q3" s="693" t="s">
        <v>1283</v>
      </c>
      <c r="R3" s="693"/>
      <c r="S3" s="693"/>
      <c r="T3" s="693"/>
      <c r="U3" s="693"/>
      <c r="W3" s="434">
        <v>1238</v>
      </c>
      <c r="X3" s="439">
        <v>1308</v>
      </c>
      <c r="Y3" s="440">
        <f>X3/W3</f>
        <v>1.0565428109854604</v>
      </c>
      <c r="Z3" s="440">
        <f>ROUND(AVERAGE(W6:W220),2)</f>
        <v>79.06</v>
      </c>
      <c r="AA3" s="469">
        <v>1</v>
      </c>
    </row>
    <row r="4" spans="1:27" ht="20.100000000000001" customHeight="1">
      <c r="A4" s="693"/>
      <c r="B4" s="693"/>
      <c r="C4" s="693"/>
      <c r="D4" s="693"/>
      <c r="E4" s="693"/>
      <c r="F4" s="693"/>
      <c r="G4" s="527">
        <v>2013</v>
      </c>
      <c r="H4" s="527">
        <v>2015</v>
      </c>
      <c r="I4" s="527">
        <v>2020</v>
      </c>
      <c r="J4" s="527">
        <v>2025</v>
      </c>
      <c r="K4" s="527">
        <v>2030</v>
      </c>
      <c r="L4" s="527">
        <v>2013</v>
      </c>
      <c r="M4" s="527">
        <v>2015</v>
      </c>
      <c r="N4" s="527">
        <v>2020</v>
      </c>
      <c r="O4" s="527">
        <v>2025</v>
      </c>
      <c r="P4" s="527">
        <v>2030</v>
      </c>
      <c r="Q4" s="527">
        <v>2013</v>
      </c>
      <c r="R4" s="527">
        <v>2015</v>
      </c>
      <c r="S4" s="527">
        <v>2020</v>
      </c>
      <c r="T4" s="527">
        <v>2025</v>
      </c>
      <c r="U4" s="527">
        <v>2030</v>
      </c>
    </row>
    <row r="5" spans="1:27" ht="20.100000000000001" customHeight="1">
      <c r="A5" s="695" t="s">
        <v>1494</v>
      </c>
      <c r="B5" s="695"/>
      <c r="C5" s="695"/>
      <c r="D5" s="695"/>
      <c r="E5" s="407"/>
      <c r="F5" s="407"/>
      <c r="G5" s="408">
        <f>+G6+G103+G152+G75</f>
        <v>3028</v>
      </c>
      <c r="H5" s="408">
        <f t="shared" ref="H5:K5" si="0">+H6+H103+H152+H75</f>
        <v>7847</v>
      </c>
      <c r="I5" s="408">
        <f t="shared" si="0"/>
        <v>19274</v>
      </c>
      <c r="J5" s="408">
        <f t="shared" si="0"/>
        <v>20179</v>
      </c>
      <c r="K5" s="408">
        <f t="shared" si="0"/>
        <v>20492</v>
      </c>
      <c r="L5" s="408"/>
      <c r="M5" s="408"/>
      <c r="N5" s="408"/>
      <c r="O5" s="408"/>
      <c r="P5" s="408"/>
      <c r="Q5" s="408">
        <f t="shared" ref="Q5:U5" si="1">+Q6+Q103+Q152+Q75</f>
        <v>1252</v>
      </c>
      <c r="R5" s="408">
        <f t="shared" si="1"/>
        <v>2385</v>
      </c>
      <c r="S5" s="408">
        <f t="shared" si="1"/>
        <v>5036</v>
      </c>
      <c r="T5" s="408">
        <f t="shared" si="1"/>
        <v>5353</v>
      </c>
      <c r="U5" s="408">
        <f t="shared" si="1"/>
        <v>5447</v>
      </c>
      <c r="V5" s="341"/>
      <c r="W5" s="335"/>
    </row>
    <row r="6" spans="1:27" ht="20.100000000000001" customHeight="1">
      <c r="A6" s="719" t="s">
        <v>1531</v>
      </c>
      <c r="B6" s="719"/>
      <c r="C6" s="719"/>
      <c r="D6" s="719"/>
      <c r="E6" s="332"/>
      <c r="F6" s="332"/>
      <c r="G6" s="298">
        <f t="shared" ref="G6:K6" si="2">G7+G48</f>
        <v>2237</v>
      </c>
      <c r="H6" s="298">
        <f t="shared" si="2"/>
        <v>3884</v>
      </c>
      <c r="I6" s="298">
        <f t="shared" si="2"/>
        <v>5938</v>
      </c>
      <c r="J6" s="298">
        <f t="shared" si="2"/>
        <v>6442</v>
      </c>
      <c r="K6" s="298">
        <f t="shared" si="2"/>
        <v>6561</v>
      </c>
      <c r="L6" s="298"/>
      <c r="M6" s="298"/>
      <c r="N6" s="298"/>
      <c r="O6" s="298"/>
      <c r="P6" s="298"/>
      <c r="Q6" s="298">
        <f t="shared" ref="Q6:T6" si="3">Q7+Q48</f>
        <v>1158</v>
      </c>
      <c r="R6" s="298">
        <f t="shared" si="3"/>
        <v>1180</v>
      </c>
      <c r="S6" s="298">
        <f t="shared" si="3"/>
        <v>1831</v>
      </c>
      <c r="T6" s="298">
        <f t="shared" si="3"/>
        <v>1997</v>
      </c>
      <c r="U6" s="298">
        <f>U7+U48</f>
        <v>2036</v>
      </c>
    </row>
    <row r="7" spans="1:27" ht="20.100000000000001" customHeight="1">
      <c r="A7" s="339"/>
      <c r="B7" s="694" t="s">
        <v>1530</v>
      </c>
      <c r="C7" s="694"/>
      <c r="D7" s="694"/>
      <c r="E7" s="331"/>
      <c r="F7" s="331"/>
      <c r="G7" s="336">
        <f>SUM(G8:G47)</f>
        <v>2237</v>
      </c>
      <c r="H7" s="336">
        <f t="shared" ref="H7:K7" si="4">SUM(H8:H47)</f>
        <v>3884</v>
      </c>
      <c r="I7" s="336">
        <f t="shared" si="4"/>
        <v>5938</v>
      </c>
      <c r="J7" s="336">
        <f t="shared" si="4"/>
        <v>6442</v>
      </c>
      <c r="K7" s="336">
        <f t="shared" si="4"/>
        <v>6561</v>
      </c>
      <c r="L7" s="336"/>
      <c r="M7" s="336"/>
      <c r="N7" s="336"/>
      <c r="O7" s="336"/>
      <c r="P7" s="336"/>
      <c r="Q7" s="336">
        <f t="shared" ref="Q7:U7" si="5">SUM(Q8:Q47)</f>
        <v>1158</v>
      </c>
      <c r="R7" s="336">
        <f t="shared" si="5"/>
        <v>1180</v>
      </c>
      <c r="S7" s="336">
        <f t="shared" si="5"/>
        <v>1831</v>
      </c>
      <c r="T7" s="336">
        <f t="shared" si="5"/>
        <v>1997</v>
      </c>
      <c r="U7" s="336">
        <f t="shared" si="5"/>
        <v>2036</v>
      </c>
      <c r="V7" s="343">
        <f>VLOOKUP(B7,'2013년도 용수량 비율'!$A$5:$F$20,6,FALSE)</f>
        <v>0</v>
      </c>
    </row>
    <row r="8" spans="1:27" ht="20.100000000000001" customHeight="1">
      <c r="A8" s="340"/>
      <c r="B8" s="339"/>
      <c r="C8" s="406" t="s">
        <v>1532</v>
      </c>
      <c r="D8" s="330"/>
      <c r="E8" s="527"/>
      <c r="F8" s="527" t="s">
        <v>1317</v>
      </c>
      <c r="G8" s="302">
        <f>IF($D8="A",ROUND(VLOOKUP($C8,'[2]2.행정구역별 급수인구'!$C$7:$AD$997,17,FALSE)*$E8,0),IF($D8="B",(ROUND(VLOOKUP($C8,'[2]2.행정구역별 급수인구'!$C$7:$AD$997,17,FALSE)-VLOOKUP($C8,'[2]2.행정구역별 급수인구'!$C$7:$AD$997,17,FALSE)*(1-$E8),0)),VLOOKUP($C8,'[2]2.행정구역별 급수인구'!$C$7:$AD$997,17,FALSE)))</f>
        <v>0</v>
      </c>
      <c r="H8" s="302">
        <f>IF($D8="A",ROUND(VLOOKUP($C8,'[2]2.행정구역별 급수인구'!$C$7:$AD$997,25,FALSE)*$E8,0),IF($D8="B",(ROUND(VLOOKUP($C8,'[2]2.행정구역별 급수인구'!$C$7:$AD$997,25,FALSE)-VLOOKUP($C8,'[2]2.행정구역별 급수인구'!$C$7:$AD$997,25,FALSE)*(1-$E8),0)),VLOOKUP($C8,'[2]2.행정구역별 급수인구'!$C$7:$AD$997,25,FALSE)))</f>
        <v>0</v>
      </c>
      <c r="I8" s="302">
        <f>IF($D8="A",ROUND(VLOOKUP($C8,'[2]2.행정구역별 급수인구'!$C$7:$AD$997,26,FALSE)*$E8,0),IF($D8="B",(ROUND(VLOOKUP($C8,'[2]2.행정구역별 급수인구'!$C$7:$AD$997,26,FALSE)-VLOOKUP($C8,'[2]2.행정구역별 급수인구'!$C$7:$AD$997,26,FALSE)*(1-$E8),0)),VLOOKUP($C8,'[2]2.행정구역별 급수인구'!$C$7:$AD$997,26,FALSE)))</f>
        <v>224</v>
      </c>
      <c r="J8" s="302">
        <f>IF($D8="A",ROUND(VLOOKUP($C8,'[2]2.행정구역별 급수인구'!$C$7:$AD$997,27,FALSE)*$E8,0),IF($D8="B",(ROUND(VLOOKUP($C8,'[2]2.행정구역별 급수인구'!$C$7:$AD$997,27,FALSE)-VLOOKUP($C8,'[2]2.행정구역별 급수인구'!$C$7:$AD$997,27,FALSE)*(1-$E8),0)),VLOOKUP($C8,'[2]2.행정구역별 급수인구'!$C$7:$AD$997,27,FALSE)))</f>
        <v>244</v>
      </c>
      <c r="K8" s="302">
        <f>IF($D8="A",ROUND(VLOOKUP($C8,'[2]2.행정구역별 급수인구'!$C$7:$AD$997,28,FALSE)*$E8,0),IF($D8="B",(ROUND(VLOOKUP($C8,'[2]2.행정구역별 급수인구'!$C$7:$AD$997,28,FALSE)-VLOOKUP($C8,'[2]2.행정구역별 급수인구'!$C$7:$AD$997,28,FALSE)*(1-$E8),0)),VLOOKUP($C8,'[2]2.행정구역별 급수인구'!$C$7:$AD$997,28,FALSE)))</f>
        <v>246</v>
      </c>
      <c r="L8" s="302">
        <f>VLOOKUP($F8,'[3]5.급수원단위'!$B$31:$G$35,2,FALSE)</f>
        <v>272</v>
      </c>
      <c r="M8" s="302">
        <f>VLOOKUP($F8,'[3]5.급수원단위'!$B$31:$G$35,3,FALSE)</f>
        <v>304</v>
      </c>
      <c r="N8" s="302">
        <f>VLOOKUP($F8,'[3]5.급수원단위'!$B$31:$G$35,4,FALSE)</f>
        <v>308</v>
      </c>
      <c r="O8" s="302">
        <f>VLOOKUP($F8,'[3]5.급수원단위'!$B$31:$G$35,5,FALSE)</f>
        <v>310</v>
      </c>
      <c r="P8" s="302">
        <f>VLOOKUP($F8,'[3]5.급수원단위'!$B$31:$G$35,6,FALSE)</f>
        <v>310</v>
      </c>
      <c r="Q8" s="302">
        <f>ROUND(IF(G8=0,0,VLOOKUP(C8,'2013실사용량 정리'!$D$6:$F$381,3,FALSE)),0)</f>
        <v>0</v>
      </c>
      <c r="R8" s="302">
        <f t="shared" ref="R8:U23" si="6">ROUND(H8*M8/1000,0)</f>
        <v>0</v>
      </c>
      <c r="S8" s="302">
        <f t="shared" si="6"/>
        <v>69</v>
      </c>
      <c r="T8" s="302">
        <f t="shared" si="6"/>
        <v>76</v>
      </c>
      <c r="U8" s="302">
        <f t="shared" si="6"/>
        <v>76</v>
      </c>
      <c r="W8" s="343" t="str">
        <f t="shared" ref="W8:W70" si="7">IF(ISERROR(U8/Q8),"",U8/Q8)</f>
        <v/>
      </c>
    </row>
    <row r="9" spans="1:27" ht="20.100000000000001" customHeight="1">
      <c r="A9" s="340"/>
      <c r="B9" s="340"/>
      <c r="C9" s="406" t="s">
        <v>1533</v>
      </c>
      <c r="D9" s="330"/>
      <c r="E9" s="527"/>
      <c r="F9" s="527" t="s">
        <v>1317</v>
      </c>
      <c r="G9" s="302">
        <f>IF($D9="A",ROUND(VLOOKUP($C9,'[2]2.행정구역별 급수인구'!$C$7:$AD$997,17,FALSE)*$E9,0),IF($D9="B",(ROUND(VLOOKUP($C9,'[2]2.행정구역별 급수인구'!$C$7:$AD$997,17,FALSE)-VLOOKUP($C9,'[2]2.행정구역별 급수인구'!$C$7:$AD$997,17,FALSE)*(1-$E9),0)),VLOOKUP($C9,'[2]2.행정구역별 급수인구'!$C$7:$AD$997,17,FALSE)))</f>
        <v>0</v>
      </c>
      <c r="H9" s="302">
        <f>IF($D9="A",ROUND(VLOOKUP($C9,'[2]2.행정구역별 급수인구'!$C$7:$AD$997,25,FALSE)*$E9,0),IF($D9="B",(ROUND(VLOOKUP($C9,'[2]2.행정구역별 급수인구'!$C$7:$AD$997,25,FALSE)-VLOOKUP($C9,'[2]2.행정구역별 급수인구'!$C$7:$AD$997,25,FALSE)*(1-$E9),0)),VLOOKUP($C9,'[2]2.행정구역별 급수인구'!$C$7:$AD$997,25,FALSE)))</f>
        <v>0</v>
      </c>
      <c r="I9" s="302">
        <f>IF($D9="A",ROUND(VLOOKUP($C9,'[2]2.행정구역별 급수인구'!$C$7:$AD$997,26,FALSE)*$E9,0),IF($D9="B",(ROUND(VLOOKUP($C9,'[2]2.행정구역별 급수인구'!$C$7:$AD$997,26,FALSE)-VLOOKUP($C9,'[2]2.행정구역별 급수인구'!$C$7:$AD$997,26,FALSE)*(1-$E9),0)),VLOOKUP($C9,'[2]2.행정구역별 급수인구'!$C$7:$AD$997,26,FALSE)))</f>
        <v>135</v>
      </c>
      <c r="J9" s="302">
        <f>IF($D9="A",ROUND(VLOOKUP($C9,'[2]2.행정구역별 급수인구'!$C$7:$AD$997,27,FALSE)*$E9,0),IF($D9="B",(ROUND(VLOOKUP($C9,'[2]2.행정구역별 급수인구'!$C$7:$AD$997,27,FALSE)-VLOOKUP($C9,'[2]2.행정구역별 급수인구'!$C$7:$AD$997,27,FALSE)*(1-$E9),0)),VLOOKUP($C9,'[2]2.행정구역별 급수인구'!$C$7:$AD$997,27,FALSE)))</f>
        <v>146</v>
      </c>
      <c r="K9" s="302">
        <f>IF($D9="A",ROUND(VLOOKUP($C9,'[2]2.행정구역별 급수인구'!$C$7:$AD$997,28,FALSE)*$E9,0),IF($D9="B",(ROUND(VLOOKUP($C9,'[2]2.행정구역별 급수인구'!$C$7:$AD$997,28,FALSE)-VLOOKUP($C9,'[2]2.행정구역별 급수인구'!$C$7:$AD$997,28,FALSE)*(1-$E9),0)),VLOOKUP($C9,'[2]2.행정구역별 급수인구'!$C$7:$AD$997,28,FALSE)))</f>
        <v>149</v>
      </c>
      <c r="L9" s="302">
        <f>VLOOKUP($F9,'[3]5.급수원단위'!$B$31:$G$35,2,FALSE)</f>
        <v>272</v>
      </c>
      <c r="M9" s="302">
        <f>VLOOKUP($F9,'[3]5.급수원단위'!$B$31:$G$35,3,FALSE)</f>
        <v>304</v>
      </c>
      <c r="N9" s="302">
        <f>VLOOKUP($F9,'[3]5.급수원단위'!$B$31:$G$35,4,FALSE)</f>
        <v>308</v>
      </c>
      <c r="O9" s="302">
        <f>VLOOKUP($F9,'[3]5.급수원단위'!$B$31:$G$35,5,FALSE)</f>
        <v>310</v>
      </c>
      <c r="P9" s="302">
        <f>VLOOKUP($F9,'[3]5.급수원단위'!$B$31:$G$35,6,FALSE)</f>
        <v>310</v>
      </c>
      <c r="Q9" s="302">
        <f>ROUND(IF(G9=0,0,VLOOKUP(C9,'2013실사용량 정리'!$D$6:$F$381,3,FALSE)),0)</f>
        <v>0</v>
      </c>
      <c r="R9" s="302">
        <f t="shared" si="6"/>
        <v>0</v>
      </c>
      <c r="S9" s="302">
        <f t="shared" si="6"/>
        <v>42</v>
      </c>
      <c r="T9" s="302">
        <f t="shared" si="6"/>
        <v>45</v>
      </c>
      <c r="U9" s="302">
        <f t="shared" si="6"/>
        <v>46</v>
      </c>
      <c r="W9" s="343" t="str">
        <f t="shared" si="7"/>
        <v/>
      </c>
    </row>
    <row r="10" spans="1:27" ht="20.100000000000001" customHeight="1">
      <c r="A10" s="340"/>
      <c r="B10" s="340"/>
      <c r="C10" s="406" t="s">
        <v>1534</v>
      </c>
      <c r="D10" s="330"/>
      <c r="E10" s="527"/>
      <c r="F10" s="527" t="s">
        <v>1317</v>
      </c>
      <c r="G10" s="302">
        <f>IF($D10="A",ROUND(VLOOKUP($C10,'[2]2.행정구역별 급수인구'!$C$7:$AD$997,17,FALSE)*$E10,0),IF($D10="B",(ROUND(VLOOKUP($C10,'[2]2.행정구역별 급수인구'!$C$7:$AD$997,17,FALSE)-VLOOKUP($C10,'[2]2.행정구역별 급수인구'!$C$7:$AD$997,17,FALSE)*(1-$E10),0)),VLOOKUP($C10,'[2]2.행정구역별 급수인구'!$C$7:$AD$997,17,FALSE)))</f>
        <v>0</v>
      </c>
      <c r="H10" s="302">
        <f>IF($D10="A",ROUND(VLOOKUP($C10,'[2]2.행정구역별 급수인구'!$C$7:$AD$997,25,FALSE)*$E10,0),IF($D10="B",(ROUND(VLOOKUP($C10,'[2]2.행정구역별 급수인구'!$C$7:$AD$997,25,FALSE)-VLOOKUP($C10,'[2]2.행정구역별 급수인구'!$C$7:$AD$997,25,FALSE)*(1-$E10),0)),VLOOKUP($C10,'[2]2.행정구역별 급수인구'!$C$7:$AD$997,25,FALSE)))</f>
        <v>0</v>
      </c>
      <c r="I10" s="302">
        <f>IF($D10="A",ROUND(VLOOKUP($C10,'[2]2.행정구역별 급수인구'!$C$7:$AD$997,26,FALSE)*$E10,0),IF($D10="B",(ROUND(VLOOKUP($C10,'[2]2.행정구역별 급수인구'!$C$7:$AD$997,26,FALSE)-VLOOKUP($C10,'[2]2.행정구역별 급수인구'!$C$7:$AD$997,26,FALSE)*(1-$E10),0)),VLOOKUP($C10,'[2]2.행정구역별 급수인구'!$C$7:$AD$997,26,FALSE)))</f>
        <v>178</v>
      </c>
      <c r="J10" s="302">
        <f>IF($D10="A",ROUND(VLOOKUP($C10,'[2]2.행정구역별 급수인구'!$C$7:$AD$997,27,FALSE)*$E10,0),IF($D10="B",(ROUND(VLOOKUP($C10,'[2]2.행정구역별 급수인구'!$C$7:$AD$997,27,FALSE)-VLOOKUP($C10,'[2]2.행정구역별 급수인구'!$C$7:$AD$997,27,FALSE)*(1-$E10),0)),VLOOKUP($C10,'[2]2.행정구역별 급수인구'!$C$7:$AD$997,27,FALSE)))</f>
        <v>192</v>
      </c>
      <c r="K10" s="302">
        <f>IF($D10="A",ROUND(VLOOKUP($C10,'[2]2.행정구역별 급수인구'!$C$7:$AD$997,28,FALSE)*$E10,0),IF($D10="B",(ROUND(VLOOKUP($C10,'[2]2.행정구역별 급수인구'!$C$7:$AD$997,28,FALSE)-VLOOKUP($C10,'[2]2.행정구역별 급수인구'!$C$7:$AD$997,28,FALSE)*(1-$E10),0)),VLOOKUP($C10,'[2]2.행정구역별 급수인구'!$C$7:$AD$997,28,FALSE)))</f>
        <v>196</v>
      </c>
      <c r="L10" s="302">
        <f>VLOOKUP($F10,'[3]5.급수원단위'!$B$31:$G$35,2,FALSE)</f>
        <v>272</v>
      </c>
      <c r="M10" s="302">
        <f>VLOOKUP($F10,'[3]5.급수원단위'!$B$31:$G$35,3,FALSE)</f>
        <v>304</v>
      </c>
      <c r="N10" s="302">
        <f>VLOOKUP($F10,'[3]5.급수원단위'!$B$31:$G$35,4,FALSE)</f>
        <v>308</v>
      </c>
      <c r="O10" s="302">
        <f>VLOOKUP($F10,'[3]5.급수원단위'!$B$31:$G$35,5,FALSE)</f>
        <v>310</v>
      </c>
      <c r="P10" s="302">
        <f>VLOOKUP($F10,'[3]5.급수원단위'!$B$31:$G$35,6,FALSE)</f>
        <v>310</v>
      </c>
      <c r="Q10" s="302">
        <f>ROUND(IF(G10=0,0,VLOOKUP(C10,'2013실사용량 정리'!$D$6:$F$381,3,FALSE)),0)</f>
        <v>0</v>
      </c>
      <c r="R10" s="302">
        <f t="shared" si="6"/>
        <v>0</v>
      </c>
      <c r="S10" s="302">
        <f t="shared" si="6"/>
        <v>55</v>
      </c>
      <c r="T10" s="302">
        <f t="shared" si="6"/>
        <v>60</v>
      </c>
      <c r="U10" s="302">
        <f t="shared" si="6"/>
        <v>61</v>
      </c>
      <c r="W10" s="343" t="str">
        <f t="shared" si="7"/>
        <v/>
      </c>
    </row>
    <row r="11" spans="1:27" ht="20.100000000000001" customHeight="1">
      <c r="A11" s="340"/>
      <c r="B11" s="340"/>
      <c r="C11" s="406" t="s">
        <v>1535</v>
      </c>
      <c r="D11" s="330"/>
      <c r="E11" s="527"/>
      <c r="F11" s="527" t="s">
        <v>1317</v>
      </c>
      <c r="G11" s="302">
        <f>IF($D11="A",ROUND(VLOOKUP($C11,'[2]2.행정구역별 급수인구'!$C$7:$AD$997,17,FALSE)*$E11,0),IF($D11="B",(ROUND(VLOOKUP($C11,'[2]2.행정구역별 급수인구'!$C$7:$AD$997,17,FALSE)-VLOOKUP($C11,'[2]2.행정구역별 급수인구'!$C$7:$AD$997,17,FALSE)*(1-$E11),0)),VLOOKUP($C11,'[2]2.행정구역별 급수인구'!$C$7:$AD$997,17,FALSE)))</f>
        <v>0</v>
      </c>
      <c r="H11" s="302">
        <f>IF($D11="A",ROUND(VLOOKUP($C11,'[2]2.행정구역별 급수인구'!$C$7:$AD$997,25,FALSE)*$E11,0),IF($D11="B",(ROUND(VLOOKUP($C11,'[2]2.행정구역별 급수인구'!$C$7:$AD$997,25,FALSE)-VLOOKUP($C11,'[2]2.행정구역별 급수인구'!$C$7:$AD$997,25,FALSE)*(1-$E11),0)),VLOOKUP($C11,'[2]2.행정구역별 급수인구'!$C$7:$AD$997,25,FALSE)))</f>
        <v>0</v>
      </c>
      <c r="I11" s="302">
        <f>IF($D11="A",ROUND(VLOOKUP($C11,'[2]2.행정구역별 급수인구'!$C$7:$AD$997,26,FALSE)*$E11,0),IF($D11="B",(ROUND(VLOOKUP($C11,'[2]2.행정구역별 급수인구'!$C$7:$AD$997,26,FALSE)-VLOOKUP($C11,'[2]2.행정구역별 급수인구'!$C$7:$AD$997,26,FALSE)*(1-$E11),0)),VLOOKUP($C11,'[2]2.행정구역별 급수인구'!$C$7:$AD$997,26,FALSE)))</f>
        <v>180</v>
      </c>
      <c r="J11" s="302">
        <f>IF($D11="A",ROUND(VLOOKUP($C11,'[2]2.행정구역별 급수인구'!$C$7:$AD$997,27,FALSE)*$E11,0),IF($D11="B",(ROUND(VLOOKUP($C11,'[2]2.행정구역별 급수인구'!$C$7:$AD$997,27,FALSE)-VLOOKUP($C11,'[2]2.행정구역별 급수인구'!$C$7:$AD$997,27,FALSE)*(1-$E11),0)),VLOOKUP($C11,'[2]2.행정구역별 급수인구'!$C$7:$AD$997,27,FALSE)))</f>
        <v>195</v>
      </c>
      <c r="K11" s="302">
        <f>IF($D11="A",ROUND(VLOOKUP($C11,'[2]2.행정구역별 급수인구'!$C$7:$AD$997,28,FALSE)*$E11,0),IF($D11="B",(ROUND(VLOOKUP($C11,'[2]2.행정구역별 급수인구'!$C$7:$AD$997,28,FALSE)-VLOOKUP($C11,'[2]2.행정구역별 급수인구'!$C$7:$AD$997,28,FALSE)*(1-$E11),0)),VLOOKUP($C11,'[2]2.행정구역별 급수인구'!$C$7:$AD$997,28,FALSE)))</f>
        <v>199</v>
      </c>
      <c r="L11" s="302">
        <f>VLOOKUP($F11,'[3]5.급수원단위'!$B$31:$G$35,2,FALSE)</f>
        <v>272</v>
      </c>
      <c r="M11" s="302">
        <f>VLOOKUP($F11,'[3]5.급수원단위'!$B$31:$G$35,3,FALSE)</f>
        <v>304</v>
      </c>
      <c r="N11" s="302">
        <f>VLOOKUP($F11,'[3]5.급수원단위'!$B$31:$G$35,4,FALSE)</f>
        <v>308</v>
      </c>
      <c r="O11" s="302">
        <f>VLOOKUP($F11,'[3]5.급수원단위'!$B$31:$G$35,5,FALSE)</f>
        <v>310</v>
      </c>
      <c r="P11" s="302">
        <f>VLOOKUP($F11,'[3]5.급수원단위'!$B$31:$G$35,6,FALSE)</f>
        <v>310</v>
      </c>
      <c r="Q11" s="302">
        <f>ROUND(IF(G11=0,0,VLOOKUP(C11,'2013실사용량 정리'!$D$6:$F$381,3,FALSE)),0)</f>
        <v>0</v>
      </c>
      <c r="R11" s="302">
        <f t="shared" si="6"/>
        <v>0</v>
      </c>
      <c r="S11" s="302">
        <f t="shared" si="6"/>
        <v>55</v>
      </c>
      <c r="T11" s="302">
        <f t="shared" si="6"/>
        <v>60</v>
      </c>
      <c r="U11" s="302">
        <f t="shared" si="6"/>
        <v>62</v>
      </c>
      <c r="W11" s="343" t="str">
        <f t="shared" si="7"/>
        <v/>
      </c>
    </row>
    <row r="12" spans="1:27" ht="20.100000000000001" customHeight="1">
      <c r="A12" s="340"/>
      <c r="B12" s="340"/>
      <c r="C12" s="406" t="s">
        <v>1536</v>
      </c>
      <c r="D12" s="330"/>
      <c r="E12" s="527"/>
      <c r="F12" s="527" t="s">
        <v>1317</v>
      </c>
      <c r="G12" s="302">
        <f>IF($D12="A",ROUND(VLOOKUP($C12,'[2]2.행정구역별 급수인구'!$C$7:$AD$997,17,FALSE)*$E12,0),IF($D12="B",(ROUND(VLOOKUP($C12,'[2]2.행정구역별 급수인구'!$C$7:$AD$997,17,FALSE)-VLOOKUP($C12,'[2]2.행정구역별 급수인구'!$C$7:$AD$997,17,FALSE)*(1-$E12),0)),VLOOKUP($C12,'[2]2.행정구역별 급수인구'!$C$7:$AD$997,17,FALSE)))</f>
        <v>0</v>
      </c>
      <c r="H12" s="302">
        <f>IF($D12="A",ROUND(VLOOKUP($C12,'[2]2.행정구역별 급수인구'!$C$7:$AD$997,25,FALSE)*$E12,0),IF($D12="B",(ROUND(VLOOKUP($C12,'[2]2.행정구역별 급수인구'!$C$7:$AD$997,25,FALSE)-VLOOKUP($C12,'[2]2.행정구역별 급수인구'!$C$7:$AD$997,25,FALSE)*(1-$E12),0)),VLOOKUP($C12,'[2]2.행정구역별 급수인구'!$C$7:$AD$997,25,FALSE)))</f>
        <v>231</v>
      </c>
      <c r="I12" s="302">
        <f>IF($D12="A",ROUND(VLOOKUP($C12,'[2]2.행정구역별 급수인구'!$C$7:$AD$997,26,FALSE)*$E12,0),IF($D12="B",(ROUND(VLOOKUP($C12,'[2]2.행정구역별 급수인구'!$C$7:$AD$997,26,FALSE)-VLOOKUP($C12,'[2]2.행정구역별 급수인구'!$C$7:$AD$997,26,FALSE)*(1-$E12),0)),VLOOKUP($C12,'[2]2.행정구역별 급수인구'!$C$7:$AD$997,26,FALSE)))</f>
        <v>242</v>
      </c>
      <c r="J12" s="302">
        <f>IF($D12="A",ROUND(VLOOKUP($C12,'[2]2.행정구역별 급수인구'!$C$7:$AD$997,27,FALSE)*$E12,0),IF($D12="B",(ROUND(VLOOKUP($C12,'[2]2.행정구역별 급수인구'!$C$7:$AD$997,27,FALSE)-VLOOKUP($C12,'[2]2.행정구역별 급수인구'!$C$7:$AD$997,27,FALSE)*(1-$E12),0)),VLOOKUP($C12,'[2]2.행정구역별 급수인구'!$C$7:$AD$997,27,FALSE)))</f>
        <v>262</v>
      </c>
      <c r="K12" s="302">
        <f>IF($D12="A",ROUND(VLOOKUP($C12,'[2]2.행정구역별 급수인구'!$C$7:$AD$997,28,FALSE)*$E12,0),IF($D12="B",(ROUND(VLOOKUP($C12,'[2]2.행정구역별 급수인구'!$C$7:$AD$997,28,FALSE)-VLOOKUP($C12,'[2]2.행정구역별 급수인구'!$C$7:$AD$997,28,FALSE)*(1-$E12),0)),VLOOKUP($C12,'[2]2.행정구역별 급수인구'!$C$7:$AD$997,28,FALSE)))</f>
        <v>268</v>
      </c>
      <c r="L12" s="302">
        <f>VLOOKUP($F12,'[3]5.급수원단위'!$B$31:$G$35,2,FALSE)</f>
        <v>272</v>
      </c>
      <c r="M12" s="302">
        <f>VLOOKUP($F12,'[3]5.급수원단위'!$B$31:$G$35,3,FALSE)</f>
        <v>304</v>
      </c>
      <c r="N12" s="302">
        <f>VLOOKUP($F12,'[3]5.급수원단위'!$B$31:$G$35,4,FALSE)</f>
        <v>308</v>
      </c>
      <c r="O12" s="302">
        <f>VLOOKUP($F12,'[3]5.급수원단위'!$B$31:$G$35,5,FALSE)</f>
        <v>310</v>
      </c>
      <c r="P12" s="302">
        <f>VLOOKUP($F12,'[3]5.급수원단위'!$B$31:$G$35,6,FALSE)</f>
        <v>310</v>
      </c>
      <c r="Q12" s="302">
        <f>ROUND(IF(G12=0,0,VLOOKUP(C12,'2013실사용량 정리'!$D$6:$F$381,3,FALSE)),0)</f>
        <v>0</v>
      </c>
      <c r="R12" s="302">
        <f t="shared" si="6"/>
        <v>70</v>
      </c>
      <c r="S12" s="302">
        <f t="shared" si="6"/>
        <v>75</v>
      </c>
      <c r="T12" s="302">
        <f t="shared" si="6"/>
        <v>81</v>
      </c>
      <c r="U12" s="302">
        <f t="shared" si="6"/>
        <v>83</v>
      </c>
      <c r="W12" s="343" t="str">
        <f t="shared" si="7"/>
        <v/>
      </c>
    </row>
    <row r="13" spans="1:27" ht="20.100000000000001" customHeight="1">
      <c r="A13" s="340"/>
      <c r="B13" s="340"/>
      <c r="C13" s="406" t="s">
        <v>1537</v>
      </c>
      <c r="D13" s="330"/>
      <c r="E13" s="527"/>
      <c r="F13" s="527" t="s">
        <v>1317</v>
      </c>
      <c r="G13" s="302">
        <f>IF($D13="A",ROUND(VLOOKUP($C13,'[2]2.행정구역별 급수인구'!$C$7:$AD$997,17,FALSE)*$E13,0),IF($D13="B",(ROUND(VLOOKUP($C13,'[2]2.행정구역별 급수인구'!$C$7:$AD$997,17,FALSE)-VLOOKUP($C13,'[2]2.행정구역별 급수인구'!$C$7:$AD$997,17,FALSE)*(1-$E13),0)),VLOOKUP($C13,'[2]2.행정구역별 급수인구'!$C$7:$AD$997,17,FALSE)))</f>
        <v>114</v>
      </c>
      <c r="H13" s="302">
        <f>IF($D13="A",ROUND(VLOOKUP($C13,'[2]2.행정구역별 급수인구'!$C$7:$AD$997,25,FALSE)*$E13,0),IF($D13="B",(ROUND(VLOOKUP($C13,'[2]2.행정구역별 급수인구'!$C$7:$AD$997,25,FALSE)-VLOOKUP($C13,'[2]2.행정구역별 급수인구'!$C$7:$AD$997,25,FALSE)*(1-$E13),0)),VLOOKUP($C13,'[2]2.행정구역별 급수인구'!$C$7:$AD$997,25,FALSE)))</f>
        <v>120</v>
      </c>
      <c r="I13" s="302">
        <f>IF($D13="A",ROUND(VLOOKUP($C13,'[2]2.행정구역별 급수인구'!$C$7:$AD$997,26,FALSE)*$E13,0),IF($D13="B",(ROUND(VLOOKUP($C13,'[2]2.행정구역별 급수인구'!$C$7:$AD$997,26,FALSE)-VLOOKUP($C13,'[2]2.행정구역별 급수인구'!$C$7:$AD$997,26,FALSE)*(1-$E13),0)),VLOOKUP($C13,'[2]2.행정구역별 급수인구'!$C$7:$AD$997,26,FALSE)))</f>
        <v>126</v>
      </c>
      <c r="J13" s="302">
        <f>IF($D13="A",ROUND(VLOOKUP($C13,'[2]2.행정구역별 급수인구'!$C$7:$AD$997,27,FALSE)*$E13,0),IF($D13="B",(ROUND(VLOOKUP($C13,'[2]2.행정구역별 급수인구'!$C$7:$AD$997,27,FALSE)-VLOOKUP($C13,'[2]2.행정구역별 급수인구'!$C$7:$AD$997,27,FALSE)*(1-$E13),0)),VLOOKUP($C13,'[2]2.행정구역별 급수인구'!$C$7:$AD$997,27,FALSE)))</f>
        <v>137</v>
      </c>
      <c r="K13" s="302">
        <f>IF($D13="A",ROUND(VLOOKUP($C13,'[2]2.행정구역별 급수인구'!$C$7:$AD$997,28,FALSE)*$E13,0),IF($D13="B",(ROUND(VLOOKUP($C13,'[2]2.행정구역별 급수인구'!$C$7:$AD$997,28,FALSE)-VLOOKUP($C13,'[2]2.행정구역별 급수인구'!$C$7:$AD$997,28,FALSE)*(1-$E13),0)),VLOOKUP($C13,'[2]2.행정구역별 급수인구'!$C$7:$AD$997,28,FALSE)))</f>
        <v>139</v>
      </c>
      <c r="L13" s="302">
        <f>VLOOKUP($F13,'[3]5.급수원단위'!$B$31:$G$35,2,FALSE)</f>
        <v>272</v>
      </c>
      <c r="M13" s="302">
        <f>VLOOKUP($F13,'[3]5.급수원단위'!$B$31:$G$35,3,FALSE)</f>
        <v>304</v>
      </c>
      <c r="N13" s="302">
        <f>VLOOKUP($F13,'[3]5.급수원단위'!$B$31:$G$35,4,FALSE)</f>
        <v>308</v>
      </c>
      <c r="O13" s="302">
        <f>VLOOKUP($F13,'[3]5.급수원단위'!$B$31:$G$35,5,FALSE)</f>
        <v>310</v>
      </c>
      <c r="P13" s="302">
        <f>VLOOKUP($F13,'[3]5.급수원단위'!$B$31:$G$35,6,FALSE)</f>
        <v>310</v>
      </c>
      <c r="Q13" s="302">
        <f>ROUND(IF(G13=0,0,VLOOKUP(C13,'2013실사용량 정리'!$D$6:$F$381,3,FALSE)),0)</f>
        <v>67</v>
      </c>
      <c r="R13" s="302">
        <f t="shared" si="6"/>
        <v>36</v>
      </c>
      <c r="S13" s="302">
        <f t="shared" si="6"/>
        <v>39</v>
      </c>
      <c r="T13" s="302">
        <f t="shared" si="6"/>
        <v>42</v>
      </c>
      <c r="U13" s="302">
        <f t="shared" si="6"/>
        <v>43</v>
      </c>
      <c r="W13" s="343">
        <f t="shared" si="7"/>
        <v>0.64179104477611937</v>
      </c>
    </row>
    <row r="14" spans="1:27" ht="20.100000000000001" customHeight="1">
      <c r="A14" s="340"/>
      <c r="B14" s="340"/>
      <c r="C14" s="406" t="s">
        <v>1538</v>
      </c>
      <c r="D14" s="330"/>
      <c r="E14" s="527"/>
      <c r="F14" s="527" t="s">
        <v>1317</v>
      </c>
      <c r="G14" s="302">
        <f>IF($D14="A",ROUND(VLOOKUP($C14,'[2]2.행정구역별 급수인구'!$C$7:$AD$997,17,FALSE)*$E14,0),IF($D14="B",(ROUND(VLOOKUP($C14,'[2]2.행정구역별 급수인구'!$C$7:$AD$997,17,FALSE)-VLOOKUP($C14,'[2]2.행정구역별 급수인구'!$C$7:$AD$997,17,FALSE)*(1-$E14),0)),VLOOKUP($C14,'[2]2.행정구역별 급수인구'!$C$7:$AD$997,17,FALSE)))</f>
        <v>303</v>
      </c>
      <c r="H14" s="302">
        <f>IF($D14="A",ROUND(VLOOKUP($C14,'[2]2.행정구역별 급수인구'!$C$7:$AD$997,25,FALSE)*$E14,0),IF($D14="B",(ROUND(VLOOKUP($C14,'[2]2.행정구역별 급수인구'!$C$7:$AD$997,25,FALSE)-VLOOKUP($C14,'[2]2.행정구역별 급수인구'!$C$7:$AD$997,25,FALSE)*(1-$E14),0)),VLOOKUP($C14,'[2]2.행정구역별 급수인구'!$C$7:$AD$997,25,FALSE)))</f>
        <v>319</v>
      </c>
      <c r="I14" s="302">
        <f>IF($D14="A",ROUND(VLOOKUP($C14,'[2]2.행정구역별 급수인구'!$C$7:$AD$997,26,FALSE)*$E14,0),IF($D14="B",(ROUND(VLOOKUP($C14,'[2]2.행정구역별 급수인구'!$C$7:$AD$997,26,FALSE)-VLOOKUP($C14,'[2]2.행정구역별 급수인구'!$C$7:$AD$997,26,FALSE)*(1-$E14),0)),VLOOKUP($C14,'[2]2.행정구역별 급수인구'!$C$7:$AD$997,26,FALSE)))</f>
        <v>335</v>
      </c>
      <c r="J14" s="302">
        <f>IF($D14="A",ROUND(VLOOKUP($C14,'[2]2.행정구역별 급수인구'!$C$7:$AD$997,27,FALSE)*$E14,0),IF($D14="B",(ROUND(VLOOKUP($C14,'[2]2.행정구역별 급수인구'!$C$7:$AD$997,27,FALSE)-VLOOKUP($C14,'[2]2.행정구역별 급수인구'!$C$7:$AD$997,27,FALSE)*(1-$E14),0)),VLOOKUP($C14,'[2]2.행정구역별 급수인구'!$C$7:$AD$997,27,FALSE)))</f>
        <v>364</v>
      </c>
      <c r="K14" s="302">
        <f>IF($D14="A",ROUND(VLOOKUP($C14,'[2]2.행정구역별 급수인구'!$C$7:$AD$997,28,FALSE)*$E14,0),IF($D14="B",(ROUND(VLOOKUP($C14,'[2]2.행정구역별 급수인구'!$C$7:$AD$997,28,FALSE)-VLOOKUP($C14,'[2]2.행정구역별 급수인구'!$C$7:$AD$997,28,FALSE)*(1-$E14),0)),VLOOKUP($C14,'[2]2.행정구역별 급수인구'!$C$7:$AD$997,28,FALSE)))</f>
        <v>370</v>
      </c>
      <c r="L14" s="302">
        <f>VLOOKUP($F14,'[3]5.급수원단위'!$B$31:$G$35,2,FALSE)</f>
        <v>272</v>
      </c>
      <c r="M14" s="302">
        <f>VLOOKUP($F14,'[3]5.급수원단위'!$B$31:$G$35,3,FALSE)</f>
        <v>304</v>
      </c>
      <c r="N14" s="302">
        <f>VLOOKUP($F14,'[3]5.급수원단위'!$B$31:$G$35,4,FALSE)</f>
        <v>308</v>
      </c>
      <c r="O14" s="302">
        <f>VLOOKUP($F14,'[3]5.급수원단위'!$B$31:$G$35,5,FALSE)</f>
        <v>310</v>
      </c>
      <c r="P14" s="302">
        <f>VLOOKUP($F14,'[3]5.급수원단위'!$B$31:$G$35,6,FALSE)</f>
        <v>310</v>
      </c>
      <c r="Q14" s="302">
        <f>ROUND(IF(G14=0,0,VLOOKUP(C14,'2013실사용량 정리'!$D$6:$F$381,3,FALSE)),0)</f>
        <v>179</v>
      </c>
      <c r="R14" s="302">
        <f t="shared" si="6"/>
        <v>97</v>
      </c>
      <c r="S14" s="302">
        <f t="shared" si="6"/>
        <v>103</v>
      </c>
      <c r="T14" s="302">
        <f t="shared" si="6"/>
        <v>113</v>
      </c>
      <c r="U14" s="302">
        <f t="shared" si="6"/>
        <v>115</v>
      </c>
      <c r="W14" s="343">
        <f t="shared" si="7"/>
        <v>0.64245810055865926</v>
      </c>
    </row>
    <row r="15" spans="1:27" ht="20.100000000000001" customHeight="1">
      <c r="A15" s="340"/>
      <c r="B15" s="340"/>
      <c r="C15" s="406" t="s">
        <v>1539</v>
      </c>
      <c r="D15" s="330"/>
      <c r="E15" s="527"/>
      <c r="F15" s="527" t="s">
        <v>1317</v>
      </c>
      <c r="G15" s="302">
        <f>IF($D15="A",ROUND(VLOOKUP($C15,'[2]2.행정구역별 급수인구'!$C$7:$AD$997,17,FALSE)*$E15,0),IF($D15="B",(ROUND(VLOOKUP($C15,'[2]2.행정구역별 급수인구'!$C$7:$AD$997,17,FALSE)-VLOOKUP($C15,'[2]2.행정구역별 급수인구'!$C$7:$AD$997,17,FALSE)*(1-$E15),0)),VLOOKUP($C15,'[2]2.행정구역별 급수인구'!$C$7:$AD$997,17,FALSE)))</f>
        <v>280</v>
      </c>
      <c r="H15" s="302">
        <f>IF($D15="A",ROUND(VLOOKUP($C15,'[2]2.행정구역별 급수인구'!$C$7:$AD$997,25,FALSE)*$E15,0),IF($D15="B",(ROUND(VLOOKUP($C15,'[2]2.행정구역별 급수인구'!$C$7:$AD$997,25,FALSE)-VLOOKUP($C15,'[2]2.행정구역별 급수인구'!$C$7:$AD$997,25,FALSE)*(1-$E15),0)),VLOOKUP($C15,'[2]2.행정구역별 급수인구'!$C$7:$AD$997,25,FALSE)))</f>
        <v>294</v>
      </c>
      <c r="I15" s="302">
        <f>IF($D15="A",ROUND(VLOOKUP($C15,'[2]2.행정구역별 급수인구'!$C$7:$AD$997,26,FALSE)*$E15,0),IF($D15="B",(ROUND(VLOOKUP($C15,'[2]2.행정구역별 급수인구'!$C$7:$AD$997,26,FALSE)-VLOOKUP($C15,'[2]2.행정구역별 급수인구'!$C$7:$AD$997,26,FALSE)*(1-$E15),0)),VLOOKUP($C15,'[2]2.행정구역별 급수인구'!$C$7:$AD$997,26,FALSE)))</f>
        <v>309</v>
      </c>
      <c r="J15" s="302">
        <f>IF($D15="A",ROUND(VLOOKUP($C15,'[2]2.행정구역별 급수인구'!$C$7:$AD$997,27,FALSE)*$E15,0),IF($D15="B",(ROUND(VLOOKUP($C15,'[2]2.행정구역별 급수인구'!$C$7:$AD$997,27,FALSE)-VLOOKUP($C15,'[2]2.행정구역별 급수인구'!$C$7:$AD$997,27,FALSE)*(1-$E15),0)),VLOOKUP($C15,'[2]2.행정구역별 급수인구'!$C$7:$AD$997,27,FALSE)))</f>
        <v>336</v>
      </c>
      <c r="K15" s="302">
        <f>IF($D15="A",ROUND(VLOOKUP($C15,'[2]2.행정구역별 급수인구'!$C$7:$AD$997,28,FALSE)*$E15,0),IF($D15="B",(ROUND(VLOOKUP($C15,'[2]2.행정구역별 급수인구'!$C$7:$AD$997,28,FALSE)-VLOOKUP($C15,'[2]2.행정구역별 급수인구'!$C$7:$AD$997,28,FALSE)*(1-$E15),0)),VLOOKUP($C15,'[2]2.행정구역별 급수인구'!$C$7:$AD$997,28,FALSE)))</f>
        <v>342</v>
      </c>
      <c r="L15" s="302">
        <f>VLOOKUP($F15,'[3]5.급수원단위'!$B$31:$G$35,2,FALSE)</f>
        <v>272</v>
      </c>
      <c r="M15" s="302">
        <f>VLOOKUP($F15,'[3]5.급수원단위'!$B$31:$G$35,3,FALSE)</f>
        <v>304</v>
      </c>
      <c r="N15" s="302">
        <f>VLOOKUP($F15,'[3]5.급수원단위'!$B$31:$G$35,4,FALSE)</f>
        <v>308</v>
      </c>
      <c r="O15" s="302">
        <f>VLOOKUP($F15,'[3]5.급수원단위'!$B$31:$G$35,5,FALSE)</f>
        <v>310</v>
      </c>
      <c r="P15" s="302">
        <f>VLOOKUP($F15,'[3]5.급수원단위'!$B$31:$G$35,6,FALSE)</f>
        <v>310</v>
      </c>
      <c r="Q15" s="302">
        <f>ROUND(IF(G15=0,0,VLOOKUP(C15,'2013실사용량 정리'!$D$6:$F$381,3,FALSE)),0)</f>
        <v>165</v>
      </c>
      <c r="R15" s="302">
        <f t="shared" si="6"/>
        <v>89</v>
      </c>
      <c r="S15" s="302">
        <f t="shared" si="6"/>
        <v>95</v>
      </c>
      <c r="T15" s="302">
        <f t="shared" si="6"/>
        <v>104</v>
      </c>
      <c r="U15" s="302">
        <f t="shared" si="6"/>
        <v>106</v>
      </c>
      <c r="W15" s="343">
        <f t="shared" si="7"/>
        <v>0.64242424242424245</v>
      </c>
    </row>
    <row r="16" spans="1:27" ht="20.100000000000001" customHeight="1">
      <c r="A16" s="340"/>
      <c r="B16" s="340"/>
      <c r="C16" s="406" t="s">
        <v>1540</v>
      </c>
      <c r="D16" s="330"/>
      <c r="E16" s="527"/>
      <c r="F16" s="527" t="s">
        <v>1317</v>
      </c>
      <c r="G16" s="302">
        <f>IF($D16="A",ROUND(VLOOKUP($C16,'[2]2.행정구역별 급수인구'!$C$7:$AD$997,17,FALSE)*$E16,0),IF($D16="B",(ROUND(VLOOKUP($C16,'[2]2.행정구역별 급수인구'!$C$7:$AD$997,17,FALSE)-VLOOKUP($C16,'[2]2.행정구역별 급수인구'!$C$7:$AD$997,17,FALSE)*(1-$E16),0)),VLOOKUP($C16,'[2]2.행정구역별 급수인구'!$C$7:$AD$997,17,FALSE)))</f>
        <v>146</v>
      </c>
      <c r="H16" s="302">
        <f>IF($D16="A",ROUND(VLOOKUP($C16,'[2]2.행정구역별 급수인구'!$C$7:$AD$997,25,FALSE)*$E16,0),IF($D16="B",(ROUND(VLOOKUP($C16,'[2]2.행정구역별 급수인구'!$C$7:$AD$997,25,FALSE)-VLOOKUP($C16,'[2]2.행정구역별 급수인구'!$C$7:$AD$997,25,FALSE)*(1-$E16),0)),VLOOKUP($C16,'[2]2.행정구역별 급수인구'!$C$7:$AD$997,25,FALSE)))</f>
        <v>153</v>
      </c>
      <c r="I16" s="302">
        <f>IF($D16="A",ROUND(VLOOKUP($C16,'[2]2.행정구역별 급수인구'!$C$7:$AD$997,26,FALSE)*$E16,0),IF($D16="B",(ROUND(VLOOKUP($C16,'[2]2.행정구역별 급수인구'!$C$7:$AD$997,26,FALSE)-VLOOKUP($C16,'[2]2.행정구역별 급수인구'!$C$7:$AD$997,26,FALSE)*(1-$E16),0)),VLOOKUP($C16,'[2]2.행정구역별 급수인구'!$C$7:$AD$997,26,FALSE)))</f>
        <v>161</v>
      </c>
      <c r="J16" s="302">
        <f>IF($D16="A",ROUND(VLOOKUP($C16,'[2]2.행정구역별 급수인구'!$C$7:$AD$997,27,FALSE)*$E16,0),IF($D16="B",(ROUND(VLOOKUP($C16,'[2]2.행정구역별 급수인구'!$C$7:$AD$997,27,FALSE)-VLOOKUP($C16,'[2]2.행정구역별 급수인구'!$C$7:$AD$997,27,FALSE)*(1-$E16),0)),VLOOKUP($C16,'[2]2.행정구역별 급수인구'!$C$7:$AD$997,27,FALSE)))</f>
        <v>175</v>
      </c>
      <c r="K16" s="302">
        <f>IF($D16="A",ROUND(VLOOKUP($C16,'[2]2.행정구역별 급수인구'!$C$7:$AD$997,28,FALSE)*$E16,0),IF($D16="B",(ROUND(VLOOKUP($C16,'[2]2.행정구역별 급수인구'!$C$7:$AD$997,28,FALSE)-VLOOKUP($C16,'[2]2.행정구역별 급수인구'!$C$7:$AD$997,28,FALSE)*(1-$E16),0)),VLOOKUP($C16,'[2]2.행정구역별 급수인구'!$C$7:$AD$997,28,FALSE)))</f>
        <v>177</v>
      </c>
      <c r="L16" s="302">
        <f>VLOOKUP($F16,'[3]5.급수원단위'!$B$31:$G$35,2,FALSE)</f>
        <v>272</v>
      </c>
      <c r="M16" s="302">
        <f>VLOOKUP($F16,'[3]5.급수원단위'!$B$31:$G$35,3,FALSE)</f>
        <v>304</v>
      </c>
      <c r="N16" s="302">
        <f>VLOOKUP($F16,'[3]5.급수원단위'!$B$31:$G$35,4,FALSE)</f>
        <v>308</v>
      </c>
      <c r="O16" s="302">
        <f>VLOOKUP($F16,'[3]5.급수원단위'!$B$31:$G$35,5,FALSE)</f>
        <v>310</v>
      </c>
      <c r="P16" s="302">
        <f>VLOOKUP($F16,'[3]5.급수원단위'!$B$31:$G$35,6,FALSE)</f>
        <v>310</v>
      </c>
      <c r="Q16" s="302">
        <f>ROUND(IF(G16=0,0,VLOOKUP(C16,'2013실사용량 정리'!$D$6:$F$381,3,FALSE)),0)</f>
        <v>87</v>
      </c>
      <c r="R16" s="302">
        <f t="shared" si="6"/>
        <v>47</v>
      </c>
      <c r="S16" s="302">
        <f t="shared" si="6"/>
        <v>50</v>
      </c>
      <c r="T16" s="302">
        <f t="shared" si="6"/>
        <v>54</v>
      </c>
      <c r="U16" s="302">
        <f t="shared" si="6"/>
        <v>55</v>
      </c>
      <c r="W16" s="343">
        <f t="shared" si="7"/>
        <v>0.63218390804597702</v>
      </c>
    </row>
    <row r="17" spans="1:23" ht="20.100000000000001" customHeight="1">
      <c r="A17" s="340"/>
      <c r="B17" s="340"/>
      <c r="C17" s="406" t="s">
        <v>1541</v>
      </c>
      <c r="D17" s="330"/>
      <c r="E17" s="527"/>
      <c r="F17" s="527" t="s">
        <v>1317</v>
      </c>
      <c r="G17" s="302">
        <f>IF($D17="A",ROUND(VLOOKUP($C17,'[2]2.행정구역별 급수인구'!$C$7:$AD$997,17,FALSE)*$E17,0),IF($D17="B",(ROUND(VLOOKUP($C17,'[2]2.행정구역별 급수인구'!$C$7:$AD$997,17,FALSE)-VLOOKUP($C17,'[2]2.행정구역별 급수인구'!$C$7:$AD$997,17,FALSE)*(1-$E17),0)),VLOOKUP($C17,'[2]2.행정구역별 급수인구'!$C$7:$AD$997,17,FALSE)))</f>
        <v>92</v>
      </c>
      <c r="H17" s="302">
        <f>IF($D17="A",ROUND(VLOOKUP($C17,'[2]2.행정구역별 급수인구'!$C$7:$AD$997,25,FALSE)*$E17,0),IF($D17="B",(ROUND(VLOOKUP($C17,'[2]2.행정구역별 급수인구'!$C$7:$AD$997,25,FALSE)-VLOOKUP($C17,'[2]2.행정구역별 급수인구'!$C$7:$AD$997,25,FALSE)*(1-$E17),0)),VLOOKUP($C17,'[2]2.행정구역별 급수인구'!$C$7:$AD$997,25,FALSE)))</f>
        <v>97</v>
      </c>
      <c r="I17" s="302">
        <f>IF($D17="A",ROUND(VLOOKUP($C17,'[2]2.행정구역별 급수인구'!$C$7:$AD$997,26,FALSE)*$E17,0),IF($D17="B",(ROUND(VLOOKUP($C17,'[2]2.행정구역별 급수인구'!$C$7:$AD$997,26,FALSE)-VLOOKUP($C17,'[2]2.행정구역별 급수인구'!$C$7:$AD$997,26,FALSE)*(1-$E17),0)),VLOOKUP($C17,'[2]2.행정구역별 급수인구'!$C$7:$AD$997,26,FALSE)))</f>
        <v>102</v>
      </c>
      <c r="J17" s="302">
        <f>IF($D17="A",ROUND(VLOOKUP($C17,'[2]2.행정구역별 급수인구'!$C$7:$AD$997,27,FALSE)*$E17,0),IF($D17="B",(ROUND(VLOOKUP($C17,'[2]2.행정구역별 급수인구'!$C$7:$AD$997,27,FALSE)-VLOOKUP($C17,'[2]2.행정구역별 급수인구'!$C$7:$AD$997,27,FALSE)*(1-$E17),0)),VLOOKUP($C17,'[2]2.행정구역별 급수인구'!$C$7:$AD$997,27,FALSE)))</f>
        <v>111</v>
      </c>
      <c r="K17" s="302">
        <f>IF($D17="A",ROUND(VLOOKUP($C17,'[2]2.행정구역별 급수인구'!$C$7:$AD$997,28,FALSE)*$E17,0),IF($D17="B",(ROUND(VLOOKUP($C17,'[2]2.행정구역별 급수인구'!$C$7:$AD$997,28,FALSE)-VLOOKUP($C17,'[2]2.행정구역별 급수인구'!$C$7:$AD$997,28,FALSE)*(1-$E17),0)),VLOOKUP($C17,'[2]2.행정구역별 급수인구'!$C$7:$AD$997,28,FALSE)))</f>
        <v>113</v>
      </c>
      <c r="L17" s="302">
        <f>VLOOKUP($F17,'[3]5.급수원단위'!$B$31:$G$35,2,FALSE)</f>
        <v>272</v>
      </c>
      <c r="M17" s="302">
        <f>VLOOKUP($F17,'[3]5.급수원단위'!$B$31:$G$35,3,FALSE)</f>
        <v>304</v>
      </c>
      <c r="N17" s="302">
        <f>VLOOKUP($F17,'[3]5.급수원단위'!$B$31:$G$35,4,FALSE)</f>
        <v>308</v>
      </c>
      <c r="O17" s="302">
        <f>VLOOKUP($F17,'[3]5.급수원단위'!$B$31:$G$35,5,FALSE)</f>
        <v>310</v>
      </c>
      <c r="P17" s="302">
        <f>VLOOKUP($F17,'[3]5.급수원단위'!$B$31:$G$35,6,FALSE)</f>
        <v>310</v>
      </c>
      <c r="Q17" s="302">
        <f>ROUND(IF(G17=0,0,VLOOKUP(C17,'2013실사용량 정리'!$D$6:$F$381,3,FALSE)),0)</f>
        <v>48</v>
      </c>
      <c r="R17" s="302">
        <f t="shared" si="6"/>
        <v>29</v>
      </c>
      <c r="S17" s="302">
        <f t="shared" si="6"/>
        <v>31</v>
      </c>
      <c r="T17" s="302">
        <f t="shared" si="6"/>
        <v>34</v>
      </c>
      <c r="U17" s="302">
        <f t="shared" si="6"/>
        <v>35</v>
      </c>
      <c r="W17" s="343">
        <f t="shared" si="7"/>
        <v>0.72916666666666663</v>
      </c>
    </row>
    <row r="18" spans="1:23" ht="20.100000000000001" customHeight="1">
      <c r="A18" s="340"/>
      <c r="B18" s="340"/>
      <c r="C18" s="406" t="s">
        <v>1542</v>
      </c>
      <c r="D18" s="330"/>
      <c r="E18" s="527"/>
      <c r="F18" s="527" t="s">
        <v>1317</v>
      </c>
      <c r="G18" s="302">
        <f>IF($D18="A",ROUND(VLOOKUP($C18,'[2]2.행정구역별 급수인구'!$C$7:$AD$997,17,FALSE)*$E18,0),IF($D18="B",(ROUND(VLOOKUP($C18,'[2]2.행정구역별 급수인구'!$C$7:$AD$997,17,FALSE)-VLOOKUP($C18,'[2]2.행정구역별 급수인구'!$C$7:$AD$997,17,FALSE)*(1-$E18),0)),VLOOKUP($C18,'[2]2.행정구역별 급수인구'!$C$7:$AD$997,17,FALSE)))</f>
        <v>239</v>
      </c>
      <c r="H18" s="302">
        <f>IF($D18="A",ROUND(VLOOKUP($C18,'[2]2.행정구역별 급수인구'!$C$7:$AD$997,25,FALSE)*$E18,0),IF($D18="B",(ROUND(VLOOKUP($C18,'[2]2.행정구역별 급수인구'!$C$7:$AD$997,25,FALSE)-VLOOKUP($C18,'[2]2.행정구역별 급수인구'!$C$7:$AD$997,25,FALSE)*(1-$E18),0)),VLOOKUP($C18,'[2]2.행정구역별 급수인구'!$C$7:$AD$997,25,FALSE)))</f>
        <v>251</v>
      </c>
      <c r="I18" s="302">
        <f>IF($D18="A",ROUND(VLOOKUP($C18,'[2]2.행정구역별 급수인구'!$C$7:$AD$997,26,FALSE)*$E18,0),IF($D18="B",(ROUND(VLOOKUP($C18,'[2]2.행정구역별 급수인구'!$C$7:$AD$997,26,FALSE)-VLOOKUP($C18,'[2]2.행정구역별 급수인구'!$C$7:$AD$997,26,FALSE)*(1-$E18),0)),VLOOKUP($C18,'[2]2.행정구역별 급수인구'!$C$7:$AD$997,26,FALSE)))</f>
        <v>264</v>
      </c>
      <c r="J18" s="302">
        <f>IF($D18="A",ROUND(VLOOKUP($C18,'[2]2.행정구역별 급수인구'!$C$7:$AD$997,27,FALSE)*$E18,0),IF($D18="B",(ROUND(VLOOKUP($C18,'[2]2.행정구역별 급수인구'!$C$7:$AD$997,27,FALSE)-VLOOKUP($C18,'[2]2.행정구역별 급수인구'!$C$7:$AD$997,27,FALSE)*(1-$E18),0)),VLOOKUP($C18,'[2]2.행정구역별 급수인구'!$C$7:$AD$997,27,FALSE)))</f>
        <v>286</v>
      </c>
      <c r="K18" s="302">
        <f>IF($D18="A",ROUND(VLOOKUP($C18,'[2]2.행정구역별 급수인구'!$C$7:$AD$997,28,FALSE)*$E18,0),IF($D18="B",(ROUND(VLOOKUP($C18,'[2]2.행정구역별 급수인구'!$C$7:$AD$997,28,FALSE)-VLOOKUP($C18,'[2]2.행정구역별 급수인구'!$C$7:$AD$997,28,FALSE)*(1-$E18),0)),VLOOKUP($C18,'[2]2.행정구역별 급수인구'!$C$7:$AD$997,28,FALSE)))</f>
        <v>292</v>
      </c>
      <c r="L18" s="302">
        <f>VLOOKUP($F18,'[3]5.급수원단위'!$B$31:$G$35,2,FALSE)</f>
        <v>272</v>
      </c>
      <c r="M18" s="302">
        <f>VLOOKUP($F18,'[3]5.급수원단위'!$B$31:$G$35,3,FALSE)</f>
        <v>304</v>
      </c>
      <c r="N18" s="302">
        <f>VLOOKUP($F18,'[3]5.급수원단위'!$B$31:$G$35,4,FALSE)</f>
        <v>308</v>
      </c>
      <c r="O18" s="302">
        <f>VLOOKUP($F18,'[3]5.급수원단위'!$B$31:$G$35,5,FALSE)</f>
        <v>310</v>
      </c>
      <c r="P18" s="302">
        <f>VLOOKUP($F18,'[3]5.급수원단위'!$B$31:$G$35,6,FALSE)</f>
        <v>310</v>
      </c>
      <c r="Q18" s="302">
        <f>ROUND(IF(G18=0,0,VLOOKUP(C18,'2013실사용량 정리'!$D$6:$F$381,3,FALSE)),0)</f>
        <v>125</v>
      </c>
      <c r="R18" s="302">
        <f t="shared" si="6"/>
        <v>76</v>
      </c>
      <c r="S18" s="302">
        <f t="shared" si="6"/>
        <v>81</v>
      </c>
      <c r="T18" s="302">
        <f t="shared" si="6"/>
        <v>89</v>
      </c>
      <c r="U18" s="302">
        <f t="shared" si="6"/>
        <v>91</v>
      </c>
      <c r="W18" s="343">
        <f t="shared" si="7"/>
        <v>0.72799999999999998</v>
      </c>
    </row>
    <row r="19" spans="1:23" ht="20.100000000000001" customHeight="1">
      <c r="A19" s="340"/>
      <c r="B19" s="340"/>
      <c r="C19" s="406" t="s">
        <v>1543</v>
      </c>
      <c r="D19" s="330"/>
      <c r="E19" s="527"/>
      <c r="F19" s="527" t="s">
        <v>1317</v>
      </c>
      <c r="G19" s="302">
        <f>IF($D19="A",ROUND(VLOOKUP($C19,'[2]2.행정구역별 급수인구'!$C$7:$AD$997,17,FALSE)*$E19,0),IF($D19="B",(ROUND(VLOOKUP($C19,'[2]2.행정구역별 급수인구'!$C$7:$AD$997,17,FALSE)-VLOOKUP($C19,'[2]2.행정구역별 급수인구'!$C$7:$AD$997,17,FALSE)*(1-$E19),0)),VLOOKUP($C19,'[2]2.행정구역별 급수인구'!$C$7:$AD$997,17,FALSE)))</f>
        <v>91</v>
      </c>
      <c r="H19" s="302">
        <f>IF($D19="A",ROUND(VLOOKUP($C19,'[2]2.행정구역별 급수인구'!$C$7:$AD$997,25,FALSE)*$E19,0),IF($D19="B",(ROUND(VLOOKUP($C19,'[2]2.행정구역별 급수인구'!$C$7:$AD$997,25,FALSE)-VLOOKUP($C19,'[2]2.행정구역별 급수인구'!$C$7:$AD$997,25,FALSE)*(1-$E19),0)),VLOOKUP($C19,'[2]2.행정구역별 급수인구'!$C$7:$AD$997,25,FALSE)))</f>
        <v>117</v>
      </c>
      <c r="I19" s="302">
        <f>IF($D19="A",ROUND(VLOOKUP($C19,'[2]2.행정구역별 급수인구'!$C$7:$AD$997,26,FALSE)*$E19,0),IF($D19="B",(ROUND(VLOOKUP($C19,'[2]2.행정구역별 급수인구'!$C$7:$AD$997,26,FALSE)-VLOOKUP($C19,'[2]2.행정구역별 급수인구'!$C$7:$AD$997,26,FALSE)*(1-$E19),0)),VLOOKUP($C19,'[2]2.행정구역별 급수인구'!$C$7:$AD$997,26,FALSE)))</f>
        <v>123</v>
      </c>
      <c r="J19" s="302">
        <f>IF($D19="A",ROUND(VLOOKUP($C19,'[2]2.행정구역별 급수인구'!$C$7:$AD$997,27,FALSE)*$E19,0),IF($D19="B",(ROUND(VLOOKUP($C19,'[2]2.행정구역별 급수인구'!$C$7:$AD$997,27,FALSE)-VLOOKUP($C19,'[2]2.행정구역별 급수인구'!$C$7:$AD$997,27,FALSE)*(1-$E19),0)),VLOOKUP($C19,'[2]2.행정구역별 급수인구'!$C$7:$AD$997,27,FALSE)))</f>
        <v>133</v>
      </c>
      <c r="K19" s="302">
        <f>IF($D19="A",ROUND(VLOOKUP($C19,'[2]2.행정구역별 급수인구'!$C$7:$AD$997,28,FALSE)*$E19,0),IF($D19="B",(ROUND(VLOOKUP($C19,'[2]2.행정구역별 급수인구'!$C$7:$AD$997,28,FALSE)-VLOOKUP($C19,'[2]2.행정구역별 급수인구'!$C$7:$AD$997,28,FALSE)*(1-$E19),0)),VLOOKUP($C19,'[2]2.행정구역별 급수인구'!$C$7:$AD$997,28,FALSE)))</f>
        <v>136</v>
      </c>
      <c r="L19" s="302">
        <f>VLOOKUP($F19,'[3]5.급수원단위'!$B$31:$G$35,2,FALSE)</f>
        <v>272</v>
      </c>
      <c r="M19" s="302">
        <f>VLOOKUP($F19,'[3]5.급수원단위'!$B$31:$G$35,3,FALSE)</f>
        <v>304</v>
      </c>
      <c r="N19" s="302">
        <f>VLOOKUP($F19,'[3]5.급수원단위'!$B$31:$G$35,4,FALSE)</f>
        <v>308</v>
      </c>
      <c r="O19" s="302">
        <f>VLOOKUP($F19,'[3]5.급수원단위'!$B$31:$G$35,5,FALSE)</f>
        <v>310</v>
      </c>
      <c r="P19" s="302">
        <f>VLOOKUP($F19,'[3]5.급수원단위'!$B$31:$G$35,6,FALSE)</f>
        <v>310</v>
      </c>
      <c r="Q19" s="302">
        <f>ROUND(IF(G19=0,0,VLOOKUP(C19,'2013실사용량 정리'!$D$6:$F$381,3,FALSE)),0)</f>
        <v>47</v>
      </c>
      <c r="R19" s="302">
        <f t="shared" si="6"/>
        <v>36</v>
      </c>
      <c r="S19" s="302">
        <f t="shared" si="6"/>
        <v>38</v>
      </c>
      <c r="T19" s="302">
        <f t="shared" si="6"/>
        <v>41</v>
      </c>
      <c r="U19" s="302">
        <f t="shared" si="6"/>
        <v>42</v>
      </c>
      <c r="W19" s="343">
        <f t="shared" si="7"/>
        <v>0.8936170212765957</v>
      </c>
    </row>
    <row r="20" spans="1:23" ht="20.100000000000001" customHeight="1">
      <c r="A20" s="340"/>
      <c r="B20" s="340"/>
      <c r="C20" s="406" t="s">
        <v>1544</v>
      </c>
      <c r="D20" s="330"/>
      <c r="E20" s="527"/>
      <c r="F20" s="527" t="s">
        <v>1317</v>
      </c>
      <c r="G20" s="302">
        <f>IF($D20="A",ROUND(VLOOKUP($C20,'[2]2.행정구역별 급수인구'!$C$7:$AD$997,17,FALSE)*$E20,0),IF($D20="B",(ROUND(VLOOKUP($C20,'[2]2.행정구역별 급수인구'!$C$7:$AD$997,17,FALSE)-VLOOKUP($C20,'[2]2.행정구역별 급수인구'!$C$7:$AD$997,17,FALSE)*(1-$E20),0)),VLOOKUP($C20,'[2]2.행정구역별 급수인구'!$C$7:$AD$997,17,FALSE)))</f>
        <v>148</v>
      </c>
      <c r="H20" s="302">
        <f>IF($D20="A",ROUND(VLOOKUP($C20,'[2]2.행정구역별 급수인구'!$C$7:$AD$997,25,FALSE)*$E20,0),IF($D20="B",(ROUND(VLOOKUP($C20,'[2]2.행정구역별 급수인구'!$C$7:$AD$997,25,FALSE)-VLOOKUP($C20,'[2]2.행정구역별 급수인구'!$C$7:$AD$997,25,FALSE)*(1-$E20),0)),VLOOKUP($C20,'[2]2.행정구역별 급수인구'!$C$7:$AD$997,25,FALSE)))</f>
        <v>155</v>
      </c>
      <c r="I20" s="302">
        <f>IF($D20="A",ROUND(VLOOKUP($C20,'[2]2.행정구역별 급수인구'!$C$7:$AD$997,26,FALSE)*$E20,0),IF($D20="B",(ROUND(VLOOKUP($C20,'[2]2.행정구역별 급수인구'!$C$7:$AD$997,26,FALSE)-VLOOKUP($C20,'[2]2.행정구역별 급수인구'!$C$7:$AD$997,26,FALSE)*(1-$E20),0)),VLOOKUP($C20,'[2]2.행정구역별 급수인구'!$C$7:$AD$997,26,FALSE)))</f>
        <v>163</v>
      </c>
      <c r="J20" s="302">
        <f>IF($D20="A",ROUND(VLOOKUP($C20,'[2]2.행정구역별 급수인구'!$C$7:$AD$997,27,FALSE)*$E20,0),IF($D20="B",(ROUND(VLOOKUP($C20,'[2]2.행정구역별 급수인구'!$C$7:$AD$997,27,FALSE)-VLOOKUP($C20,'[2]2.행정구역별 급수인구'!$C$7:$AD$997,27,FALSE)*(1-$E20),0)),VLOOKUP($C20,'[2]2.행정구역별 급수인구'!$C$7:$AD$997,27,FALSE)))</f>
        <v>177</v>
      </c>
      <c r="K20" s="302">
        <f>IF($D20="A",ROUND(VLOOKUP($C20,'[2]2.행정구역별 급수인구'!$C$7:$AD$997,28,FALSE)*$E20,0),IF($D20="B",(ROUND(VLOOKUP($C20,'[2]2.행정구역별 급수인구'!$C$7:$AD$997,28,FALSE)-VLOOKUP($C20,'[2]2.행정구역별 급수인구'!$C$7:$AD$997,28,FALSE)*(1-$E20),0)),VLOOKUP($C20,'[2]2.행정구역별 급수인구'!$C$7:$AD$997,28,FALSE)))</f>
        <v>181</v>
      </c>
      <c r="L20" s="302">
        <f>VLOOKUP($F20,'[3]5.급수원단위'!$B$31:$G$35,2,FALSE)</f>
        <v>272</v>
      </c>
      <c r="M20" s="302">
        <f>VLOOKUP($F20,'[3]5.급수원단위'!$B$31:$G$35,3,FALSE)</f>
        <v>304</v>
      </c>
      <c r="N20" s="302">
        <f>VLOOKUP($F20,'[3]5.급수원단위'!$B$31:$G$35,4,FALSE)</f>
        <v>308</v>
      </c>
      <c r="O20" s="302">
        <f>VLOOKUP($F20,'[3]5.급수원단위'!$B$31:$G$35,5,FALSE)</f>
        <v>310</v>
      </c>
      <c r="P20" s="302">
        <f>VLOOKUP($F20,'[3]5.급수원단위'!$B$31:$G$35,6,FALSE)</f>
        <v>310</v>
      </c>
      <c r="Q20" s="302">
        <f>ROUND(IF(G20=0,0,VLOOKUP(C20,'2013실사용량 정리'!$D$6:$F$381,3,FALSE)),0)</f>
        <v>77</v>
      </c>
      <c r="R20" s="302">
        <f t="shared" si="6"/>
        <v>47</v>
      </c>
      <c r="S20" s="302">
        <f t="shared" si="6"/>
        <v>50</v>
      </c>
      <c r="T20" s="302">
        <f t="shared" si="6"/>
        <v>55</v>
      </c>
      <c r="U20" s="302">
        <f t="shared" si="6"/>
        <v>56</v>
      </c>
      <c r="W20" s="343">
        <f t="shared" si="7"/>
        <v>0.72727272727272729</v>
      </c>
    </row>
    <row r="21" spans="1:23" ht="20.100000000000001" customHeight="1">
      <c r="A21" s="340"/>
      <c r="B21" s="340"/>
      <c r="C21" s="406" t="s">
        <v>1545</v>
      </c>
      <c r="D21" s="330"/>
      <c r="E21" s="527"/>
      <c r="F21" s="527" t="s">
        <v>1317</v>
      </c>
      <c r="G21" s="302">
        <f>IF($D21="A",ROUND(VLOOKUP($C21,'[2]2.행정구역별 급수인구'!$C$7:$AD$997,17,FALSE)*$E21,0),IF($D21="B",(ROUND(VLOOKUP($C21,'[2]2.행정구역별 급수인구'!$C$7:$AD$997,17,FALSE)-VLOOKUP($C21,'[2]2.행정구역별 급수인구'!$C$7:$AD$997,17,FALSE)*(1-$E21),0)),VLOOKUP($C21,'[2]2.행정구역별 급수인구'!$C$7:$AD$997,17,FALSE)))</f>
        <v>0</v>
      </c>
      <c r="H21" s="302">
        <f>IF($D21="A",ROUND(VLOOKUP($C21,'[2]2.행정구역별 급수인구'!$C$7:$AD$997,25,FALSE)*$E21,0),IF($D21="B",(ROUND(VLOOKUP($C21,'[2]2.행정구역별 급수인구'!$C$7:$AD$997,25,FALSE)-VLOOKUP($C21,'[2]2.행정구역별 급수인구'!$C$7:$AD$997,25,FALSE)*(1-$E21),0)),VLOOKUP($C21,'[2]2.행정구역별 급수인구'!$C$7:$AD$997,25,FALSE)))</f>
        <v>127</v>
      </c>
      <c r="I21" s="302">
        <f>IF($D21="A",ROUND(VLOOKUP($C21,'[2]2.행정구역별 급수인구'!$C$7:$AD$997,26,FALSE)*$E21,0),IF($D21="B",(ROUND(VLOOKUP($C21,'[2]2.행정구역별 급수인구'!$C$7:$AD$997,26,FALSE)-VLOOKUP($C21,'[2]2.행정구역별 급수인구'!$C$7:$AD$997,26,FALSE)*(1-$E21),0)),VLOOKUP($C21,'[2]2.행정구역별 급수인구'!$C$7:$AD$997,26,FALSE)))</f>
        <v>133</v>
      </c>
      <c r="J21" s="302">
        <f>IF($D21="A",ROUND(VLOOKUP($C21,'[2]2.행정구역별 급수인구'!$C$7:$AD$997,27,FALSE)*$E21,0),IF($D21="B",(ROUND(VLOOKUP($C21,'[2]2.행정구역별 급수인구'!$C$7:$AD$997,27,FALSE)-VLOOKUP($C21,'[2]2.행정구역별 급수인구'!$C$7:$AD$997,27,FALSE)*(1-$E21),0)),VLOOKUP($C21,'[2]2.행정구역별 급수인구'!$C$7:$AD$997,27,FALSE)))</f>
        <v>144</v>
      </c>
      <c r="K21" s="302">
        <f>IF($D21="A",ROUND(VLOOKUP($C21,'[2]2.행정구역별 급수인구'!$C$7:$AD$997,28,FALSE)*$E21,0),IF($D21="B",(ROUND(VLOOKUP($C21,'[2]2.행정구역별 급수인구'!$C$7:$AD$997,28,FALSE)-VLOOKUP($C21,'[2]2.행정구역별 급수인구'!$C$7:$AD$997,28,FALSE)*(1-$E21),0)),VLOOKUP($C21,'[2]2.행정구역별 급수인구'!$C$7:$AD$997,28,FALSE)))</f>
        <v>147</v>
      </c>
      <c r="L21" s="302">
        <f>VLOOKUP($F21,'[3]5.급수원단위'!$B$31:$G$35,2,FALSE)</f>
        <v>272</v>
      </c>
      <c r="M21" s="302">
        <f>VLOOKUP($F21,'[3]5.급수원단위'!$B$31:$G$35,3,FALSE)</f>
        <v>304</v>
      </c>
      <c r="N21" s="302">
        <f>VLOOKUP($F21,'[3]5.급수원단위'!$B$31:$G$35,4,FALSE)</f>
        <v>308</v>
      </c>
      <c r="O21" s="302">
        <f>VLOOKUP($F21,'[3]5.급수원단위'!$B$31:$G$35,5,FALSE)</f>
        <v>310</v>
      </c>
      <c r="P21" s="302">
        <f>VLOOKUP($F21,'[3]5.급수원단위'!$B$31:$G$35,6,FALSE)</f>
        <v>310</v>
      </c>
      <c r="Q21" s="302">
        <f>ROUND(IF(G21=0,0,VLOOKUP(C21,'2013실사용량 정리'!$D$6:$F$381,3,FALSE)),0)</f>
        <v>0</v>
      </c>
      <c r="R21" s="302">
        <f t="shared" si="6"/>
        <v>39</v>
      </c>
      <c r="S21" s="302">
        <f t="shared" si="6"/>
        <v>41</v>
      </c>
      <c r="T21" s="302">
        <f t="shared" si="6"/>
        <v>45</v>
      </c>
      <c r="U21" s="302">
        <f t="shared" si="6"/>
        <v>46</v>
      </c>
      <c r="W21" s="343" t="str">
        <f t="shared" si="7"/>
        <v/>
      </c>
    </row>
    <row r="22" spans="1:23" ht="20.100000000000001" customHeight="1">
      <c r="A22" s="340"/>
      <c r="B22" s="340"/>
      <c r="C22" s="406" t="s">
        <v>1546</v>
      </c>
      <c r="D22" s="330"/>
      <c r="E22" s="527"/>
      <c r="F22" s="527" t="s">
        <v>1317</v>
      </c>
      <c r="G22" s="302">
        <f>IF($D22="A",ROUND(VLOOKUP($C22,'[2]2.행정구역별 급수인구'!$C$7:$AD$997,17,FALSE)*$E22,0),IF($D22="B",(ROUND(VLOOKUP($C22,'[2]2.행정구역별 급수인구'!$C$7:$AD$997,17,FALSE)-VLOOKUP($C22,'[2]2.행정구역별 급수인구'!$C$7:$AD$997,17,FALSE)*(1-$E22),0)),VLOOKUP($C22,'[2]2.행정구역별 급수인구'!$C$7:$AD$997,17,FALSE)))</f>
        <v>54</v>
      </c>
      <c r="H22" s="302">
        <f>IF($D22="A",ROUND(VLOOKUP($C22,'[2]2.행정구역별 급수인구'!$C$7:$AD$997,25,FALSE)*$E22,0),IF($D22="B",(ROUND(VLOOKUP($C22,'[2]2.행정구역별 급수인구'!$C$7:$AD$997,25,FALSE)-VLOOKUP($C22,'[2]2.행정구역별 급수인구'!$C$7:$AD$997,25,FALSE)*(1-$E22),0)),VLOOKUP($C22,'[2]2.행정구역별 급수인구'!$C$7:$AD$997,25,FALSE)))</f>
        <v>57</v>
      </c>
      <c r="I22" s="302">
        <f>IF($D22="A",ROUND(VLOOKUP($C22,'[2]2.행정구역별 급수인구'!$C$7:$AD$997,26,FALSE)*$E22,0),IF($D22="B",(ROUND(VLOOKUP($C22,'[2]2.행정구역별 급수인구'!$C$7:$AD$997,26,FALSE)-VLOOKUP($C22,'[2]2.행정구역별 급수인구'!$C$7:$AD$997,26,FALSE)*(1-$E22),0)),VLOOKUP($C22,'[2]2.행정구역별 급수인구'!$C$7:$AD$997,26,FALSE)))</f>
        <v>60</v>
      </c>
      <c r="J22" s="302">
        <f>IF($D22="A",ROUND(VLOOKUP($C22,'[2]2.행정구역별 급수인구'!$C$7:$AD$997,27,FALSE)*$E22,0),IF($D22="B",(ROUND(VLOOKUP($C22,'[2]2.행정구역별 급수인구'!$C$7:$AD$997,27,FALSE)-VLOOKUP($C22,'[2]2.행정구역별 급수인구'!$C$7:$AD$997,27,FALSE)*(1-$E22),0)),VLOOKUP($C22,'[2]2.행정구역별 급수인구'!$C$7:$AD$997,27,FALSE)))</f>
        <v>65</v>
      </c>
      <c r="K22" s="302">
        <f>IF($D22="A",ROUND(VLOOKUP($C22,'[2]2.행정구역별 급수인구'!$C$7:$AD$997,28,FALSE)*$E22,0),IF($D22="B",(ROUND(VLOOKUP($C22,'[2]2.행정구역별 급수인구'!$C$7:$AD$997,28,FALSE)-VLOOKUP($C22,'[2]2.행정구역별 급수인구'!$C$7:$AD$997,28,FALSE)*(1-$E22),0)),VLOOKUP($C22,'[2]2.행정구역별 급수인구'!$C$7:$AD$997,28,FALSE)))</f>
        <v>66</v>
      </c>
      <c r="L22" s="302">
        <f>VLOOKUP($F22,'[3]5.급수원단위'!$B$31:$G$35,2,FALSE)</f>
        <v>272</v>
      </c>
      <c r="M22" s="302">
        <f>VLOOKUP($F22,'[3]5.급수원단위'!$B$31:$G$35,3,FALSE)</f>
        <v>304</v>
      </c>
      <c r="N22" s="302">
        <f>VLOOKUP($F22,'[3]5.급수원단위'!$B$31:$G$35,4,FALSE)</f>
        <v>308</v>
      </c>
      <c r="O22" s="302">
        <f>VLOOKUP($F22,'[3]5.급수원단위'!$B$31:$G$35,5,FALSE)</f>
        <v>310</v>
      </c>
      <c r="P22" s="302">
        <f>VLOOKUP($F22,'[3]5.급수원단위'!$B$31:$G$35,6,FALSE)</f>
        <v>310</v>
      </c>
      <c r="Q22" s="302">
        <f>ROUND(IF(G22=0,0,VLOOKUP(C22,'2013실사용량 정리'!$D$6:$F$381,3,FALSE)),0)</f>
        <v>10</v>
      </c>
      <c r="R22" s="302">
        <f t="shared" si="6"/>
        <v>17</v>
      </c>
      <c r="S22" s="302">
        <f t="shared" si="6"/>
        <v>18</v>
      </c>
      <c r="T22" s="302">
        <f t="shared" si="6"/>
        <v>20</v>
      </c>
      <c r="U22" s="302">
        <f t="shared" si="6"/>
        <v>20</v>
      </c>
      <c r="W22" s="343">
        <f t="shared" si="7"/>
        <v>2</v>
      </c>
    </row>
    <row r="23" spans="1:23" ht="20.100000000000001" customHeight="1">
      <c r="A23" s="340"/>
      <c r="B23" s="340"/>
      <c r="C23" s="406" t="s">
        <v>1547</v>
      </c>
      <c r="D23" s="330"/>
      <c r="E23" s="527"/>
      <c r="F23" s="527" t="s">
        <v>1317</v>
      </c>
      <c r="G23" s="302">
        <f>IF($D23="A",ROUND(VLOOKUP($C23,'[2]2.행정구역별 급수인구'!$C$7:$AD$997,17,FALSE)*$E23,0),IF($D23="B",(ROUND(VLOOKUP($C23,'[2]2.행정구역별 급수인구'!$C$7:$AD$997,17,FALSE)-VLOOKUP($C23,'[2]2.행정구역별 급수인구'!$C$7:$AD$997,17,FALSE)*(1-$E23),0)),VLOOKUP($C23,'[2]2.행정구역별 급수인구'!$C$7:$AD$997,17,FALSE)))</f>
        <v>224</v>
      </c>
      <c r="H23" s="302">
        <f>IF($D23="A",ROUND(VLOOKUP($C23,'[2]2.행정구역별 급수인구'!$C$7:$AD$997,25,FALSE)*$E23,0),IF($D23="B",(ROUND(VLOOKUP($C23,'[2]2.행정구역별 급수인구'!$C$7:$AD$997,25,FALSE)-VLOOKUP($C23,'[2]2.행정구역별 급수인구'!$C$7:$AD$997,25,FALSE)*(1-$E23),0)),VLOOKUP($C23,'[2]2.행정구역별 급수인구'!$C$7:$AD$997,25,FALSE)))</f>
        <v>395</v>
      </c>
      <c r="I23" s="302">
        <f>IF($D23="A",ROUND(VLOOKUP($C23,'[2]2.행정구역별 급수인구'!$C$7:$AD$997,26,FALSE)*$E23,0),IF($D23="B",(ROUND(VLOOKUP($C23,'[2]2.행정구역별 급수인구'!$C$7:$AD$997,26,FALSE)-VLOOKUP($C23,'[2]2.행정구역별 급수인구'!$C$7:$AD$997,26,FALSE)*(1-$E23),0)),VLOOKUP($C23,'[2]2.행정구역별 급수인구'!$C$7:$AD$997,26,FALSE)))</f>
        <v>414</v>
      </c>
      <c r="J23" s="302">
        <f>IF($D23="A",ROUND(VLOOKUP($C23,'[2]2.행정구역별 급수인구'!$C$7:$AD$997,27,FALSE)*$E23,0),IF($D23="B",(ROUND(VLOOKUP($C23,'[2]2.행정구역별 급수인구'!$C$7:$AD$997,27,FALSE)-VLOOKUP($C23,'[2]2.행정구역별 급수인구'!$C$7:$AD$997,27,FALSE)*(1-$E23),0)),VLOOKUP($C23,'[2]2.행정구역별 급수인구'!$C$7:$AD$997,27,FALSE)))</f>
        <v>449</v>
      </c>
      <c r="K23" s="302">
        <f>IF($D23="A",ROUND(VLOOKUP($C23,'[2]2.행정구역별 급수인구'!$C$7:$AD$997,28,FALSE)*$E23,0),IF($D23="B",(ROUND(VLOOKUP($C23,'[2]2.행정구역별 급수인구'!$C$7:$AD$997,28,FALSE)-VLOOKUP($C23,'[2]2.행정구역별 급수인구'!$C$7:$AD$997,28,FALSE)*(1-$E23),0)),VLOOKUP($C23,'[2]2.행정구역별 급수인구'!$C$7:$AD$997,28,FALSE)))</f>
        <v>458</v>
      </c>
      <c r="L23" s="302">
        <f>VLOOKUP($F23,'[3]5.급수원단위'!$B$31:$G$35,2,FALSE)</f>
        <v>272</v>
      </c>
      <c r="M23" s="302">
        <f>VLOOKUP($F23,'[3]5.급수원단위'!$B$31:$G$35,3,FALSE)</f>
        <v>304</v>
      </c>
      <c r="N23" s="302">
        <f>VLOOKUP($F23,'[3]5.급수원단위'!$B$31:$G$35,4,FALSE)</f>
        <v>308</v>
      </c>
      <c r="O23" s="302">
        <f>VLOOKUP($F23,'[3]5.급수원단위'!$B$31:$G$35,5,FALSE)</f>
        <v>310</v>
      </c>
      <c r="P23" s="302">
        <f>VLOOKUP($F23,'[3]5.급수원단위'!$B$31:$G$35,6,FALSE)</f>
        <v>310</v>
      </c>
      <c r="Q23" s="302">
        <f>ROUND(IF(G23=0,0,VLOOKUP(C23,'2013실사용량 정리'!$D$6:$F$381,3,FALSE)),0)</f>
        <v>42</v>
      </c>
      <c r="R23" s="302">
        <f t="shared" si="6"/>
        <v>120</v>
      </c>
      <c r="S23" s="302">
        <f t="shared" si="6"/>
        <v>128</v>
      </c>
      <c r="T23" s="302">
        <f t="shared" si="6"/>
        <v>139</v>
      </c>
      <c r="U23" s="302">
        <f t="shared" si="6"/>
        <v>142</v>
      </c>
      <c r="W23" s="343">
        <f t="shared" si="7"/>
        <v>3.3809523809523809</v>
      </c>
    </row>
    <row r="24" spans="1:23" ht="20.100000000000001" customHeight="1">
      <c r="A24" s="340"/>
      <c r="B24" s="340"/>
      <c r="C24" s="406" t="s">
        <v>1548</v>
      </c>
      <c r="D24" s="330"/>
      <c r="E24" s="527"/>
      <c r="F24" s="527" t="s">
        <v>1317</v>
      </c>
      <c r="G24" s="302">
        <f>IF($D24="A",ROUND(VLOOKUP($C24,'[2]2.행정구역별 급수인구'!$C$7:$AD$997,17,FALSE)*$E24,0),IF($D24="B",(ROUND(VLOOKUP($C24,'[2]2.행정구역별 급수인구'!$C$7:$AD$997,17,FALSE)-VLOOKUP($C24,'[2]2.행정구역별 급수인구'!$C$7:$AD$997,17,FALSE)*(1-$E24),0)),VLOOKUP($C24,'[2]2.행정구역별 급수인구'!$C$7:$AD$997,17,FALSE)))</f>
        <v>0</v>
      </c>
      <c r="H24" s="302">
        <f>IF($D24="A",ROUND(VLOOKUP($C24,'[2]2.행정구역별 급수인구'!$C$7:$AD$997,25,FALSE)*$E24,0),IF($D24="B",(ROUND(VLOOKUP($C24,'[2]2.행정구역별 급수인구'!$C$7:$AD$997,25,FALSE)-VLOOKUP($C24,'[2]2.행정구역별 급수인구'!$C$7:$AD$997,25,FALSE)*(1-$E24),0)),VLOOKUP($C24,'[2]2.행정구역별 급수인구'!$C$7:$AD$997,25,FALSE)))</f>
        <v>78</v>
      </c>
      <c r="I24" s="302">
        <f>IF($D24="A",ROUND(VLOOKUP($C24,'[2]2.행정구역별 급수인구'!$C$7:$AD$997,26,FALSE)*$E24,0),IF($D24="B",(ROUND(VLOOKUP($C24,'[2]2.행정구역별 급수인구'!$C$7:$AD$997,26,FALSE)-VLOOKUP($C24,'[2]2.행정구역별 급수인구'!$C$7:$AD$997,26,FALSE)*(1-$E24),0)),VLOOKUP($C24,'[2]2.행정구역별 급수인구'!$C$7:$AD$997,26,FALSE)))</f>
        <v>82</v>
      </c>
      <c r="J24" s="302">
        <f>IF($D24="A",ROUND(VLOOKUP($C24,'[2]2.행정구역별 급수인구'!$C$7:$AD$997,27,FALSE)*$E24,0),IF($D24="B",(ROUND(VLOOKUP($C24,'[2]2.행정구역별 급수인구'!$C$7:$AD$997,27,FALSE)-VLOOKUP($C24,'[2]2.행정구역별 급수인구'!$C$7:$AD$997,27,FALSE)*(1-$E24),0)),VLOOKUP($C24,'[2]2.행정구역별 급수인구'!$C$7:$AD$997,27,FALSE)))</f>
        <v>90</v>
      </c>
      <c r="K24" s="302">
        <f>IF($D24="A",ROUND(VLOOKUP($C24,'[2]2.행정구역별 급수인구'!$C$7:$AD$997,28,FALSE)*$E24,0),IF($D24="B",(ROUND(VLOOKUP($C24,'[2]2.행정구역별 급수인구'!$C$7:$AD$997,28,FALSE)-VLOOKUP($C24,'[2]2.행정구역별 급수인구'!$C$7:$AD$997,28,FALSE)*(1-$E24),0)),VLOOKUP($C24,'[2]2.행정구역별 급수인구'!$C$7:$AD$997,28,FALSE)))</f>
        <v>91</v>
      </c>
      <c r="L24" s="302">
        <f>VLOOKUP($F24,'[3]5.급수원단위'!$B$31:$G$35,2,FALSE)</f>
        <v>272</v>
      </c>
      <c r="M24" s="302">
        <f>VLOOKUP($F24,'[3]5.급수원단위'!$B$31:$G$35,3,FALSE)</f>
        <v>304</v>
      </c>
      <c r="N24" s="302">
        <f>VLOOKUP($F24,'[3]5.급수원단위'!$B$31:$G$35,4,FALSE)</f>
        <v>308</v>
      </c>
      <c r="O24" s="302">
        <f>VLOOKUP($F24,'[3]5.급수원단위'!$B$31:$G$35,5,FALSE)</f>
        <v>310</v>
      </c>
      <c r="P24" s="302">
        <f>VLOOKUP($F24,'[3]5.급수원단위'!$B$31:$G$35,6,FALSE)</f>
        <v>310</v>
      </c>
      <c r="Q24" s="302">
        <f>ROUND(IF(G24=0,0,VLOOKUP(C24,'2013실사용량 정리'!$D$6:$F$381,3,FALSE)),0)</f>
        <v>0</v>
      </c>
      <c r="R24" s="302">
        <f t="shared" ref="R24:U47" si="8">ROUND(H24*M24/1000,0)</f>
        <v>24</v>
      </c>
      <c r="S24" s="302">
        <f t="shared" si="8"/>
        <v>25</v>
      </c>
      <c r="T24" s="302">
        <f t="shared" si="8"/>
        <v>28</v>
      </c>
      <c r="U24" s="302">
        <f t="shared" si="8"/>
        <v>28</v>
      </c>
      <c r="W24" s="343" t="str">
        <f t="shared" si="7"/>
        <v/>
      </c>
    </row>
    <row r="25" spans="1:23" ht="20.100000000000001" customHeight="1">
      <c r="A25" s="340"/>
      <c r="B25" s="340"/>
      <c r="C25" s="406" t="s">
        <v>1549</v>
      </c>
      <c r="D25" s="330"/>
      <c r="E25" s="527"/>
      <c r="F25" s="527" t="s">
        <v>1317</v>
      </c>
      <c r="G25" s="302">
        <f>IF($D25="A",ROUND(VLOOKUP($C25,'[2]2.행정구역별 급수인구'!$C$7:$AD$997,17,FALSE)*$E25,0),IF($D25="B",(ROUND(VLOOKUP($C25,'[2]2.행정구역별 급수인구'!$C$7:$AD$997,17,FALSE)-VLOOKUP($C25,'[2]2.행정구역별 급수인구'!$C$7:$AD$997,17,FALSE)*(1-$E25),0)),VLOOKUP($C25,'[2]2.행정구역별 급수인구'!$C$7:$AD$997,17,FALSE)))</f>
        <v>0</v>
      </c>
      <c r="H25" s="302">
        <f>IF($D25="A",ROUND(VLOOKUP($C25,'[2]2.행정구역별 급수인구'!$C$7:$AD$997,25,FALSE)*$E25,0),IF($D25="B",(ROUND(VLOOKUP($C25,'[2]2.행정구역별 급수인구'!$C$7:$AD$997,25,FALSE)-VLOOKUP($C25,'[2]2.행정구역별 급수인구'!$C$7:$AD$997,25,FALSE)*(1-$E25),0)),VLOOKUP($C25,'[2]2.행정구역별 급수인구'!$C$7:$AD$997,25,FALSE)))</f>
        <v>92</v>
      </c>
      <c r="I25" s="302">
        <f>IF($D25="A",ROUND(VLOOKUP($C25,'[2]2.행정구역별 급수인구'!$C$7:$AD$997,26,FALSE)*$E25,0),IF($D25="B",(ROUND(VLOOKUP($C25,'[2]2.행정구역별 급수인구'!$C$7:$AD$997,26,FALSE)-VLOOKUP($C25,'[2]2.행정구역별 급수인구'!$C$7:$AD$997,26,FALSE)*(1-$E25),0)),VLOOKUP($C25,'[2]2.행정구역별 급수인구'!$C$7:$AD$997,26,FALSE)))</f>
        <v>97</v>
      </c>
      <c r="J25" s="302">
        <f>IF($D25="A",ROUND(VLOOKUP($C25,'[2]2.행정구역별 급수인구'!$C$7:$AD$997,27,FALSE)*$E25,0),IF($D25="B",(ROUND(VLOOKUP($C25,'[2]2.행정구역별 급수인구'!$C$7:$AD$997,27,FALSE)-VLOOKUP($C25,'[2]2.행정구역별 급수인구'!$C$7:$AD$997,27,FALSE)*(1-$E25),0)),VLOOKUP($C25,'[2]2.행정구역별 급수인구'!$C$7:$AD$997,27,FALSE)))</f>
        <v>105</v>
      </c>
      <c r="K25" s="302">
        <f>IF($D25="A",ROUND(VLOOKUP($C25,'[2]2.행정구역별 급수인구'!$C$7:$AD$997,28,FALSE)*$E25,0),IF($D25="B",(ROUND(VLOOKUP($C25,'[2]2.행정구역별 급수인구'!$C$7:$AD$997,28,FALSE)-VLOOKUP($C25,'[2]2.행정구역별 급수인구'!$C$7:$AD$997,28,FALSE)*(1-$E25),0)),VLOOKUP($C25,'[2]2.행정구역별 급수인구'!$C$7:$AD$997,28,FALSE)))</f>
        <v>107</v>
      </c>
      <c r="L25" s="302">
        <f>VLOOKUP($F25,'[3]5.급수원단위'!$B$31:$G$35,2,FALSE)</f>
        <v>272</v>
      </c>
      <c r="M25" s="302">
        <f>VLOOKUP($F25,'[3]5.급수원단위'!$B$31:$G$35,3,FALSE)</f>
        <v>304</v>
      </c>
      <c r="N25" s="302">
        <f>VLOOKUP($F25,'[3]5.급수원단위'!$B$31:$G$35,4,FALSE)</f>
        <v>308</v>
      </c>
      <c r="O25" s="302">
        <f>VLOOKUP($F25,'[3]5.급수원단위'!$B$31:$G$35,5,FALSE)</f>
        <v>310</v>
      </c>
      <c r="P25" s="302">
        <f>VLOOKUP($F25,'[3]5.급수원단위'!$B$31:$G$35,6,FALSE)</f>
        <v>310</v>
      </c>
      <c r="Q25" s="302">
        <f>ROUND(IF(G25=0,0,VLOOKUP(C25,'2013실사용량 정리'!$D$6:$F$381,3,FALSE)),0)</f>
        <v>0</v>
      </c>
      <c r="R25" s="302">
        <f t="shared" si="8"/>
        <v>28</v>
      </c>
      <c r="S25" s="302">
        <f t="shared" si="8"/>
        <v>30</v>
      </c>
      <c r="T25" s="302">
        <f t="shared" si="8"/>
        <v>33</v>
      </c>
      <c r="U25" s="302">
        <f t="shared" si="8"/>
        <v>33</v>
      </c>
      <c r="W25" s="343" t="str">
        <f t="shared" si="7"/>
        <v/>
      </c>
    </row>
    <row r="26" spans="1:23" ht="20.100000000000001" customHeight="1">
      <c r="A26" s="340"/>
      <c r="B26" s="340"/>
      <c r="C26" s="406" t="s">
        <v>1550</v>
      </c>
      <c r="D26" s="330"/>
      <c r="E26" s="527"/>
      <c r="F26" s="527" t="s">
        <v>1317</v>
      </c>
      <c r="G26" s="302">
        <f>IF($D26="A",ROUND(VLOOKUP($C26,'[2]2.행정구역별 급수인구'!$C$7:$AD$997,17,FALSE)*$E26,0),IF($D26="B",(ROUND(VLOOKUP($C26,'[2]2.행정구역별 급수인구'!$C$7:$AD$997,17,FALSE)-VLOOKUP($C26,'[2]2.행정구역별 급수인구'!$C$7:$AD$997,17,FALSE)*(1-$E26),0)),VLOOKUP($C26,'[2]2.행정구역별 급수인구'!$C$7:$AD$997,17,FALSE)))</f>
        <v>0</v>
      </c>
      <c r="H26" s="302">
        <f>IF($D26="A",ROUND(VLOOKUP($C26,'[2]2.행정구역별 급수인구'!$C$7:$AD$997,25,FALSE)*$E26,0),IF($D26="B",(ROUND(VLOOKUP($C26,'[2]2.행정구역별 급수인구'!$C$7:$AD$997,25,FALSE)-VLOOKUP($C26,'[2]2.행정구역별 급수인구'!$C$7:$AD$997,25,FALSE)*(1-$E26),0)),VLOOKUP($C26,'[2]2.행정구역별 급수인구'!$C$7:$AD$997,25,FALSE)))</f>
        <v>0</v>
      </c>
      <c r="I26" s="302">
        <f>IF($D26="A",ROUND(VLOOKUP($C26,'[2]2.행정구역별 급수인구'!$C$7:$AD$997,26,FALSE)*$E26,0),IF($D26="B",(ROUND(VLOOKUP($C26,'[2]2.행정구역별 급수인구'!$C$7:$AD$997,26,FALSE)-VLOOKUP($C26,'[2]2.행정구역별 급수인구'!$C$7:$AD$997,26,FALSE)*(1-$E26),0)),VLOOKUP($C26,'[2]2.행정구역별 급수인구'!$C$7:$AD$997,26,FALSE)))</f>
        <v>143</v>
      </c>
      <c r="J26" s="302">
        <f>IF($D26="A",ROUND(VLOOKUP($C26,'[2]2.행정구역별 급수인구'!$C$7:$AD$997,27,FALSE)*$E26,0),IF($D26="B",(ROUND(VLOOKUP($C26,'[2]2.행정구역별 급수인구'!$C$7:$AD$997,27,FALSE)-VLOOKUP($C26,'[2]2.행정구역별 급수인구'!$C$7:$AD$997,27,FALSE)*(1-$E26),0)),VLOOKUP($C26,'[2]2.행정구역별 급수인구'!$C$7:$AD$997,27,FALSE)))</f>
        <v>155</v>
      </c>
      <c r="K26" s="302">
        <f>IF($D26="A",ROUND(VLOOKUP($C26,'[2]2.행정구역별 급수인구'!$C$7:$AD$997,28,FALSE)*$E26,0),IF($D26="B",(ROUND(VLOOKUP($C26,'[2]2.행정구역별 급수인구'!$C$7:$AD$997,28,FALSE)-VLOOKUP($C26,'[2]2.행정구역별 급수인구'!$C$7:$AD$997,28,FALSE)*(1-$E26),0)),VLOOKUP($C26,'[2]2.행정구역별 급수인구'!$C$7:$AD$997,28,FALSE)))</f>
        <v>158</v>
      </c>
      <c r="L26" s="302">
        <f>VLOOKUP($F26,'[3]5.급수원단위'!$B$31:$G$35,2,FALSE)</f>
        <v>272</v>
      </c>
      <c r="M26" s="302">
        <f>VLOOKUP($F26,'[3]5.급수원단위'!$B$31:$G$35,3,FALSE)</f>
        <v>304</v>
      </c>
      <c r="N26" s="302">
        <f>VLOOKUP($F26,'[3]5.급수원단위'!$B$31:$G$35,4,FALSE)</f>
        <v>308</v>
      </c>
      <c r="O26" s="302">
        <f>VLOOKUP($F26,'[3]5.급수원단위'!$B$31:$G$35,5,FALSE)</f>
        <v>310</v>
      </c>
      <c r="P26" s="302">
        <f>VLOOKUP($F26,'[3]5.급수원단위'!$B$31:$G$35,6,FALSE)</f>
        <v>310</v>
      </c>
      <c r="Q26" s="302">
        <f>ROUND(IF(G26=0,0,VLOOKUP(C26,'2013실사용량 정리'!$D$6:$F$381,3,FALSE)),0)</f>
        <v>0</v>
      </c>
      <c r="R26" s="302">
        <f t="shared" si="8"/>
        <v>0</v>
      </c>
      <c r="S26" s="302">
        <f t="shared" si="8"/>
        <v>44</v>
      </c>
      <c r="T26" s="302">
        <f t="shared" si="8"/>
        <v>48</v>
      </c>
      <c r="U26" s="302">
        <f t="shared" si="8"/>
        <v>49</v>
      </c>
      <c r="W26" s="343" t="str">
        <f t="shared" si="7"/>
        <v/>
      </c>
    </row>
    <row r="27" spans="1:23" ht="20.100000000000001" customHeight="1">
      <c r="A27" s="340"/>
      <c r="B27" s="340"/>
      <c r="C27" s="406" t="s">
        <v>1551</v>
      </c>
      <c r="D27" s="330"/>
      <c r="E27" s="527"/>
      <c r="F27" s="527" t="s">
        <v>1317</v>
      </c>
      <c r="G27" s="302">
        <f>IF($D27="A",ROUND(VLOOKUP($C27,'[2]2.행정구역별 급수인구'!$C$7:$AD$997,17,FALSE)*$E27,0),IF($D27="B",(ROUND(VLOOKUP($C27,'[2]2.행정구역별 급수인구'!$C$7:$AD$997,17,FALSE)-VLOOKUP($C27,'[2]2.행정구역별 급수인구'!$C$7:$AD$997,17,FALSE)*(1-$E27),0)),VLOOKUP($C27,'[2]2.행정구역별 급수인구'!$C$7:$AD$997,17,FALSE)))</f>
        <v>0</v>
      </c>
      <c r="H27" s="302">
        <f>IF($D27="A",ROUND(VLOOKUP($C27,'[2]2.행정구역별 급수인구'!$C$7:$AD$997,25,FALSE)*$E27,0),IF($D27="B",(ROUND(VLOOKUP($C27,'[2]2.행정구역별 급수인구'!$C$7:$AD$997,25,FALSE)-VLOOKUP($C27,'[2]2.행정구역별 급수인구'!$C$7:$AD$997,25,FALSE)*(1-$E27),0)),VLOOKUP($C27,'[2]2.행정구역별 급수인구'!$C$7:$AD$997,25,FALSE)))</f>
        <v>0</v>
      </c>
      <c r="I27" s="302">
        <f>IF($D27="A",ROUND(VLOOKUP($C27,'[2]2.행정구역별 급수인구'!$C$7:$AD$997,26,FALSE)*$E27,0),IF($D27="B",(ROUND(VLOOKUP($C27,'[2]2.행정구역별 급수인구'!$C$7:$AD$997,26,FALSE)-VLOOKUP($C27,'[2]2.행정구역별 급수인구'!$C$7:$AD$997,26,FALSE)*(1-$E27),0)),VLOOKUP($C27,'[2]2.행정구역별 급수인구'!$C$7:$AD$997,26,FALSE)))</f>
        <v>77</v>
      </c>
      <c r="J27" s="302">
        <f>IF($D27="A",ROUND(VLOOKUP($C27,'[2]2.행정구역별 급수인구'!$C$7:$AD$997,27,FALSE)*$E27,0),IF($D27="B",(ROUND(VLOOKUP($C27,'[2]2.행정구역별 급수인구'!$C$7:$AD$997,27,FALSE)-VLOOKUP($C27,'[2]2.행정구역별 급수인구'!$C$7:$AD$997,27,FALSE)*(1-$E27),0)),VLOOKUP($C27,'[2]2.행정구역별 급수인구'!$C$7:$AD$997,27,FALSE)))</f>
        <v>83</v>
      </c>
      <c r="K27" s="302">
        <f>IF($D27="A",ROUND(VLOOKUP($C27,'[2]2.행정구역별 급수인구'!$C$7:$AD$997,28,FALSE)*$E27,0),IF($D27="B",(ROUND(VLOOKUP($C27,'[2]2.행정구역별 급수인구'!$C$7:$AD$997,28,FALSE)-VLOOKUP($C27,'[2]2.행정구역별 급수인구'!$C$7:$AD$997,28,FALSE)*(1-$E27),0)),VLOOKUP($C27,'[2]2.행정구역별 급수인구'!$C$7:$AD$997,28,FALSE)))</f>
        <v>85</v>
      </c>
      <c r="L27" s="302">
        <f>VLOOKUP($F27,'[3]5.급수원단위'!$B$31:$G$35,2,FALSE)</f>
        <v>272</v>
      </c>
      <c r="M27" s="302">
        <f>VLOOKUP($F27,'[3]5.급수원단위'!$B$31:$G$35,3,FALSE)</f>
        <v>304</v>
      </c>
      <c r="N27" s="302">
        <f>VLOOKUP($F27,'[3]5.급수원단위'!$B$31:$G$35,4,FALSE)</f>
        <v>308</v>
      </c>
      <c r="O27" s="302">
        <f>VLOOKUP($F27,'[3]5.급수원단위'!$B$31:$G$35,5,FALSE)</f>
        <v>310</v>
      </c>
      <c r="P27" s="302">
        <f>VLOOKUP($F27,'[3]5.급수원단위'!$B$31:$G$35,6,FALSE)</f>
        <v>310</v>
      </c>
      <c r="Q27" s="302">
        <f>ROUND(IF(G27=0,0,VLOOKUP(C27,'2013실사용량 정리'!$D$6:$F$381,3,FALSE)),0)</f>
        <v>0</v>
      </c>
      <c r="R27" s="302">
        <f t="shared" si="8"/>
        <v>0</v>
      </c>
      <c r="S27" s="302">
        <f t="shared" si="8"/>
        <v>24</v>
      </c>
      <c r="T27" s="302">
        <f t="shared" si="8"/>
        <v>26</v>
      </c>
      <c r="U27" s="302">
        <f t="shared" si="8"/>
        <v>26</v>
      </c>
      <c r="W27" s="343" t="str">
        <f t="shared" si="7"/>
        <v/>
      </c>
    </row>
    <row r="28" spans="1:23" ht="20.100000000000001" customHeight="1">
      <c r="A28" s="340"/>
      <c r="B28" s="340"/>
      <c r="C28" s="406" t="s">
        <v>1552</v>
      </c>
      <c r="D28" s="330"/>
      <c r="E28" s="527"/>
      <c r="F28" s="527" t="s">
        <v>1317</v>
      </c>
      <c r="G28" s="302">
        <f>IF($D28="A",ROUND(VLOOKUP($C28,'[2]2.행정구역별 급수인구'!$C$7:$AD$997,17,FALSE)*$E28,0),IF($D28="B",(ROUND(VLOOKUP($C28,'[2]2.행정구역별 급수인구'!$C$7:$AD$997,17,FALSE)-VLOOKUP($C28,'[2]2.행정구역별 급수인구'!$C$7:$AD$997,17,FALSE)*(1-$E28),0)),VLOOKUP($C28,'[2]2.행정구역별 급수인구'!$C$7:$AD$997,17,FALSE)))</f>
        <v>132</v>
      </c>
      <c r="H28" s="302">
        <f>IF($D28="A",ROUND(VLOOKUP($C28,'[2]2.행정구역별 급수인구'!$C$7:$AD$997,25,FALSE)*$E28,0),IF($D28="B",(ROUND(VLOOKUP($C28,'[2]2.행정구역별 급수인구'!$C$7:$AD$997,25,FALSE)-VLOOKUP($C28,'[2]2.행정구역별 급수인구'!$C$7:$AD$997,25,FALSE)*(1-$E28),0)),VLOOKUP($C28,'[2]2.행정구역별 급수인구'!$C$7:$AD$997,25,FALSE)))</f>
        <v>138</v>
      </c>
      <c r="I28" s="302">
        <f>IF($D28="A",ROUND(VLOOKUP($C28,'[2]2.행정구역별 급수인구'!$C$7:$AD$997,26,FALSE)*$E28,0),IF($D28="B",(ROUND(VLOOKUP($C28,'[2]2.행정구역별 급수인구'!$C$7:$AD$997,26,FALSE)-VLOOKUP($C28,'[2]2.행정구역별 급수인구'!$C$7:$AD$997,26,FALSE)*(1-$E28),0)),VLOOKUP($C28,'[2]2.행정구역별 급수인구'!$C$7:$AD$997,26,FALSE)))</f>
        <v>146</v>
      </c>
      <c r="J28" s="302">
        <f>IF($D28="A",ROUND(VLOOKUP($C28,'[2]2.행정구역별 급수인구'!$C$7:$AD$997,27,FALSE)*$E28,0),IF($D28="B",(ROUND(VLOOKUP($C28,'[2]2.행정구역별 급수인구'!$C$7:$AD$997,27,FALSE)-VLOOKUP($C28,'[2]2.행정구역별 급수인구'!$C$7:$AD$997,27,FALSE)*(1-$E28),0)),VLOOKUP($C28,'[2]2.행정구역별 급수인구'!$C$7:$AD$997,27,FALSE)))</f>
        <v>158</v>
      </c>
      <c r="K28" s="302">
        <f>IF($D28="A",ROUND(VLOOKUP($C28,'[2]2.행정구역별 급수인구'!$C$7:$AD$997,28,FALSE)*$E28,0),IF($D28="B",(ROUND(VLOOKUP($C28,'[2]2.행정구역별 급수인구'!$C$7:$AD$997,28,FALSE)-VLOOKUP($C28,'[2]2.행정구역별 급수인구'!$C$7:$AD$997,28,FALSE)*(1-$E28),0)),VLOOKUP($C28,'[2]2.행정구역별 급수인구'!$C$7:$AD$997,28,FALSE)))</f>
        <v>161</v>
      </c>
      <c r="L28" s="302">
        <f>VLOOKUP($F28,'[3]5.급수원단위'!$B$31:$G$35,2,FALSE)</f>
        <v>272</v>
      </c>
      <c r="M28" s="302">
        <f>VLOOKUP($F28,'[3]5.급수원단위'!$B$31:$G$35,3,FALSE)</f>
        <v>304</v>
      </c>
      <c r="N28" s="302">
        <f>VLOOKUP($F28,'[3]5.급수원단위'!$B$31:$G$35,4,FALSE)</f>
        <v>308</v>
      </c>
      <c r="O28" s="302">
        <f>VLOOKUP($F28,'[3]5.급수원단위'!$B$31:$G$35,5,FALSE)</f>
        <v>310</v>
      </c>
      <c r="P28" s="302">
        <f>VLOOKUP($F28,'[3]5.급수원단위'!$B$31:$G$35,6,FALSE)</f>
        <v>310</v>
      </c>
      <c r="Q28" s="302">
        <f>ROUND(IF(G28=0,0,VLOOKUP(C28,'2013실사용량 정리'!$D$6:$F$381,3,FALSE)),0)</f>
        <v>31</v>
      </c>
      <c r="R28" s="302">
        <f t="shared" si="8"/>
        <v>42</v>
      </c>
      <c r="S28" s="302">
        <f t="shared" si="8"/>
        <v>45</v>
      </c>
      <c r="T28" s="302">
        <f t="shared" si="8"/>
        <v>49</v>
      </c>
      <c r="U28" s="302">
        <f t="shared" si="8"/>
        <v>50</v>
      </c>
      <c r="W28" s="343">
        <f t="shared" si="7"/>
        <v>1.6129032258064515</v>
      </c>
    </row>
    <row r="29" spans="1:23" ht="20.100000000000001" customHeight="1">
      <c r="A29" s="340"/>
      <c r="B29" s="340"/>
      <c r="C29" s="406" t="s">
        <v>1553</v>
      </c>
      <c r="D29" s="330"/>
      <c r="E29" s="527"/>
      <c r="F29" s="527" t="s">
        <v>1317</v>
      </c>
      <c r="G29" s="302">
        <f>IF($D29="A",ROUND(VLOOKUP($C29,'[2]2.행정구역별 급수인구'!$C$7:$AD$997,17,FALSE)*$E29,0),IF($D29="B",(ROUND(VLOOKUP($C29,'[2]2.행정구역별 급수인구'!$C$7:$AD$997,17,FALSE)-VLOOKUP($C29,'[2]2.행정구역별 급수인구'!$C$7:$AD$997,17,FALSE)*(1-$E29),0)),VLOOKUP($C29,'[2]2.행정구역별 급수인구'!$C$7:$AD$997,17,FALSE)))</f>
        <v>0</v>
      </c>
      <c r="H29" s="302">
        <f>IF($D29="A",ROUND(VLOOKUP($C29,'[2]2.행정구역별 급수인구'!$C$7:$AD$997,25,FALSE)*$E29,0),IF($D29="B",(ROUND(VLOOKUP($C29,'[2]2.행정구역별 급수인구'!$C$7:$AD$997,25,FALSE)-VLOOKUP($C29,'[2]2.행정구역별 급수인구'!$C$7:$AD$997,25,FALSE)*(1-$E29),0)),VLOOKUP($C29,'[2]2.행정구역별 급수인구'!$C$7:$AD$997,25,FALSE)))</f>
        <v>178</v>
      </c>
      <c r="I29" s="302">
        <f>IF($D29="A",ROUND(VLOOKUP($C29,'[2]2.행정구역별 급수인구'!$C$7:$AD$997,26,FALSE)*$E29,0),IF($D29="B",(ROUND(VLOOKUP($C29,'[2]2.행정구역별 급수인구'!$C$7:$AD$997,26,FALSE)-VLOOKUP($C29,'[2]2.행정구역별 급수인구'!$C$7:$AD$997,26,FALSE)*(1-$E29),0)),VLOOKUP($C29,'[2]2.행정구역별 급수인구'!$C$7:$AD$997,26,FALSE)))</f>
        <v>187</v>
      </c>
      <c r="J29" s="302">
        <f>IF($D29="A",ROUND(VLOOKUP($C29,'[2]2.행정구역별 급수인구'!$C$7:$AD$997,27,FALSE)*$E29,0),IF($D29="B",(ROUND(VLOOKUP($C29,'[2]2.행정구역별 급수인구'!$C$7:$AD$997,27,FALSE)-VLOOKUP($C29,'[2]2.행정구역별 급수인구'!$C$7:$AD$997,27,FALSE)*(1-$E29),0)),VLOOKUP($C29,'[2]2.행정구역별 급수인구'!$C$7:$AD$997,27,FALSE)))</f>
        <v>203</v>
      </c>
      <c r="K29" s="302">
        <f>IF($D29="A",ROUND(VLOOKUP($C29,'[2]2.행정구역별 급수인구'!$C$7:$AD$997,28,FALSE)*$E29,0),IF($D29="B",(ROUND(VLOOKUP($C29,'[2]2.행정구역별 급수인구'!$C$7:$AD$997,28,FALSE)-VLOOKUP($C29,'[2]2.행정구역별 급수인구'!$C$7:$AD$997,28,FALSE)*(1-$E29),0)),VLOOKUP($C29,'[2]2.행정구역별 급수인구'!$C$7:$AD$997,28,FALSE)))</f>
        <v>207</v>
      </c>
      <c r="L29" s="302">
        <f>VLOOKUP($F29,'[3]5.급수원단위'!$B$31:$G$35,2,FALSE)</f>
        <v>272</v>
      </c>
      <c r="M29" s="302">
        <f>VLOOKUP($F29,'[3]5.급수원단위'!$B$31:$G$35,3,FALSE)</f>
        <v>304</v>
      </c>
      <c r="N29" s="302">
        <f>VLOOKUP($F29,'[3]5.급수원단위'!$B$31:$G$35,4,FALSE)</f>
        <v>308</v>
      </c>
      <c r="O29" s="302">
        <f>VLOOKUP($F29,'[3]5.급수원단위'!$B$31:$G$35,5,FALSE)</f>
        <v>310</v>
      </c>
      <c r="P29" s="302">
        <f>VLOOKUP($F29,'[3]5.급수원단위'!$B$31:$G$35,6,FALSE)</f>
        <v>310</v>
      </c>
      <c r="Q29" s="302">
        <f>ROUND(IF(G29=0,0,VLOOKUP(C29,'2013실사용량 정리'!$D$6:$F$381,3,FALSE)),0)</f>
        <v>0</v>
      </c>
      <c r="R29" s="302">
        <f t="shared" si="8"/>
        <v>54</v>
      </c>
      <c r="S29" s="302">
        <f t="shared" si="8"/>
        <v>58</v>
      </c>
      <c r="T29" s="302">
        <f t="shared" si="8"/>
        <v>63</v>
      </c>
      <c r="U29" s="302">
        <f t="shared" si="8"/>
        <v>64</v>
      </c>
      <c r="W29" s="343" t="str">
        <f t="shared" si="7"/>
        <v/>
      </c>
    </row>
    <row r="30" spans="1:23" ht="20.100000000000001" customHeight="1">
      <c r="A30" s="340"/>
      <c r="B30" s="340"/>
      <c r="C30" s="406" t="s">
        <v>1554</v>
      </c>
      <c r="D30" s="330"/>
      <c r="E30" s="527"/>
      <c r="F30" s="527" t="s">
        <v>1317</v>
      </c>
      <c r="G30" s="302">
        <f>IF($D30="A",ROUND(VLOOKUP($C30,'[2]2.행정구역별 급수인구'!$C$7:$AD$997,17,FALSE)*$E30,0),IF($D30="B",(ROUND(VLOOKUP($C30,'[2]2.행정구역별 급수인구'!$C$7:$AD$997,17,FALSE)-VLOOKUP($C30,'[2]2.행정구역별 급수인구'!$C$7:$AD$997,17,FALSE)*(1-$E30),0)),VLOOKUP($C30,'[2]2.행정구역별 급수인구'!$C$7:$AD$997,17,FALSE)))</f>
        <v>0</v>
      </c>
      <c r="H30" s="302">
        <f>IF($D30="A",ROUND(VLOOKUP($C30,'[2]2.행정구역별 급수인구'!$C$7:$AD$997,25,FALSE)*$E30,0),IF($D30="B",(ROUND(VLOOKUP($C30,'[2]2.행정구역별 급수인구'!$C$7:$AD$997,25,FALSE)-VLOOKUP($C30,'[2]2.행정구역별 급수인구'!$C$7:$AD$997,25,FALSE)*(1-$E30),0)),VLOOKUP($C30,'[2]2.행정구역별 급수인구'!$C$7:$AD$997,25,FALSE)))</f>
        <v>166</v>
      </c>
      <c r="I30" s="302">
        <f>IF($D30="A",ROUND(VLOOKUP($C30,'[2]2.행정구역별 급수인구'!$C$7:$AD$997,26,FALSE)*$E30,0),IF($D30="B",(ROUND(VLOOKUP($C30,'[2]2.행정구역별 급수인구'!$C$7:$AD$997,26,FALSE)-VLOOKUP($C30,'[2]2.행정구역별 급수인구'!$C$7:$AD$997,26,FALSE)*(1-$E30),0)),VLOOKUP($C30,'[2]2.행정구역별 급수인구'!$C$7:$AD$997,26,FALSE)))</f>
        <v>174</v>
      </c>
      <c r="J30" s="302">
        <f>IF($D30="A",ROUND(VLOOKUP($C30,'[2]2.행정구역별 급수인구'!$C$7:$AD$997,27,FALSE)*$E30,0),IF($D30="B",(ROUND(VLOOKUP($C30,'[2]2.행정구역별 급수인구'!$C$7:$AD$997,27,FALSE)-VLOOKUP($C30,'[2]2.행정구역별 급수인구'!$C$7:$AD$997,27,FALSE)*(1-$E30),0)),VLOOKUP($C30,'[2]2.행정구역별 급수인구'!$C$7:$AD$997,27,FALSE)))</f>
        <v>189</v>
      </c>
      <c r="K30" s="302">
        <f>IF($D30="A",ROUND(VLOOKUP($C30,'[2]2.행정구역별 급수인구'!$C$7:$AD$997,28,FALSE)*$E30,0),IF($D30="B",(ROUND(VLOOKUP($C30,'[2]2.행정구역별 급수인구'!$C$7:$AD$997,28,FALSE)-VLOOKUP($C30,'[2]2.행정구역별 급수인구'!$C$7:$AD$997,28,FALSE)*(1-$E30),0)),VLOOKUP($C30,'[2]2.행정구역별 급수인구'!$C$7:$AD$997,28,FALSE)))</f>
        <v>193</v>
      </c>
      <c r="L30" s="302">
        <f>VLOOKUP($F30,'[3]5.급수원단위'!$B$31:$G$35,2,FALSE)</f>
        <v>272</v>
      </c>
      <c r="M30" s="302">
        <f>VLOOKUP($F30,'[3]5.급수원단위'!$B$31:$G$35,3,FALSE)</f>
        <v>304</v>
      </c>
      <c r="N30" s="302">
        <f>VLOOKUP($F30,'[3]5.급수원단위'!$B$31:$G$35,4,FALSE)</f>
        <v>308</v>
      </c>
      <c r="O30" s="302">
        <f>VLOOKUP($F30,'[3]5.급수원단위'!$B$31:$G$35,5,FALSE)</f>
        <v>310</v>
      </c>
      <c r="P30" s="302">
        <f>VLOOKUP($F30,'[3]5.급수원단위'!$B$31:$G$35,6,FALSE)</f>
        <v>310</v>
      </c>
      <c r="Q30" s="302">
        <f>ROUND(IF(G30=0,0,VLOOKUP(C30,'2013실사용량 정리'!$D$6:$F$381,3,FALSE)),0)</f>
        <v>0</v>
      </c>
      <c r="R30" s="302">
        <f t="shared" si="8"/>
        <v>50</v>
      </c>
      <c r="S30" s="302">
        <f t="shared" si="8"/>
        <v>54</v>
      </c>
      <c r="T30" s="302">
        <f t="shared" si="8"/>
        <v>59</v>
      </c>
      <c r="U30" s="302">
        <f t="shared" si="8"/>
        <v>60</v>
      </c>
      <c r="W30" s="343" t="str">
        <f t="shared" si="7"/>
        <v/>
      </c>
    </row>
    <row r="31" spans="1:23" ht="20.100000000000001" customHeight="1">
      <c r="A31" s="340"/>
      <c r="B31" s="340"/>
      <c r="C31" s="406" t="s">
        <v>1555</v>
      </c>
      <c r="D31" s="330"/>
      <c r="E31" s="527"/>
      <c r="F31" s="527" t="s">
        <v>1317</v>
      </c>
      <c r="G31" s="302">
        <f>IF($D31="A",ROUND(VLOOKUP($C31,'[2]2.행정구역별 급수인구'!$C$7:$AD$997,17,FALSE)*$E31,0),IF($D31="B",(ROUND(VLOOKUP($C31,'[2]2.행정구역별 급수인구'!$C$7:$AD$997,17,FALSE)-VLOOKUP($C31,'[2]2.행정구역별 급수인구'!$C$7:$AD$997,17,FALSE)*(1-$E31),0)),VLOOKUP($C31,'[2]2.행정구역별 급수인구'!$C$7:$AD$997,17,FALSE)))</f>
        <v>0</v>
      </c>
      <c r="H31" s="302">
        <f>IF($D31="A",ROUND(VLOOKUP($C31,'[2]2.행정구역별 급수인구'!$C$7:$AD$997,25,FALSE)*$E31,0),IF($D31="B",(ROUND(VLOOKUP($C31,'[2]2.행정구역별 급수인구'!$C$7:$AD$997,25,FALSE)-VLOOKUP($C31,'[2]2.행정구역별 급수인구'!$C$7:$AD$997,25,FALSE)*(1-$E31),0)),VLOOKUP($C31,'[2]2.행정구역별 급수인구'!$C$7:$AD$997,25,FALSE)))</f>
        <v>0</v>
      </c>
      <c r="I31" s="302">
        <f>IF($D31="A",ROUND(VLOOKUP($C31,'[2]2.행정구역별 급수인구'!$C$7:$AD$997,26,FALSE)*$E31,0),IF($D31="B",(ROUND(VLOOKUP($C31,'[2]2.행정구역별 급수인구'!$C$7:$AD$997,26,FALSE)-VLOOKUP($C31,'[2]2.행정구역별 급수인구'!$C$7:$AD$997,26,FALSE)*(1-$E31),0)),VLOOKUP($C31,'[2]2.행정구역별 급수인구'!$C$7:$AD$997,26,FALSE)))</f>
        <v>136</v>
      </c>
      <c r="J31" s="302">
        <f>IF($D31="A",ROUND(VLOOKUP($C31,'[2]2.행정구역별 급수인구'!$C$7:$AD$997,27,FALSE)*$E31,0),IF($D31="B",(ROUND(VLOOKUP($C31,'[2]2.행정구역별 급수인구'!$C$7:$AD$997,27,FALSE)-VLOOKUP($C31,'[2]2.행정구역별 급수인구'!$C$7:$AD$997,27,FALSE)*(1-$E31),0)),VLOOKUP($C31,'[2]2.행정구역별 급수인구'!$C$7:$AD$997,27,FALSE)))</f>
        <v>148</v>
      </c>
      <c r="K31" s="302">
        <f>IF($D31="A",ROUND(VLOOKUP($C31,'[2]2.행정구역별 급수인구'!$C$7:$AD$997,28,FALSE)*$E31,0),IF($D31="B",(ROUND(VLOOKUP($C31,'[2]2.행정구역별 급수인구'!$C$7:$AD$997,28,FALSE)-VLOOKUP($C31,'[2]2.행정구역별 급수인구'!$C$7:$AD$997,28,FALSE)*(1-$E31),0)),VLOOKUP($C31,'[2]2.행정구역별 급수인구'!$C$7:$AD$997,28,FALSE)))</f>
        <v>150</v>
      </c>
      <c r="L31" s="302">
        <f>VLOOKUP($F31,'[3]5.급수원단위'!$B$31:$G$35,2,FALSE)</f>
        <v>272</v>
      </c>
      <c r="M31" s="302">
        <f>VLOOKUP($F31,'[3]5.급수원단위'!$B$31:$G$35,3,FALSE)</f>
        <v>304</v>
      </c>
      <c r="N31" s="302">
        <f>VLOOKUP($F31,'[3]5.급수원단위'!$B$31:$G$35,4,FALSE)</f>
        <v>308</v>
      </c>
      <c r="O31" s="302">
        <f>VLOOKUP($F31,'[3]5.급수원단위'!$B$31:$G$35,5,FALSE)</f>
        <v>310</v>
      </c>
      <c r="P31" s="302">
        <f>VLOOKUP($F31,'[3]5.급수원단위'!$B$31:$G$35,6,FALSE)</f>
        <v>310</v>
      </c>
      <c r="Q31" s="302">
        <f>ROUND(IF(G31=0,0,VLOOKUP(C31,'2013실사용량 정리'!$D$6:$F$381,3,FALSE)),0)</f>
        <v>0</v>
      </c>
      <c r="R31" s="302">
        <f t="shared" si="8"/>
        <v>0</v>
      </c>
      <c r="S31" s="302">
        <f t="shared" si="8"/>
        <v>42</v>
      </c>
      <c r="T31" s="302">
        <f t="shared" si="8"/>
        <v>46</v>
      </c>
      <c r="U31" s="302">
        <f t="shared" si="8"/>
        <v>47</v>
      </c>
      <c r="W31" s="343" t="str">
        <f t="shared" si="7"/>
        <v/>
      </c>
    </row>
    <row r="32" spans="1:23" ht="20.100000000000001" customHeight="1">
      <c r="A32" s="340"/>
      <c r="B32" s="340"/>
      <c r="C32" s="406" t="s">
        <v>1556</v>
      </c>
      <c r="D32" s="330"/>
      <c r="E32" s="527"/>
      <c r="F32" s="527" t="s">
        <v>1317</v>
      </c>
      <c r="G32" s="302">
        <f>IF($D32="A",ROUND(VLOOKUP($C32,'[2]2.행정구역별 급수인구'!$C$7:$AD$997,17,FALSE)*$E32,0),IF($D32="B",(ROUND(VLOOKUP($C32,'[2]2.행정구역별 급수인구'!$C$7:$AD$997,17,FALSE)-VLOOKUP($C32,'[2]2.행정구역별 급수인구'!$C$7:$AD$997,17,FALSE)*(1-$E32),0)),VLOOKUP($C32,'[2]2.행정구역별 급수인구'!$C$7:$AD$997,17,FALSE)))</f>
        <v>0</v>
      </c>
      <c r="H32" s="302">
        <f>IF($D32="A",ROUND(VLOOKUP($C32,'[2]2.행정구역별 급수인구'!$C$7:$AD$997,25,FALSE)*$E32,0),IF($D32="B",(ROUND(VLOOKUP($C32,'[2]2.행정구역별 급수인구'!$C$7:$AD$997,25,FALSE)-VLOOKUP($C32,'[2]2.행정구역별 급수인구'!$C$7:$AD$997,25,FALSE)*(1-$E32),0)),VLOOKUP($C32,'[2]2.행정구역별 급수인구'!$C$7:$AD$997,25,FALSE)))</f>
        <v>0</v>
      </c>
      <c r="I32" s="302">
        <f>IF($D32="A",ROUND(VLOOKUP($C32,'[2]2.행정구역별 급수인구'!$C$7:$AD$997,26,FALSE)*$E32,0),IF($D32="B",(ROUND(VLOOKUP($C32,'[2]2.행정구역별 급수인구'!$C$7:$AD$997,26,FALSE)-VLOOKUP($C32,'[2]2.행정구역별 급수인구'!$C$7:$AD$997,26,FALSE)*(1-$E32),0)),VLOOKUP($C32,'[2]2.행정구역별 급수인구'!$C$7:$AD$997,26,FALSE)))</f>
        <v>76</v>
      </c>
      <c r="J32" s="302">
        <f>IF($D32="A",ROUND(VLOOKUP($C32,'[2]2.행정구역별 급수인구'!$C$7:$AD$997,27,FALSE)*$E32,0),IF($D32="B",(ROUND(VLOOKUP($C32,'[2]2.행정구역별 급수인구'!$C$7:$AD$997,27,FALSE)-VLOOKUP($C32,'[2]2.행정구역별 급수인구'!$C$7:$AD$997,27,FALSE)*(1-$E32),0)),VLOOKUP($C32,'[2]2.행정구역별 급수인구'!$C$7:$AD$997,27,FALSE)))</f>
        <v>82</v>
      </c>
      <c r="K32" s="302">
        <f>IF($D32="A",ROUND(VLOOKUP($C32,'[2]2.행정구역별 급수인구'!$C$7:$AD$997,28,FALSE)*$E32,0),IF($D32="B",(ROUND(VLOOKUP($C32,'[2]2.행정구역별 급수인구'!$C$7:$AD$997,28,FALSE)-VLOOKUP($C32,'[2]2.행정구역별 급수인구'!$C$7:$AD$997,28,FALSE)*(1-$E32),0)),VLOOKUP($C32,'[2]2.행정구역별 급수인구'!$C$7:$AD$997,28,FALSE)))</f>
        <v>84</v>
      </c>
      <c r="L32" s="302">
        <f>VLOOKUP($F32,'[3]5.급수원단위'!$B$31:$G$35,2,FALSE)</f>
        <v>272</v>
      </c>
      <c r="M32" s="302">
        <f>VLOOKUP($F32,'[3]5.급수원단위'!$B$31:$G$35,3,FALSE)</f>
        <v>304</v>
      </c>
      <c r="N32" s="302">
        <f>VLOOKUP($F32,'[3]5.급수원단위'!$B$31:$G$35,4,FALSE)</f>
        <v>308</v>
      </c>
      <c r="O32" s="302">
        <f>VLOOKUP($F32,'[3]5.급수원단위'!$B$31:$G$35,5,FALSE)</f>
        <v>310</v>
      </c>
      <c r="P32" s="302">
        <f>VLOOKUP($F32,'[3]5.급수원단위'!$B$31:$G$35,6,FALSE)</f>
        <v>310</v>
      </c>
      <c r="Q32" s="302">
        <f>ROUND(IF(G32=0,0,VLOOKUP(C32,'2013실사용량 정리'!$D$6:$F$381,3,FALSE)),0)</f>
        <v>0</v>
      </c>
      <c r="R32" s="302">
        <f t="shared" si="8"/>
        <v>0</v>
      </c>
      <c r="S32" s="302">
        <f t="shared" si="8"/>
        <v>23</v>
      </c>
      <c r="T32" s="302">
        <f t="shared" si="8"/>
        <v>25</v>
      </c>
      <c r="U32" s="302">
        <f t="shared" si="8"/>
        <v>26</v>
      </c>
      <c r="W32" s="343" t="str">
        <f t="shared" si="7"/>
        <v/>
      </c>
    </row>
    <row r="33" spans="1:23" ht="20.100000000000001" customHeight="1">
      <c r="A33" s="340"/>
      <c r="B33" s="340"/>
      <c r="C33" s="406" t="s">
        <v>1557</v>
      </c>
      <c r="D33" s="330"/>
      <c r="E33" s="527"/>
      <c r="F33" s="527" t="s">
        <v>1317</v>
      </c>
      <c r="G33" s="302">
        <f>IF($D33="A",ROUND(VLOOKUP($C33,'[2]2.행정구역별 급수인구'!$C$7:$AD$997,17,FALSE)*$E33,0),IF($D33="B",(ROUND(VLOOKUP($C33,'[2]2.행정구역별 급수인구'!$C$7:$AD$997,17,FALSE)-VLOOKUP($C33,'[2]2.행정구역별 급수인구'!$C$7:$AD$997,17,FALSE)*(1-$E33),0)),VLOOKUP($C33,'[2]2.행정구역별 급수인구'!$C$7:$AD$997,17,FALSE)))</f>
        <v>153</v>
      </c>
      <c r="H33" s="302">
        <f>IF($D33="A",ROUND(VLOOKUP($C33,'[2]2.행정구역별 급수인구'!$C$7:$AD$997,25,FALSE)*$E33,0),IF($D33="B",(ROUND(VLOOKUP($C33,'[2]2.행정구역별 급수인구'!$C$7:$AD$997,25,FALSE)-VLOOKUP($C33,'[2]2.행정구역별 급수인구'!$C$7:$AD$997,25,FALSE)*(1-$E33),0)),VLOOKUP($C33,'[2]2.행정구역별 급수인구'!$C$7:$AD$997,25,FALSE)))</f>
        <v>161</v>
      </c>
      <c r="I33" s="302">
        <f>IF($D33="A",ROUND(VLOOKUP($C33,'[2]2.행정구역별 급수인구'!$C$7:$AD$997,26,FALSE)*$E33,0),IF($D33="B",(ROUND(VLOOKUP($C33,'[2]2.행정구역별 급수인구'!$C$7:$AD$997,26,FALSE)-VLOOKUP($C33,'[2]2.행정구역별 급수인구'!$C$7:$AD$997,26,FALSE)*(1-$E33),0)),VLOOKUP($C33,'[2]2.행정구역별 급수인구'!$C$7:$AD$997,26,FALSE)))</f>
        <v>169</v>
      </c>
      <c r="J33" s="302">
        <f>IF($D33="A",ROUND(VLOOKUP($C33,'[2]2.행정구역별 급수인구'!$C$7:$AD$997,27,FALSE)*$E33,0),IF($D33="B",(ROUND(VLOOKUP($C33,'[2]2.행정구역별 급수인구'!$C$7:$AD$997,27,FALSE)-VLOOKUP($C33,'[2]2.행정구역별 급수인구'!$C$7:$AD$997,27,FALSE)*(1-$E33),0)),VLOOKUP($C33,'[2]2.행정구역별 급수인구'!$C$7:$AD$997,27,FALSE)))</f>
        <v>183</v>
      </c>
      <c r="K33" s="302">
        <f>IF($D33="A",ROUND(VLOOKUP($C33,'[2]2.행정구역별 급수인구'!$C$7:$AD$997,28,FALSE)*$E33,0),IF($D33="B",(ROUND(VLOOKUP($C33,'[2]2.행정구역별 급수인구'!$C$7:$AD$997,28,FALSE)-VLOOKUP($C33,'[2]2.행정구역별 급수인구'!$C$7:$AD$997,28,FALSE)*(1-$E33),0)),VLOOKUP($C33,'[2]2.행정구역별 급수인구'!$C$7:$AD$997,28,FALSE)))</f>
        <v>186</v>
      </c>
      <c r="L33" s="302">
        <f>VLOOKUP($F33,'[3]5.급수원단위'!$B$31:$G$35,2,FALSE)</f>
        <v>272</v>
      </c>
      <c r="M33" s="302">
        <f>VLOOKUP($F33,'[3]5.급수원단위'!$B$31:$G$35,3,FALSE)</f>
        <v>304</v>
      </c>
      <c r="N33" s="302">
        <f>VLOOKUP($F33,'[3]5.급수원단위'!$B$31:$G$35,4,FALSE)</f>
        <v>308</v>
      </c>
      <c r="O33" s="302">
        <f>VLOOKUP($F33,'[3]5.급수원단위'!$B$31:$G$35,5,FALSE)</f>
        <v>310</v>
      </c>
      <c r="P33" s="302">
        <f>VLOOKUP($F33,'[3]5.급수원단위'!$B$31:$G$35,6,FALSE)</f>
        <v>310</v>
      </c>
      <c r="Q33" s="302">
        <f>ROUND(IF(G33=0,0,VLOOKUP(C33,'2013실사용량 정리'!$D$6:$F$381,3,FALSE)),0)</f>
        <v>84</v>
      </c>
      <c r="R33" s="302">
        <f t="shared" si="8"/>
        <v>49</v>
      </c>
      <c r="S33" s="302">
        <f t="shared" si="8"/>
        <v>52</v>
      </c>
      <c r="T33" s="302">
        <f t="shared" si="8"/>
        <v>57</v>
      </c>
      <c r="U33" s="302">
        <f t="shared" si="8"/>
        <v>58</v>
      </c>
      <c r="W33" s="343">
        <f t="shared" si="7"/>
        <v>0.69047619047619047</v>
      </c>
    </row>
    <row r="34" spans="1:23" ht="20.100000000000001" customHeight="1">
      <c r="A34" s="340"/>
      <c r="B34" s="340"/>
      <c r="C34" s="406" t="s">
        <v>1558</v>
      </c>
      <c r="D34" s="330"/>
      <c r="E34" s="527"/>
      <c r="F34" s="527" t="s">
        <v>1317</v>
      </c>
      <c r="G34" s="302">
        <f>IF($D34="A",ROUND(VLOOKUP($C34,'[2]2.행정구역별 급수인구'!$C$7:$AD$997,17,FALSE)*$E34,0),IF($D34="B",(ROUND(VLOOKUP($C34,'[2]2.행정구역별 급수인구'!$C$7:$AD$997,17,FALSE)-VLOOKUP($C34,'[2]2.행정구역별 급수인구'!$C$7:$AD$997,17,FALSE)*(1-$E34),0)),VLOOKUP($C34,'[2]2.행정구역별 급수인구'!$C$7:$AD$997,17,FALSE)))</f>
        <v>0</v>
      </c>
      <c r="H34" s="302">
        <f>IF($D34="A",ROUND(VLOOKUP($C34,'[2]2.행정구역별 급수인구'!$C$7:$AD$997,25,FALSE)*$E34,0),IF($D34="B",(ROUND(VLOOKUP($C34,'[2]2.행정구역별 급수인구'!$C$7:$AD$997,25,FALSE)-VLOOKUP($C34,'[2]2.행정구역별 급수인구'!$C$7:$AD$997,25,FALSE)*(1-$E34),0)),VLOOKUP($C34,'[2]2.행정구역별 급수인구'!$C$7:$AD$997,25,FALSE)))</f>
        <v>81</v>
      </c>
      <c r="I34" s="302">
        <f>IF($D34="A",ROUND(VLOOKUP($C34,'[2]2.행정구역별 급수인구'!$C$7:$AD$997,26,FALSE)*$E34,0),IF($D34="B",(ROUND(VLOOKUP($C34,'[2]2.행정구역별 급수인구'!$C$7:$AD$997,26,FALSE)-VLOOKUP($C34,'[2]2.행정구역별 급수인구'!$C$7:$AD$997,26,FALSE)*(1-$E34),0)),VLOOKUP($C34,'[2]2.행정구역별 급수인구'!$C$7:$AD$997,26,FALSE)))</f>
        <v>85</v>
      </c>
      <c r="J34" s="302">
        <f>IF($D34="A",ROUND(VLOOKUP($C34,'[2]2.행정구역별 급수인구'!$C$7:$AD$997,27,FALSE)*$E34,0),IF($D34="B",(ROUND(VLOOKUP($C34,'[2]2.행정구역별 급수인구'!$C$7:$AD$997,27,FALSE)-VLOOKUP($C34,'[2]2.행정구역별 급수인구'!$C$7:$AD$997,27,FALSE)*(1-$E34),0)),VLOOKUP($C34,'[2]2.행정구역별 급수인구'!$C$7:$AD$997,27,FALSE)))</f>
        <v>93</v>
      </c>
      <c r="K34" s="302">
        <f>IF($D34="A",ROUND(VLOOKUP($C34,'[2]2.행정구역별 급수인구'!$C$7:$AD$997,28,FALSE)*$E34,0),IF($D34="B",(ROUND(VLOOKUP($C34,'[2]2.행정구역별 급수인구'!$C$7:$AD$997,28,FALSE)-VLOOKUP($C34,'[2]2.행정구역별 급수인구'!$C$7:$AD$997,28,FALSE)*(1-$E34),0)),VLOOKUP($C34,'[2]2.행정구역별 급수인구'!$C$7:$AD$997,28,FALSE)))</f>
        <v>95</v>
      </c>
      <c r="L34" s="302">
        <f>VLOOKUP($F34,'[3]5.급수원단위'!$B$31:$G$35,2,FALSE)</f>
        <v>272</v>
      </c>
      <c r="M34" s="302">
        <f>VLOOKUP($F34,'[3]5.급수원단위'!$B$31:$G$35,3,FALSE)</f>
        <v>304</v>
      </c>
      <c r="N34" s="302">
        <f>VLOOKUP($F34,'[3]5.급수원단위'!$B$31:$G$35,4,FALSE)</f>
        <v>308</v>
      </c>
      <c r="O34" s="302">
        <f>VLOOKUP($F34,'[3]5.급수원단위'!$B$31:$G$35,5,FALSE)</f>
        <v>310</v>
      </c>
      <c r="P34" s="302">
        <f>VLOOKUP($F34,'[3]5.급수원단위'!$B$31:$G$35,6,FALSE)</f>
        <v>310</v>
      </c>
      <c r="Q34" s="302">
        <f>ROUND(IF(G34=0,0,VLOOKUP(C34,'2013실사용량 정리'!$D$6:$F$381,3,FALSE)),0)</f>
        <v>0</v>
      </c>
      <c r="R34" s="302">
        <f t="shared" si="8"/>
        <v>25</v>
      </c>
      <c r="S34" s="302">
        <f t="shared" si="8"/>
        <v>26</v>
      </c>
      <c r="T34" s="302">
        <f t="shared" si="8"/>
        <v>29</v>
      </c>
      <c r="U34" s="302">
        <f t="shared" si="8"/>
        <v>29</v>
      </c>
      <c r="W34" s="343" t="str">
        <f t="shared" si="7"/>
        <v/>
      </c>
    </row>
    <row r="35" spans="1:23" ht="20.100000000000001" customHeight="1">
      <c r="A35" s="340"/>
      <c r="B35" s="340"/>
      <c r="C35" s="406" t="s">
        <v>1559</v>
      </c>
      <c r="D35" s="330"/>
      <c r="E35" s="527"/>
      <c r="F35" s="527" t="s">
        <v>1317</v>
      </c>
      <c r="G35" s="302">
        <f>IF($D35="A",ROUND(VLOOKUP($C35,'[2]2.행정구역별 급수인구'!$C$7:$AD$997,17,FALSE)*$E35,0),IF($D35="B",(ROUND(VLOOKUP($C35,'[2]2.행정구역별 급수인구'!$C$7:$AD$997,17,FALSE)-VLOOKUP($C35,'[2]2.행정구역별 급수인구'!$C$7:$AD$997,17,FALSE)*(1-$E35),0)),VLOOKUP($C35,'[2]2.행정구역별 급수인구'!$C$7:$AD$997,17,FALSE)))</f>
        <v>0</v>
      </c>
      <c r="H35" s="302">
        <f>IF($D35="A",ROUND(VLOOKUP($C35,'[2]2.행정구역별 급수인구'!$C$7:$AD$997,25,FALSE)*$E35,0),IF($D35="B",(ROUND(VLOOKUP($C35,'[2]2.행정구역별 급수인구'!$C$7:$AD$997,25,FALSE)-VLOOKUP($C35,'[2]2.행정구역별 급수인구'!$C$7:$AD$997,25,FALSE)*(1-$E35),0)),VLOOKUP($C35,'[2]2.행정구역별 급수인구'!$C$7:$AD$997,25,FALSE)))</f>
        <v>115</v>
      </c>
      <c r="I35" s="302">
        <f>IF($D35="A",ROUND(VLOOKUP($C35,'[2]2.행정구역별 급수인구'!$C$7:$AD$997,26,FALSE)*$E35,0),IF($D35="B",(ROUND(VLOOKUP($C35,'[2]2.행정구역별 급수인구'!$C$7:$AD$997,26,FALSE)-VLOOKUP($C35,'[2]2.행정구역별 급수인구'!$C$7:$AD$997,26,FALSE)*(1-$E35),0)),VLOOKUP($C35,'[2]2.행정구역별 급수인구'!$C$7:$AD$997,26,FALSE)))</f>
        <v>122</v>
      </c>
      <c r="J35" s="302">
        <f>IF($D35="A",ROUND(VLOOKUP($C35,'[2]2.행정구역별 급수인구'!$C$7:$AD$997,27,FALSE)*$E35,0),IF($D35="B",(ROUND(VLOOKUP($C35,'[2]2.행정구역별 급수인구'!$C$7:$AD$997,27,FALSE)-VLOOKUP($C35,'[2]2.행정구역별 급수인구'!$C$7:$AD$997,27,FALSE)*(1-$E35),0)),VLOOKUP($C35,'[2]2.행정구역별 급수인구'!$C$7:$AD$997,27,FALSE)))</f>
        <v>131</v>
      </c>
      <c r="K35" s="302">
        <f>IF($D35="A",ROUND(VLOOKUP($C35,'[2]2.행정구역별 급수인구'!$C$7:$AD$997,28,FALSE)*$E35,0),IF($D35="B",(ROUND(VLOOKUP($C35,'[2]2.행정구역별 급수인구'!$C$7:$AD$997,28,FALSE)-VLOOKUP($C35,'[2]2.행정구역별 급수인구'!$C$7:$AD$997,28,FALSE)*(1-$E35),0)),VLOOKUP($C35,'[2]2.행정구역별 급수인구'!$C$7:$AD$997,28,FALSE)))</f>
        <v>134</v>
      </c>
      <c r="L35" s="302">
        <f>VLOOKUP($F35,'[3]5.급수원단위'!$B$31:$G$35,2,FALSE)</f>
        <v>272</v>
      </c>
      <c r="M35" s="302">
        <f>VLOOKUP($F35,'[3]5.급수원단위'!$B$31:$G$35,3,FALSE)</f>
        <v>304</v>
      </c>
      <c r="N35" s="302">
        <f>VLOOKUP($F35,'[3]5.급수원단위'!$B$31:$G$35,4,FALSE)</f>
        <v>308</v>
      </c>
      <c r="O35" s="302">
        <f>VLOOKUP($F35,'[3]5.급수원단위'!$B$31:$G$35,5,FALSE)</f>
        <v>310</v>
      </c>
      <c r="P35" s="302">
        <f>VLOOKUP($F35,'[3]5.급수원단위'!$B$31:$G$35,6,FALSE)</f>
        <v>310</v>
      </c>
      <c r="Q35" s="302">
        <f>ROUND(IF(G35=0,0,VLOOKUP(C35,'2013실사용량 정리'!$D$6:$F$381,3,FALSE)),0)</f>
        <v>0</v>
      </c>
      <c r="R35" s="302">
        <f t="shared" si="8"/>
        <v>35</v>
      </c>
      <c r="S35" s="302">
        <f t="shared" si="8"/>
        <v>38</v>
      </c>
      <c r="T35" s="302">
        <f t="shared" si="8"/>
        <v>41</v>
      </c>
      <c r="U35" s="302">
        <f t="shared" si="8"/>
        <v>42</v>
      </c>
      <c r="W35" s="343" t="str">
        <f t="shared" si="7"/>
        <v/>
      </c>
    </row>
    <row r="36" spans="1:23" ht="20.100000000000001" customHeight="1">
      <c r="A36" s="340"/>
      <c r="B36" s="340"/>
      <c r="C36" s="406" t="s">
        <v>1560</v>
      </c>
      <c r="D36" s="330"/>
      <c r="E36" s="527"/>
      <c r="F36" s="527" t="s">
        <v>1317</v>
      </c>
      <c r="G36" s="302">
        <f>IF($D36="A",ROUND(VLOOKUP($C36,'[2]2.행정구역별 급수인구'!$C$7:$AD$997,17,FALSE)*$E36,0),IF($D36="B",(ROUND(VLOOKUP($C36,'[2]2.행정구역별 급수인구'!$C$7:$AD$997,17,FALSE)-VLOOKUP($C36,'[2]2.행정구역별 급수인구'!$C$7:$AD$997,17,FALSE)*(1-$E36),0)),VLOOKUP($C36,'[2]2.행정구역별 급수인구'!$C$7:$AD$997,17,FALSE)))</f>
        <v>0</v>
      </c>
      <c r="H36" s="302">
        <f>IF($D36="A",ROUND(VLOOKUP($C36,'[2]2.행정구역별 급수인구'!$C$7:$AD$997,25,FALSE)*$E36,0),IF($D36="B",(ROUND(VLOOKUP($C36,'[2]2.행정구역별 급수인구'!$C$7:$AD$997,25,FALSE)-VLOOKUP($C36,'[2]2.행정구역별 급수인구'!$C$7:$AD$997,25,FALSE)*(1-$E36),0)),VLOOKUP($C36,'[2]2.행정구역별 급수인구'!$C$7:$AD$997,25,FALSE)))</f>
        <v>0</v>
      </c>
      <c r="I36" s="302">
        <f>IF($D36="A",ROUND(VLOOKUP($C36,'[2]2.행정구역별 급수인구'!$C$7:$AD$997,26,FALSE)*$E36,0),IF($D36="B",(ROUND(VLOOKUP($C36,'[2]2.행정구역별 급수인구'!$C$7:$AD$997,26,FALSE)-VLOOKUP($C36,'[2]2.행정구역별 급수인구'!$C$7:$AD$997,26,FALSE)*(1-$E36),0)),VLOOKUP($C36,'[2]2.행정구역별 급수인구'!$C$7:$AD$997,26,FALSE)))</f>
        <v>49</v>
      </c>
      <c r="J36" s="302">
        <f>IF($D36="A",ROUND(VLOOKUP($C36,'[2]2.행정구역별 급수인구'!$C$7:$AD$997,27,FALSE)*$E36,0),IF($D36="B",(ROUND(VLOOKUP($C36,'[2]2.행정구역별 급수인구'!$C$7:$AD$997,27,FALSE)-VLOOKUP($C36,'[2]2.행정구역별 급수인구'!$C$7:$AD$997,27,FALSE)*(1-$E36),0)),VLOOKUP($C36,'[2]2.행정구역별 급수인구'!$C$7:$AD$997,27,FALSE)))</f>
        <v>53</v>
      </c>
      <c r="K36" s="302">
        <f>IF($D36="A",ROUND(VLOOKUP($C36,'[2]2.행정구역별 급수인구'!$C$7:$AD$997,28,FALSE)*$E36,0),IF($D36="B",(ROUND(VLOOKUP($C36,'[2]2.행정구역별 급수인구'!$C$7:$AD$997,28,FALSE)-VLOOKUP($C36,'[2]2.행정구역별 급수인구'!$C$7:$AD$997,28,FALSE)*(1-$E36),0)),VLOOKUP($C36,'[2]2.행정구역별 급수인구'!$C$7:$AD$997,28,FALSE)))</f>
        <v>54</v>
      </c>
      <c r="L36" s="302">
        <f>VLOOKUP($F36,'[3]5.급수원단위'!$B$31:$G$35,2,FALSE)</f>
        <v>272</v>
      </c>
      <c r="M36" s="302">
        <f>VLOOKUP($F36,'[3]5.급수원단위'!$B$31:$G$35,3,FALSE)</f>
        <v>304</v>
      </c>
      <c r="N36" s="302">
        <f>VLOOKUP($F36,'[3]5.급수원단위'!$B$31:$G$35,4,FALSE)</f>
        <v>308</v>
      </c>
      <c r="O36" s="302">
        <f>VLOOKUP($F36,'[3]5.급수원단위'!$B$31:$G$35,5,FALSE)</f>
        <v>310</v>
      </c>
      <c r="P36" s="302">
        <f>VLOOKUP($F36,'[3]5.급수원단위'!$B$31:$G$35,6,FALSE)</f>
        <v>310</v>
      </c>
      <c r="Q36" s="302">
        <f>ROUND(IF(G36=0,0,VLOOKUP(C36,'2013실사용량 정리'!$D$6:$F$381,3,FALSE)),0)</f>
        <v>0</v>
      </c>
      <c r="R36" s="302">
        <f t="shared" si="8"/>
        <v>0</v>
      </c>
      <c r="S36" s="302">
        <f t="shared" si="8"/>
        <v>15</v>
      </c>
      <c r="T36" s="302">
        <f t="shared" si="8"/>
        <v>16</v>
      </c>
      <c r="U36" s="302">
        <f t="shared" si="8"/>
        <v>17</v>
      </c>
      <c r="W36" s="343" t="str">
        <f t="shared" si="7"/>
        <v/>
      </c>
    </row>
    <row r="37" spans="1:23" ht="20.100000000000001" customHeight="1">
      <c r="A37" s="340"/>
      <c r="B37" s="340"/>
      <c r="C37" s="406" t="s">
        <v>1561</v>
      </c>
      <c r="D37" s="330"/>
      <c r="E37" s="527"/>
      <c r="F37" s="527" t="s">
        <v>1317</v>
      </c>
      <c r="G37" s="302">
        <f>IF($D37="A",ROUND(VLOOKUP($C37,'[2]2.행정구역별 급수인구'!$C$7:$AD$997,17,FALSE)*$E37,0),IF($D37="B",(ROUND(VLOOKUP($C37,'[2]2.행정구역별 급수인구'!$C$7:$AD$997,17,FALSE)-VLOOKUP($C37,'[2]2.행정구역별 급수인구'!$C$7:$AD$997,17,FALSE)*(1-$E37),0)),VLOOKUP($C37,'[2]2.행정구역별 급수인구'!$C$7:$AD$997,17,FALSE)))</f>
        <v>0</v>
      </c>
      <c r="H37" s="302">
        <f>IF($D37="A",ROUND(VLOOKUP($C37,'[2]2.행정구역별 급수인구'!$C$7:$AD$997,25,FALSE)*$E37,0),IF($D37="B",(ROUND(VLOOKUP($C37,'[2]2.행정구역별 급수인구'!$C$7:$AD$997,25,FALSE)-VLOOKUP($C37,'[2]2.행정구역별 급수인구'!$C$7:$AD$997,25,FALSE)*(1-$E37),0)),VLOOKUP($C37,'[2]2.행정구역별 급수인구'!$C$7:$AD$997,25,FALSE)))</f>
        <v>0</v>
      </c>
      <c r="I37" s="302">
        <f>IF($D37="A",ROUND(VLOOKUP($C37,'[2]2.행정구역별 급수인구'!$C$7:$AD$997,26,FALSE)*$E37,0),IF($D37="B",(ROUND(VLOOKUP($C37,'[2]2.행정구역별 급수인구'!$C$7:$AD$997,26,FALSE)-VLOOKUP($C37,'[2]2.행정구역별 급수인구'!$C$7:$AD$997,26,FALSE)*(1-$E37),0)),VLOOKUP($C37,'[2]2.행정구역별 급수인구'!$C$7:$AD$997,26,FALSE)))</f>
        <v>69</v>
      </c>
      <c r="J37" s="302">
        <f>IF($D37="A",ROUND(VLOOKUP($C37,'[2]2.행정구역별 급수인구'!$C$7:$AD$997,27,FALSE)*$E37,0),IF($D37="B",(ROUND(VLOOKUP($C37,'[2]2.행정구역별 급수인구'!$C$7:$AD$997,27,FALSE)-VLOOKUP($C37,'[2]2.행정구역별 급수인구'!$C$7:$AD$997,27,FALSE)*(1-$E37),0)),VLOOKUP($C37,'[2]2.행정구역별 급수인구'!$C$7:$AD$997,27,FALSE)))</f>
        <v>75</v>
      </c>
      <c r="K37" s="302">
        <f>IF($D37="A",ROUND(VLOOKUP($C37,'[2]2.행정구역별 급수인구'!$C$7:$AD$997,28,FALSE)*$E37,0),IF($D37="B",(ROUND(VLOOKUP($C37,'[2]2.행정구역별 급수인구'!$C$7:$AD$997,28,FALSE)-VLOOKUP($C37,'[2]2.행정구역별 급수인구'!$C$7:$AD$997,28,FALSE)*(1-$E37),0)),VLOOKUP($C37,'[2]2.행정구역별 급수인구'!$C$7:$AD$997,28,FALSE)))</f>
        <v>76</v>
      </c>
      <c r="L37" s="302">
        <f>VLOOKUP($F37,'[3]5.급수원단위'!$B$31:$G$35,2,FALSE)</f>
        <v>272</v>
      </c>
      <c r="M37" s="302">
        <f>VLOOKUP($F37,'[3]5.급수원단위'!$B$31:$G$35,3,FALSE)</f>
        <v>304</v>
      </c>
      <c r="N37" s="302">
        <f>VLOOKUP($F37,'[3]5.급수원단위'!$B$31:$G$35,4,FALSE)</f>
        <v>308</v>
      </c>
      <c r="O37" s="302">
        <f>VLOOKUP($F37,'[3]5.급수원단위'!$B$31:$G$35,5,FALSE)</f>
        <v>310</v>
      </c>
      <c r="P37" s="302">
        <f>VLOOKUP($F37,'[3]5.급수원단위'!$B$31:$G$35,6,FALSE)</f>
        <v>310</v>
      </c>
      <c r="Q37" s="302">
        <f>ROUND(IF(G37=0,0,VLOOKUP(C37,'2013실사용량 정리'!$D$6:$F$381,3,FALSE)),0)</f>
        <v>0</v>
      </c>
      <c r="R37" s="302">
        <f t="shared" si="8"/>
        <v>0</v>
      </c>
      <c r="S37" s="302">
        <f t="shared" si="8"/>
        <v>21</v>
      </c>
      <c r="T37" s="302">
        <f t="shared" si="8"/>
        <v>23</v>
      </c>
      <c r="U37" s="302">
        <f t="shared" si="8"/>
        <v>24</v>
      </c>
      <c r="W37" s="343" t="str">
        <f t="shared" si="7"/>
        <v/>
      </c>
    </row>
    <row r="38" spans="1:23" ht="20.100000000000001" customHeight="1">
      <c r="A38" s="340"/>
      <c r="B38" s="340"/>
      <c r="C38" s="406" t="s">
        <v>1562</v>
      </c>
      <c r="D38" s="330"/>
      <c r="E38" s="527"/>
      <c r="F38" s="527" t="s">
        <v>1317</v>
      </c>
      <c r="G38" s="302">
        <f>IF($D38="A",ROUND(VLOOKUP($C38,'[2]2.행정구역별 급수인구'!$C$7:$AD$997,17,FALSE)*$E38,0),IF($D38="B",(ROUND(VLOOKUP($C38,'[2]2.행정구역별 급수인구'!$C$7:$AD$997,17,FALSE)-VLOOKUP($C38,'[2]2.행정구역별 급수인구'!$C$7:$AD$997,17,FALSE)*(1-$E38),0)),VLOOKUP($C38,'[2]2.행정구역별 급수인구'!$C$7:$AD$997,17,FALSE)))</f>
        <v>0</v>
      </c>
      <c r="H38" s="302">
        <f>IF($D38="A",ROUND(VLOOKUP($C38,'[2]2.행정구역별 급수인구'!$C$7:$AD$997,25,FALSE)*$E38,0),IF($D38="B",(ROUND(VLOOKUP($C38,'[2]2.행정구역별 급수인구'!$C$7:$AD$997,25,FALSE)-VLOOKUP($C38,'[2]2.행정구역별 급수인구'!$C$7:$AD$997,25,FALSE)*(1-$E38),0)),VLOOKUP($C38,'[2]2.행정구역별 급수인구'!$C$7:$AD$997,25,FALSE)))</f>
        <v>0</v>
      </c>
      <c r="I38" s="302">
        <f>IF($D38="A",ROUND(VLOOKUP($C38,'[2]2.행정구역별 급수인구'!$C$7:$AD$997,26,FALSE)*$E38,0),IF($D38="B",(ROUND(VLOOKUP($C38,'[2]2.행정구역별 급수인구'!$C$7:$AD$997,26,FALSE)-VLOOKUP($C38,'[2]2.행정구역별 급수인구'!$C$7:$AD$997,26,FALSE)*(1-$E38),0)),VLOOKUP($C38,'[2]2.행정구역별 급수인구'!$C$7:$AD$997,26,FALSE)))</f>
        <v>161</v>
      </c>
      <c r="J38" s="302">
        <f>IF($D38="A",ROUND(VLOOKUP($C38,'[2]2.행정구역별 급수인구'!$C$7:$AD$997,27,FALSE)*$E38,0),IF($D38="B",(ROUND(VLOOKUP($C38,'[2]2.행정구역별 급수인구'!$C$7:$AD$997,27,FALSE)-VLOOKUP($C38,'[2]2.행정구역별 급수인구'!$C$7:$AD$997,27,FALSE)*(1-$E38),0)),VLOOKUP($C38,'[2]2.행정구역별 급수인구'!$C$7:$AD$997,27,FALSE)))</f>
        <v>175</v>
      </c>
      <c r="K38" s="302">
        <f>IF($D38="A",ROUND(VLOOKUP($C38,'[2]2.행정구역별 급수인구'!$C$7:$AD$997,28,FALSE)*$E38,0),IF($D38="B",(ROUND(VLOOKUP($C38,'[2]2.행정구역별 급수인구'!$C$7:$AD$997,28,FALSE)-VLOOKUP($C38,'[2]2.행정구역별 급수인구'!$C$7:$AD$997,28,FALSE)*(1-$E38),0)),VLOOKUP($C38,'[2]2.행정구역별 급수인구'!$C$7:$AD$997,28,FALSE)))</f>
        <v>177</v>
      </c>
      <c r="L38" s="302">
        <f>VLOOKUP($F38,'[3]5.급수원단위'!$B$31:$G$35,2,FALSE)</f>
        <v>272</v>
      </c>
      <c r="M38" s="302">
        <f>VLOOKUP($F38,'[3]5.급수원단위'!$B$31:$G$35,3,FALSE)</f>
        <v>304</v>
      </c>
      <c r="N38" s="302">
        <f>VLOOKUP($F38,'[3]5.급수원단위'!$B$31:$G$35,4,FALSE)</f>
        <v>308</v>
      </c>
      <c r="O38" s="302">
        <f>VLOOKUP($F38,'[3]5.급수원단위'!$B$31:$G$35,5,FALSE)</f>
        <v>310</v>
      </c>
      <c r="P38" s="302">
        <f>VLOOKUP($F38,'[3]5.급수원단위'!$B$31:$G$35,6,FALSE)</f>
        <v>310</v>
      </c>
      <c r="Q38" s="302">
        <f>ROUND(IF(G38=0,0,VLOOKUP(C38,'2013실사용량 정리'!$D$6:$F$381,3,FALSE)),0)</f>
        <v>0</v>
      </c>
      <c r="R38" s="302">
        <f t="shared" si="8"/>
        <v>0</v>
      </c>
      <c r="S38" s="302">
        <f t="shared" si="8"/>
        <v>50</v>
      </c>
      <c r="T38" s="302">
        <f t="shared" si="8"/>
        <v>54</v>
      </c>
      <c r="U38" s="302">
        <f t="shared" si="8"/>
        <v>55</v>
      </c>
      <c r="W38" s="343" t="str">
        <f t="shared" si="7"/>
        <v/>
      </c>
    </row>
    <row r="39" spans="1:23" ht="20.100000000000001" customHeight="1">
      <c r="A39" s="386"/>
      <c r="B39" s="386"/>
      <c r="C39" s="406" t="s">
        <v>1563</v>
      </c>
      <c r="D39" s="330"/>
      <c r="E39" s="527"/>
      <c r="F39" s="527" t="s">
        <v>1317</v>
      </c>
      <c r="G39" s="302">
        <f>IF($D39="A",ROUND(VLOOKUP($C39,'[2]2.행정구역별 급수인구'!$C$7:$AD$997,17,FALSE)*$E39,0),IF($D39="B",(ROUND(VLOOKUP($C39,'[2]2.행정구역별 급수인구'!$C$7:$AD$997,17,FALSE)-VLOOKUP($C39,'[2]2.행정구역별 급수인구'!$C$7:$AD$997,17,FALSE)*(1-$E39),0)),VLOOKUP($C39,'[2]2.행정구역별 급수인구'!$C$7:$AD$997,17,FALSE)))</f>
        <v>0</v>
      </c>
      <c r="H39" s="302">
        <f>IF($D39="A",ROUND(VLOOKUP($C39,'[2]2.행정구역별 급수인구'!$C$7:$AD$997,25,FALSE)*$E39,0),IF($D39="B",(ROUND(VLOOKUP($C39,'[2]2.행정구역별 급수인구'!$C$7:$AD$997,25,FALSE)-VLOOKUP($C39,'[2]2.행정구역별 급수인구'!$C$7:$AD$997,25,FALSE)*(1-$E39),0)),VLOOKUP($C39,'[2]2.행정구역별 급수인구'!$C$7:$AD$997,25,FALSE)))</f>
        <v>0</v>
      </c>
      <c r="I39" s="302">
        <f>IF($D39="A",ROUND(VLOOKUP($C39,'[2]2.행정구역별 급수인구'!$C$7:$AD$997,26,FALSE)*$E39,0),IF($D39="B",(ROUND(VLOOKUP($C39,'[2]2.행정구역별 급수인구'!$C$7:$AD$997,26,FALSE)-VLOOKUP($C39,'[2]2.행정구역별 급수인구'!$C$7:$AD$997,26,FALSE)*(1-$E39),0)),VLOOKUP($C39,'[2]2.행정구역별 급수인구'!$C$7:$AD$997,26,FALSE)))</f>
        <v>132</v>
      </c>
      <c r="J39" s="302">
        <f>IF($D39="A",ROUND(VLOOKUP($C39,'[2]2.행정구역별 급수인구'!$C$7:$AD$997,27,FALSE)*$E39,0),IF($D39="B",(ROUND(VLOOKUP($C39,'[2]2.행정구역별 급수인구'!$C$7:$AD$997,27,FALSE)-VLOOKUP($C39,'[2]2.행정구역별 급수인구'!$C$7:$AD$997,27,FALSE)*(1-$E39),0)),VLOOKUP($C39,'[2]2.행정구역별 급수인구'!$C$7:$AD$997,27,FALSE)))</f>
        <v>143</v>
      </c>
      <c r="K39" s="302">
        <f>IF($D39="A",ROUND(VLOOKUP($C39,'[2]2.행정구역별 급수인구'!$C$7:$AD$997,28,FALSE)*$E39,0),IF($D39="B",(ROUND(VLOOKUP($C39,'[2]2.행정구역별 급수인구'!$C$7:$AD$997,28,FALSE)-VLOOKUP($C39,'[2]2.행정구역별 급수인구'!$C$7:$AD$997,28,FALSE)*(1-$E39),0)),VLOOKUP($C39,'[2]2.행정구역별 급수인구'!$C$7:$AD$997,28,FALSE)))</f>
        <v>146</v>
      </c>
      <c r="L39" s="302">
        <f>VLOOKUP($F39,'[3]5.급수원단위'!$B$31:$G$35,2,FALSE)</f>
        <v>272</v>
      </c>
      <c r="M39" s="302">
        <f>VLOOKUP($F39,'[3]5.급수원단위'!$B$31:$G$35,3,FALSE)</f>
        <v>304</v>
      </c>
      <c r="N39" s="302">
        <f>VLOOKUP($F39,'[3]5.급수원단위'!$B$31:$G$35,4,FALSE)</f>
        <v>308</v>
      </c>
      <c r="O39" s="302">
        <f>VLOOKUP($F39,'[3]5.급수원단위'!$B$31:$G$35,5,FALSE)</f>
        <v>310</v>
      </c>
      <c r="P39" s="302">
        <f>VLOOKUP($F39,'[3]5.급수원단위'!$B$31:$G$35,6,FALSE)</f>
        <v>310</v>
      </c>
      <c r="Q39" s="302">
        <f>ROUND(IF(G39=0,0,VLOOKUP(C39,'2013실사용량 정리'!$D$6:$F$381,3,FALSE)),0)</f>
        <v>0</v>
      </c>
      <c r="R39" s="302">
        <f t="shared" si="8"/>
        <v>0</v>
      </c>
      <c r="S39" s="302">
        <f t="shared" si="8"/>
        <v>41</v>
      </c>
      <c r="T39" s="302">
        <f t="shared" si="8"/>
        <v>44</v>
      </c>
      <c r="U39" s="302">
        <f t="shared" si="8"/>
        <v>45</v>
      </c>
      <c r="W39" s="343" t="str">
        <f t="shared" si="7"/>
        <v/>
      </c>
    </row>
    <row r="40" spans="1:23" ht="20.100000000000001" customHeight="1">
      <c r="A40" s="339"/>
      <c r="B40" s="339"/>
      <c r="C40" s="406" t="s">
        <v>1564</v>
      </c>
      <c r="D40" s="330"/>
      <c r="E40" s="527"/>
      <c r="F40" s="527" t="s">
        <v>1317</v>
      </c>
      <c r="G40" s="302">
        <f>IF($D40="A",ROUND(VLOOKUP($C40,'[2]2.행정구역별 급수인구'!$C$7:$AD$997,17,FALSE)*$E40,0),IF($D40="B",(ROUND(VLOOKUP($C40,'[2]2.행정구역별 급수인구'!$C$7:$AD$997,17,FALSE)-VLOOKUP($C40,'[2]2.행정구역별 급수인구'!$C$7:$AD$997,17,FALSE)*(1-$E40),0)),VLOOKUP($C40,'[2]2.행정구역별 급수인구'!$C$7:$AD$997,17,FALSE)))</f>
        <v>0</v>
      </c>
      <c r="H40" s="302">
        <f>IF($D40="A",ROUND(VLOOKUP($C40,'[2]2.행정구역별 급수인구'!$C$7:$AD$997,25,FALSE)*$E40,0),IF($D40="B",(ROUND(VLOOKUP($C40,'[2]2.행정구역별 급수인구'!$C$7:$AD$997,25,FALSE)-VLOOKUP($C40,'[2]2.행정구역별 급수인구'!$C$7:$AD$997,25,FALSE)*(1-$E40),0)),VLOOKUP($C40,'[2]2.행정구역별 급수인구'!$C$7:$AD$997,25,FALSE)))</f>
        <v>0</v>
      </c>
      <c r="I40" s="302">
        <f>IF($D40="A",ROUND(VLOOKUP($C40,'[2]2.행정구역별 급수인구'!$C$7:$AD$997,26,FALSE)*$E40,0),IF($D40="B",(ROUND(VLOOKUP($C40,'[2]2.행정구역별 급수인구'!$C$7:$AD$997,26,FALSE)-VLOOKUP($C40,'[2]2.행정구역별 급수인구'!$C$7:$AD$997,26,FALSE)*(1-$E40),0)),VLOOKUP($C40,'[2]2.행정구역별 급수인구'!$C$7:$AD$997,26,FALSE)))</f>
        <v>91</v>
      </c>
      <c r="J40" s="302">
        <f>IF($D40="A",ROUND(VLOOKUP($C40,'[2]2.행정구역별 급수인구'!$C$7:$AD$997,27,FALSE)*$E40,0),IF($D40="B",(ROUND(VLOOKUP($C40,'[2]2.행정구역별 급수인구'!$C$7:$AD$997,27,FALSE)-VLOOKUP($C40,'[2]2.행정구역별 급수인구'!$C$7:$AD$997,27,FALSE)*(1-$E40),0)),VLOOKUP($C40,'[2]2.행정구역별 급수인구'!$C$7:$AD$997,27,FALSE)))</f>
        <v>98</v>
      </c>
      <c r="K40" s="302">
        <f>IF($D40="A",ROUND(VLOOKUP($C40,'[2]2.행정구역별 급수인구'!$C$7:$AD$997,28,FALSE)*$E40,0),IF($D40="B",(ROUND(VLOOKUP($C40,'[2]2.행정구역별 급수인구'!$C$7:$AD$997,28,FALSE)-VLOOKUP($C40,'[2]2.행정구역별 급수인구'!$C$7:$AD$997,28,FALSE)*(1-$E40),0)),VLOOKUP($C40,'[2]2.행정구역별 급수인구'!$C$7:$AD$997,28,FALSE)))</f>
        <v>100</v>
      </c>
      <c r="L40" s="302">
        <f>VLOOKUP($F40,'[3]5.급수원단위'!$B$31:$G$35,2,FALSE)</f>
        <v>272</v>
      </c>
      <c r="M40" s="302">
        <f>VLOOKUP($F40,'[3]5.급수원단위'!$B$31:$G$35,3,FALSE)</f>
        <v>304</v>
      </c>
      <c r="N40" s="302">
        <f>VLOOKUP($F40,'[3]5.급수원단위'!$B$31:$G$35,4,FALSE)</f>
        <v>308</v>
      </c>
      <c r="O40" s="302">
        <f>VLOOKUP($F40,'[3]5.급수원단위'!$B$31:$G$35,5,FALSE)</f>
        <v>310</v>
      </c>
      <c r="P40" s="302">
        <f>VLOOKUP($F40,'[3]5.급수원단위'!$B$31:$G$35,6,FALSE)</f>
        <v>310</v>
      </c>
      <c r="Q40" s="302">
        <f>ROUND(IF(G40=0,0,VLOOKUP(C40,'2013실사용량 정리'!$D$6:$F$381,3,FALSE)),0)</f>
        <v>0</v>
      </c>
      <c r="R40" s="302">
        <f t="shared" si="8"/>
        <v>0</v>
      </c>
      <c r="S40" s="302">
        <f t="shared" si="8"/>
        <v>28</v>
      </c>
      <c r="T40" s="302">
        <f t="shared" si="8"/>
        <v>30</v>
      </c>
      <c r="U40" s="302">
        <f t="shared" si="8"/>
        <v>31</v>
      </c>
      <c r="W40" s="343" t="str">
        <f t="shared" si="7"/>
        <v/>
      </c>
    </row>
    <row r="41" spans="1:23" ht="20.100000000000001" customHeight="1">
      <c r="A41" s="340"/>
      <c r="B41" s="340"/>
      <c r="C41" s="406" t="s">
        <v>1565</v>
      </c>
      <c r="D41" s="330"/>
      <c r="E41" s="527"/>
      <c r="F41" s="527" t="s">
        <v>1317</v>
      </c>
      <c r="G41" s="302">
        <f>IF($D41="A",ROUND(VLOOKUP($C41,'[2]2.행정구역별 급수인구'!$C$7:$AD$997,17,FALSE)*$E41,0),IF($D41="B",(ROUND(VLOOKUP($C41,'[2]2.행정구역별 급수인구'!$C$7:$AD$997,17,FALSE)-VLOOKUP($C41,'[2]2.행정구역별 급수인구'!$C$7:$AD$997,17,FALSE)*(1-$E41),0)),VLOOKUP($C41,'[2]2.행정구역별 급수인구'!$C$7:$AD$997,17,FALSE)))</f>
        <v>0</v>
      </c>
      <c r="H41" s="302">
        <f>IF($D41="A",ROUND(VLOOKUP($C41,'[2]2.행정구역별 급수인구'!$C$7:$AD$997,25,FALSE)*$E41,0),IF($D41="B",(ROUND(VLOOKUP($C41,'[2]2.행정구역별 급수인구'!$C$7:$AD$997,25,FALSE)-VLOOKUP($C41,'[2]2.행정구역별 급수인구'!$C$7:$AD$997,25,FALSE)*(1-$E41),0)),VLOOKUP($C41,'[2]2.행정구역별 급수인구'!$C$7:$AD$997,25,FALSE)))</f>
        <v>0</v>
      </c>
      <c r="I41" s="302">
        <f>IF($D41="A",ROUND(VLOOKUP($C41,'[2]2.행정구역별 급수인구'!$C$7:$AD$997,26,FALSE)*$E41,0),IF($D41="B",(ROUND(VLOOKUP($C41,'[2]2.행정구역별 급수인구'!$C$7:$AD$997,26,FALSE)-VLOOKUP($C41,'[2]2.행정구역별 급수인구'!$C$7:$AD$997,26,FALSE)*(1-$E41),0)),VLOOKUP($C41,'[2]2.행정구역별 급수인구'!$C$7:$AD$997,26,FALSE)))</f>
        <v>79</v>
      </c>
      <c r="J41" s="302">
        <f>IF($D41="A",ROUND(VLOOKUP($C41,'[2]2.행정구역별 급수인구'!$C$7:$AD$997,27,FALSE)*$E41,0),IF($D41="B",(ROUND(VLOOKUP($C41,'[2]2.행정구역별 급수인구'!$C$7:$AD$997,27,FALSE)-VLOOKUP($C41,'[2]2.행정구역별 급수인구'!$C$7:$AD$997,27,FALSE)*(1-$E41),0)),VLOOKUP($C41,'[2]2.행정구역별 급수인구'!$C$7:$AD$997,27,FALSE)))</f>
        <v>86</v>
      </c>
      <c r="K41" s="302">
        <f>IF($D41="A",ROUND(VLOOKUP($C41,'[2]2.행정구역별 급수인구'!$C$7:$AD$997,28,FALSE)*$E41,0),IF($D41="B",(ROUND(VLOOKUP($C41,'[2]2.행정구역별 급수인구'!$C$7:$AD$997,28,FALSE)-VLOOKUP($C41,'[2]2.행정구역별 급수인구'!$C$7:$AD$997,28,FALSE)*(1-$E41),0)),VLOOKUP($C41,'[2]2.행정구역별 급수인구'!$C$7:$AD$997,28,FALSE)))</f>
        <v>87</v>
      </c>
      <c r="L41" s="302">
        <f>VLOOKUP($F41,'[3]5.급수원단위'!$B$31:$G$35,2,FALSE)</f>
        <v>272</v>
      </c>
      <c r="M41" s="302">
        <f>VLOOKUP($F41,'[3]5.급수원단위'!$B$31:$G$35,3,FALSE)</f>
        <v>304</v>
      </c>
      <c r="N41" s="302">
        <f>VLOOKUP($F41,'[3]5.급수원단위'!$B$31:$G$35,4,FALSE)</f>
        <v>308</v>
      </c>
      <c r="O41" s="302">
        <f>VLOOKUP($F41,'[3]5.급수원단위'!$B$31:$G$35,5,FALSE)</f>
        <v>310</v>
      </c>
      <c r="P41" s="302">
        <f>VLOOKUP($F41,'[3]5.급수원단위'!$B$31:$G$35,6,FALSE)</f>
        <v>310</v>
      </c>
      <c r="Q41" s="302">
        <f>ROUND(IF(G41=0,0,VLOOKUP(C41,'2013실사용량 정리'!$D$6:$F$381,3,FALSE)),0)</f>
        <v>0</v>
      </c>
      <c r="R41" s="302">
        <f t="shared" si="8"/>
        <v>0</v>
      </c>
      <c r="S41" s="302">
        <f t="shared" si="8"/>
        <v>24</v>
      </c>
      <c r="T41" s="302">
        <f t="shared" si="8"/>
        <v>27</v>
      </c>
      <c r="U41" s="302">
        <f t="shared" si="8"/>
        <v>27</v>
      </c>
      <c r="W41" s="343" t="str">
        <f t="shared" si="7"/>
        <v/>
      </c>
    </row>
    <row r="42" spans="1:23" ht="20.100000000000001" customHeight="1">
      <c r="A42" s="340"/>
      <c r="B42" s="340"/>
      <c r="C42" s="406" t="s">
        <v>1566</v>
      </c>
      <c r="D42" s="330"/>
      <c r="E42" s="527"/>
      <c r="F42" s="527" t="s">
        <v>1317</v>
      </c>
      <c r="G42" s="302">
        <f>IF($D42="A",ROUND(VLOOKUP($C42,'[2]2.행정구역별 급수인구'!$C$7:$AD$997,17,FALSE)*$E42,0),IF($D42="B",(ROUND(VLOOKUP($C42,'[2]2.행정구역별 급수인구'!$C$7:$AD$997,17,FALSE)-VLOOKUP($C42,'[2]2.행정구역별 급수인구'!$C$7:$AD$997,17,FALSE)*(1-$E42),0)),VLOOKUP($C42,'[2]2.행정구역별 급수인구'!$C$7:$AD$997,17,FALSE)))</f>
        <v>0</v>
      </c>
      <c r="H42" s="302">
        <f>IF($D42="A",ROUND(VLOOKUP($C42,'[2]2.행정구역별 급수인구'!$C$7:$AD$997,25,FALSE)*$E42,0),IF($D42="B",(ROUND(VLOOKUP($C42,'[2]2.행정구역별 급수인구'!$C$7:$AD$997,25,FALSE)-VLOOKUP($C42,'[2]2.행정구역별 급수인구'!$C$7:$AD$997,25,FALSE)*(1-$E42),0)),VLOOKUP($C42,'[2]2.행정구역별 급수인구'!$C$7:$AD$997,25,FALSE)))</f>
        <v>0</v>
      </c>
      <c r="I42" s="302">
        <f>IF($D42="A",ROUND(VLOOKUP($C42,'[2]2.행정구역별 급수인구'!$C$7:$AD$997,26,FALSE)*$E42,0),IF($D42="B",(ROUND(VLOOKUP($C42,'[2]2.행정구역별 급수인구'!$C$7:$AD$997,26,FALSE)-VLOOKUP($C42,'[2]2.행정구역별 급수인구'!$C$7:$AD$997,26,FALSE)*(1-$E42),0)),VLOOKUP($C42,'[2]2.행정구역별 급수인구'!$C$7:$AD$997,26,FALSE)))</f>
        <v>129</v>
      </c>
      <c r="J42" s="302">
        <f>IF($D42="A",ROUND(VLOOKUP($C42,'[2]2.행정구역별 급수인구'!$C$7:$AD$997,27,FALSE)*$E42,0),IF($D42="B",(ROUND(VLOOKUP($C42,'[2]2.행정구역별 급수인구'!$C$7:$AD$997,27,FALSE)-VLOOKUP($C42,'[2]2.행정구역별 급수인구'!$C$7:$AD$997,27,FALSE)*(1-$E42),0)),VLOOKUP($C42,'[2]2.행정구역별 급수인구'!$C$7:$AD$997,27,FALSE)))</f>
        <v>142</v>
      </c>
      <c r="K42" s="302">
        <f>IF($D42="A",ROUND(VLOOKUP($C42,'[2]2.행정구역별 급수인구'!$C$7:$AD$997,28,FALSE)*$E42,0),IF($D42="B",(ROUND(VLOOKUP($C42,'[2]2.행정구역별 급수인구'!$C$7:$AD$997,28,FALSE)-VLOOKUP($C42,'[2]2.행정구역별 급수인구'!$C$7:$AD$997,28,FALSE)*(1-$E42),0)),VLOOKUP($C42,'[2]2.행정구역별 급수인구'!$C$7:$AD$997,28,FALSE)))</f>
        <v>144</v>
      </c>
      <c r="L42" s="302">
        <f>VLOOKUP($F42,'[3]5.급수원단위'!$B$31:$G$35,2,FALSE)</f>
        <v>272</v>
      </c>
      <c r="M42" s="302">
        <f>VLOOKUP($F42,'[3]5.급수원단위'!$B$31:$G$35,3,FALSE)</f>
        <v>304</v>
      </c>
      <c r="N42" s="302">
        <f>VLOOKUP($F42,'[3]5.급수원단위'!$B$31:$G$35,4,FALSE)</f>
        <v>308</v>
      </c>
      <c r="O42" s="302">
        <f>VLOOKUP($F42,'[3]5.급수원단위'!$B$31:$G$35,5,FALSE)</f>
        <v>310</v>
      </c>
      <c r="P42" s="302">
        <f>VLOOKUP($F42,'[3]5.급수원단위'!$B$31:$G$35,6,FALSE)</f>
        <v>310</v>
      </c>
      <c r="Q42" s="302">
        <f>ROUND(IF(G42=0,0,VLOOKUP(C42,'2013실사용량 정리'!$D$6:$F$381,3,FALSE)),0)</f>
        <v>0</v>
      </c>
      <c r="R42" s="302">
        <f t="shared" si="8"/>
        <v>0</v>
      </c>
      <c r="S42" s="302">
        <f t="shared" si="8"/>
        <v>40</v>
      </c>
      <c r="T42" s="302">
        <f t="shared" si="8"/>
        <v>44</v>
      </c>
      <c r="U42" s="302">
        <f t="shared" si="8"/>
        <v>45</v>
      </c>
      <c r="W42" s="343" t="str">
        <f t="shared" si="7"/>
        <v/>
      </c>
    </row>
    <row r="43" spans="1:23" ht="20.100000000000001" customHeight="1">
      <c r="A43" s="340"/>
      <c r="B43" s="340"/>
      <c r="C43" s="406" t="s">
        <v>1567</v>
      </c>
      <c r="D43" s="330"/>
      <c r="E43" s="527"/>
      <c r="F43" s="527" t="s">
        <v>1317</v>
      </c>
      <c r="G43" s="302">
        <f>IF($D43="A",ROUND(VLOOKUP($C43,'[2]2.행정구역별 급수인구'!$C$7:$AD$997,17,FALSE)*$E43,0),IF($D43="B",(ROUND(VLOOKUP($C43,'[2]2.행정구역별 급수인구'!$C$7:$AD$997,17,FALSE)-VLOOKUP($C43,'[2]2.행정구역별 급수인구'!$C$7:$AD$997,17,FALSE)*(1-$E43),0)),VLOOKUP($C43,'[2]2.행정구역별 급수인구'!$C$7:$AD$997,17,FALSE)))</f>
        <v>99</v>
      </c>
      <c r="H43" s="302">
        <f>IF($D43="A",ROUND(VLOOKUP($C43,'[2]2.행정구역별 급수인구'!$C$7:$AD$997,25,FALSE)*$E43,0),IF($D43="B",(ROUND(VLOOKUP($C43,'[2]2.행정구역별 급수인구'!$C$7:$AD$997,25,FALSE)-VLOOKUP($C43,'[2]2.행정구역별 급수인구'!$C$7:$AD$997,25,FALSE)*(1-$E43),0)),VLOOKUP($C43,'[2]2.행정구역별 급수인구'!$C$7:$AD$997,25,FALSE)))</f>
        <v>105</v>
      </c>
      <c r="I43" s="302">
        <f>IF($D43="A",ROUND(VLOOKUP($C43,'[2]2.행정구역별 급수인구'!$C$7:$AD$997,26,FALSE)*$E43,0),IF($D43="B",(ROUND(VLOOKUP($C43,'[2]2.행정구역별 급수인구'!$C$7:$AD$997,26,FALSE)-VLOOKUP($C43,'[2]2.행정구역별 급수인구'!$C$7:$AD$997,26,FALSE)*(1-$E43),0)),VLOOKUP($C43,'[2]2.행정구역별 급수인구'!$C$7:$AD$997,26,FALSE)))</f>
        <v>109</v>
      </c>
      <c r="J43" s="302">
        <f>IF($D43="A",ROUND(VLOOKUP($C43,'[2]2.행정구역별 급수인구'!$C$7:$AD$997,27,FALSE)*$E43,0),IF($D43="B",(ROUND(VLOOKUP($C43,'[2]2.행정구역별 급수인구'!$C$7:$AD$997,27,FALSE)-VLOOKUP($C43,'[2]2.행정구역별 급수인구'!$C$7:$AD$997,27,FALSE)*(1-$E43),0)),VLOOKUP($C43,'[2]2.행정구역별 급수인구'!$C$7:$AD$997,27,FALSE)))</f>
        <v>118</v>
      </c>
      <c r="K43" s="302">
        <f>IF($D43="A",ROUND(VLOOKUP($C43,'[2]2.행정구역별 급수인구'!$C$7:$AD$997,28,FALSE)*$E43,0),IF($D43="B",(ROUND(VLOOKUP($C43,'[2]2.행정구역별 급수인구'!$C$7:$AD$997,28,FALSE)-VLOOKUP($C43,'[2]2.행정구역별 급수인구'!$C$7:$AD$997,28,FALSE)*(1-$E43),0)),VLOOKUP($C43,'[2]2.행정구역별 급수인구'!$C$7:$AD$997,28,FALSE)))</f>
        <v>121</v>
      </c>
      <c r="L43" s="302">
        <f>VLOOKUP($F43,'[3]5.급수원단위'!$B$31:$G$35,2,FALSE)</f>
        <v>272</v>
      </c>
      <c r="M43" s="302">
        <f>VLOOKUP($F43,'[3]5.급수원단위'!$B$31:$G$35,3,FALSE)</f>
        <v>304</v>
      </c>
      <c r="N43" s="302">
        <f>VLOOKUP($F43,'[3]5.급수원단위'!$B$31:$G$35,4,FALSE)</f>
        <v>308</v>
      </c>
      <c r="O43" s="302">
        <f>VLOOKUP($F43,'[3]5.급수원단위'!$B$31:$G$35,5,FALSE)</f>
        <v>310</v>
      </c>
      <c r="P43" s="302">
        <f>VLOOKUP($F43,'[3]5.급수원단위'!$B$31:$G$35,6,FALSE)</f>
        <v>310</v>
      </c>
      <c r="Q43" s="302">
        <f>ROUND(IF(G43=0,0,VLOOKUP(C43,'2013실사용량 정리'!$D$6:$F$381,3,FALSE)),0)</f>
        <v>80</v>
      </c>
      <c r="R43" s="302">
        <f t="shared" si="8"/>
        <v>32</v>
      </c>
      <c r="S43" s="302">
        <f t="shared" si="8"/>
        <v>34</v>
      </c>
      <c r="T43" s="302">
        <f t="shared" si="8"/>
        <v>37</v>
      </c>
      <c r="U43" s="302">
        <f t="shared" si="8"/>
        <v>38</v>
      </c>
      <c r="W43" s="343">
        <f t="shared" si="7"/>
        <v>0.47499999999999998</v>
      </c>
    </row>
    <row r="44" spans="1:23" ht="20.100000000000001" customHeight="1">
      <c r="A44" s="340"/>
      <c r="B44" s="340"/>
      <c r="C44" s="406" t="s">
        <v>1568</v>
      </c>
      <c r="D44" s="330"/>
      <c r="E44" s="527"/>
      <c r="F44" s="527" t="s">
        <v>1317</v>
      </c>
      <c r="G44" s="302">
        <f>IF($D44="A",ROUND(VLOOKUP($C44,'[2]2.행정구역별 급수인구'!$C$7:$AD$997,17,FALSE)*$E44,0),IF($D44="B",(ROUND(VLOOKUP($C44,'[2]2.행정구역별 급수인구'!$C$7:$AD$997,17,FALSE)-VLOOKUP($C44,'[2]2.행정구역별 급수인구'!$C$7:$AD$997,17,FALSE)*(1-$E44),0)),VLOOKUP($C44,'[2]2.행정구역별 급수인구'!$C$7:$AD$997,17,FALSE)))</f>
        <v>51</v>
      </c>
      <c r="H44" s="302">
        <f>IF($D44="A",ROUND(VLOOKUP($C44,'[2]2.행정구역별 급수인구'!$C$7:$AD$997,25,FALSE)*$E44,0),IF($D44="B",(ROUND(VLOOKUP($C44,'[2]2.행정구역별 급수인구'!$C$7:$AD$997,25,FALSE)-VLOOKUP($C44,'[2]2.행정구역별 급수인구'!$C$7:$AD$997,25,FALSE)*(1-$E44),0)),VLOOKUP($C44,'[2]2.행정구역별 급수인구'!$C$7:$AD$997,25,FALSE)))</f>
        <v>54</v>
      </c>
      <c r="I44" s="302">
        <f>IF($D44="A",ROUND(VLOOKUP($C44,'[2]2.행정구역별 급수인구'!$C$7:$AD$997,26,FALSE)*$E44,0),IF($D44="B",(ROUND(VLOOKUP($C44,'[2]2.행정구역별 급수인구'!$C$7:$AD$997,26,FALSE)-VLOOKUP($C44,'[2]2.행정구역별 급수인구'!$C$7:$AD$997,26,FALSE)*(1-$E44),0)),VLOOKUP($C44,'[2]2.행정구역별 급수인구'!$C$7:$AD$997,26,FALSE)))</f>
        <v>56</v>
      </c>
      <c r="J44" s="302">
        <f>IF($D44="A",ROUND(VLOOKUP($C44,'[2]2.행정구역별 급수인구'!$C$7:$AD$997,27,FALSE)*$E44,0),IF($D44="B",(ROUND(VLOOKUP($C44,'[2]2.행정구역별 급수인구'!$C$7:$AD$997,27,FALSE)-VLOOKUP($C44,'[2]2.행정구역별 급수인구'!$C$7:$AD$997,27,FALSE)*(1-$E44),0)),VLOOKUP($C44,'[2]2.행정구역별 급수인구'!$C$7:$AD$997,27,FALSE)))</f>
        <v>61</v>
      </c>
      <c r="K44" s="302">
        <f>IF($D44="A",ROUND(VLOOKUP($C44,'[2]2.행정구역별 급수인구'!$C$7:$AD$997,28,FALSE)*$E44,0),IF($D44="B",(ROUND(VLOOKUP($C44,'[2]2.행정구역별 급수인구'!$C$7:$AD$997,28,FALSE)-VLOOKUP($C44,'[2]2.행정구역별 급수인구'!$C$7:$AD$997,28,FALSE)*(1-$E44),0)),VLOOKUP($C44,'[2]2.행정구역별 급수인구'!$C$7:$AD$997,28,FALSE)))</f>
        <v>62</v>
      </c>
      <c r="L44" s="302">
        <f>VLOOKUP($F44,'[3]5.급수원단위'!$B$31:$G$35,2,FALSE)</f>
        <v>272</v>
      </c>
      <c r="M44" s="302">
        <f>VLOOKUP($F44,'[3]5.급수원단위'!$B$31:$G$35,3,FALSE)</f>
        <v>304</v>
      </c>
      <c r="N44" s="302">
        <f>VLOOKUP($F44,'[3]5.급수원단위'!$B$31:$G$35,4,FALSE)</f>
        <v>308</v>
      </c>
      <c r="O44" s="302">
        <f>VLOOKUP($F44,'[3]5.급수원단위'!$B$31:$G$35,5,FALSE)</f>
        <v>310</v>
      </c>
      <c r="P44" s="302">
        <f>VLOOKUP($F44,'[3]5.급수원단위'!$B$31:$G$35,6,FALSE)</f>
        <v>310</v>
      </c>
      <c r="Q44" s="302">
        <f>ROUND(IF(G44=0,0,VLOOKUP(C44,'2013실사용량 정리'!$D$6:$F$381,3,FALSE)),0)</f>
        <v>41</v>
      </c>
      <c r="R44" s="302">
        <f t="shared" si="8"/>
        <v>16</v>
      </c>
      <c r="S44" s="302">
        <f t="shared" si="8"/>
        <v>17</v>
      </c>
      <c r="T44" s="302">
        <f t="shared" si="8"/>
        <v>19</v>
      </c>
      <c r="U44" s="302">
        <f t="shared" si="8"/>
        <v>19</v>
      </c>
      <c r="W44" s="343">
        <f t="shared" si="7"/>
        <v>0.46341463414634149</v>
      </c>
    </row>
    <row r="45" spans="1:23" ht="20.100000000000001" customHeight="1">
      <c r="A45" s="340"/>
      <c r="B45" s="340"/>
      <c r="C45" s="406" t="s">
        <v>1569</v>
      </c>
      <c r="D45" s="330"/>
      <c r="E45" s="527"/>
      <c r="F45" s="527" t="s">
        <v>1317</v>
      </c>
      <c r="G45" s="302">
        <f>IF($D45="A",ROUND(VLOOKUP($C45,'[2]2.행정구역별 급수인구'!$C$7:$AD$997,17,FALSE)*$E45,0),IF($D45="B",(ROUND(VLOOKUP($C45,'[2]2.행정구역별 급수인구'!$C$7:$AD$997,17,FALSE)-VLOOKUP($C45,'[2]2.행정구역별 급수인구'!$C$7:$AD$997,17,FALSE)*(1-$E45),0)),VLOOKUP($C45,'[2]2.행정구역별 급수인구'!$C$7:$AD$997,17,FALSE)))</f>
        <v>111</v>
      </c>
      <c r="H45" s="302">
        <f>IF($D45="A",ROUND(VLOOKUP($C45,'[2]2.행정구역별 급수인구'!$C$7:$AD$997,25,FALSE)*$E45,0),IF($D45="B",(ROUND(VLOOKUP($C45,'[2]2.행정구역별 급수인구'!$C$7:$AD$997,25,FALSE)-VLOOKUP($C45,'[2]2.행정구역별 급수인구'!$C$7:$AD$997,25,FALSE)*(1-$E45),0)),VLOOKUP($C45,'[2]2.행정구역별 급수인구'!$C$7:$AD$997,25,FALSE)))</f>
        <v>117</v>
      </c>
      <c r="I45" s="302">
        <f>IF($D45="A",ROUND(VLOOKUP($C45,'[2]2.행정구역별 급수인구'!$C$7:$AD$997,26,FALSE)*$E45,0),IF($D45="B",(ROUND(VLOOKUP($C45,'[2]2.행정구역별 급수인구'!$C$7:$AD$997,26,FALSE)-VLOOKUP($C45,'[2]2.행정구역별 급수인구'!$C$7:$AD$997,26,FALSE)*(1-$E45),0)),VLOOKUP($C45,'[2]2.행정구역별 급수인구'!$C$7:$AD$997,26,FALSE)))</f>
        <v>123</v>
      </c>
      <c r="J45" s="302">
        <f>IF($D45="A",ROUND(VLOOKUP($C45,'[2]2.행정구역별 급수인구'!$C$7:$AD$997,27,FALSE)*$E45,0),IF($D45="B",(ROUND(VLOOKUP($C45,'[2]2.행정구역별 급수인구'!$C$7:$AD$997,27,FALSE)-VLOOKUP($C45,'[2]2.행정구역별 급수인구'!$C$7:$AD$997,27,FALSE)*(1-$E45),0)),VLOOKUP($C45,'[2]2.행정구역별 급수인구'!$C$7:$AD$997,27,FALSE)))</f>
        <v>133</v>
      </c>
      <c r="K45" s="302">
        <f>IF($D45="A",ROUND(VLOOKUP($C45,'[2]2.행정구역별 급수인구'!$C$7:$AD$997,28,FALSE)*$E45,0),IF($D45="B",(ROUND(VLOOKUP($C45,'[2]2.행정구역별 급수인구'!$C$7:$AD$997,28,FALSE)-VLOOKUP($C45,'[2]2.행정구역별 급수인구'!$C$7:$AD$997,28,FALSE)*(1-$E45),0)),VLOOKUP($C45,'[2]2.행정구역별 급수인구'!$C$7:$AD$997,28,FALSE)))</f>
        <v>136</v>
      </c>
      <c r="L45" s="302">
        <f>VLOOKUP($F45,'[3]5.급수원단위'!$B$31:$G$35,2,FALSE)</f>
        <v>272</v>
      </c>
      <c r="M45" s="302">
        <f>VLOOKUP($F45,'[3]5.급수원단위'!$B$31:$G$35,3,FALSE)</f>
        <v>304</v>
      </c>
      <c r="N45" s="302">
        <f>VLOOKUP($F45,'[3]5.급수원단위'!$B$31:$G$35,4,FALSE)</f>
        <v>308</v>
      </c>
      <c r="O45" s="302">
        <f>VLOOKUP($F45,'[3]5.급수원단위'!$B$31:$G$35,5,FALSE)</f>
        <v>310</v>
      </c>
      <c r="P45" s="302">
        <f>VLOOKUP($F45,'[3]5.급수원단위'!$B$31:$G$35,6,FALSE)</f>
        <v>310</v>
      </c>
      <c r="Q45" s="302">
        <f>ROUND(IF(G45=0,0,VLOOKUP(C45,'2013실사용량 정리'!$D$6:$F$381,3,FALSE)),0)</f>
        <v>75</v>
      </c>
      <c r="R45" s="302">
        <f t="shared" si="8"/>
        <v>36</v>
      </c>
      <c r="S45" s="302">
        <f t="shared" si="8"/>
        <v>38</v>
      </c>
      <c r="T45" s="302">
        <f t="shared" si="8"/>
        <v>41</v>
      </c>
      <c r="U45" s="302">
        <f t="shared" si="8"/>
        <v>42</v>
      </c>
      <c r="W45" s="343">
        <f t="shared" si="7"/>
        <v>0.56000000000000005</v>
      </c>
    </row>
    <row r="46" spans="1:23" ht="20.100000000000001" customHeight="1">
      <c r="A46" s="340"/>
      <c r="B46" s="340"/>
      <c r="C46" s="406" t="s">
        <v>1570</v>
      </c>
      <c r="D46" s="330"/>
      <c r="E46" s="527"/>
      <c r="F46" s="527" t="s">
        <v>1317</v>
      </c>
      <c r="G46" s="302">
        <f>IF($D46="A",ROUND(VLOOKUP($C46,'[2]2.행정구역별 급수인구'!$C$7:$AD$997,17,FALSE)*$E46,0),IF($D46="B",(ROUND(VLOOKUP($C46,'[2]2.행정구역별 급수인구'!$C$7:$AD$997,17,FALSE)-VLOOKUP($C46,'[2]2.행정구역별 급수인구'!$C$7:$AD$997,17,FALSE)*(1-$E46),0)),VLOOKUP($C46,'[2]2.행정구역별 급수인구'!$C$7:$AD$997,17,FALSE)))</f>
        <v>0</v>
      </c>
      <c r="H46" s="302">
        <f>IF($D46="A",ROUND(VLOOKUP($C46,'[2]2.행정구역별 급수인구'!$C$7:$AD$997,25,FALSE)*$E46,0),IF($D46="B",(ROUND(VLOOKUP($C46,'[2]2.행정구역별 급수인구'!$C$7:$AD$997,25,FALSE)-VLOOKUP($C46,'[2]2.행정구역별 급수인구'!$C$7:$AD$997,25,FALSE)*(1-$E46),0)),VLOOKUP($C46,'[2]2.행정구역별 급수인구'!$C$7:$AD$997,25,FALSE)))</f>
        <v>119</v>
      </c>
      <c r="I46" s="302">
        <f>IF($D46="A",ROUND(VLOOKUP($C46,'[2]2.행정구역별 급수인구'!$C$7:$AD$997,26,FALSE)*$E46,0),IF($D46="B",(ROUND(VLOOKUP($C46,'[2]2.행정구역별 급수인구'!$C$7:$AD$997,26,FALSE)-VLOOKUP($C46,'[2]2.행정구역별 급수인구'!$C$7:$AD$997,26,FALSE)*(1-$E46),0)),VLOOKUP($C46,'[2]2.행정구역별 급수인구'!$C$7:$AD$997,26,FALSE)))</f>
        <v>125</v>
      </c>
      <c r="J46" s="302">
        <f>IF($D46="A",ROUND(VLOOKUP($C46,'[2]2.행정구역별 급수인구'!$C$7:$AD$997,27,FALSE)*$E46,0),IF($D46="B",(ROUND(VLOOKUP($C46,'[2]2.행정구역별 급수인구'!$C$7:$AD$997,27,FALSE)-VLOOKUP($C46,'[2]2.행정구역별 급수인구'!$C$7:$AD$997,27,FALSE)*(1-$E46),0)),VLOOKUP($C46,'[2]2.행정구역별 급수인구'!$C$7:$AD$997,27,FALSE)))</f>
        <v>135</v>
      </c>
      <c r="K46" s="302">
        <f>IF($D46="A",ROUND(VLOOKUP($C46,'[2]2.행정구역별 급수인구'!$C$7:$AD$997,28,FALSE)*$E46,0),IF($D46="B",(ROUND(VLOOKUP($C46,'[2]2.행정구역별 급수인구'!$C$7:$AD$997,28,FALSE)-VLOOKUP($C46,'[2]2.행정구역별 급수인구'!$C$7:$AD$997,28,FALSE)*(1-$E46),0)),VLOOKUP($C46,'[2]2.행정구역별 급수인구'!$C$7:$AD$997,28,FALSE)))</f>
        <v>138</v>
      </c>
      <c r="L46" s="302">
        <f>VLOOKUP($F46,'[3]5.급수원단위'!$B$31:$G$35,2,FALSE)</f>
        <v>272</v>
      </c>
      <c r="M46" s="302">
        <f>VLOOKUP($F46,'[3]5.급수원단위'!$B$31:$G$35,3,FALSE)</f>
        <v>304</v>
      </c>
      <c r="N46" s="302">
        <f>VLOOKUP($F46,'[3]5.급수원단위'!$B$31:$G$35,4,FALSE)</f>
        <v>308</v>
      </c>
      <c r="O46" s="302">
        <f>VLOOKUP($F46,'[3]5.급수원단위'!$B$31:$G$35,5,FALSE)</f>
        <v>310</v>
      </c>
      <c r="P46" s="302">
        <f>VLOOKUP($F46,'[3]5.급수원단위'!$B$31:$G$35,6,FALSE)</f>
        <v>310</v>
      </c>
      <c r="Q46" s="302">
        <f>ROUND(IF(G46=0,0,VLOOKUP(C46,'2013실사용량 정리'!$D$6:$F$381,3,FALSE)),0)</f>
        <v>0</v>
      </c>
      <c r="R46" s="302">
        <f t="shared" si="8"/>
        <v>36</v>
      </c>
      <c r="S46" s="302">
        <f t="shared" si="8"/>
        <v>39</v>
      </c>
      <c r="T46" s="302">
        <f t="shared" si="8"/>
        <v>42</v>
      </c>
      <c r="U46" s="302">
        <f t="shared" si="8"/>
        <v>43</v>
      </c>
      <c r="W46" s="343" t="str">
        <f t="shared" si="7"/>
        <v/>
      </c>
    </row>
    <row r="47" spans="1:23" ht="20.100000000000001" customHeight="1">
      <c r="A47" s="340"/>
      <c r="B47" s="386"/>
      <c r="C47" s="406" t="s">
        <v>1571</v>
      </c>
      <c r="D47" s="330"/>
      <c r="E47" s="527"/>
      <c r="F47" s="527" t="s">
        <v>1317</v>
      </c>
      <c r="G47" s="302">
        <f>IF($D47="A",ROUND(VLOOKUP($C47,'[2]2.행정구역별 급수인구'!$C$7:$AD$997,17,FALSE)*$E47,0),IF($D47="B",(ROUND(VLOOKUP($C47,'[2]2.행정구역별 급수인구'!$C$7:$AD$997,17,FALSE)-VLOOKUP($C47,'[2]2.행정구역별 급수인구'!$C$7:$AD$997,17,FALSE)*(1-$E47),0)),VLOOKUP($C47,'[2]2.행정구역별 급수인구'!$C$7:$AD$997,17,FALSE)))</f>
        <v>0</v>
      </c>
      <c r="H47" s="302">
        <f>IF($D47="A",ROUND(VLOOKUP($C47,'[2]2.행정구역별 급수인구'!$C$7:$AD$997,25,FALSE)*$E47,0),IF($D47="B",(ROUND(VLOOKUP($C47,'[2]2.행정구역별 급수인구'!$C$7:$AD$997,25,FALSE)-VLOOKUP($C47,'[2]2.행정구역별 급수인구'!$C$7:$AD$997,25,FALSE)*(1-$E47),0)),VLOOKUP($C47,'[2]2.행정구역별 급수인구'!$C$7:$AD$997,25,FALSE)))</f>
        <v>164</v>
      </c>
      <c r="I47" s="302">
        <f>IF($D47="A",ROUND(VLOOKUP($C47,'[2]2.행정구역별 급수인구'!$C$7:$AD$997,26,FALSE)*$E47,0),IF($D47="B",(ROUND(VLOOKUP($C47,'[2]2.행정구역별 급수인구'!$C$7:$AD$997,26,FALSE)-VLOOKUP($C47,'[2]2.행정구역별 급수인구'!$C$7:$AD$997,26,FALSE)*(1-$E47),0)),VLOOKUP($C47,'[2]2.행정구역별 급수인구'!$C$7:$AD$997,26,FALSE)))</f>
        <v>172</v>
      </c>
      <c r="J47" s="302">
        <f>IF($D47="A",ROUND(VLOOKUP($C47,'[2]2.행정구역별 급수인구'!$C$7:$AD$997,27,FALSE)*$E47,0),IF($D47="B",(ROUND(VLOOKUP($C47,'[2]2.행정구역별 급수인구'!$C$7:$AD$997,27,FALSE)-VLOOKUP($C47,'[2]2.행정구역별 급수인구'!$C$7:$AD$997,27,FALSE)*(1-$E47),0)),VLOOKUP($C47,'[2]2.행정구역별 급수인구'!$C$7:$AD$997,27,FALSE)))</f>
        <v>187</v>
      </c>
      <c r="K47" s="302">
        <f>IF($D47="A",ROUND(VLOOKUP($C47,'[2]2.행정구역별 급수인구'!$C$7:$AD$997,28,FALSE)*$E47,0),IF($D47="B",(ROUND(VLOOKUP($C47,'[2]2.행정구역별 급수인구'!$C$7:$AD$997,28,FALSE)-VLOOKUP($C47,'[2]2.행정구역별 급수인구'!$C$7:$AD$997,28,FALSE)*(1-$E47),0)),VLOOKUP($C47,'[2]2.행정구역별 급수인구'!$C$7:$AD$997,28,FALSE)))</f>
        <v>190</v>
      </c>
      <c r="L47" s="302">
        <f>VLOOKUP($F47,'[3]5.급수원단위'!$B$31:$G$35,2,FALSE)</f>
        <v>272</v>
      </c>
      <c r="M47" s="302">
        <f>VLOOKUP($F47,'[3]5.급수원단위'!$B$31:$G$35,3,FALSE)</f>
        <v>304</v>
      </c>
      <c r="N47" s="302">
        <f>VLOOKUP($F47,'[3]5.급수원단위'!$B$31:$G$35,4,FALSE)</f>
        <v>308</v>
      </c>
      <c r="O47" s="302">
        <f>VLOOKUP($F47,'[3]5.급수원단위'!$B$31:$G$35,5,FALSE)</f>
        <v>310</v>
      </c>
      <c r="P47" s="302">
        <f>VLOOKUP($F47,'[3]5.급수원단위'!$B$31:$G$35,6,FALSE)</f>
        <v>310</v>
      </c>
      <c r="Q47" s="302">
        <f>ROUND(IF(G47=0,0,VLOOKUP(C47,'2013실사용량 정리'!$D$6:$F$381,3,FALSE)),0)</f>
        <v>0</v>
      </c>
      <c r="R47" s="302">
        <f t="shared" si="8"/>
        <v>50</v>
      </c>
      <c r="S47" s="302">
        <f t="shared" si="8"/>
        <v>53</v>
      </c>
      <c r="T47" s="302">
        <f t="shared" si="8"/>
        <v>58</v>
      </c>
      <c r="U47" s="302">
        <f t="shared" si="8"/>
        <v>59</v>
      </c>
      <c r="W47" s="343" t="str">
        <f t="shared" si="7"/>
        <v/>
      </c>
    </row>
    <row r="48" spans="1:23" ht="20.100000000000001" customHeight="1">
      <c r="A48" s="340"/>
      <c r="B48" s="694" t="s">
        <v>1693</v>
      </c>
      <c r="C48" s="694"/>
      <c r="D48" s="694"/>
      <c r="E48" s="331"/>
      <c r="F48" s="331"/>
      <c r="G48" s="336">
        <f>SUM(G49:G74)</f>
        <v>0</v>
      </c>
      <c r="H48" s="336">
        <f t="shared" ref="H48:K48" si="9">SUM(H49:H74)</f>
        <v>0</v>
      </c>
      <c r="I48" s="336">
        <f t="shared" si="9"/>
        <v>0</v>
      </c>
      <c r="J48" s="336">
        <f t="shared" si="9"/>
        <v>0</v>
      </c>
      <c r="K48" s="336">
        <f t="shared" si="9"/>
        <v>0</v>
      </c>
      <c r="L48" s="336"/>
      <c r="M48" s="336"/>
      <c r="N48" s="336"/>
      <c r="O48" s="336"/>
      <c r="P48" s="336"/>
      <c r="Q48" s="336">
        <f t="shared" ref="Q48:U48" si="10">SUM(Q49:Q74)</f>
        <v>0</v>
      </c>
      <c r="R48" s="336">
        <f t="shared" si="10"/>
        <v>0</v>
      </c>
      <c r="S48" s="336">
        <f t="shared" si="10"/>
        <v>0</v>
      </c>
      <c r="T48" s="336">
        <f t="shared" si="10"/>
        <v>0</v>
      </c>
      <c r="U48" s="336">
        <f t="shared" si="10"/>
        <v>0</v>
      </c>
      <c r="V48" s="343">
        <f>VLOOKUP(B48,'2013년도 용수량 비율'!$A$5:$F$20,6,FALSE)</f>
        <v>1</v>
      </c>
      <c r="W48" s="343" t="str">
        <f t="shared" si="7"/>
        <v/>
      </c>
    </row>
    <row r="49" spans="1:23" ht="20.100000000000001" customHeight="1">
      <c r="A49" s="340"/>
      <c r="B49" s="472"/>
      <c r="C49" s="380" t="s">
        <v>1694</v>
      </c>
      <c r="D49" s="381" t="s">
        <v>1299</v>
      </c>
      <c r="E49" s="382">
        <v>0</v>
      </c>
      <c r="F49" s="382" t="s">
        <v>1317</v>
      </c>
      <c r="G49" s="383">
        <f>IF($AA$3=0,0,IF($D49="A",ROUND(VLOOKUP($C49,'[2]2.행정구역별 급수인구'!$C$7:$AD$997,17,FALSE)*$E49,0),IF($D49="B",(ROUND(VLOOKUP($C49,'[2]2.행정구역별 급수인구'!$C$7:$AD$997,17,FALSE)-VLOOKUP($C49,'[2]2.행정구역별 급수인구'!$C$7:$AD$997,17,FALSE)*(1-$E49),0)),VLOOKUP($C49,'[2]2.행정구역별 급수인구'!$C$7:$AD$997,17,FALSE))))</f>
        <v>0</v>
      </c>
      <c r="H49" s="383">
        <f>IF($AA$3=0,0,IF($D49="A",ROUND(VLOOKUP($C49,'[2]2.행정구역별 급수인구'!$C$7:$AD$997,25,FALSE)*$E49,0),IF($D49="B",(ROUND(VLOOKUP($C49,'[2]2.행정구역별 급수인구'!$C$7:$AD$997,25,FALSE)-VLOOKUP($C49,'[2]2.행정구역별 급수인구'!$C$7:$AD$997,25,FALSE)*(1-$E49),0)),VLOOKUP($C49,'[2]2.행정구역별 급수인구'!$C$7:$AD$997,25,FALSE))))</f>
        <v>0</v>
      </c>
      <c r="I49" s="383">
        <f>IF($AA$3=0,0,IF($D49="A",ROUND(VLOOKUP($C49,'[2]2.행정구역별 급수인구'!$C$7:$AD$997,26,FALSE)*$E49,0),IF($D49="B",(ROUND(VLOOKUP($C49,'[2]2.행정구역별 급수인구'!$C$7:$AD$997,26,FALSE)-VLOOKUP($C49,'[2]2.행정구역별 급수인구'!$C$7:$AD$997,26,FALSE)*(1-$E49),0)),VLOOKUP($C49,'[2]2.행정구역별 급수인구'!$C$7:$AD$997,26,FALSE))))</f>
        <v>0</v>
      </c>
      <c r="J49" s="383">
        <f>IF($AA$3=0,0,IF($D49="A",ROUND(VLOOKUP($C49,'[2]2.행정구역별 급수인구'!$C$7:$AD$997,27,FALSE)*$E49,0),IF($D49="B",(ROUND(VLOOKUP($C49,'[2]2.행정구역별 급수인구'!$C$7:$AD$997,27,FALSE)-VLOOKUP($C49,'[2]2.행정구역별 급수인구'!$C$7:$AD$997,27,FALSE)*(1-$E49),0)),VLOOKUP($C49,'[2]2.행정구역별 급수인구'!$C$7:$AD$997,27,FALSE))))</f>
        <v>0</v>
      </c>
      <c r="K49" s="383">
        <f>IF($AA$3=0,0,IF($D49="A",ROUND(VLOOKUP($C49,'[2]2.행정구역별 급수인구'!$C$7:$AD$997,28,FALSE)*$E49,0),IF($D49="B",(ROUND(VLOOKUP($C49,'[2]2.행정구역별 급수인구'!$C$7:$AD$997,28,FALSE)-VLOOKUP($C49,'[2]2.행정구역별 급수인구'!$C$7:$AD$997,28,FALSE)*(1-$E49),0)),VLOOKUP($C49,'[2]2.행정구역별 급수인구'!$C$7:$AD$997,28,FALSE))))</f>
        <v>0</v>
      </c>
      <c r="L49" s="383">
        <f>VLOOKUP($F49,'[3]5.급수원단위'!$B$31:$G$35,2,FALSE)</f>
        <v>272</v>
      </c>
      <c r="M49" s="383">
        <f>VLOOKUP($F49,'[3]5.급수원단위'!$B$31:$G$35,3,FALSE)</f>
        <v>304</v>
      </c>
      <c r="N49" s="383">
        <f>VLOOKUP($F49,'[3]5.급수원단위'!$B$31:$G$35,4,FALSE)</f>
        <v>308</v>
      </c>
      <c r="O49" s="383">
        <f>VLOOKUP($F49,'[3]5.급수원단위'!$B$31:$G$35,5,FALSE)</f>
        <v>310</v>
      </c>
      <c r="P49" s="383">
        <f>VLOOKUP($F49,'[3]5.급수원단위'!$B$31:$G$35,6,FALSE)</f>
        <v>310</v>
      </c>
      <c r="Q49" s="302">
        <f>ROUND(IF(G49=0,0,VLOOKUP(C49,'2013실사용량 정리'!$D$6:$F$381,3,FALSE)),0)</f>
        <v>0</v>
      </c>
      <c r="R49" s="383">
        <f t="shared" ref="R49:U74" si="11">ROUND(H49*M49/1000,0)</f>
        <v>0</v>
      </c>
      <c r="S49" s="383">
        <f t="shared" si="11"/>
        <v>0</v>
      </c>
      <c r="T49" s="383">
        <f t="shared" si="11"/>
        <v>0</v>
      </c>
      <c r="U49" s="383">
        <f t="shared" si="11"/>
        <v>0</v>
      </c>
      <c r="V49" s="327" t="s">
        <v>1746</v>
      </c>
      <c r="W49" s="343" t="str">
        <f t="shared" si="7"/>
        <v/>
      </c>
    </row>
    <row r="50" spans="1:23" ht="20.100000000000001" customHeight="1">
      <c r="A50" s="340"/>
      <c r="B50" s="421"/>
      <c r="C50" s="380" t="s">
        <v>1695</v>
      </c>
      <c r="D50" s="381" t="s">
        <v>1299</v>
      </c>
      <c r="E50" s="382">
        <v>0</v>
      </c>
      <c r="F50" s="382" t="s">
        <v>1317</v>
      </c>
      <c r="G50" s="383">
        <f>IF($AA$3=0,0,IF($D50="A",ROUND(VLOOKUP($C50,'[2]2.행정구역별 급수인구'!$C$7:$AD$997,17,FALSE)*$E50,0),IF($D50="B",(ROUND(VLOOKUP($C50,'[2]2.행정구역별 급수인구'!$C$7:$AD$997,17,FALSE)-VLOOKUP($C50,'[2]2.행정구역별 급수인구'!$C$7:$AD$997,17,FALSE)*(1-$E50),0)),VLOOKUP($C50,'[2]2.행정구역별 급수인구'!$C$7:$AD$997,17,FALSE))))</f>
        <v>0</v>
      </c>
      <c r="H50" s="383">
        <f>IF($AA$3=0,0,IF($D50="A",ROUND(VLOOKUP($C50,'[2]2.행정구역별 급수인구'!$C$7:$AD$997,25,FALSE)*$E50,0),IF($D50="B",(ROUND(VLOOKUP($C50,'[2]2.행정구역별 급수인구'!$C$7:$AD$997,25,FALSE)-VLOOKUP($C50,'[2]2.행정구역별 급수인구'!$C$7:$AD$997,25,FALSE)*(1-$E50),0)),VLOOKUP($C50,'[2]2.행정구역별 급수인구'!$C$7:$AD$997,25,FALSE))))</f>
        <v>0</v>
      </c>
      <c r="I50" s="383">
        <f>IF($AA$3=0,0,IF($D50="A",ROUND(VLOOKUP($C50,'[2]2.행정구역별 급수인구'!$C$7:$AD$997,26,FALSE)*$E50,0),IF($D50="B",(ROUND(VLOOKUP($C50,'[2]2.행정구역별 급수인구'!$C$7:$AD$997,26,FALSE)-VLOOKUP($C50,'[2]2.행정구역별 급수인구'!$C$7:$AD$997,26,FALSE)*(1-$E50),0)),VLOOKUP($C50,'[2]2.행정구역별 급수인구'!$C$7:$AD$997,26,FALSE))))</f>
        <v>0</v>
      </c>
      <c r="J50" s="383">
        <f>IF($AA$3=0,0,IF($D50="A",ROUND(VLOOKUP($C50,'[2]2.행정구역별 급수인구'!$C$7:$AD$997,27,FALSE)*$E50,0),IF($D50="B",(ROUND(VLOOKUP($C50,'[2]2.행정구역별 급수인구'!$C$7:$AD$997,27,FALSE)-VLOOKUP($C50,'[2]2.행정구역별 급수인구'!$C$7:$AD$997,27,FALSE)*(1-$E50),0)),VLOOKUP($C50,'[2]2.행정구역별 급수인구'!$C$7:$AD$997,27,FALSE))))</f>
        <v>0</v>
      </c>
      <c r="K50" s="383">
        <f>IF($AA$3=0,0,IF($D50="A",ROUND(VLOOKUP($C50,'[2]2.행정구역별 급수인구'!$C$7:$AD$997,28,FALSE)*$E50,0),IF($D50="B",(ROUND(VLOOKUP($C50,'[2]2.행정구역별 급수인구'!$C$7:$AD$997,28,FALSE)-VLOOKUP($C50,'[2]2.행정구역별 급수인구'!$C$7:$AD$997,28,FALSE)*(1-$E50),0)),VLOOKUP($C50,'[2]2.행정구역별 급수인구'!$C$7:$AD$997,28,FALSE))))</f>
        <v>0</v>
      </c>
      <c r="L50" s="383">
        <f>VLOOKUP($F50,'[3]5.급수원단위'!$B$31:$G$35,2,FALSE)</f>
        <v>272</v>
      </c>
      <c r="M50" s="383">
        <f>VLOOKUP($F50,'[3]5.급수원단위'!$B$31:$G$35,3,FALSE)</f>
        <v>304</v>
      </c>
      <c r="N50" s="383">
        <f>VLOOKUP($F50,'[3]5.급수원단위'!$B$31:$G$35,4,FALSE)</f>
        <v>308</v>
      </c>
      <c r="O50" s="383">
        <f>VLOOKUP($F50,'[3]5.급수원단위'!$B$31:$G$35,5,FALSE)</f>
        <v>310</v>
      </c>
      <c r="P50" s="383">
        <f>VLOOKUP($F50,'[3]5.급수원단위'!$B$31:$G$35,6,FALSE)</f>
        <v>310</v>
      </c>
      <c r="Q50" s="302">
        <f>ROUND(IF(G50=0,0,VLOOKUP(C50,'2013실사용량 정리'!$D$6:$F$381,3,FALSE)),0)</f>
        <v>0</v>
      </c>
      <c r="R50" s="383">
        <f t="shared" si="11"/>
        <v>0</v>
      </c>
      <c r="S50" s="383">
        <f t="shared" si="11"/>
        <v>0</v>
      </c>
      <c r="T50" s="383">
        <f t="shared" si="11"/>
        <v>0</v>
      </c>
      <c r="U50" s="383">
        <f t="shared" si="11"/>
        <v>0</v>
      </c>
      <c r="V50" s="327" t="s">
        <v>1746</v>
      </c>
      <c r="W50" s="343" t="str">
        <f t="shared" si="7"/>
        <v/>
      </c>
    </row>
    <row r="51" spans="1:23" ht="20.100000000000001" customHeight="1">
      <c r="A51" s="340"/>
      <c r="B51" s="421"/>
      <c r="C51" s="380" t="s">
        <v>1698</v>
      </c>
      <c r="D51" s="381" t="s">
        <v>1299</v>
      </c>
      <c r="E51" s="382">
        <v>0</v>
      </c>
      <c r="F51" s="382" t="s">
        <v>1317</v>
      </c>
      <c r="G51" s="383">
        <f>IF($AA$3=0,0,IF($D51="A",ROUND(VLOOKUP($C51,'[2]2.행정구역별 급수인구'!$C$7:$AD$997,17,FALSE)*$E51,0),IF($D51="B",(ROUND(VLOOKUP($C51,'[2]2.행정구역별 급수인구'!$C$7:$AD$997,17,FALSE)-VLOOKUP($C51,'[2]2.행정구역별 급수인구'!$C$7:$AD$997,17,FALSE)*(1-$E51),0)),VLOOKUP($C51,'[2]2.행정구역별 급수인구'!$C$7:$AD$997,17,FALSE))))</f>
        <v>0</v>
      </c>
      <c r="H51" s="383">
        <f>IF($AA$3=0,0,IF($D51="A",ROUND(VLOOKUP($C51,'[2]2.행정구역별 급수인구'!$C$7:$AD$997,25,FALSE)*$E51,0),IF($D51="B",(ROUND(VLOOKUP($C51,'[2]2.행정구역별 급수인구'!$C$7:$AD$997,25,FALSE)-VLOOKUP($C51,'[2]2.행정구역별 급수인구'!$C$7:$AD$997,25,FALSE)*(1-$E51),0)),VLOOKUP($C51,'[2]2.행정구역별 급수인구'!$C$7:$AD$997,25,FALSE))))</f>
        <v>0</v>
      </c>
      <c r="I51" s="383">
        <f>IF($AA$3=0,0,IF($D51="A",ROUND(VLOOKUP($C51,'[2]2.행정구역별 급수인구'!$C$7:$AD$997,26,FALSE)*$E51,0),IF($D51="B",(ROUND(VLOOKUP($C51,'[2]2.행정구역별 급수인구'!$C$7:$AD$997,26,FALSE)-VLOOKUP($C51,'[2]2.행정구역별 급수인구'!$C$7:$AD$997,26,FALSE)*(1-$E51),0)),VLOOKUP($C51,'[2]2.행정구역별 급수인구'!$C$7:$AD$997,26,FALSE))))</f>
        <v>0</v>
      </c>
      <c r="J51" s="383">
        <f>IF($AA$3=0,0,IF($D51="A",ROUND(VLOOKUP($C51,'[2]2.행정구역별 급수인구'!$C$7:$AD$997,27,FALSE)*$E51,0),IF($D51="B",(ROUND(VLOOKUP($C51,'[2]2.행정구역별 급수인구'!$C$7:$AD$997,27,FALSE)-VLOOKUP($C51,'[2]2.행정구역별 급수인구'!$C$7:$AD$997,27,FALSE)*(1-$E51),0)),VLOOKUP($C51,'[2]2.행정구역별 급수인구'!$C$7:$AD$997,27,FALSE))))</f>
        <v>0</v>
      </c>
      <c r="K51" s="383">
        <f>IF($AA$3=0,0,IF($D51="A",ROUND(VLOOKUP($C51,'[2]2.행정구역별 급수인구'!$C$7:$AD$997,28,FALSE)*$E51,0),IF($D51="B",(ROUND(VLOOKUP($C51,'[2]2.행정구역별 급수인구'!$C$7:$AD$997,28,FALSE)-VLOOKUP($C51,'[2]2.행정구역별 급수인구'!$C$7:$AD$997,28,FALSE)*(1-$E51),0)),VLOOKUP($C51,'[2]2.행정구역별 급수인구'!$C$7:$AD$997,28,FALSE))))</f>
        <v>0</v>
      </c>
      <c r="L51" s="383">
        <f>VLOOKUP($F51,'[3]5.급수원단위'!$B$31:$G$35,2,FALSE)</f>
        <v>272</v>
      </c>
      <c r="M51" s="383">
        <f>VLOOKUP($F51,'[3]5.급수원단위'!$B$31:$G$35,3,FALSE)</f>
        <v>304</v>
      </c>
      <c r="N51" s="383">
        <f>VLOOKUP($F51,'[3]5.급수원단위'!$B$31:$G$35,4,FALSE)</f>
        <v>308</v>
      </c>
      <c r="O51" s="383">
        <f>VLOOKUP($F51,'[3]5.급수원단위'!$B$31:$G$35,5,FALSE)</f>
        <v>310</v>
      </c>
      <c r="P51" s="383">
        <f>VLOOKUP($F51,'[3]5.급수원단위'!$B$31:$G$35,6,FALSE)</f>
        <v>310</v>
      </c>
      <c r="Q51" s="302">
        <f>ROUND(IF(G51=0,0,VLOOKUP(C51,'2013실사용량 정리'!$D$6:$F$381,3,FALSE)),0)</f>
        <v>0</v>
      </c>
      <c r="R51" s="383">
        <f t="shared" si="11"/>
        <v>0</v>
      </c>
      <c r="S51" s="383">
        <f t="shared" si="11"/>
        <v>0</v>
      </c>
      <c r="T51" s="383">
        <f t="shared" si="11"/>
        <v>0</v>
      </c>
      <c r="U51" s="383">
        <f t="shared" si="11"/>
        <v>0</v>
      </c>
      <c r="V51" s="327" t="s">
        <v>1746</v>
      </c>
      <c r="W51" s="343" t="str">
        <f t="shared" si="7"/>
        <v/>
      </c>
    </row>
    <row r="52" spans="1:23" ht="20.100000000000001" customHeight="1">
      <c r="A52" s="340"/>
      <c r="B52" s="421"/>
      <c r="C52" s="380" t="s">
        <v>1699</v>
      </c>
      <c r="D52" s="381" t="s">
        <v>1299</v>
      </c>
      <c r="E52" s="382">
        <v>0</v>
      </c>
      <c r="F52" s="382" t="s">
        <v>1317</v>
      </c>
      <c r="G52" s="383">
        <f>IF($AA$3=0,0,IF($D52="A",ROUND(VLOOKUP($C52,'[2]2.행정구역별 급수인구'!$C$7:$AD$997,17,FALSE)*$E52,0),IF($D52="B",(ROUND(VLOOKUP($C52,'[2]2.행정구역별 급수인구'!$C$7:$AD$997,17,FALSE)-VLOOKUP($C52,'[2]2.행정구역별 급수인구'!$C$7:$AD$997,17,FALSE)*(1-$E52),0)),VLOOKUP($C52,'[2]2.행정구역별 급수인구'!$C$7:$AD$997,17,FALSE))))</f>
        <v>0</v>
      </c>
      <c r="H52" s="383">
        <f>IF($AA$3=0,0,IF($D52="A",ROUND(VLOOKUP($C52,'[2]2.행정구역별 급수인구'!$C$7:$AD$997,25,FALSE)*$E52,0),IF($D52="B",(ROUND(VLOOKUP($C52,'[2]2.행정구역별 급수인구'!$C$7:$AD$997,25,FALSE)-VLOOKUP($C52,'[2]2.행정구역별 급수인구'!$C$7:$AD$997,25,FALSE)*(1-$E52),0)),VLOOKUP($C52,'[2]2.행정구역별 급수인구'!$C$7:$AD$997,25,FALSE))))</f>
        <v>0</v>
      </c>
      <c r="I52" s="383">
        <f>IF($AA$3=0,0,IF($D52="A",ROUND(VLOOKUP($C52,'[2]2.행정구역별 급수인구'!$C$7:$AD$997,26,FALSE)*$E52,0),IF($D52="B",(ROUND(VLOOKUP($C52,'[2]2.행정구역별 급수인구'!$C$7:$AD$997,26,FALSE)-VLOOKUP($C52,'[2]2.행정구역별 급수인구'!$C$7:$AD$997,26,FALSE)*(1-$E52),0)),VLOOKUP($C52,'[2]2.행정구역별 급수인구'!$C$7:$AD$997,26,FALSE))))</f>
        <v>0</v>
      </c>
      <c r="J52" s="383">
        <f>IF($AA$3=0,0,IF($D52="A",ROUND(VLOOKUP($C52,'[2]2.행정구역별 급수인구'!$C$7:$AD$997,27,FALSE)*$E52,0),IF($D52="B",(ROUND(VLOOKUP($C52,'[2]2.행정구역별 급수인구'!$C$7:$AD$997,27,FALSE)-VLOOKUP($C52,'[2]2.행정구역별 급수인구'!$C$7:$AD$997,27,FALSE)*(1-$E52),0)),VLOOKUP($C52,'[2]2.행정구역별 급수인구'!$C$7:$AD$997,27,FALSE))))</f>
        <v>0</v>
      </c>
      <c r="K52" s="383">
        <f>IF($AA$3=0,0,IF($D52="A",ROUND(VLOOKUP($C52,'[2]2.행정구역별 급수인구'!$C$7:$AD$997,28,FALSE)*$E52,0),IF($D52="B",(ROUND(VLOOKUP($C52,'[2]2.행정구역별 급수인구'!$C$7:$AD$997,28,FALSE)-VLOOKUP($C52,'[2]2.행정구역별 급수인구'!$C$7:$AD$997,28,FALSE)*(1-$E52),0)),VLOOKUP($C52,'[2]2.행정구역별 급수인구'!$C$7:$AD$997,28,FALSE))))</f>
        <v>0</v>
      </c>
      <c r="L52" s="383">
        <f>VLOOKUP($F52,'[3]5.급수원단위'!$B$31:$G$35,2,FALSE)</f>
        <v>272</v>
      </c>
      <c r="M52" s="383">
        <f>VLOOKUP($F52,'[3]5.급수원단위'!$B$31:$G$35,3,FALSE)</f>
        <v>304</v>
      </c>
      <c r="N52" s="383">
        <f>VLOOKUP($F52,'[3]5.급수원단위'!$B$31:$G$35,4,FALSE)</f>
        <v>308</v>
      </c>
      <c r="O52" s="383">
        <f>VLOOKUP($F52,'[3]5.급수원단위'!$B$31:$G$35,5,FALSE)</f>
        <v>310</v>
      </c>
      <c r="P52" s="383">
        <f>VLOOKUP($F52,'[3]5.급수원단위'!$B$31:$G$35,6,FALSE)</f>
        <v>310</v>
      </c>
      <c r="Q52" s="302">
        <f>ROUND(IF(G52=0,0,VLOOKUP(C52,'2013실사용량 정리'!$D$6:$F$381,3,FALSE)),0)</f>
        <v>0</v>
      </c>
      <c r="R52" s="383">
        <f t="shared" si="11"/>
        <v>0</v>
      </c>
      <c r="S52" s="383">
        <f t="shared" si="11"/>
        <v>0</v>
      </c>
      <c r="T52" s="383">
        <f t="shared" si="11"/>
        <v>0</v>
      </c>
      <c r="U52" s="383">
        <f t="shared" si="11"/>
        <v>0</v>
      </c>
      <c r="V52" s="327" t="s">
        <v>1746</v>
      </c>
      <c r="W52" s="343" t="str">
        <f t="shared" si="7"/>
        <v/>
      </c>
    </row>
    <row r="53" spans="1:23" ht="20.100000000000001" customHeight="1">
      <c r="A53" s="340"/>
      <c r="B53" s="421"/>
      <c r="C53" s="380" t="s">
        <v>1700</v>
      </c>
      <c r="D53" s="381" t="s">
        <v>1299</v>
      </c>
      <c r="E53" s="382">
        <v>0</v>
      </c>
      <c r="F53" s="382" t="s">
        <v>1317</v>
      </c>
      <c r="G53" s="383">
        <f>IF($AA$3=0,0,IF($D53="A",ROUND(VLOOKUP($C53,'[2]2.행정구역별 급수인구'!$C$7:$AD$997,17,FALSE)*$E53,0),IF($D53="B",(ROUND(VLOOKUP($C53,'[2]2.행정구역별 급수인구'!$C$7:$AD$997,17,FALSE)-VLOOKUP($C53,'[2]2.행정구역별 급수인구'!$C$7:$AD$997,17,FALSE)*(1-$E53),0)),VLOOKUP($C53,'[2]2.행정구역별 급수인구'!$C$7:$AD$997,17,FALSE))))</f>
        <v>0</v>
      </c>
      <c r="H53" s="383">
        <f>IF($AA$3=0,0,IF($D53="A",ROUND(VLOOKUP($C53,'[2]2.행정구역별 급수인구'!$C$7:$AD$997,25,FALSE)*$E53,0),IF($D53="B",(ROUND(VLOOKUP($C53,'[2]2.행정구역별 급수인구'!$C$7:$AD$997,25,FALSE)-VLOOKUP($C53,'[2]2.행정구역별 급수인구'!$C$7:$AD$997,25,FALSE)*(1-$E53),0)),VLOOKUP($C53,'[2]2.행정구역별 급수인구'!$C$7:$AD$997,25,FALSE))))</f>
        <v>0</v>
      </c>
      <c r="I53" s="383">
        <f>IF($AA$3=0,0,IF($D53="A",ROUND(VLOOKUP($C53,'[2]2.행정구역별 급수인구'!$C$7:$AD$997,26,FALSE)*$E53,0),IF($D53="B",(ROUND(VLOOKUP($C53,'[2]2.행정구역별 급수인구'!$C$7:$AD$997,26,FALSE)-VLOOKUP($C53,'[2]2.행정구역별 급수인구'!$C$7:$AD$997,26,FALSE)*(1-$E53),0)),VLOOKUP($C53,'[2]2.행정구역별 급수인구'!$C$7:$AD$997,26,FALSE))))</f>
        <v>0</v>
      </c>
      <c r="J53" s="383">
        <f>IF($AA$3=0,0,IF($D53="A",ROUND(VLOOKUP($C53,'[2]2.행정구역별 급수인구'!$C$7:$AD$997,27,FALSE)*$E53,0),IF($D53="B",(ROUND(VLOOKUP($C53,'[2]2.행정구역별 급수인구'!$C$7:$AD$997,27,FALSE)-VLOOKUP($C53,'[2]2.행정구역별 급수인구'!$C$7:$AD$997,27,FALSE)*(1-$E53),0)),VLOOKUP($C53,'[2]2.행정구역별 급수인구'!$C$7:$AD$997,27,FALSE))))</f>
        <v>0</v>
      </c>
      <c r="K53" s="383">
        <f>IF($AA$3=0,0,IF($D53="A",ROUND(VLOOKUP($C53,'[2]2.행정구역별 급수인구'!$C$7:$AD$997,28,FALSE)*$E53,0),IF($D53="B",(ROUND(VLOOKUP($C53,'[2]2.행정구역별 급수인구'!$C$7:$AD$997,28,FALSE)-VLOOKUP($C53,'[2]2.행정구역별 급수인구'!$C$7:$AD$997,28,FALSE)*(1-$E53),0)),VLOOKUP($C53,'[2]2.행정구역별 급수인구'!$C$7:$AD$997,28,FALSE))))</f>
        <v>0</v>
      </c>
      <c r="L53" s="383">
        <f>VLOOKUP($F53,'[3]5.급수원단위'!$B$31:$G$35,2,FALSE)</f>
        <v>272</v>
      </c>
      <c r="M53" s="383">
        <f>VLOOKUP($F53,'[3]5.급수원단위'!$B$31:$G$35,3,FALSE)</f>
        <v>304</v>
      </c>
      <c r="N53" s="383">
        <f>VLOOKUP($F53,'[3]5.급수원단위'!$B$31:$G$35,4,FALSE)</f>
        <v>308</v>
      </c>
      <c r="O53" s="383">
        <f>VLOOKUP($F53,'[3]5.급수원단위'!$B$31:$G$35,5,FALSE)</f>
        <v>310</v>
      </c>
      <c r="P53" s="383">
        <f>VLOOKUP($F53,'[3]5.급수원단위'!$B$31:$G$35,6,FALSE)</f>
        <v>310</v>
      </c>
      <c r="Q53" s="302">
        <f>ROUND(IF(G53=0,0,VLOOKUP(C53,'2013실사용량 정리'!$D$6:$F$381,3,FALSE)),0)</f>
        <v>0</v>
      </c>
      <c r="R53" s="383">
        <f t="shared" si="11"/>
        <v>0</v>
      </c>
      <c r="S53" s="383">
        <f t="shared" si="11"/>
        <v>0</v>
      </c>
      <c r="T53" s="383">
        <f t="shared" si="11"/>
        <v>0</v>
      </c>
      <c r="U53" s="383">
        <f t="shared" si="11"/>
        <v>0</v>
      </c>
      <c r="V53" s="327" t="s">
        <v>1746</v>
      </c>
      <c r="W53" s="343" t="str">
        <f t="shared" si="7"/>
        <v/>
      </c>
    </row>
    <row r="54" spans="1:23" ht="20.100000000000001" customHeight="1">
      <c r="A54" s="340"/>
      <c r="B54" s="421"/>
      <c r="C54" s="380" t="s">
        <v>1701</v>
      </c>
      <c r="D54" s="381" t="s">
        <v>1299</v>
      </c>
      <c r="E54" s="382">
        <v>0</v>
      </c>
      <c r="F54" s="382" t="s">
        <v>1317</v>
      </c>
      <c r="G54" s="383">
        <f>IF($AA$3=0,0,IF($D54="A",ROUND(VLOOKUP($C54,'[2]2.행정구역별 급수인구'!$C$7:$AD$997,17,FALSE)*$E54,0),IF($D54="B",(ROUND(VLOOKUP($C54,'[2]2.행정구역별 급수인구'!$C$7:$AD$997,17,FALSE)-VLOOKUP($C54,'[2]2.행정구역별 급수인구'!$C$7:$AD$997,17,FALSE)*(1-$E54),0)),VLOOKUP($C54,'[2]2.행정구역별 급수인구'!$C$7:$AD$997,17,FALSE))))</f>
        <v>0</v>
      </c>
      <c r="H54" s="383">
        <f>IF($AA$3=0,0,IF($D54="A",ROUND(VLOOKUP($C54,'[2]2.행정구역별 급수인구'!$C$7:$AD$997,25,FALSE)*$E54,0),IF($D54="B",(ROUND(VLOOKUP($C54,'[2]2.행정구역별 급수인구'!$C$7:$AD$997,25,FALSE)-VLOOKUP($C54,'[2]2.행정구역별 급수인구'!$C$7:$AD$997,25,FALSE)*(1-$E54),0)),VLOOKUP($C54,'[2]2.행정구역별 급수인구'!$C$7:$AD$997,25,FALSE))))</f>
        <v>0</v>
      </c>
      <c r="I54" s="383">
        <f>IF($AA$3=0,0,IF($D54="A",ROUND(VLOOKUP($C54,'[2]2.행정구역별 급수인구'!$C$7:$AD$997,26,FALSE)*$E54,0),IF($D54="B",(ROUND(VLOOKUP($C54,'[2]2.행정구역별 급수인구'!$C$7:$AD$997,26,FALSE)-VLOOKUP($C54,'[2]2.행정구역별 급수인구'!$C$7:$AD$997,26,FALSE)*(1-$E54),0)),VLOOKUP($C54,'[2]2.행정구역별 급수인구'!$C$7:$AD$997,26,FALSE))))</f>
        <v>0</v>
      </c>
      <c r="J54" s="383">
        <f>IF($AA$3=0,0,IF($D54="A",ROUND(VLOOKUP($C54,'[2]2.행정구역별 급수인구'!$C$7:$AD$997,27,FALSE)*$E54,0),IF($D54="B",(ROUND(VLOOKUP($C54,'[2]2.행정구역별 급수인구'!$C$7:$AD$997,27,FALSE)-VLOOKUP($C54,'[2]2.행정구역별 급수인구'!$C$7:$AD$997,27,FALSE)*(1-$E54),0)),VLOOKUP($C54,'[2]2.행정구역별 급수인구'!$C$7:$AD$997,27,FALSE))))</f>
        <v>0</v>
      </c>
      <c r="K54" s="383">
        <f>IF($AA$3=0,0,IF($D54="A",ROUND(VLOOKUP($C54,'[2]2.행정구역별 급수인구'!$C$7:$AD$997,28,FALSE)*$E54,0),IF($D54="B",(ROUND(VLOOKUP($C54,'[2]2.행정구역별 급수인구'!$C$7:$AD$997,28,FALSE)-VLOOKUP($C54,'[2]2.행정구역별 급수인구'!$C$7:$AD$997,28,FALSE)*(1-$E54),0)),VLOOKUP($C54,'[2]2.행정구역별 급수인구'!$C$7:$AD$997,28,FALSE))))</f>
        <v>0</v>
      </c>
      <c r="L54" s="383">
        <f>VLOOKUP($F54,'[3]5.급수원단위'!$B$31:$G$35,2,FALSE)</f>
        <v>272</v>
      </c>
      <c r="M54" s="383">
        <f>VLOOKUP($F54,'[3]5.급수원단위'!$B$31:$G$35,3,FALSE)</f>
        <v>304</v>
      </c>
      <c r="N54" s="383">
        <f>VLOOKUP($F54,'[3]5.급수원단위'!$B$31:$G$35,4,FALSE)</f>
        <v>308</v>
      </c>
      <c r="O54" s="383">
        <f>VLOOKUP($F54,'[3]5.급수원단위'!$B$31:$G$35,5,FALSE)</f>
        <v>310</v>
      </c>
      <c r="P54" s="383">
        <f>VLOOKUP($F54,'[3]5.급수원단위'!$B$31:$G$35,6,FALSE)</f>
        <v>310</v>
      </c>
      <c r="Q54" s="302">
        <f>ROUND(IF(G54=0,0,VLOOKUP(C54,'2013실사용량 정리'!$D$6:$F$381,3,FALSE)),0)</f>
        <v>0</v>
      </c>
      <c r="R54" s="383">
        <f t="shared" si="11"/>
        <v>0</v>
      </c>
      <c r="S54" s="383">
        <f t="shared" si="11"/>
        <v>0</v>
      </c>
      <c r="T54" s="383">
        <f t="shared" si="11"/>
        <v>0</v>
      </c>
      <c r="U54" s="383">
        <f t="shared" si="11"/>
        <v>0</v>
      </c>
      <c r="V54" s="327" t="s">
        <v>1746</v>
      </c>
      <c r="W54" s="343" t="str">
        <f t="shared" si="7"/>
        <v/>
      </c>
    </row>
    <row r="55" spans="1:23" ht="20.100000000000001" customHeight="1">
      <c r="A55" s="340"/>
      <c r="B55" s="421"/>
      <c r="C55" s="380" t="s">
        <v>1702</v>
      </c>
      <c r="D55" s="381" t="s">
        <v>1299</v>
      </c>
      <c r="E55" s="382">
        <v>0</v>
      </c>
      <c r="F55" s="382" t="s">
        <v>1317</v>
      </c>
      <c r="G55" s="383">
        <f>IF($AA$3=0,0,IF($D55="A",ROUND(VLOOKUP($C55,'[2]2.행정구역별 급수인구'!$C$7:$AD$997,17,FALSE)*$E55,0),IF($D55="B",(ROUND(VLOOKUP($C55,'[2]2.행정구역별 급수인구'!$C$7:$AD$997,17,FALSE)-VLOOKUP($C55,'[2]2.행정구역별 급수인구'!$C$7:$AD$997,17,FALSE)*(1-$E55),0)),VLOOKUP($C55,'[2]2.행정구역별 급수인구'!$C$7:$AD$997,17,FALSE))))</f>
        <v>0</v>
      </c>
      <c r="H55" s="383">
        <f>IF($AA$3=0,0,IF($D55="A",ROUND(VLOOKUP($C55,'[2]2.행정구역별 급수인구'!$C$7:$AD$997,25,FALSE)*$E55,0),IF($D55="B",(ROUND(VLOOKUP($C55,'[2]2.행정구역별 급수인구'!$C$7:$AD$997,25,FALSE)-VLOOKUP($C55,'[2]2.행정구역별 급수인구'!$C$7:$AD$997,25,FALSE)*(1-$E55),0)),VLOOKUP($C55,'[2]2.행정구역별 급수인구'!$C$7:$AD$997,25,FALSE))))</f>
        <v>0</v>
      </c>
      <c r="I55" s="383">
        <f>IF($AA$3=0,0,IF($D55="A",ROUND(VLOOKUP($C55,'[2]2.행정구역별 급수인구'!$C$7:$AD$997,26,FALSE)*$E55,0),IF($D55="B",(ROUND(VLOOKUP($C55,'[2]2.행정구역별 급수인구'!$C$7:$AD$997,26,FALSE)-VLOOKUP($C55,'[2]2.행정구역별 급수인구'!$C$7:$AD$997,26,FALSE)*(1-$E55),0)),VLOOKUP($C55,'[2]2.행정구역별 급수인구'!$C$7:$AD$997,26,FALSE))))</f>
        <v>0</v>
      </c>
      <c r="J55" s="383">
        <f>IF($AA$3=0,0,IF($D55="A",ROUND(VLOOKUP($C55,'[2]2.행정구역별 급수인구'!$C$7:$AD$997,27,FALSE)*$E55,0),IF($D55="B",(ROUND(VLOOKUP($C55,'[2]2.행정구역별 급수인구'!$C$7:$AD$997,27,FALSE)-VLOOKUP($C55,'[2]2.행정구역별 급수인구'!$C$7:$AD$997,27,FALSE)*(1-$E55),0)),VLOOKUP($C55,'[2]2.행정구역별 급수인구'!$C$7:$AD$997,27,FALSE))))</f>
        <v>0</v>
      </c>
      <c r="K55" s="383">
        <f>IF($AA$3=0,0,IF($D55="A",ROUND(VLOOKUP($C55,'[2]2.행정구역별 급수인구'!$C$7:$AD$997,28,FALSE)*$E55,0),IF($D55="B",(ROUND(VLOOKUP($C55,'[2]2.행정구역별 급수인구'!$C$7:$AD$997,28,FALSE)-VLOOKUP($C55,'[2]2.행정구역별 급수인구'!$C$7:$AD$997,28,FALSE)*(1-$E55),0)),VLOOKUP($C55,'[2]2.행정구역별 급수인구'!$C$7:$AD$997,28,FALSE))))</f>
        <v>0</v>
      </c>
      <c r="L55" s="383">
        <f>VLOOKUP($F55,'[3]5.급수원단위'!$B$31:$G$35,2,FALSE)</f>
        <v>272</v>
      </c>
      <c r="M55" s="383">
        <f>VLOOKUP($F55,'[3]5.급수원단위'!$B$31:$G$35,3,FALSE)</f>
        <v>304</v>
      </c>
      <c r="N55" s="383">
        <f>VLOOKUP($F55,'[3]5.급수원단위'!$B$31:$G$35,4,FALSE)</f>
        <v>308</v>
      </c>
      <c r="O55" s="383">
        <f>VLOOKUP($F55,'[3]5.급수원단위'!$B$31:$G$35,5,FALSE)</f>
        <v>310</v>
      </c>
      <c r="P55" s="383">
        <f>VLOOKUP($F55,'[3]5.급수원단위'!$B$31:$G$35,6,FALSE)</f>
        <v>310</v>
      </c>
      <c r="Q55" s="302">
        <f>ROUND(IF(G55=0,0,VLOOKUP(C55,'2013실사용량 정리'!$D$6:$F$381,3,FALSE)),0)</f>
        <v>0</v>
      </c>
      <c r="R55" s="383">
        <f t="shared" si="11"/>
        <v>0</v>
      </c>
      <c r="S55" s="383">
        <f t="shared" si="11"/>
        <v>0</v>
      </c>
      <c r="T55" s="383">
        <f t="shared" si="11"/>
        <v>0</v>
      </c>
      <c r="U55" s="383">
        <f t="shared" si="11"/>
        <v>0</v>
      </c>
      <c r="V55" s="327" t="s">
        <v>1746</v>
      </c>
      <c r="W55" s="343" t="str">
        <f t="shared" si="7"/>
        <v/>
      </c>
    </row>
    <row r="56" spans="1:23" ht="20.100000000000001" customHeight="1">
      <c r="A56" s="340"/>
      <c r="B56" s="421"/>
      <c r="C56" s="380" t="s">
        <v>1703</v>
      </c>
      <c r="D56" s="381" t="s">
        <v>1299</v>
      </c>
      <c r="E56" s="382">
        <v>0</v>
      </c>
      <c r="F56" s="382" t="s">
        <v>1317</v>
      </c>
      <c r="G56" s="383">
        <f>IF($AA$3=0,0,IF($D56="A",ROUND(VLOOKUP($C56,'[2]2.행정구역별 급수인구'!$C$7:$AD$997,17,FALSE)*$E56,0),IF($D56="B",(ROUND(VLOOKUP($C56,'[2]2.행정구역별 급수인구'!$C$7:$AD$997,17,FALSE)-VLOOKUP($C56,'[2]2.행정구역별 급수인구'!$C$7:$AD$997,17,FALSE)*(1-$E56),0)),VLOOKUP($C56,'[2]2.행정구역별 급수인구'!$C$7:$AD$997,17,FALSE))))</f>
        <v>0</v>
      </c>
      <c r="H56" s="383">
        <f>IF($AA$3=0,0,IF($D56="A",ROUND(VLOOKUP($C56,'[2]2.행정구역별 급수인구'!$C$7:$AD$997,25,FALSE)*$E56,0),IF($D56="B",(ROUND(VLOOKUP($C56,'[2]2.행정구역별 급수인구'!$C$7:$AD$997,25,FALSE)-VLOOKUP($C56,'[2]2.행정구역별 급수인구'!$C$7:$AD$997,25,FALSE)*(1-$E56),0)),VLOOKUP($C56,'[2]2.행정구역별 급수인구'!$C$7:$AD$997,25,FALSE))))</f>
        <v>0</v>
      </c>
      <c r="I56" s="383">
        <f>IF($AA$3=0,0,IF($D56="A",ROUND(VLOOKUP($C56,'[2]2.행정구역별 급수인구'!$C$7:$AD$997,26,FALSE)*$E56,0),IF($D56="B",(ROUND(VLOOKUP($C56,'[2]2.행정구역별 급수인구'!$C$7:$AD$997,26,FALSE)-VLOOKUP($C56,'[2]2.행정구역별 급수인구'!$C$7:$AD$997,26,FALSE)*(1-$E56),0)),VLOOKUP($C56,'[2]2.행정구역별 급수인구'!$C$7:$AD$997,26,FALSE))))</f>
        <v>0</v>
      </c>
      <c r="J56" s="383">
        <f>IF($AA$3=0,0,IF($D56="A",ROUND(VLOOKUP($C56,'[2]2.행정구역별 급수인구'!$C$7:$AD$997,27,FALSE)*$E56,0),IF($D56="B",(ROUND(VLOOKUP($C56,'[2]2.행정구역별 급수인구'!$C$7:$AD$997,27,FALSE)-VLOOKUP($C56,'[2]2.행정구역별 급수인구'!$C$7:$AD$997,27,FALSE)*(1-$E56),0)),VLOOKUP($C56,'[2]2.행정구역별 급수인구'!$C$7:$AD$997,27,FALSE))))</f>
        <v>0</v>
      </c>
      <c r="K56" s="383">
        <f>IF($AA$3=0,0,IF($D56="A",ROUND(VLOOKUP($C56,'[2]2.행정구역별 급수인구'!$C$7:$AD$997,28,FALSE)*$E56,0),IF($D56="B",(ROUND(VLOOKUP($C56,'[2]2.행정구역별 급수인구'!$C$7:$AD$997,28,FALSE)-VLOOKUP($C56,'[2]2.행정구역별 급수인구'!$C$7:$AD$997,28,FALSE)*(1-$E56),0)),VLOOKUP($C56,'[2]2.행정구역별 급수인구'!$C$7:$AD$997,28,FALSE))))</f>
        <v>0</v>
      </c>
      <c r="L56" s="383">
        <f>VLOOKUP($F56,'[3]5.급수원단위'!$B$31:$G$35,2,FALSE)</f>
        <v>272</v>
      </c>
      <c r="M56" s="383">
        <f>VLOOKUP($F56,'[3]5.급수원단위'!$B$31:$G$35,3,FALSE)</f>
        <v>304</v>
      </c>
      <c r="N56" s="383">
        <f>VLOOKUP($F56,'[3]5.급수원단위'!$B$31:$G$35,4,FALSE)</f>
        <v>308</v>
      </c>
      <c r="O56" s="383">
        <f>VLOOKUP($F56,'[3]5.급수원단위'!$B$31:$G$35,5,FALSE)</f>
        <v>310</v>
      </c>
      <c r="P56" s="383">
        <f>VLOOKUP($F56,'[3]5.급수원단위'!$B$31:$G$35,6,FALSE)</f>
        <v>310</v>
      </c>
      <c r="Q56" s="302">
        <f>ROUND(IF(G56=0,0,VLOOKUP(C56,'2013실사용량 정리'!$D$6:$F$381,3,FALSE)),0)</f>
        <v>0</v>
      </c>
      <c r="R56" s="383">
        <f t="shared" si="11"/>
        <v>0</v>
      </c>
      <c r="S56" s="383">
        <f t="shared" si="11"/>
        <v>0</v>
      </c>
      <c r="T56" s="383">
        <f t="shared" si="11"/>
        <v>0</v>
      </c>
      <c r="U56" s="383">
        <f t="shared" si="11"/>
        <v>0</v>
      </c>
      <c r="V56" s="327" t="s">
        <v>1746</v>
      </c>
      <c r="W56" s="343" t="str">
        <f t="shared" si="7"/>
        <v/>
      </c>
    </row>
    <row r="57" spans="1:23" ht="20.100000000000001" customHeight="1">
      <c r="A57" s="340"/>
      <c r="B57" s="421"/>
      <c r="C57" s="380" t="s">
        <v>1704</v>
      </c>
      <c r="D57" s="381" t="s">
        <v>1299</v>
      </c>
      <c r="E57" s="382">
        <v>0</v>
      </c>
      <c r="F57" s="382" t="s">
        <v>1317</v>
      </c>
      <c r="G57" s="383">
        <f>IF($AA$3=0,0,IF($D57="A",ROUND(VLOOKUP($C57,'[2]2.행정구역별 급수인구'!$C$7:$AD$997,17,FALSE)*$E57,0),IF($D57="B",(ROUND(VLOOKUP($C57,'[2]2.행정구역별 급수인구'!$C$7:$AD$997,17,FALSE)-VLOOKUP($C57,'[2]2.행정구역별 급수인구'!$C$7:$AD$997,17,FALSE)*(1-$E57),0)),VLOOKUP($C57,'[2]2.행정구역별 급수인구'!$C$7:$AD$997,17,FALSE))))</f>
        <v>0</v>
      </c>
      <c r="H57" s="383">
        <f>IF($AA$3=0,0,IF($D57="A",ROUND(VLOOKUP($C57,'[2]2.행정구역별 급수인구'!$C$7:$AD$997,25,FALSE)*$E57,0),IF($D57="B",(ROUND(VLOOKUP($C57,'[2]2.행정구역별 급수인구'!$C$7:$AD$997,25,FALSE)-VLOOKUP($C57,'[2]2.행정구역별 급수인구'!$C$7:$AD$997,25,FALSE)*(1-$E57),0)),VLOOKUP($C57,'[2]2.행정구역별 급수인구'!$C$7:$AD$997,25,FALSE))))</f>
        <v>0</v>
      </c>
      <c r="I57" s="383">
        <f>IF($AA$3=0,0,IF($D57="A",ROUND(VLOOKUP($C57,'[2]2.행정구역별 급수인구'!$C$7:$AD$997,26,FALSE)*$E57,0),IF($D57="B",(ROUND(VLOOKUP($C57,'[2]2.행정구역별 급수인구'!$C$7:$AD$997,26,FALSE)-VLOOKUP($C57,'[2]2.행정구역별 급수인구'!$C$7:$AD$997,26,FALSE)*(1-$E57),0)),VLOOKUP($C57,'[2]2.행정구역별 급수인구'!$C$7:$AD$997,26,FALSE))))</f>
        <v>0</v>
      </c>
      <c r="J57" s="383">
        <f>IF($AA$3=0,0,IF($D57="A",ROUND(VLOOKUP($C57,'[2]2.행정구역별 급수인구'!$C$7:$AD$997,27,FALSE)*$E57,0),IF($D57="B",(ROUND(VLOOKUP($C57,'[2]2.행정구역별 급수인구'!$C$7:$AD$997,27,FALSE)-VLOOKUP($C57,'[2]2.행정구역별 급수인구'!$C$7:$AD$997,27,FALSE)*(1-$E57),0)),VLOOKUP($C57,'[2]2.행정구역별 급수인구'!$C$7:$AD$997,27,FALSE))))</f>
        <v>0</v>
      </c>
      <c r="K57" s="383">
        <f>IF($AA$3=0,0,IF($D57="A",ROUND(VLOOKUP($C57,'[2]2.행정구역별 급수인구'!$C$7:$AD$997,28,FALSE)*$E57,0),IF($D57="B",(ROUND(VLOOKUP($C57,'[2]2.행정구역별 급수인구'!$C$7:$AD$997,28,FALSE)-VLOOKUP($C57,'[2]2.행정구역별 급수인구'!$C$7:$AD$997,28,FALSE)*(1-$E57),0)),VLOOKUP($C57,'[2]2.행정구역별 급수인구'!$C$7:$AD$997,28,FALSE))))</f>
        <v>0</v>
      </c>
      <c r="L57" s="383">
        <f>VLOOKUP($F57,'[3]5.급수원단위'!$B$31:$G$35,2,FALSE)</f>
        <v>272</v>
      </c>
      <c r="M57" s="383">
        <f>VLOOKUP($F57,'[3]5.급수원단위'!$B$31:$G$35,3,FALSE)</f>
        <v>304</v>
      </c>
      <c r="N57" s="383">
        <f>VLOOKUP($F57,'[3]5.급수원단위'!$B$31:$G$35,4,FALSE)</f>
        <v>308</v>
      </c>
      <c r="O57" s="383">
        <f>VLOOKUP($F57,'[3]5.급수원단위'!$B$31:$G$35,5,FALSE)</f>
        <v>310</v>
      </c>
      <c r="P57" s="383">
        <f>VLOOKUP($F57,'[3]5.급수원단위'!$B$31:$G$35,6,FALSE)</f>
        <v>310</v>
      </c>
      <c r="Q57" s="302">
        <f>ROUND(IF(G57=0,0,VLOOKUP(C57,'2013실사용량 정리'!$D$6:$F$381,3,FALSE)),0)</f>
        <v>0</v>
      </c>
      <c r="R57" s="383">
        <f t="shared" si="11"/>
        <v>0</v>
      </c>
      <c r="S57" s="383">
        <f t="shared" si="11"/>
        <v>0</v>
      </c>
      <c r="T57" s="383">
        <f t="shared" si="11"/>
        <v>0</v>
      </c>
      <c r="U57" s="383">
        <f t="shared" si="11"/>
        <v>0</v>
      </c>
      <c r="V57" s="327" t="s">
        <v>2450</v>
      </c>
      <c r="W57" s="343" t="str">
        <f t="shared" si="7"/>
        <v/>
      </c>
    </row>
    <row r="58" spans="1:23" ht="20.100000000000001" customHeight="1">
      <c r="A58" s="340"/>
      <c r="B58" s="421"/>
      <c r="C58" s="380" t="s">
        <v>1705</v>
      </c>
      <c r="D58" s="381" t="s">
        <v>1299</v>
      </c>
      <c r="E58" s="382">
        <v>0</v>
      </c>
      <c r="F58" s="382" t="s">
        <v>1317</v>
      </c>
      <c r="G58" s="383">
        <f>IF($AA$3=0,0,IF($D58="A",ROUND(VLOOKUP($C58,'[2]2.행정구역별 급수인구'!$C$7:$AD$997,17,FALSE)*$E58,0),IF($D58="B",(ROUND(VLOOKUP($C58,'[2]2.행정구역별 급수인구'!$C$7:$AD$997,17,FALSE)-VLOOKUP($C58,'[2]2.행정구역별 급수인구'!$C$7:$AD$997,17,FALSE)*(1-$E58),0)),VLOOKUP($C58,'[2]2.행정구역별 급수인구'!$C$7:$AD$997,17,FALSE))))</f>
        <v>0</v>
      </c>
      <c r="H58" s="383">
        <f>IF($AA$3=0,0,IF($D58="A",ROUND(VLOOKUP($C58,'[2]2.행정구역별 급수인구'!$C$7:$AD$997,25,FALSE)*$E58,0),IF($D58="B",(ROUND(VLOOKUP($C58,'[2]2.행정구역별 급수인구'!$C$7:$AD$997,25,FALSE)-VLOOKUP($C58,'[2]2.행정구역별 급수인구'!$C$7:$AD$997,25,FALSE)*(1-$E58),0)),VLOOKUP($C58,'[2]2.행정구역별 급수인구'!$C$7:$AD$997,25,FALSE))))</f>
        <v>0</v>
      </c>
      <c r="I58" s="383">
        <f>IF($AA$3=0,0,IF($D58="A",ROUND(VLOOKUP($C58,'[2]2.행정구역별 급수인구'!$C$7:$AD$997,26,FALSE)*$E58,0),IF($D58="B",(ROUND(VLOOKUP($C58,'[2]2.행정구역별 급수인구'!$C$7:$AD$997,26,FALSE)-VLOOKUP($C58,'[2]2.행정구역별 급수인구'!$C$7:$AD$997,26,FALSE)*(1-$E58),0)),VLOOKUP($C58,'[2]2.행정구역별 급수인구'!$C$7:$AD$997,26,FALSE))))</f>
        <v>0</v>
      </c>
      <c r="J58" s="383">
        <f>IF($AA$3=0,0,IF($D58="A",ROUND(VLOOKUP($C58,'[2]2.행정구역별 급수인구'!$C$7:$AD$997,27,FALSE)*$E58,0),IF($D58="B",(ROUND(VLOOKUP($C58,'[2]2.행정구역별 급수인구'!$C$7:$AD$997,27,FALSE)-VLOOKUP($C58,'[2]2.행정구역별 급수인구'!$C$7:$AD$997,27,FALSE)*(1-$E58),0)),VLOOKUP($C58,'[2]2.행정구역별 급수인구'!$C$7:$AD$997,27,FALSE))))</f>
        <v>0</v>
      </c>
      <c r="K58" s="383">
        <f>IF($AA$3=0,0,IF($D58="A",ROUND(VLOOKUP($C58,'[2]2.행정구역별 급수인구'!$C$7:$AD$997,28,FALSE)*$E58,0),IF($D58="B",(ROUND(VLOOKUP($C58,'[2]2.행정구역별 급수인구'!$C$7:$AD$997,28,FALSE)-VLOOKUP($C58,'[2]2.행정구역별 급수인구'!$C$7:$AD$997,28,FALSE)*(1-$E58),0)),VLOOKUP($C58,'[2]2.행정구역별 급수인구'!$C$7:$AD$997,28,FALSE))))</f>
        <v>0</v>
      </c>
      <c r="L58" s="383">
        <f>VLOOKUP($F58,'[3]5.급수원단위'!$B$31:$G$35,2,FALSE)</f>
        <v>272</v>
      </c>
      <c r="M58" s="383">
        <f>VLOOKUP($F58,'[3]5.급수원단위'!$B$31:$G$35,3,FALSE)</f>
        <v>304</v>
      </c>
      <c r="N58" s="383">
        <f>VLOOKUP($F58,'[3]5.급수원단위'!$B$31:$G$35,4,FALSE)</f>
        <v>308</v>
      </c>
      <c r="O58" s="383">
        <f>VLOOKUP($F58,'[3]5.급수원단위'!$B$31:$G$35,5,FALSE)</f>
        <v>310</v>
      </c>
      <c r="P58" s="383">
        <f>VLOOKUP($F58,'[3]5.급수원단위'!$B$31:$G$35,6,FALSE)</f>
        <v>310</v>
      </c>
      <c r="Q58" s="302">
        <f>ROUND(IF(G58=0,0,VLOOKUP(C58,'2013실사용량 정리'!$D$6:$F$381,3,FALSE)),0)</f>
        <v>0</v>
      </c>
      <c r="R58" s="383">
        <f t="shared" si="11"/>
        <v>0</v>
      </c>
      <c r="S58" s="383">
        <f t="shared" si="11"/>
        <v>0</v>
      </c>
      <c r="T58" s="383">
        <f t="shared" si="11"/>
        <v>0</v>
      </c>
      <c r="U58" s="383">
        <f t="shared" si="11"/>
        <v>0</v>
      </c>
      <c r="V58" s="327" t="s">
        <v>2450</v>
      </c>
      <c r="W58" s="343" t="str">
        <f t="shared" si="7"/>
        <v/>
      </c>
    </row>
    <row r="59" spans="1:23" ht="20.100000000000001" customHeight="1">
      <c r="A59" s="340"/>
      <c r="B59" s="421"/>
      <c r="C59" s="380" t="s">
        <v>1706</v>
      </c>
      <c r="D59" s="381" t="s">
        <v>1299</v>
      </c>
      <c r="E59" s="382">
        <v>0</v>
      </c>
      <c r="F59" s="382" t="s">
        <v>1317</v>
      </c>
      <c r="G59" s="383">
        <f>IF($AA$3=0,0,IF($D59="A",ROUND(VLOOKUP($C59,'[2]2.행정구역별 급수인구'!$C$7:$AD$997,17,FALSE)*$E59,0),IF($D59="B",(ROUND(VLOOKUP($C59,'[2]2.행정구역별 급수인구'!$C$7:$AD$997,17,FALSE)-VLOOKUP($C59,'[2]2.행정구역별 급수인구'!$C$7:$AD$997,17,FALSE)*(1-$E59),0)),VLOOKUP($C59,'[2]2.행정구역별 급수인구'!$C$7:$AD$997,17,FALSE))))</f>
        <v>0</v>
      </c>
      <c r="H59" s="383">
        <f>IF($AA$3=0,0,IF($D59="A",ROUND(VLOOKUP($C59,'[2]2.행정구역별 급수인구'!$C$7:$AD$997,25,FALSE)*$E59,0),IF($D59="B",(ROUND(VLOOKUP($C59,'[2]2.행정구역별 급수인구'!$C$7:$AD$997,25,FALSE)-VLOOKUP($C59,'[2]2.행정구역별 급수인구'!$C$7:$AD$997,25,FALSE)*(1-$E59),0)),VLOOKUP($C59,'[2]2.행정구역별 급수인구'!$C$7:$AD$997,25,FALSE))))</f>
        <v>0</v>
      </c>
      <c r="I59" s="383">
        <f>IF($AA$3=0,0,IF($D59="A",ROUND(VLOOKUP($C59,'[2]2.행정구역별 급수인구'!$C$7:$AD$997,26,FALSE)*$E59,0),IF($D59="B",(ROUND(VLOOKUP($C59,'[2]2.행정구역별 급수인구'!$C$7:$AD$997,26,FALSE)-VLOOKUP($C59,'[2]2.행정구역별 급수인구'!$C$7:$AD$997,26,FALSE)*(1-$E59),0)),VLOOKUP($C59,'[2]2.행정구역별 급수인구'!$C$7:$AD$997,26,FALSE))))</f>
        <v>0</v>
      </c>
      <c r="J59" s="383">
        <f>IF($AA$3=0,0,IF($D59="A",ROUND(VLOOKUP($C59,'[2]2.행정구역별 급수인구'!$C$7:$AD$997,27,FALSE)*$E59,0),IF($D59="B",(ROUND(VLOOKUP($C59,'[2]2.행정구역별 급수인구'!$C$7:$AD$997,27,FALSE)-VLOOKUP($C59,'[2]2.행정구역별 급수인구'!$C$7:$AD$997,27,FALSE)*(1-$E59),0)),VLOOKUP($C59,'[2]2.행정구역별 급수인구'!$C$7:$AD$997,27,FALSE))))</f>
        <v>0</v>
      </c>
      <c r="K59" s="383">
        <f>IF($AA$3=0,0,IF($D59="A",ROUND(VLOOKUP($C59,'[2]2.행정구역별 급수인구'!$C$7:$AD$997,28,FALSE)*$E59,0),IF($D59="B",(ROUND(VLOOKUP($C59,'[2]2.행정구역별 급수인구'!$C$7:$AD$997,28,FALSE)-VLOOKUP($C59,'[2]2.행정구역별 급수인구'!$C$7:$AD$997,28,FALSE)*(1-$E59),0)),VLOOKUP($C59,'[2]2.행정구역별 급수인구'!$C$7:$AD$997,28,FALSE))))</f>
        <v>0</v>
      </c>
      <c r="L59" s="383">
        <f>VLOOKUP($F59,'[3]5.급수원단위'!$B$31:$G$35,2,FALSE)</f>
        <v>272</v>
      </c>
      <c r="M59" s="383">
        <f>VLOOKUP($F59,'[3]5.급수원단위'!$B$31:$G$35,3,FALSE)</f>
        <v>304</v>
      </c>
      <c r="N59" s="383">
        <f>VLOOKUP($F59,'[3]5.급수원단위'!$B$31:$G$35,4,FALSE)</f>
        <v>308</v>
      </c>
      <c r="O59" s="383">
        <f>VLOOKUP($F59,'[3]5.급수원단위'!$B$31:$G$35,5,FALSE)</f>
        <v>310</v>
      </c>
      <c r="P59" s="383">
        <f>VLOOKUP($F59,'[3]5.급수원단위'!$B$31:$G$35,6,FALSE)</f>
        <v>310</v>
      </c>
      <c r="Q59" s="302">
        <f>ROUND(IF(G59=0,0,VLOOKUP(C59,'2013실사용량 정리'!$D$6:$F$381,3,FALSE)),0)</f>
        <v>0</v>
      </c>
      <c r="R59" s="383">
        <f t="shared" si="11"/>
        <v>0</v>
      </c>
      <c r="S59" s="383">
        <f t="shared" si="11"/>
        <v>0</v>
      </c>
      <c r="T59" s="383">
        <f t="shared" si="11"/>
        <v>0</v>
      </c>
      <c r="U59" s="383">
        <f t="shared" si="11"/>
        <v>0</v>
      </c>
      <c r="V59" s="327" t="s">
        <v>2450</v>
      </c>
      <c r="W59" s="343" t="str">
        <f t="shared" si="7"/>
        <v/>
      </c>
    </row>
    <row r="60" spans="1:23" ht="20.100000000000001" customHeight="1">
      <c r="A60" s="340"/>
      <c r="B60" s="421"/>
      <c r="C60" s="380" t="s">
        <v>1707</v>
      </c>
      <c r="D60" s="381" t="s">
        <v>1299</v>
      </c>
      <c r="E60" s="382">
        <v>0</v>
      </c>
      <c r="F60" s="382" t="s">
        <v>1317</v>
      </c>
      <c r="G60" s="383">
        <f>IF($AA$3=0,0,IF($D60="A",ROUND(VLOOKUP($C60,'[2]2.행정구역별 급수인구'!$C$7:$AD$997,17,FALSE)*$E60,0),IF($D60="B",(ROUND(VLOOKUP($C60,'[2]2.행정구역별 급수인구'!$C$7:$AD$997,17,FALSE)-VLOOKUP($C60,'[2]2.행정구역별 급수인구'!$C$7:$AD$997,17,FALSE)*(1-$E60),0)),VLOOKUP($C60,'[2]2.행정구역별 급수인구'!$C$7:$AD$997,17,FALSE))))</f>
        <v>0</v>
      </c>
      <c r="H60" s="383">
        <f>IF($AA$3=0,0,IF($D60="A",ROUND(VLOOKUP($C60,'[2]2.행정구역별 급수인구'!$C$7:$AD$997,25,FALSE)*$E60,0),IF($D60="B",(ROUND(VLOOKUP($C60,'[2]2.행정구역별 급수인구'!$C$7:$AD$997,25,FALSE)-VLOOKUP($C60,'[2]2.행정구역별 급수인구'!$C$7:$AD$997,25,FALSE)*(1-$E60),0)),VLOOKUP($C60,'[2]2.행정구역별 급수인구'!$C$7:$AD$997,25,FALSE))))</f>
        <v>0</v>
      </c>
      <c r="I60" s="383">
        <f>IF($AA$3=0,0,IF($D60="A",ROUND(VLOOKUP($C60,'[2]2.행정구역별 급수인구'!$C$7:$AD$997,26,FALSE)*$E60,0),IF($D60="B",(ROUND(VLOOKUP($C60,'[2]2.행정구역별 급수인구'!$C$7:$AD$997,26,FALSE)-VLOOKUP($C60,'[2]2.행정구역별 급수인구'!$C$7:$AD$997,26,FALSE)*(1-$E60),0)),VLOOKUP($C60,'[2]2.행정구역별 급수인구'!$C$7:$AD$997,26,FALSE))))</f>
        <v>0</v>
      </c>
      <c r="J60" s="383">
        <f>IF($AA$3=0,0,IF($D60="A",ROUND(VLOOKUP($C60,'[2]2.행정구역별 급수인구'!$C$7:$AD$997,27,FALSE)*$E60,0),IF($D60="B",(ROUND(VLOOKUP($C60,'[2]2.행정구역별 급수인구'!$C$7:$AD$997,27,FALSE)-VLOOKUP($C60,'[2]2.행정구역별 급수인구'!$C$7:$AD$997,27,FALSE)*(1-$E60),0)),VLOOKUP($C60,'[2]2.행정구역별 급수인구'!$C$7:$AD$997,27,FALSE))))</f>
        <v>0</v>
      </c>
      <c r="K60" s="383">
        <f>IF($AA$3=0,0,IF($D60="A",ROUND(VLOOKUP($C60,'[2]2.행정구역별 급수인구'!$C$7:$AD$997,28,FALSE)*$E60,0),IF($D60="B",(ROUND(VLOOKUP($C60,'[2]2.행정구역별 급수인구'!$C$7:$AD$997,28,FALSE)-VLOOKUP($C60,'[2]2.행정구역별 급수인구'!$C$7:$AD$997,28,FALSE)*(1-$E60),0)),VLOOKUP($C60,'[2]2.행정구역별 급수인구'!$C$7:$AD$997,28,FALSE))))</f>
        <v>0</v>
      </c>
      <c r="L60" s="383">
        <f>VLOOKUP($F60,'[3]5.급수원단위'!$B$31:$G$35,2,FALSE)</f>
        <v>272</v>
      </c>
      <c r="M60" s="383">
        <f>VLOOKUP($F60,'[3]5.급수원단위'!$B$31:$G$35,3,FALSE)</f>
        <v>304</v>
      </c>
      <c r="N60" s="383">
        <f>VLOOKUP($F60,'[3]5.급수원단위'!$B$31:$G$35,4,FALSE)</f>
        <v>308</v>
      </c>
      <c r="O60" s="383">
        <f>VLOOKUP($F60,'[3]5.급수원단위'!$B$31:$G$35,5,FALSE)</f>
        <v>310</v>
      </c>
      <c r="P60" s="383">
        <f>VLOOKUP($F60,'[3]5.급수원단위'!$B$31:$G$35,6,FALSE)</f>
        <v>310</v>
      </c>
      <c r="Q60" s="302">
        <f>ROUND(IF(G60=0,0,VLOOKUP(C60,'2013실사용량 정리'!$D$6:$F$381,3,FALSE)),0)</f>
        <v>0</v>
      </c>
      <c r="R60" s="383">
        <f t="shared" si="11"/>
        <v>0</v>
      </c>
      <c r="S60" s="383">
        <f t="shared" si="11"/>
        <v>0</v>
      </c>
      <c r="T60" s="383">
        <f t="shared" si="11"/>
        <v>0</v>
      </c>
      <c r="U60" s="383">
        <f t="shared" si="11"/>
        <v>0</v>
      </c>
      <c r="V60" s="327" t="s">
        <v>2450</v>
      </c>
      <c r="W60" s="343" t="str">
        <f t="shared" si="7"/>
        <v/>
      </c>
    </row>
    <row r="61" spans="1:23" ht="20.100000000000001" customHeight="1">
      <c r="A61" s="340"/>
      <c r="B61" s="421"/>
      <c r="C61" s="380" t="s">
        <v>1708</v>
      </c>
      <c r="D61" s="381" t="s">
        <v>1299</v>
      </c>
      <c r="E61" s="382">
        <v>0</v>
      </c>
      <c r="F61" s="382" t="s">
        <v>1317</v>
      </c>
      <c r="G61" s="383">
        <f>IF($AA$3=0,0,IF($D61="A",ROUND(VLOOKUP($C61,'[2]2.행정구역별 급수인구'!$C$7:$AD$997,17,FALSE)*$E61,0),IF($D61="B",(ROUND(VLOOKUP($C61,'[2]2.행정구역별 급수인구'!$C$7:$AD$997,17,FALSE)-VLOOKUP($C61,'[2]2.행정구역별 급수인구'!$C$7:$AD$997,17,FALSE)*(1-$E61),0)),VLOOKUP($C61,'[2]2.행정구역별 급수인구'!$C$7:$AD$997,17,FALSE))))</f>
        <v>0</v>
      </c>
      <c r="H61" s="383">
        <f>IF($AA$3=0,0,IF($D61="A",ROUND(VLOOKUP($C61,'[2]2.행정구역별 급수인구'!$C$7:$AD$997,25,FALSE)*$E61,0),IF($D61="B",(ROUND(VLOOKUP($C61,'[2]2.행정구역별 급수인구'!$C$7:$AD$997,25,FALSE)-VLOOKUP($C61,'[2]2.행정구역별 급수인구'!$C$7:$AD$997,25,FALSE)*(1-$E61),0)),VLOOKUP($C61,'[2]2.행정구역별 급수인구'!$C$7:$AD$997,25,FALSE))))</f>
        <v>0</v>
      </c>
      <c r="I61" s="383">
        <f>IF($AA$3=0,0,IF($D61="A",ROUND(VLOOKUP($C61,'[2]2.행정구역별 급수인구'!$C$7:$AD$997,26,FALSE)*$E61,0),IF($D61="B",(ROUND(VLOOKUP($C61,'[2]2.행정구역별 급수인구'!$C$7:$AD$997,26,FALSE)-VLOOKUP($C61,'[2]2.행정구역별 급수인구'!$C$7:$AD$997,26,FALSE)*(1-$E61),0)),VLOOKUP($C61,'[2]2.행정구역별 급수인구'!$C$7:$AD$997,26,FALSE))))</f>
        <v>0</v>
      </c>
      <c r="J61" s="383">
        <f>IF($AA$3=0,0,IF($D61="A",ROUND(VLOOKUP($C61,'[2]2.행정구역별 급수인구'!$C$7:$AD$997,27,FALSE)*$E61,0),IF($D61="B",(ROUND(VLOOKUP($C61,'[2]2.행정구역별 급수인구'!$C$7:$AD$997,27,FALSE)-VLOOKUP($C61,'[2]2.행정구역별 급수인구'!$C$7:$AD$997,27,FALSE)*(1-$E61),0)),VLOOKUP($C61,'[2]2.행정구역별 급수인구'!$C$7:$AD$997,27,FALSE))))</f>
        <v>0</v>
      </c>
      <c r="K61" s="383">
        <f>IF($AA$3=0,0,IF($D61="A",ROUND(VLOOKUP($C61,'[2]2.행정구역별 급수인구'!$C$7:$AD$997,28,FALSE)*$E61,0),IF($D61="B",(ROUND(VLOOKUP($C61,'[2]2.행정구역별 급수인구'!$C$7:$AD$997,28,FALSE)-VLOOKUP($C61,'[2]2.행정구역별 급수인구'!$C$7:$AD$997,28,FALSE)*(1-$E61),0)),VLOOKUP($C61,'[2]2.행정구역별 급수인구'!$C$7:$AD$997,28,FALSE))))</f>
        <v>0</v>
      </c>
      <c r="L61" s="383">
        <f>VLOOKUP($F61,'[3]5.급수원단위'!$B$31:$G$35,2,FALSE)</f>
        <v>272</v>
      </c>
      <c r="M61" s="383">
        <f>VLOOKUP($F61,'[3]5.급수원단위'!$B$31:$G$35,3,FALSE)</f>
        <v>304</v>
      </c>
      <c r="N61" s="383">
        <f>VLOOKUP($F61,'[3]5.급수원단위'!$B$31:$G$35,4,FALSE)</f>
        <v>308</v>
      </c>
      <c r="O61" s="383">
        <f>VLOOKUP($F61,'[3]5.급수원단위'!$B$31:$G$35,5,FALSE)</f>
        <v>310</v>
      </c>
      <c r="P61" s="383">
        <f>VLOOKUP($F61,'[3]5.급수원단위'!$B$31:$G$35,6,FALSE)</f>
        <v>310</v>
      </c>
      <c r="Q61" s="302">
        <f>ROUND(IF(G61=0,0,VLOOKUP(C61,'2013실사용량 정리'!$D$6:$F$381,3,FALSE)),0)</f>
        <v>0</v>
      </c>
      <c r="R61" s="383">
        <f t="shared" si="11"/>
        <v>0</v>
      </c>
      <c r="S61" s="383">
        <f t="shared" si="11"/>
        <v>0</v>
      </c>
      <c r="T61" s="383">
        <f t="shared" si="11"/>
        <v>0</v>
      </c>
      <c r="U61" s="383">
        <f t="shared" si="11"/>
        <v>0</v>
      </c>
      <c r="V61" s="327" t="s">
        <v>2450</v>
      </c>
      <c r="W61" s="343" t="str">
        <f t="shared" si="7"/>
        <v/>
      </c>
    </row>
    <row r="62" spans="1:23" ht="20.100000000000001" customHeight="1">
      <c r="A62" s="340"/>
      <c r="B62" s="421"/>
      <c r="C62" s="380" t="s">
        <v>1709</v>
      </c>
      <c r="D62" s="381" t="s">
        <v>1299</v>
      </c>
      <c r="E62" s="382">
        <v>0</v>
      </c>
      <c r="F62" s="382" t="s">
        <v>1317</v>
      </c>
      <c r="G62" s="383">
        <f>IF($AA$3=0,0,IF($D62="A",ROUND(VLOOKUP($C62,'[2]2.행정구역별 급수인구'!$C$7:$AD$997,17,FALSE)*$E62,0),IF($D62="B",(ROUND(VLOOKUP($C62,'[2]2.행정구역별 급수인구'!$C$7:$AD$997,17,FALSE)-VLOOKUP($C62,'[2]2.행정구역별 급수인구'!$C$7:$AD$997,17,FALSE)*(1-$E62),0)),VLOOKUP($C62,'[2]2.행정구역별 급수인구'!$C$7:$AD$997,17,FALSE))))</f>
        <v>0</v>
      </c>
      <c r="H62" s="383">
        <f>IF($AA$3=0,0,IF($D62="A",ROUND(VLOOKUP($C62,'[2]2.행정구역별 급수인구'!$C$7:$AD$997,25,FALSE)*$E62,0),IF($D62="B",(ROUND(VLOOKUP($C62,'[2]2.행정구역별 급수인구'!$C$7:$AD$997,25,FALSE)-VLOOKUP($C62,'[2]2.행정구역별 급수인구'!$C$7:$AD$997,25,FALSE)*(1-$E62),0)),VLOOKUP($C62,'[2]2.행정구역별 급수인구'!$C$7:$AD$997,25,FALSE))))</f>
        <v>0</v>
      </c>
      <c r="I62" s="383">
        <f>IF($AA$3=0,0,IF($D62="A",ROUND(VLOOKUP($C62,'[2]2.행정구역별 급수인구'!$C$7:$AD$997,26,FALSE)*$E62,0),IF($D62="B",(ROUND(VLOOKUP($C62,'[2]2.행정구역별 급수인구'!$C$7:$AD$997,26,FALSE)-VLOOKUP($C62,'[2]2.행정구역별 급수인구'!$C$7:$AD$997,26,FALSE)*(1-$E62),0)),VLOOKUP($C62,'[2]2.행정구역별 급수인구'!$C$7:$AD$997,26,FALSE))))</f>
        <v>0</v>
      </c>
      <c r="J62" s="383">
        <f>IF($AA$3=0,0,IF($D62="A",ROUND(VLOOKUP($C62,'[2]2.행정구역별 급수인구'!$C$7:$AD$997,27,FALSE)*$E62,0),IF($D62="B",(ROUND(VLOOKUP($C62,'[2]2.행정구역별 급수인구'!$C$7:$AD$997,27,FALSE)-VLOOKUP($C62,'[2]2.행정구역별 급수인구'!$C$7:$AD$997,27,FALSE)*(1-$E62),0)),VLOOKUP($C62,'[2]2.행정구역별 급수인구'!$C$7:$AD$997,27,FALSE))))</f>
        <v>0</v>
      </c>
      <c r="K62" s="383">
        <f>IF($AA$3=0,0,IF($D62="A",ROUND(VLOOKUP($C62,'[2]2.행정구역별 급수인구'!$C$7:$AD$997,28,FALSE)*$E62,0),IF($D62="B",(ROUND(VLOOKUP($C62,'[2]2.행정구역별 급수인구'!$C$7:$AD$997,28,FALSE)-VLOOKUP($C62,'[2]2.행정구역별 급수인구'!$C$7:$AD$997,28,FALSE)*(1-$E62),0)),VLOOKUP($C62,'[2]2.행정구역별 급수인구'!$C$7:$AD$997,28,FALSE))))</f>
        <v>0</v>
      </c>
      <c r="L62" s="383">
        <f>VLOOKUP($F62,'[3]5.급수원단위'!$B$31:$G$35,2,FALSE)</f>
        <v>272</v>
      </c>
      <c r="M62" s="383">
        <f>VLOOKUP($F62,'[3]5.급수원단위'!$B$31:$G$35,3,FALSE)</f>
        <v>304</v>
      </c>
      <c r="N62" s="383">
        <f>VLOOKUP($F62,'[3]5.급수원단위'!$B$31:$G$35,4,FALSE)</f>
        <v>308</v>
      </c>
      <c r="O62" s="383">
        <f>VLOOKUP($F62,'[3]5.급수원단위'!$B$31:$G$35,5,FALSE)</f>
        <v>310</v>
      </c>
      <c r="P62" s="383">
        <f>VLOOKUP($F62,'[3]5.급수원단위'!$B$31:$G$35,6,FALSE)</f>
        <v>310</v>
      </c>
      <c r="Q62" s="302">
        <f>ROUND(IF(G62=0,0,VLOOKUP(C62,'2013실사용량 정리'!$D$6:$F$381,3,FALSE)),0)</f>
        <v>0</v>
      </c>
      <c r="R62" s="383">
        <f t="shared" si="11"/>
        <v>0</v>
      </c>
      <c r="S62" s="383">
        <f t="shared" si="11"/>
        <v>0</v>
      </c>
      <c r="T62" s="383">
        <f t="shared" si="11"/>
        <v>0</v>
      </c>
      <c r="U62" s="383">
        <f t="shared" si="11"/>
        <v>0</v>
      </c>
      <c r="V62" s="327" t="s">
        <v>2450</v>
      </c>
      <c r="W62" s="343" t="str">
        <f t="shared" si="7"/>
        <v/>
      </c>
    </row>
    <row r="63" spans="1:23" ht="20.100000000000001" customHeight="1">
      <c r="A63" s="340"/>
      <c r="B63" s="421"/>
      <c r="C63" s="380" t="s">
        <v>1710</v>
      </c>
      <c r="D63" s="381" t="s">
        <v>1299</v>
      </c>
      <c r="E63" s="382">
        <v>0</v>
      </c>
      <c r="F63" s="382" t="s">
        <v>1317</v>
      </c>
      <c r="G63" s="383">
        <f>IF($AA$3=0,0,IF($D63="A",ROUND(VLOOKUP($C63,'[2]2.행정구역별 급수인구'!$C$7:$AD$997,17,FALSE)*$E63,0),IF($D63="B",(ROUND(VLOOKUP($C63,'[2]2.행정구역별 급수인구'!$C$7:$AD$997,17,FALSE)-VLOOKUP($C63,'[2]2.행정구역별 급수인구'!$C$7:$AD$997,17,FALSE)*(1-$E63),0)),VLOOKUP($C63,'[2]2.행정구역별 급수인구'!$C$7:$AD$997,17,FALSE))))</f>
        <v>0</v>
      </c>
      <c r="H63" s="383">
        <f>IF($AA$3=0,0,IF($D63="A",ROUND(VLOOKUP($C63,'[2]2.행정구역별 급수인구'!$C$7:$AD$997,25,FALSE)*$E63,0),IF($D63="B",(ROUND(VLOOKUP($C63,'[2]2.행정구역별 급수인구'!$C$7:$AD$997,25,FALSE)-VLOOKUP($C63,'[2]2.행정구역별 급수인구'!$C$7:$AD$997,25,FALSE)*(1-$E63),0)),VLOOKUP($C63,'[2]2.행정구역별 급수인구'!$C$7:$AD$997,25,FALSE))))</f>
        <v>0</v>
      </c>
      <c r="I63" s="383">
        <f>IF($AA$3=0,0,IF($D63="A",ROUND(VLOOKUP($C63,'[2]2.행정구역별 급수인구'!$C$7:$AD$997,26,FALSE)*$E63,0),IF($D63="B",(ROUND(VLOOKUP($C63,'[2]2.행정구역별 급수인구'!$C$7:$AD$997,26,FALSE)-VLOOKUP($C63,'[2]2.행정구역별 급수인구'!$C$7:$AD$997,26,FALSE)*(1-$E63),0)),VLOOKUP($C63,'[2]2.행정구역별 급수인구'!$C$7:$AD$997,26,FALSE))))</f>
        <v>0</v>
      </c>
      <c r="J63" s="383">
        <f>IF($AA$3=0,0,IF($D63="A",ROUND(VLOOKUP($C63,'[2]2.행정구역별 급수인구'!$C$7:$AD$997,27,FALSE)*$E63,0),IF($D63="B",(ROUND(VLOOKUP($C63,'[2]2.행정구역별 급수인구'!$C$7:$AD$997,27,FALSE)-VLOOKUP($C63,'[2]2.행정구역별 급수인구'!$C$7:$AD$997,27,FALSE)*(1-$E63),0)),VLOOKUP($C63,'[2]2.행정구역별 급수인구'!$C$7:$AD$997,27,FALSE))))</f>
        <v>0</v>
      </c>
      <c r="K63" s="383">
        <f>IF($AA$3=0,0,IF($D63="A",ROUND(VLOOKUP($C63,'[2]2.행정구역별 급수인구'!$C$7:$AD$997,28,FALSE)*$E63,0),IF($D63="B",(ROUND(VLOOKUP($C63,'[2]2.행정구역별 급수인구'!$C$7:$AD$997,28,FALSE)-VLOOKUP($C63,'[2]2.행정구역별 급수인구'!$C$7:$AD$997,28,FALSE)*(1-$E63),0)),VLOOKUP($C63,'[2]2.행정구역별 급수인구'!$C$7:$AD$997,28,FALSE))))</f>
        <v>0</v>
      </c>
      <c r="L63" s="383">
        <f>VLOOKUP($F63,'[3]5.급수원단위'!$B$31:$G$35,2,FALSE)</f>
        <v>272</v>
      </c>
      <c r="M63" s="383">
        <f>VLOOKUP($F63,'[3]5.급수원단위'!$B$31:$G$35,3,FALSE)</f>
        <v>304</v>
      </c>
      <c r="N63" s="383">
        <f>VLOOKUP($F63,'[3]5.급수원단위'!$B$31:$G$35,4,FALSE)</f>
        <v>308</v>
      </c>
      <c r="O63" s="383">
        <f>VLOOKUP($F63,'[3]5.급수원단위'!$B$31:$G$35,5,FALSE)</f>
        <v>310</v>
      </c>
      <c r="P63" s="383">
        <f>VLOOKUP($F63,'[3]5.급수원단위'!$B$31:$G$35,6,FALSE)</f>
        <v>310</v>
      </c>
      <c r="Q63" s="302">
        <f>ROUND(IF(G63=0,0,VLOOKUP(C63,'2013실사용량 정리'!$D$6:$F$381,3,FALSE)),0)</f>
        <v>0</v>
      </c>
      <c r="R63" s="383">
        <f t="shared" si="11"/>
        <v>0</v>
      </c>
      <c r="S63" s="383">
        <f t="shared" si="11"/>
        <v>0</v>
      </c>
      <c r="T63" s="383">
        <f t="shared" si="11"/>
        <v>0</v>
      </c>
      <c r="U63" s="383">
        <f t="shared" si="11"/>
        <v>0</v>
      </c>
      <c r="V63" s="327" t="s">
        <v>2450</v>
      </c>
      <c r="W63" s="343" t="str">
        <f t="shared" si="7"/>
        <v/>
      </c>
    </row>
    <row r="64" spans="1:23" ht="20.100000000000001" customHeight="1">
      <c r="A64" s="340"/>
      <c r="B64" s="421"/>
      <c r="C64" s="380" t="s">
        <v>1711</v>
      </c>
      <c r="D64" s="381" t="s">
        <v>1299</v>
      </c>
      <c r="E64" s="382">
        <v>0</v>
      </c>
      <c r="F64" s="382" t="s">
        <v>1317</v>
      </c>
      <c r="G64" s="383">
        <f>IF($AA$3=0,0,IF($D64="A",ROUND(VLOOKUP($C64,'[2]2.행정구역별 급수인구'!$C$7:$AD$997,17,FALSE)*$E64,0),IF($D64="B",(ROUND(VLOOKUP($C64,'[2]2.행정구역별 급수인구'!$C$7:$AD$997,17,FALSE)-VLOOKUP($C64,'[2]2.행정구역별 급수인구'!$C$7:$AD$997,17,FALSE)*(1-$E64),0)),VLOOKUP($C64,'[2]2.행정구역별 급수인구'!$C$7:$AD$997,17,FALSE))))</f>
        <v>0</v>
      </c>
      <c r="H64" s="383">
        <f>IF($AA$3=0,0,IF($D64="A",ROUND(VLOOKUP($C64,'[2]2.행정구역별 급수인구'!$C$7:$AD$997,25,FALSE)*$E64,0),IF($D64="B",(ROUND(VLOOKUP($C64,'[2]2.행정구역별 급수인구'!$C$7:$AD$997,25,FALSE)-VLOOKUP($C64,'[2]2.행정구역별 급수인구'!$C$7:$AD$997,25,FALSE)*(1-$E64),0)),VLOOKUP($C64,'[2]2.행정구역별 급수인구'!$C$7:$AD$997,25,FALSE))))</f>
        <v>0</v>
      </c>
      <c r="I64" s="383">
        <f>IF($AA$3=0,0,IF($D64="A",ROUND(VLOOKUP($C64,'[2]2.행정구역별 급수인구'!$C$7:$AD$997,26,FALSE)*$E64,0),IF($D64="B",(ROUND(VLOOKUP($C64,'[2]2.행정구역별 급수인구'!$C$7:$AD$997,26,FALSE)-VLOOKUP($C64,'[2]2.행정구역별 급수인구'!$C$7:$AD$997,26,FALSE)*(1-$E64),0)),VLOOKUP($C64,'[2]2.행정구역별 급수인구'!$C$7:$AD$997,26,FALSE))))</f>
        <v>0</v>
      </c>
      <c r="J64" s="383">
        <f>IF($AA$3=0,0,IF($D64="A",ROUND(VLOOKUP($C64,'[2]2.행정구역별 급수인구'!$C$7:$AD$997,27,FALSE)*$E64,0),IF($D64="B",(ROUND(VLOOKUP($C64,'[2]2.행정구역별 급수인구'!$C$7:$AD$997,27,FALSE)-VLOOKUP($C64,'[2]2.행정구역별 급수인구'!$C$7:$AD$997,27,FALSE)*(1-$E64),0)),VLOOKUP($C64,'[2]2.행정구역별 급수인구'!$C$7:$AD$997,27,FALSE))))</f>
        <v>0</v>
      </c>
      <c r="K64" s="383">
        <f>IF($AA$3=0,0,IF($D64="A",ROUND(VLOOKUP($C64,'[2]2.행정구역별 급수인구'!$C$7:$AD$997,28,FALSE)*$E64,0),IF($D64="B",(ROUND(VLOOKUP($C64,'[2]2.행정구역별 급수인구'!$C$7:$AD$997,28,FALSE)-VLOOKUP($C64,'[2]2.행정구역별 급수인구'!$C$7:$AD$997,28,FALSE)*(1-$E64),0)),VLOOKUP($C64,'[2]2.행정구역별 급수인구'!$C$7:$AD$997,28,FALSE))))</f>
        <v>0</v>
      </c>
      <c r="L64" s="383">
        <f>VLOOKUP($F64,'[3]5.급수원단위'!$B$31:$G$35,2,FALSE)</f>
        <v>272</v>
      </c>
      <c r="M64" s="383">
        <f>VLOOKUP($F64,'[3]5.급수원단위'!$B$31:$G$35,3,FALSE)</f>
        <v>304</v>
      </c>
      <c r="N64" s="383">
        <f>VLOOKUP($F64,'[3]5.급수원단위'!$B$31:$G$35,4,FALSE)</f>
        <v>308</v>
      </c>
      <c r="O64" s="383">
        <f>VLOOKUP($F64,'[3]5.급수원단위'!$B$31:$G$35,5,FALSE)</f>
        <v>310</v>
      </c>
      <c r="P64" s="383">
        <f>VLOOKUP($F64,'[3]5.급수원단위'!$B$31:$G$35,6,FALSE)</f>
        <v>310</v>
      </c>
      <c r="Q64" s="302">
        <f>ROUND(IF(G64=0,0,VLOOKUP(C64,'2013실사용량 정리'!$D$6:$F$381,3,FALSE)),0)</f>
        <v>0</v>
      </c>
      <c r="R64" s="383">
        <f t="shared" si="11"/>
        <v>0</v>
      </c>
      <c r="S64" s="383">
        <f t="shared" si="11"/>
        <v>0</v>
      </c>
      <c r="T64" s="383">
        <f t="shared" si="11"/>
        <v>0</v>
      </c>
      <c r="U64" s="383">
        <f t="shared" si="11"/>
        <v>0</v>
      </c>
      <c r="V64" s="327" t="s">
        <v>2450</v>
      </c>
      <c r="W64" s="343" t="str">
        <f t="shared" si="7"/>
        <v/>
      </c>
    </row>
    <row r="65" spans="1:23" ht="20.100000000000001" customHeight="1">
      <c r="A65" s="340"/>
      <c r="B65" s="421"/>
      <c r="C65" s="380" t="s">
        <v>1712</v>
      </c>
      <c r="D65" s="381" t="s">
        <v>1299</v>
      </c>
      <c r="E65" s="382">
        <v>0</v>
      </c>
      <c r="F65" s="382" t="s">
        <v>1317</v>
      </c>
      <c r="G65" s="383">
        <f>IF($AA$3=0,0,IF($D65="A",ROUND(VLOOKUP($C65,'[2]2.행정구역별 급수인구'!$C$7:$AD$997,17,FALSE)*$E65,0),IF($D65="B",(ROUND(VLOOKUP($C65,'[2]2.행정구역별 급수인구'!$C$7:$AD$997,17,FALSE)-VLOOKUP($C65,'[2]2.행정구역별 급수인구'!$C$7:$AD$997,17,FALSE)*(1-$E65),0)),VLOOKUP($C65,'[2]2.행정구역별 급수인구'!$C$7:$AD$997,17,FALSE))))</f>
        <v>0</v>
      </c>
      <c r="H65" s="383">
        <f>IF($AA$3=0,0,IF($D65="A",ROUND(VLOOKUP($C65,'[2]2.행정구역별 급수인구'!$C$7:$AD$997,25,FALSE)*$E65,0),IF($D65="B",(ROUND(VLOOKUP($C65,'[2]2.행정구역별 급수인구'!$C$7:$AD$997,25,FALSE)-VLOOKUP($C65,'[2]2.행정구역별 급수인구'!$C$7:$AD$997,25,FALSE)*(1-$E65),0)),VLOOKUP($C65,'[2]2.행정구역별 급수인구'!$C$7:$AD$997,25,FALSE))))</f>
        <v>0</v>
      </c>
      <c r="I65" s="383">
        <f>IF($AA$3=0,0,IF($D65="A",ROUND(VLOOKUP($C65,'[2]2.행정구역별 급수인구'!$C$7:$AD$997,26,FALSE)*$E65,0),IF($D65="B",(ROUND(VLOOKUP($C65,'[2]2.행정구역별 급수인구'!$C$7:$AD$997,26,FALSE)-VLOOKUP($C65,'[2]2.행정구역별 급수인구'!$C$7:$AD$997,26,FALSE)*(1-$E65),0)),VLOOKUP($C65,'[2]2.행정구역별 급수인구'!$C$7:$AD$997,26,FALSE))))</f>
        <v>0</v>
      </c>
      <c r="J65" s="383">
        <f>IF($AA$3=0,0,IF($D65="A",ROUND(VLOOKUP($C65,'[2]2.행정구역별 급수인구'!$C$7:$AD$997,27,FALSE)*$E65,0),IF($D65="B",(ROUND(VLOOKUP($C65,'[2]2.행정구역별 급수인구'!$C$7:$AD$997,27,FALSE)-VLOOKUP($C65,'[2]2.행정구역별 급수인구'!$C$7:$AD$997,27,FALSE)*(1-$E65),0)),VLOOKUP($C65,'[2]2.행정구역별 급수인구'!$C$7:$AD$997,27,FALSE))))</f>
        <v>0</v>
      </c>
      <c r="K65" s="383">
        <f>IF($AA$3=0,0,IF($D65="A",ROUND(VLOOKUP($C65,'[2]2.행정구역별 급수인구'!$C$7:$AD$997,28,FALSE)*$E65,0),IF($D65="B",(ROUND(VLOOKUP($C65,'[2]2.행정구역별 급수인구'!$C$7:$AD$997,28,FALSE)-VLOOKUP($C65,'[2]2.행정구역별 급수인구'!$C$7:$AD$997,28,FALSE)*(1-$E65),0)),VLOOKUP($C65,'[2]2.행정구역별 급수인구'!$C$7:$AD$997,28,FALSE))))</f>
        <v>0</v>
      </c>
      <c r="L65" s="383">
        <f>VLOOKUP($F65,'[3]5.급수원단위'!$B$31:$G$35,2,FALSE)</f>
        <v>272</v>
      </c>
      <c r="M65" s="383">
        <f>VLOOKUP($F65,'[3]5.급수원단위'!$B$31:$G$35,3,FALSE)</f>
        <v>304</v>
      </c>
      <c r="N65" s="383">
        <f>VLOOKUP($F65,'[3]5.급수원단위'!$B$31:$G$35,4,FALSE)</f>
        <v>308</v>
      </c>
      <c r="O65" s="383">
        <f>VLOOKUP($F65,'[3]5.급수원단위'!$B$31:$G$35,5,FALSE)</f>
        <v>310</v>
      </c>
      <c r="P65" s="383">
        <f>VLOOKUP($F65,'[3]5.급수원단위'!$B$31:$G$35,6,FALSE)</f>
        <v>310</v>
      </c>
      <c r="Q65" s="302">
        <f>ROUND(IF(G65=0,0,VLOOKUP(C65,'2013실사용량 정리'!$D$6:$F$381,3,FALSE)),0)</f>
        <v>0</v>
      </c>
      <c r="R65" s="383">
        <f t="shared" si="11"/>
        <v>0</v>
      </c>
      <c r="S65" s="383">
        <f t="shared" si="11"/>
        <v>0</v>
      </c>
      <c r="T65" s="383">
        <f t="shared" si="11"/>
        <v>0</v>
      </c>
      <c r="U65" s="383">
        <f t="shared" si="11"/>
        <v>0</v>
      </c>
      <c r="V65" s="327" t="s">
        <v>2450</v>
      </c>
      <c r="W65" s="343" t="str">
        <f t="shared" si="7"/>
        <v/>
      </c>
    </row>
    <row r="66" spans="1:23" ht="20.100000000000001" customHeight="1">
      <c r="A66" s="340"/>
      <c r="B66" s="421"/>
      <c r="C66" s="380" t="s">
        <v>1713</v>
      </c>
      <c r="D66" s="381" t="s">
        <v>1299</v>
      </c>
      <c r="E66" s="382">
        <v>0</v>
      </c>
      <c r="F66" s="382" t="s">
        <v>1317</v>
      </c>
      <c r="G66" s="383">
        <f>IF($AA$3=0,0,IF($D66="A",ROUND(VLOOKUP($C66,'[2]2.행정구역별 급수인구'!$C$7:$AD$997,17,FALSE)*$E66,0),IF($D66="B",(ROUND(VLOOKUP($C66,'[2]2.행정구역별 급수인구'!$C$7:$AD$997,17,FALSE)-VLOOKUP($C66,'[2]2.행정구역별 급수인구'!$C$7:$AD$997,17,FALSE)*(1-$E66),0)),VLOOKUP($C66,'[2]2.행정구역별 급수인구'!$C$7:$AD$997,17,FALSE))))</f>
        <v>0</v>
      </c>
      <c r="H66" s="383">
        <f>IF($AA$3=0,0,IF($D66="A",ROUND(VLOOKUP($C66,'[2]2.행정구역별 급수인구'!$C$7:$AD$997,25,FALSE)*$E66,0),IF($D66="B",(ROUND(VLOOKUP($C66,'[2]2.행정구역별 급수인구'!$C$7:$AD$997,25,FALSE)-VLOOKUP($C66,'[2]2.행정구역별 급수인구'!$C$7:$AD$997,25,FALSE)*(1-$E66),0)),VLOOKUP($C66,'[2]2.행정구역별 급수인구'!$C$7:$AD$997,25,FALSE))))</f>
        <v>0</v>
      </c>
      <c r="I66" s="383">
        <f>IF($AA$3=0,0,IF($D66="A",ROUND(VLOOKUP($C66,'[2]2.행정구역별 급수인구'!$C$7:$AD$997,26,FALSE)*$E66,0),IF($D66="B",(ROUND(VLOOKUP($C66,'[2]2.행정구역별 급수인구'!$C$7:$AD$997,26,FALSE)-VLOOKUP($C66,'[2]2.행정구역별 급수인구'!$C$7:$AD$997,26,FALSE)*(1-$E66),0)),VLOOKUP($C66,'[2]2.행정구역별 급수인구'!$C$7:$AD$997,26,FALSE))))</f>
        <v>0</v>
      </c>
      <c r="J66" s="383">
        <f>IF($AA$3=0,0,IF($D66="A",ROUND(VLOOKUP($C66,'[2]2.행정구역별 급수인구'!$C$7:$AD$997,27,FALSE)*$E66,0),IF($D66="B",(ROUND(VLOOKUP($C66,'[2]2.행정구역별 급수인구'!$C$7:$AD$997,27,FALSE)-VLOOKUP($C66,'[2]2.행정구역별 급수인구'!$C$7:$AD$997,27,FALSE)*(1-$E66),0)),VLOOKUP($C66,'[2]2.행정구역별 급수인구'!$C$7:$AD$997,27,FALSE))))</f>
        <v>0</v>
      </c>
      <c r="K66" s="383">
        <f>IF($AA$3=0,0,IF($D66="A",ROUND(VLOOKUP($C66,'[2]2.행정구역별 급수인구'!$C$7:$AD$997,28,FALSE)*$E66,0),IF($D66="B",(ROUND(VLOOKUP($C66,'[2]2.행정구역별 급수인구'!$C$7:$AD$997,28,FALSE)-VLOOKUP($C66,'[2]2.행정구역별 급수인구'!$C$7:$AD$997,28,FALSE)*(1-$E66),0)),VLOOKUP($C66,'[2]2.행정구역별 급수인구'!$C$7:$AD$997,28,FALSE))))</f>
        <v>0</v>
      </c>
      <c r="L66" s="383">
        <f>VLOOKUP($F66,'[3]5.급수원단위'!$B$31:$G$35,2,FALSE)</f>
        <v>272</v>
      </c>
      <c r="M66" s="383">
        <f>VLOOKUP($F66,'[3]5.급수원단위'!$B$31:$G$35,3,FALSE)</f>
        <v>304</v>
      </c>
      <c r="N66" s="383">
        <f>VLOOKUP($F66,'[3]5.급수원단위'!$B$31:$G$35,4,FALSE)</f>
        <v>308</v>
      </c>
      <c r="O66" s="383">
        <f>VLOOKUP($F66,'[3]5.급수원단위'!$B$31:$G$35,5,FALSE)</f>
        <v>310</v>
      </c>
      <c r="P66" s="383">
        <f>VLOOKUP($F66,'[3]5.급수원단위'!$B$31:$G$35,6,FALSE)</f>
        <v>310</v>
      </c>
      <c r="Q66" s="302">
        <f>ROUND(IF(G66=0,0,VLOOKUP(C66,'2013실사용량 정리'!$D$6:$F$381,3,FALSE)),0)</f>
        <v>0</v>
      </c>
      <c r="R66" s="383">
        <f t="shared" si="11"/>
        <v>0</v>
      </c>
      <c r="S66" s="383">
        <f t="shared" si="11"/>
        <v>0</v>
      </c>
      <c r="T66" s="383">
        <f t="shared" si="11"/>
        <v>0</v>
      </c>
      <c r="U66" s="383">
        <f t="shared" si="11"/>
        <v>0</v>
      </c>
      <c r="V66" s="327" t="s">
        <v>2450</v>
      </c>
      <c r="W66" s="343" t="str">
        <f t="shared" si="7"/>
        <v/>
      </c>
    </row>
    <row r="67" spans="1:23" ht="20.100000000000001" customHeight="1">
      <c r="A67" s="340"/>
      <c r="B67" s="421"/>
      <c r="C67" s="380" t="s">
        <v>1714</v>
      </c>
      <c r="D67" s="381" t="s">
        <v>1299</v>
      </c>
      <c r="E67" s="382">
        <v>0</v>
      </c>
      <c r="F67" s="382" t="s">
        <v>1317</v>
      </c>
      <c r="G67" s="383">
        <f>IF($AA$3=0,0,IF($D67="A",ROUND(VLOOKUP($C67,'[2]2.행정구역별 급수인구'!$C$7:$AD$997,17,FALSE)*$E67,0),IF($D67="B",(ROUND(VLOOKUP($C67,'[2]2.행정구역별 급수인구'!$C$7:$AD$997,17,FALSE)-VLOOKUP($C67,'[2]2.행정구역별 급수인구'!$C$7:$AD$997,17,FALSE)*(1-$E67),0)),VLOOKUP($C67,'[2]2.행정구역별 급수인구'!$C$7:$AD$997,17,FALSE))))</f>
        <v>0</v>
      </c>
      <c r="H67" s="383">
        <f>IF($AA$3=0,0,IF($D67="A",ROUND(VLOOKUP($C67,'[2]2.행정구역별 급수인구'!$C$7:$AD$997,25,FALSE)*$E67,0),IF($D67="B",(ROUND(VLOOKUP($C67,'[2]2.행정구역별 급수인구'!$C$7:$AD$997,25,FALSE)-VLOOKUP($C67,'[2]2.행정구역별 급수인구'!$C$7:$AD$997,25,FALSE)*(1-$E67),0)),VLOOKUP($C67,'[2]2.행정구역별 급수인구'!$C$7:$AD$997,25,FALSE))))</f>
        <v>0</v>
      </c>
      <c r="I67" s="383">
        <f>IF($AA$3=0,0,IF($D67="A",ROUND(VLOOKUP($C67,'[2]2.행정구역별 급수인구'!$C$7:$AD$997,26,FALSE)*$E67,0),IF($D67="B",(ROUND(VLOOKUP($C67,'[2]2.행정구역별 급수인구'!$C$7:$AD$997,26,FALSE)-VLOOKUP($C67,'[2]2.행정구역별 급수인구'!$C$7:$AD$997,26,FALSE)*(1-$E67),0)),VLOOKUP($C67,'[2]2.행정구역별 급수인구'!$C$7:$AD$997,26,FALSE))))</f>
        <v>0</v>
      </c>
      <c r="J67" s="383">
        <f>IF($AA$3=0,0,IF($D67="A",ROUND(VLOOKUP($C67,'[2]2.행정구역별 급수인구'!$C$7:$AD$997,27,FALSE)*$E67,0),IF($D67="B",(ROUND(VLOOKUP($C67,'[2]2.행정구역별 급수인구'!$C$7:$AD$997,27,FALSE)-VLOOKUP($C67,'[2]2.행정구역별 급수인구'!$C$7:$AD$997,27,FALSE)*(1-$E67),0)),VLOOKUP($C67,'[2]2.행정구역별 급수인구'!$C$7:$AD$997,27,FALSE))))</f>
        <v>0</v>
      </c>
      <c r="K67" s="383">
        <f>IF($AA$3=0,0,IF($D67="A",ROUND(VLOOKUP($C67,'[2]2.행정구역별 급수인구'!$C$7:$AD$997,28,FALSE)*$E67,0),IF($D67="B",(ROUND(VLOOKUP($C67,'[2]2.행정구역별 급수인구'!$C$7:$AD$997,28,FALSE)-VLOOKUP($C67,'[2]2.행정구역별 급수인구'!$C$7:$AD$997,28,FALSE)*(1-$E67),0)),VLOOKUP($C67,'[2]2.행정구역별 급수인구'!$C$7:$AD$997,28,FALSE))))</f>
        <v>0</v>
      </c>
      <c r="L67" s="383">
        <f>VLOOKUP($F67,'[3]5.급수원단위'!$B$31:$G$35,2,FALSE)</f>
        <v>272</v>
      </c>
      <c r="M67" s="383">
        <f>VLOOKUP($F67,'[3]5.급수원단위'!$B$31:$G$35,3,FALSE)</f>
        <v>304</v>
      </c>
      <c r="N67" s="383">
        <f>VLOOKUP($F67,'[3]5.급수원단위'!$B$31:$G$35,4,FALSE)</f>
        <v>308</v>
      </c>
      <c r="O67" s="383">
        <f>VLOOKUP($F67,'[3]5.급수원단위'!$B$31:$G$35,5,FALSE)</f>
        <v>310</v>
      </c>
      <c r="P67" s="383">
        <f>VLOOKUP($F67,'[3]5.급수원단위'!$B$31:$G$35,6,FALSE)</f>
        <v>310</v>
      </c>
      <c r="Q67" s="302">
        <f>ROUND(IF(G67=0,0,VLOOKUP(C67,'2013실사용량 정리'!$D$6:$F$381,3,FALSE)),0)</f>
        <v>0</v>
      </c>
      <c r="R67" s="383">
        <f t="shared" si="11"/>
        <v>0</v>
      </c>
      <c r="S67" s="383">
        <f t="shared" si="11"/>
        <v>0</v>
      </c>
      <c r="T67" s="383">
        <f t="shared" si="11"/>
        <v>0</v>
      </c>
      <c r="U67" s="383">
        <f t="shared" si="11"/>
        <v>0</v>
      </c>
      <c r="V67" s="327" t="s">
        <v>2450</v>
      </c>
      <c r="W67" s="343" t="str">
        <f t="shared" si="7"/>
        <v/>
      </c>
    </row>
    <row r="68" spans="1:23" ht="20.100000000000001" customHeight="1">
      <c r="A68" s="340"/>
      <c r="B68" s="421"/>
      <c r="C68" s="380" t="s">
        <v>1715</v>
      </c>
      <c r="D68" s="381" t="s">
        <v>1299</v>
      </c>
      <c r="E68" s="382">
        <v>0</v>
      </c>
      <c r="F68" s="382" t="s">
        <v>1317</v>
      </c>
      <c r="G68" s="383">
        <f>IF($AA$3=0,0,IF($D68="A",ROUND(VLOOKUP($C68,'[2]2.행정구역별 급수인구'!$C$7:$AD$997,17,FALSE)*$E68,0),IF($D68="B",(ROUND(VLOOKUP($C68,'[2]2.행정구역별 급수인구'!$C$7:$AD$997,17,FALSE)-VLOOKUP($C68,'[2]2.행정구역별 급수인구'!$C$7:$AD$997,17,FALSE)*(1-$E68),0)),VLOOKUP($C68,'[2]2.행정구역별 급수인구'!$C$7:$AD$997,17,FALSE))))</f>
        <v>0</v>
      </c>
      <c r="H68" s="383">
        <f>IF($AA$3=0,0,IF($D68="A",ROUND(VLOOKUP($C68,'[2]2.행정구역별 급수인구'!$C$7:$AD$997,25,FALSE)*$E68,0),IF($D68="B",(ROUND(VLOOKUP($C68,'[2]2.행정구역별 급수인구'!$C$7:$AD$997,25,FALSE)-VLOOKUP($C68,'[2]2.행정구역별 급수인구'!$C$7:$AD$997,25,FALSE)*(1-$E68),0)),VLOOKUP($C68,'[2]2.행정구역별 급수인구'!$C$7:$AD$997,25,FALSE))))</f>
        <v>0</v>
      </c>
      <c r="I68" s="383">
        <f>IF($AA$3=0,0,IF($D68="A",ROUND(VLOOKUP($C68,'[2]2.행정구역별 급수인구'!$C$7:$AD$997,26,FALSE)*$E68,0),IF($D68="B",(ROUND(VLOOKUP($C68,'[2]2.행정구역별 급수인구'!$C$7:$AD$997,26,FALSE)-VLOOKUP($C68,'[2]2.행정구역별 급수인구'!$C$7:$AD$997,26,FALSE)*(1-$E68),0)),VLOOKUP($C68,'[2]2.행정구역별 급수인구'!$C$7:$AD$997,26,FALSE))))</f>
        <v>0</v>
      </c>
      <c r="J68" s="383">
        <f>IF($AA$3=0,0,IF($D68="A",ROUND(VLOOKUP($C68,'[2]2.행정구역별 급수인구'!$C$7:$AD$997,27,FALSE)*$E68,0),IF($D68="B",(ROUND(VLOOKUP($C68,'[2]2.행정구역별 급수인구'!$C$7:$AD$997,27,FALSE)-VLOOKUP($C68,'[2]2.행정구역별 급수인구'!$C$7:$AD$997,27,FALSE)*(1-$E68),0)),VLOOKUP($C68,'[2]2.행정구역별 급수인구'!$C$7:$AD$997,27,FALSE))))</f>
        <v>0</v>
      </c>
      <c r="K68" s="383">
        <f>IF($AA$3=0,0,IF($D68="A",ROUND(VLOOKUP($C68,'[2]2.행정구역별 급수인구'!$C$7:$AD$997,28,FALSE)*$E68,0),IF($D68="B",(ROUND(VLOOKUP($C68,'[2]2.행정구역별 급수인구'!$C$7:$AD$997,28,FALSE)-VLOOKUP($C68,'[2]2.행정구역별 급수인구'!$C$7:$AD$997,28,FALSE)*(1-$E68),0)),VLOOKUP($C68,'[2]2.행정구역별 급수인구'!$C$7:$AD$997,28,FALSE))))</f>
        <v>0</v>
      </c>
      <c r="L68" s="383">
        <f>VLOOKUP($F68,'[3]5.급수원단위'!$B$31:$G$35,2,FALSE)</f>
        <v>272</v>
      </c>
      <c r="M68" s="383">
        <f>VLOOKUP($F68,'[3]5.급수원단위'!$B$31:$G$35,3,FALSE)</f>
        <v>304</v>
      </c>
      <c r="N68" s="383">
        <f>VLOOKUP($F68,'[3]5.급수원단위'!$B$31:$G$35,4,FALSE)</f>
        <v>308</v>
      </c>
      <c r="O68" s="383">
        <f>VLOOKUP($F68,'[3]5.급수원단위'!$B$31:$G$35,5,FALSE)</f>
        <v>310</v>
      </c>
      <c r="P68" s="383">
        <f>VLOOKUP($F68,'[3]5.급수원단위'!$B$31:$G$35,6,FALSE)</f>
        <v>310</v>
      </c>
      <c r="Q68" s="302">
        <f>ROUND(IF(G68=0,0,VLOOKUP(C68,'2013실사용량 정리'!$D$6:$F$381,3,FALSE)),0)</f>
        <v>0</v>
      </c>
      <c r="R68" s="383">
        <f t="shared" si="11"/>
        <v>0</v>
      </c>
      <c r="S68" s="383">
        <f t="shared" si="11"/>
        <v>0</v>
      </c>
      <c r="T68" s="383">
        <f t="shared" si="11"/>
        <v>0</v>
      </c>
      <c r="U68" s="383">
        <f t="shared" si="11"/>
        <v>0</v>
      </c>
      <c r="V68" s="327" t="s">
        <v>2450</v>
      </c>
      <c r="W68" s="343" t="str">
        <f t="shared" si="7"/>
        <v/>
      </c>
    </row>
    <row r="69" spans="1:23" ht="20.100000000000001" customHeight="1">
      <c r="A69" s="340"/>
      <c r="B69" s="421"/>
      <c r="C69" s="380" t="s">
        <v>1716</v>
      </c>
      <c r="D69" s="381" t="s">
        <v>1299</v>
      </c>
      <c r="E69" s="382">
        <v>0</v>
      </c>
      <c r="F69" s="382" t="s">
        <v>1317</v>
      </c>
      <c r="G69" s="383">
        <f>IF($AA$3=0,0,IF($D69="A",ROUND(VLOOKUP($C69,'[2]2.행정구역별 급수인구'!$C$7:$AD$997,17,FALSE)*$E69,0),IF($D69="B",(ROUND(VLOOKUP($C69,'[2]2.행정구역별 급수인구'!$C$7:$AD$997,17,FALSE)-VLOOKUP($C69,'[2]2.행정구역별 급수인구'!$C$7:$AD$997,17,FALSE)*(1-$E69),0)),VLOOKUP($C69,'[2]2.행정구역별 급수인구'!$C$7:$AD$997,17,FALSE))))</f>
        <v>0</v>
      </c>
      <c r="H69" s="383">
        <f>IF($AA$3=0,0,IF($D69="A",ROUND(VLOOKUP($C69,'[2]2.행정구역별 급수인구'!$C$7:$AD$997,25,FALSE)*$E69,0),IF($D69="B",(ROUND(VLOOKUP($C69,'[2]2.행정구역별 급수인구'!$C$7:$AD$997,25,FALSE)-VLOOKUP($C69,'[2]2.행정구역별 급수인구'!$C$7:$AD$997,25,FALSE)*(1-$E69),0)),VLOOKUP($C69,'[2]2.행정구역별 급수인구'!$C$7:$AD$997,25,FALSE))))</f>
        <v>0</v>
      </c>
      <c r="I69" s="383">
        <f>IF($AA$3=0,0,IF($D69="A",ROUND(VLOOKUP($C69,'[2]2.행정구역별 급수인구'!$C$7:$AD$997,26,FALSE)*$E69,0),IF($D69="B",(ROUND(VLOOKUP($C69,'[2]2.행정구역별 급수인구'!$C$7:$AD$997,26,FALSE)-VLOOKUP($C69,'[2]2.행정구역별 급수인구'!$C$7:$AD$997,26,FALSE)*(1-$E69),0)),VLOOKUP($C69,'[2]2.행정구역별 급수인구'!$C$7:$AD$997,26,FALSE))))</f>
        <v>0</v>
      </c>
      <c r="J69" s="383">
        <f>IF($AA$3=0,0,IF($D69="A",ROUND(VLOOKUP($C69,'[2]2.행정구역별 급수인구'!$C$7:$AD$997,27,FALSE)*$E69,0),IF($D69="B",(ROUND(VLOOKUP($C69,'[2]2.행정구역별 급수인구'!$C$7:$AD$997,27,FALSE)-VLOOKUP($C69,'[2]2.행정구역별 급수인구'!$C$7:$AD$997,27,FALSE)*(1-$E69),0)),VLOOKUP($C69,'[2]2.행정구역별 급수인구'!$C$7:$AD$997,27,FALSE))))</f>
        <v>0</v>
      </c>
      <c r="K69" s="383">
        <f>IF($AA$3=0,0,IF($D69="A",ROUND(VLOOKUP($C69,'[2]2.행정구역별 급수인구'!$C$7:$AD$997,28,FALSE)*$E69,0),IF($D69="B",(ROUND(VLOOKUP($C69,'[2]2.행정구역별 급수인구'!$C$7:$AD$997,28,FALSE)-VLOOKUP($C69,'[2]2.행정구역별 급수인구'!$C$7:$AD$997,28,FALSE)*(1-$E69),0)),VLOOKUP($C69,'[2]2.행정구역별 급수인구'!$C$7:$AD$997,28,FALSE))))</f>
        <v>0</v>
      </c>
      <c r="L69" s="383">
        <f>VLOOKUP($F69,'[3]5.급수원단위'!$B$31:$G$35,2,FALSE)</f>
        <v>272</v>
      </c>
      <c r="M69" s="383">
        <f>VLOOKUP($F69,'[3]5.급수원단위'!$B$31:$G$35,3,FALSE)</f>
        <v>304</v>
      </c>
      <c r="N69" s="383">
        <f>VLOOKUP($F69,'[3]5.급수원단위'!$B$31:$G$35,4,FALSE)</f>
        <v>308</v>
      </c>
      <c r="O69" s="383">
        <f>VLOOKUP($F69,'[3]5.급수원단위'!$B$31:$G$35,5,FALSE)</f>
        <v>310</v>
      </c>
      <c r="P69" s="383">
        <f>VLOOKUP($F69,'[3]5.급수원단위'!$B$31:$G$35,6,FALSE)</f>
        <v>310</v>
      </c>
      <c r="Q69" s="302">
        <f>ROUND(IF(G69=0,0,VLOOKUP(C69,'2013실사용량 정리'!$D$6:$F$381,3,FALSE)),0)</f>
        <v>0</v>
      </c>
      <c r="R69" s="383">
        <f t="shared" si="11"/>
        <v>0</v>
      </c>
      <c r="S69" s="383">
        <f t="shared" si="11"/>
        <v>0</v>
      </c>
      <c r="T69" s="383">
        <f t="shared" si="11"/>
        <v>0</v>
      </c>
      <c r="U69" s="383">
        <f t="shared" si="11"/>
        <v>0</v>
      </c>
      <c r="V69" s="327" t="s">
        <v>2450</v>
      </c>
      <c r="W69" s="343" t="str">
        <f t="shared" si="7"/>
        <v/>
      </c>
    </row>
    <row r="70" spans="1:23" ht="20.100000000000001" customHeight="1">
      <c r="A70" s="340"/>
      <c r="B70" s="421"/>
      <c r="C70" s="380" t="s">
        <v>1717</v>
      </c>
      <c r="D70" s="381" t="s">
        <v>1299</v>
      </c>
      <c r="E70" s="382">
        <v>0</v>
      </c>
      <c r="F70" s="382" t="s">
        <v>1317</v>
      </c>
      <c r="G70" s="383">
        <f>IF($AA$3=0,0,IF($D70="A",ROUND(VLOOKUP($C70,'[2]2.행정구역별 급수인구'!$C$7:$AD$997,17,FALSE)*$E70,0),IF($D70="B",(ROUND(VLOOKUP($C70,'[2]2.행정구역별 급수인구'!$C$7:$AD$997,17,FALSE)-VLOOKUP($C70,'[2]2.행정구역별 급수인구'!$C$7:$AD$997,17,FALSE)*(1-$E70),0)),VLOOKUP($C70,'[2]2.행정구역별 급수인구'!$C$7:$AD$997,17,FALSE))))</f>
        <v>0</v>
      </c>
      <c r="H70" s="383">
        <f>IF($AA$3=0,0,IF($D70="A",ROUND(VLOOKUP($C70,'[2]2.행정구역별 급수인구'!$C$7:$AD$997,25,FALSE)*$E70,0),IF($D70="B",(ROUND(VLOOKUP($C70,'[2]2.행정구역별 급수인구'!$C$7:$AD$997,25,FALSE)-VLOOKUP($C70,'[2]2.행정구역별 급수인구'!$C$7:$AD$997,25,FALSE)*(1-$E70),0)),VLOOKUP($C70,'[2]2.행정구역별 급수인구'!$C$7:$AD$997,25,FALSE))))</f>
        <v>0</v>
      </c>
      <c r="I70" s="383">
        <f>IF($AA$3=0,0,IF($D70="A",ROUND(VLOOKUP($C70,'[2]2.행정구역별 급수인구'!$C$7:$AD$997,26,FALSE)*$E70,0),IF($D70="B",(ROUND(VLOOKUP($C70,'[2]2.행정구역별 급수인구'!$C$7:$AD$997,26,FALSE)-VLOOKUP($C70,'[2]2.행정구역별 급수인구'!$C$7:$AD$997,26,FALSE)*(1-$E70),0)),VLOOKUP($C70,'[2]2.행정구역별 급수인구'!$C$7:$AD$997,26,FALSE))))</f>
        <v>0</v>
      </c>
      <c r="J70" s="383">
        <f>IF($AA$3=0,0,IF($D70="A",ROUND(VLOOKUP($C70,'[2]2.행정구역별 급수인구'!$C$7:$AD$997,27,FALSE)*$E70,0),IF($D70="B",(ROUND(VLOOKUP($C70,'[2]2.행정구역별 급수인구'!$C$7:$AD$997,27,FALSE)-VLOOKUP($C70,'[2]2.행정구역별 급수인구'!$C$7:$AD$997,27,FALSE)*(1-$E70),0)),VLOOKUP($C70,'[2]2.행정구역별 급수인구'!$C$7:$AD$997,27,FALSE))))</f>
        <v>0</v>
      </c>
      <c r="K70" s="383">
        <f>IF($AA$3=0,0,IF($D70="A",ROUND(VLOOKUP($C70,'[2]2.행정구역별 급수인구'!$C$7:$AD$997,28,FALSE)*$E70,0),IF($D70="B",(ROUND(VLOOKUP($C70,'[2]2.행정구역별 급수인구'!$C$7:$AD$997,28,FALSE)-VLOOKUP($C70,'[2]2.행정구역별 급수인구'!$C$7:$AD$997,28,FALSE)*(1-$E70),0)),VLOOKUP($C70,'[2]2.행정구역별 급수인구'!$C$7:$AD$997,28,FALSE))))</f>
        <v>0</v>
      </c>
      <c r="L70" s="383">
        <f>VLOOKUP($F70,'[3]5.급수원단위'!$B$31:$G$35,2,FALSE)</f>
        <v>272</v>
      </c>
      <c r="M70" s="383">
        <f>VLOOKUP($F70,'[3]5.급수원단위'!$B$31:$G$35,3,FALSE)</f>
        <v>304</v>
      </c>
      <c r="N70" s="383">
        <f>VLOOKUP($F70,'[3]5.급수원단위'!$B$31:$G$35,4,FALSE)</f>
        <v>308</v>
      </c>
      <c r="O70" s="383">
        <f>VLOOKUP($F70,'[3]5.급수원단위'!$B$31:$G$35,5,FALSE)</f>
        <v>310</v>
      </c>
      <c r="P70" s="383">
        <f>VLOOKUP($F70,'[3]5.급수원단위'!$B$31:$G$35,6,FALSE)</f>
        <v>310</v>
      </c>
      <c r="Q70" s="302">
        <f>ROUND(IF(G70=0,0,VLOOKUP(C70,'2013실사용량 정리'!$D$6:$F$381,3,FALSE)),0)</f>
        <v>0</v>
      </c>
      <c r="R70" s="383">
        <f t="shared" si="11"/>
        <v>0</v>
      </c>
      <c r="S70" s="383">
        <f t="shared" si="11"/>
        <v>0</v>
      </c>
      <c r="T70" s="383">
        <f t="shared" si="11"/>
        <v>0</v>
      </c>
      <c r="U70" s="383">
        <f t="shared" si="11"/>
        <v>0</v>
      </c>
      <c r="V70" s="327" t="s">
        <v>2450</v>
      </c>
      <c r="W70" s="343" t="str">
        <f t="shared" si="7"/>
        <v/>
      </c>
    </row>
    <row r="71" spans="1:23" ht="20.100000000000001" customHeight="1">
      <c r="A71" s="340"/>
      <c r="B71" s="421"/>
      <c r="C71" s="380" t="s">
        <v>1718</v>
      </c>
      <c r="D71" s="381" t="s">
        <v>1299</v>
      </c>
      <c r="E71" s="382">
        <v>0</v>
      </c>
      <c r="F71" s="382" t="s">
        <v>1317</v>
      </c>
      <c r="G71" s="383">
        <f>IF($AA$3=0,0,IF($D71="A",ROUND(VLOOKUP($C71,'[2]2.행정구역별 급수인구'!$C$7:$AD$997,17,FALSE)*$E71,0),IF($D71="B",(ROUND(VLOOKUP($C71,'[2]2.행정구역별 급수인구'!$C$7:$AD$997,17,FALSE)-VLOOKUP($C71,'[2]2.행정구역별 급수인구'!$C$7:$AD$997,17,FALSE)*(1-$E71),0)),VLOOKUP($C71,'[2]2.행정구역별 급수인구'!$C$7:$AD$997,17,FALSE))))</f>
        <v>0</v>
      </c>
      <c r="H71" s="383">
        <f>IF($AA$3=0,0,IF($D71="A",ROUND(VLOOKUP($C71,'[2]2.행정구역별 급수인구'!$C$7:$AD$997,25,FALSE)*$E71,0),IF($D71="B",(ROUND(VLOOKUP($C71,'[2]2.행정구역별 급수인구'!$C$7:$AD$997,25,FALSE)-VLOOKUP($C71,'[2]2.행정구역별 급수인구'!$C$7:$AD$997,25,FALSE)*(1-$E71),0)),VLOOKUP($C71,'[2]2.행정구역별 급수인구'!$C$7:$AD$997,25,FALSE))))</f>
        <v>0</v>
      </c>
      <c r="I71" s="383">
        <f>IF($AA$3=0,0,IF($D71="A",ROUND(VLOOKUP($C71,'[2]2.행정구역별 급수인구'!$C$7:$AD$997,26,FALSE)*$E71,0),IF($D71="B",(ROUND(VLOOKUP($C71,'[2]2.행정구역별 급수인구'!$C$7:$AD$997,26,FALSE)-VLOOKUP($C71,'[2]2.행정구역별 급수인구'!$C$7:$AD$997,26,FALSE)*(1-$E71),0)),VLOOKUP($C71,'[2]2.행정구역별 급수인구'!$C$7:$AD$997,26,FALSE))))</f>
        <v>0</v>
      </c>
      <c r="J71" s="383">
        <f>IF($AA$3=0,0,IF($D71="A",ROUND(VLOOKUP($C71,'[2]2.행정구역별 급수인구'!$C$7:$AD$997,27,FALSE)*$E71,0),IF($D71="B",(ROUND(VLOOKUP($C71,'[2]2.행정구역별 급수인구'!$C$7:$AD$997,27,FALSE)-VLOOKUP($C71,'[2]2.행정구역별 급수인구'!$C$7:$AD$997,27,FALSE)*(1-$E71),0)),VLOOKUP($C71,'[2]2.행정구역별 급수인구'!$C$7:$AD$997,27,FALSE))))</f>
        <v>0</v>
      </c>
      <c r="K71" s="383">
        <f>IF($AA$3=0,0,IF($D71="A",ROUND(VLOOKUP($C71,'[2]2.행정구역별 급수인구'!$C$7:$AD$997,28,FALSE)*$E71,0),IF($D71="B",(ROUND(VLOOKUP($C71,'[2]2.행정구역별 급수인구'!$C$7:$AD$997,28,FALSE)-VLOOKUP($C71,'[2]2.행정구역별 급수인구'!$C$7:$AD$997,28,FALSE)*(1-$E71),0)),VLOOKUP($C71,'[2]2.행정구역별 급수인구'!$C$7:$AD$997,28,FALSE))))</f>
        <v>0</v>
      </c>
      <c r="L71" s="383">
        <f>VLOOKUP($F71,'[3]5.급수원단위'!$B$31:$G$35,2,FALSE)</f>
        <v>272</v>
      </c>
      <c r="M71" s="383">
        <f>VLOOKUP($F71,'[3]5.급수원단위'!$B$31:$G$35,3,FALSE)</f>
        <v>304</v>
      </c>
      <c r="N71" s="383">
        <f>VLOOKUP($F71,'[3]5.급수원단위'!$B$31:$G$35,4,FALSE)</f>
        <v>308</v>
      </c>
      <c r="O71" s="383">
        <f>VLOOKUP($F71,'[3]5.급수원단위'!$B$31:$G$35,5,FALSE)</f>
        <v>310</v>
      </c>
      <c r="P71" s="383">
        <f>VLOOKUP($F71,'[3]5.급수원단위'!$B$31:$G$35,6,FALSE)</f>
        <v>310</v>
      </c>
      <c r="Q71" s="302">
        <f>ROUND(IF(G71=0,0,VLOOKUP(C71,'2013실사용량 정리'!$D$6:$F$381,3,FALSE)),0)</f>
        <v>0</v>
      </c>
      <c r="R71" s="383">
        <f t="shared" si="11"/>
        <v>0</v>
      </c>
      <c r="S71" s="383">
        <f t="shared" si="11"/>
        <v>0</v>
      </c>
      <c r="T71" s="383">
        <f t="shared" si="11"/>
        <v>0</v>
      </c>
      <c r="U71" s="383">
        <f t="shared" si="11"/>
        <v>0</v>
      </c>
      <c r="V71" s="327" t="s">
        <v>2450</v>
      </c>
      <c r="W71" s="343" t="str">
        <f t="shared" ref="W71:W162" si="12">IF(ISERROR(U71/Q71),"",U71/Q71)</f>
        <v/>
      </c>
    </row>
    <row r="72" spans="1:23" ht="20.100000000000001" customHeight="1">
      <c r="A72" s="340"/>
      <c r="B72" s="421"/>
      <c r="C72" s="380" t="s">
        <v>1719</v>
      </c>
      <c r="D72" s="381" t="s">
        <v>1299</v>
      </c>
      <c r="E72" s="382">
        <v>0</v>
      </c>
      <c r="F72" s="382" t="s">
        <v>1317</v>
      </c>
      <c r="G72" s="383">
        <f>IF($AA$3=0,0,IF($D72="A",ROUND(VLOOKUP($C72,'[2]2.행정구역별 급수인구'!$C$7:$AD$997,17,FALSE)*$E72,0),IF($D72="B",(ROUND(VLOOKUP($C72,'[2]2.행정구역별 급수인구'!$C$7:$AD$997,17,FALSE)-VLOOKUP($C72,'[2]2.행정구역별 급수인구'!$C$7:$AD$997,17,FALSE)*(1-$E72),0)),VLOOKUP($C72,'[2]2.행정구역별 급수인구'!$C$7:$AD$997,17,FALSE))))</f>
        <v>0</v>
      </c>
      <c r="H72" s="383">
        <f>IF($AA$3=0,0,IF($D72="A",ROUND(VLOOKUP($C72,'[2]2.행정구역별 급수인구'!$C$7:$AD$997,25,FALSE)*$E72,0),IF($D72="B",(ROUND(VLOOKUP($C72,'[2]2.행정구역별 급수인구'!$C$7:$AD$997,25,FALSE)-VLOOKUP($C72,'[2]2.행정구역별 급수인구'!$C$7:$AD$997,25,FALSE)*(1-$E72),0)),VLOOKUP($C72,'[2]2.행정구역별 급수인구'!$C$7:$AD$997,25,FALSE))))</f>
        <v>0</v>
      </c>
      <c r="I72" s="383">
        <f>IF($AA$3=0,0,IF($D72="A",ROUND(VLOOKUP($C72,'[2]2.행정구역별 급수인구'!$C$7:$AD$997,26,FALSE)*$E72,0),IF($D72="B",(ROUND(VLOOKUP($C72,'[2]2.행정구역별 급수인구'!$C$7:$AD$997,26,FALSE)-VLOOKUP($C72,'[2]2.행정구역별 급수인구'!$C$7:$AD$997,26,FALSE)*(1-$E72),0)),VLOOKUP($C72,'[2]2.행정구역별 급수인구'!$C$7:$AD$997,26,FALSE))))</f>
        <v>0</v>
      </c>
      <c r="J72" s="383">
        <f>IF($AA$3=0,0,IF($D72="A",ROUND(VLOOKUP($C72,'[2]2.행정구역별 급수인구'!$C$7:$AD$997,27,FALSE)*$E72,0),IF($D72="B",(ROUND(VLOOKUP($C72,'[2]2.행정구역별 급수인구'!$C$7:$AD$997,27,FALSE)-VLOOKUP($C72,'[2]2.행정구역별 급수인구'!$C$7:$AD$997,27,FALSE)*(1-$E72),0)),VLOOKUP($C72,'[2]2.행정구역별 급수인구'!$C$7:$AD$997,27,FALSE))))</f>
        <v>0</v>
      </c>
      <c r="K72" s="383">
        <f>IF($AA$3=0,0,IF($D72="A",ROUND(VLOOKUP($C72,'[2]2.행정구역별 급수인구'!$C$7:$AD$997,28,FALSE)*$E72,0),IF($D72="B",(ROUND(VLOOKUP($C72,'[2]2.행정구역별 급수인구'!$C$7:$AD$997,28,FALSE)-VLOOKUP($C72,'[2]2.행정구역별 급수인구'!$C$7:$AD$997,28,FALSE)*(1-$E72),0)),VLOOKUP($C72,'[2]2.행정구역별 급수인구'!$C$7:$AD$997,28,FALSE))))</f>
        <v>0</v>
      </c>
      <c r="L72" s="383">
        <f>VLOOKUP($F72,'[3]5.급수원단위'!$B$31:$G$35,2,FALSE)</f>
        <v>272</v>
      </c>
      <c r="M72" s="383">
        <f>VLOOKUP($F72,'[3]5.급수원단위'!$B$31:$G$35,3,FALSE)</f>
        <v>304</v>
      </c>
      <c r="N72" s="383">
        <f>VLOOKUP($F72,'[3]5.급수원단위'!$B$31:$G$35,4,FALSE)</f>
        <v>308</v>
      </c>
      <c r="O72" s="383">
        <f>VLOOKUP($F72,'[3]5.급수원단위'!$B$31:$G$35,5,FALSE)</f>
        <v>310</v>
      </c>
      <c r="P72" s="383">
        <f>VLOOKUP($F72,'[3]5.급수원단위'!$B$31:$G$35,6,FALSE)</f>
        <v>310</v>
      </c>
      <c r="Q72" s="302">
        <f>ROUND(IF(G72=0,0,VLOOKUP(C72,'2013실사용량 정리'!$D$6:$F$381,3,FALSE)),0)</f>
        <v>0</v>
      </c>
      <c r="R72" s="383">
        <f t="shared" si="11"/>
        <v>0</v>
      </c>
      <c r="S72" s="383">
        <f t="shared" si="11"/>
        <v>0</v>
      </c>
      <c r="T72" s="383">
        <f t="shared" si="11"/>
        <v>0</v>
      </c>
      <c r="U72" s="383">
        <f t="shared" si="11"/>
        <v>0</v>
      </c>
      <c r="V72" s="327" t="s">
        <v>2450</v>
      </c>
      <c r="W72" s="343" t="str">
        <f t="shared" si="12"/>
        <v/>
      </c>
    </row>
    <row r="73" spans="1:23" ht="20.100000000000001" customHeight="1">
      <c r="A73" s="340"/>
      <c r="B73" s="421"/>
      <c r="C73" s="380" t="s">
        <v>1720</v>
      </c>
      <c r="D73" s="381" t="s">
        <v>1299</v>
      </c>
      <c r="E73" s="382">
        <v>0</v>
      </c>
      <c r="F73" s="382" t="s">
        <v>1317</v>
      </c>
      <c r="G73" s="383">
        <f>IF($AA$3=0,0,IF($D73="A",ROUND(VLOOKUP($C73,'[2]2.행정구역별 급수인구'!$C$7:$AD$997,17,FALSE)*$E73,0),IF($D73="B",(ROUND(VLOOKUP($C73,'[2]2.행정구역별 급수인구'!$C$7:$AD$997,17,FALSE)-VLOOKUP($C73,'[2]2.행정구역별 급수인구'!$C$7:$AD$997,17,FALSE)*(1-$E73),0)),VLOOKUP($C73,'[2]2.행정구역별 급수인구'!$C$7:$AD$997,17,FALSE))))</f>
        <v>0</v>
      </c>
      <c r="H73" s="383">
        <f>IF($AA$3=0,0,IF($D73="A",ROUND(VLOOKUP($C73,'[2]2.행정구역별 급수인구'!$C$7:$AD$997,25,FALSE)*$E73,0),IF($D73="B",(ROUND(VLOOKUP($C73,'[2]2.행정구역별 급수인구'!$C$7:$AD$997,25,FALSE)-VLOOKUP($C73,'[2]2.행정구역별 급수인구'!$C$7:$AD$997,25,FALSE)*(1-$E73),0)),VLOOKUP($C73,'[2]2.행정구역별 급수인구'!$C$7:$AD$997,25,FALSE))))</f>
        <v>0</v>
      </c>
      <c r="I73" s="383">
        <f>IF($AA$3=0,0,IF($D73="A",ROUND(VLOOKUP($C73,'[2]2.행정구역별 급수인구'!$C$7:$AD$997,26,FALSE)*$E73,0),IF($D73="B",(ROUND(VLOOKUP($C73,'[2]2.행정구역별 급수인구'!$C$7:$AD$997,26,FALSE)-VLOOKUP($C73,'[2]2.행정구역별 급수인구'!$C$7:$AD$997,26,FALSE)*(1-$E73),0)),VLOOKUP($C73,'[2]2.행정구역별 급수인구'!$C$7:$AD$997,26,FALSE))))</f>
        <v>0</v>
      </c>
      <c r="J73" s="383">
        <f>IF($AA$3=0,0,IF($D73="A",ROUND(VLOOKUP($C73,'[2]2.행정구역별 급수인구'!$C$7:$AD$997,27,FALSE)*$E73,0),IF($D73="B",(ROUND(VLOOKUP($C73,'[2]2.행정구역별 급수인구'!$C$7:$AD$997,27,FALSE)-VLOOKUP($C73,'[2]2.행정구역별 급수인구'!$C$7:$AD$997,27,FALSE)*(1-$E73),0)),VLOOKUP($C73,'[2]2.행정구역별 급수인구'!$C$7:$AD$997,27,FALSE))))</f>
        <v>0</v>
      </c>
      <c r="K73" s="383">
        <f>IF($AA$3=0,0,IF($D73="A",ROUND(VLOOKUP($C73,'[2]2.행정구역별 급수인구'!$C$7:$AD$997,28,FALSE)*$E73,0),IF($D73="B",(ROUND(VLOOKUP($C73,'[2]2.행정구역별 급수인구'!$C$7:$AD$997,28,FALSE)-VLOOKUP($C73,'[2]2.행정구역별 급수인구'!$C$7:$AD$997,28,FALSE)*(1-$E73),0)),VLOOKUP($C73,'[2]2.행정구역별 급수인구'!$C$7:$AD$997,28,FALSE))))</f>
        <v>0</v>
      </c>
      <c r="L73" s="383">
        <f>VLOOKUP($F73,'[3]5.급수원단위'!$B$31:$G$35,2,FALSE)</f>
        <v>272</v>
      </c>
      <c r="M73" s="383">
        <f>VLOOKUP($F73,'[3]5.급수원단위'!$B$31:$G$35,3,FALSE)</f>
        <v>304</v>
      </c>
      <c r="N73" s="383">
        <f>VLOOKUP($F73,'[3]5.급수원단위'!$B$31:$G$35,4,FALSE)</f>
        <v>308</v>
      </c>
      <c r="O73" s="383">
        <f>VLOOKUP($F73,'[3]5.급수원단위'!$B$31:$G$35,5,FALSE)</f>
        <v>310</v>
      </c>
      <c r="P73" s="383">
        <f>VLOOKUP($F73,'[3]5.급수원단위'!$B$31:$G$35,6,FALSE)</f>
        <v>310</v>
      </c>
      <c r="Q73" s="302">
        <f>ROUND(IF(G73=0,0,VLOOKUP(C73,'2013실사용량 정리'!$D$6:$F$381,3,FALSE)),0)</f>
        <v>0</v>
      </c>
      <c r="R73" s="383">
        <f t="shared" si="11"/>
        <v>0</v>
      </c>
      <c r="S73" s="383">
        <f t="shared" si="11"/>
        <v>0</v>
      </c>
      <c r="T73" s="383">
        <f t="shared" si="11"/>
        <v>0</v>
      </c>
      <c r="U73" s="383">
        <f t="shared" si="11"/>
        <v>0</v>
      </c>
      <c r="V73" s="327" t="s">
        <v>2450</v>
      </c>
      <c r="W73" s="343" t="str">
        <f t="shared" si="12"/>
        <v/>
      </c>
    </row>
    <row r="74" spans="1:23" ht="20.100000000000001" customHeight="1">
      <c r="A74" s="386"/>
      <c r="B74" s="422"/>
      <c r="C74" s="380" t="s">
        <v>1721</v>
      </c>
      <c r="D74" s="381" t="s">
        <v>1299</v>
      </c>
      <c r="E74" s="382">
        <v>0</v>
      </c>
      <c r="F74" s="382" t="s">
        <v>1317</v>
      </c>
      <c r="G74" s="383">
        <f>IF($AA$3=0,0,IF($D74="A",ROUND(VLOOKUP($C74,'[2]2.행정구역별 급수인구'!$C$7:$AD$997,17,FALSE)*$E74,0),IF($D74="B",(ROUND(VLOOKUP($C74,'[2]2.행정구역별 급수인구'!$C$7:$AD$997,17,FALSE)-VLOOKUP($C74,'[2]2.행정구역별 급수인구'!$C$7:$AD$997,17,FALSE)*(1-$E74),0)),VLOOKUP($C74,'[2]2.행정구역별 급수인구'!$C$7:$AD$997,17,FALSE))))</f>
        <v>0</v>
      </c>
      <c r="H74" s="383">
        <f>IF($AA$3=0,0,IF($D74="A",ROUND(VLOOKUP($C74,'[2]2.행정구역별 급수인구'!$C$7:$AD$997,25,FALSE)*$E74,0),IF($D74="B",(ROUND(VLOOKUP($C74,'[2]2.행정구역별 급수인구'!$C$7:$AD$997,25,FALSE)-VLOOKUP($C74,'[2]2.행정구역별 급수인구'!$C$7:$AD$997,25,FALSE)*(1-$E74),0)),VLOOKUP($C74,'[2]2.행정구역별 급수인구'!$C$7:$AD$997,25,FALSE))))</f>
        <v>0</v>
      </c>
      <c r="I74" s="383">
        <f>IF($AA$3=0,0,IF($D74="A",ROUND(VLOOKUP($C74,'[2]2.행정구역별 급수인구'!$C$7:$AD$997,26,FALSE)*$E74,0),IF($D74="B",(ROUND(VLOOKUP($C74,'[2]2.행정구역별 급수인구'!$C$7:$AD$997,26,FALSE)-VLOOKUP($C74,'[2]2.행정구역별 급수인구'!$C$7:$AD$997,26,FALSE)*(1-$E74),0)),VLOOKUP($C74,'[2]2.행정구역별 급수인구'!$C$7:$AD$997,26,FALSE))))</f>
        <v>0</v>
      </c>
      <c r="J74" s="383">
        <f>IF($AA$3=0,0,IF($D74="A",ROUND(VLOOKUP($C74,'[2]2.행정구역별 급수인구'!$C$7:$AD$997,27,FALSE)*$E74,0),IF($D74="B",(ROUND(VLOOKUP($C74,'[2]2.행정구역별 급수인구'!$C$7:$AD$997,27,FALSE)-VLOOKUP($C74,'[2]2.행정구역별 급수인구'!$C$7:$AD$997,27,FALSE)*(1-$E74),0)),VLOOKUP($C74,'[2]2.행정구역별 급수인구'!$C$7:$AD$997,27,FALSE))))</f>
        <v>0</v>
      </c>
      <c r="K74" s="383">
        <f>IF($AA$3=0,0,IF($D74="A",ROUND(VLOOKUP($C74,'[2]2.행정구역별 급수인구'!$C$7:$AD$997,28,FALSE)*$E74,0),IF($D74="B",(ROUND(VLOOKUP($C74,'[2]2.행정구역별 급수인구'!$C$7:$AD$997,28,FALSE)-VLOOKUP($C74,'[2]2.행정구역별 급수인구'!$C$7:$AD$997,28,FALSE)*(1-$E74),0)),VLOOKUP($C74,'[2]2.행정구역별 급수인구'!$C$7:$AD$997,28,FALSE))))</f>
        <v>0</v>
      </c>
      <c r="L74" s="383">
        <f>VLOOKUP($F74,'[3]5.급수원단위'!$B$31:$G$35,2,FALSE)</f>
        <v>272</v>
      </c>
      <c r="M74" s="383">
        <f>VLOOKUP($F74,'[3]5.급수원단위'!$B$31:$G$35,3,FALSE)</f>
        <v>304</v>
      </c>
      <c r="N74" s="383">
        <f>VLOOKUP($F74,'[3]5.급수원단위'!$B$31:$G$35,4,FALSE)</f>
        <v>308</v>
      </c>
      <c r="O74" s="383">
        <f>VLOOKUP($F74,'[3]5.급수원단위'!$B$31:$G$35,5,FALSE)</f>
        <v>310</v>
      </c>
      <c r="P74" s="383">
        <f>VLOOKUP($F74,'[3]5.급수원단위'!$B$31:$G$35,6,FALSE)</f>
        <v>310</v>
      </c>
      <c r="Q74" s="302">
        <f>ROUND(IF(G74=0,0,VLOOKUP(C74,'2013실사용량 정리'!$D$6:$F$381,3,FALSE)),0)</f>
        <v>0</v>
      </c>
      <c r="R74" s="383">
        <f t="shared" si="11"/>
        <v>0</v>
      </c>
      <c r="S74" s="383">
        <f t="shared" si="11"/>
        <v>0</v>
      </c>
      <c r="T74" s="383">
        <f t="shared" si="11"/>
        <v>0</v>
      </c>
      <c r="U74" s="383">
        <f t="shared" si="11"/>
        <v>0</v>
      </c>
      <c r="V74" s="327" t="s">
        <v>2450</v>
      </c>
      <c r="W74" s="343" t="str">
        <f t="shared" si="12"/>
        <v/>
      </c>
    </row>
    <row r="75" spans="1:23" ht="20.100000000000001" customHeight="1">
      <c r="A75" s="719" t="s">
        <v>2440</v>
      </c>
      <c r="B75" s="719"/>
      <c r="C75" s="719"/>
      <c r="D75" s="719"/>
      <c r="E75" s="332"/>
      <c r="F75" s="332"/>
      <c r="G75" s="298">
        <f>G76</f>
        <v>0</v>
      </c>
      <c r="H75" s="298">
        <f t="shared" ref="H75:K75" si="13">H76</f>
        <v>0</v>
      </c>
      <c r="I75" s="298">
        <f t="shared" si="13"/>
        <v>2412</v>
      </c>
      <c r="J75" s="298">
        <f t="shared" si="13"/>
        <v>2615</v>
      </c>
      <c r="K75" s="298">
        <f t="shared" si="13"/>
        <v>2660</v>
      </c>
      <c r="L75" s="298"/>
      <c r="M75" s="298"/>
      <c r="N75" s="298"/>
      <c r="O75" s="298"/>
      <c r="P75" s="298"/>
      <c r="Q75" s="298">
        <f t="shared" ref="Q75:U75" si="14">Q76</f>
        <v>0</v>
      </c>
      <c r="R75" s="298">
        <f t="shared" si="14"/>
        <v>0</v>
      </c>
      <c r="S75" s="298">
        <f t="shared" si="14"/>
        <v>743</v>
      </c>
      <c r="T75" s="298">
        <f t="shared" si="14"/>
        <v>813</v>
      </c>
      <c r="U75" s="298">
        <f t="shared" si="14"/>
        <v>824</v>
      </c>
    </row>
    <row r="76" spans="1:23" ht="20.100000000000001" customHeight="1">
      <c r="A76" s="340"/>
      <c r="B76" s="694" t="s">
        <v>704</v>
      </c>
      <c r="C76" s="694"/>
      <c r="D76" s="694"/>
      <c r="E76" s="331"/>
      <c r="F76" s="331"/>
      <c r="G76" s="336">
        <f>SUM(G77:G102)</f>
        <v>0</v>
      </c>
      <c r="H76" s="336">
        <f t="shared" ref="H76:K76" si="15">SUM(H77:H102)</f>
        <v>0</v>
      </c>
      <c r="I76" s="336">
        <f t="shared" si="15"/>
        <v>2412</v>
      </c>
      <c r="J76" s="336">
        <f t="shared" si="15"/>
        <v>2615</v>
      </c>
      <c r="K76" s="336">
        <f t="shared" si="15"/>
        <v>2660</v>
      </c>
      <c r="L76" s="336"/>
      <c r="M76" s="336"/>
      <c r="N76" s="336"/>
      <c r="O76" s="336"/>
      <c r="P76" s="336"/>
      <c r="Q76" s="336">
        <f t="shared" ref="Q76:U76" si="16">SUM(Q77:Q102)</f>
        <v>0</v>
      </c>
      <c r="R76" s="336">
        <f t="shared" si="16"/>
        <v>0</v>
      </c>
      <c r="S76" s="336">
        <f t="shared" si="16"/>
        <v>743</v>
      </c>
      <c r="T76" s="336">
        <f t="shared" si="16"/>
        <v>813</v>
      </c>
      <c r="U76" s="336">
        <f t="shared" si="16"/>
        <v>824</v>
      </c>
      <c r="V76" s="343">
        <f>VLOOKUP(B76,'2013년도 용수량 비율'!$A$5:$F$20,6,FALSE)</f>
        <v>1</v>
      </c>
      <c r="W76" s="343" t="str">
        <f t="shared" si="12"/>
        <v/>
      </c>
    </row>
    <row r="77" spans="1:23" ht="20.100000000000001" customHeight="1">
      <c r="A77" s="340"/>
      <c r="B77" s="339"/>
      <c r="C77" s="380" t="s">
        <v>1694</v>
      </c>
      <c r="D77" s="381" t="s">
        <v>1299</v>
      </c>
      <c r="E77" s="382">
        <f>E49</f>
        <v>0</v>
      </c>
      <c r="F77" s="382" t="s">
        <v>756</v>
      </c>
      <c r="G77" s="302"/>
      <c r="H77" s="302"/>
      <c r="I77" s="302"/>
      <c r="J77" s="302"/>
      <c r="K77" s="302"/>
      <c r="L77" s="383">
        <f>VLOOKUP($F77,'[3]5.급수원단위'!$B$31:$G$35,2,FALSE)</f>
        <v>272</v>
      </c>
      <c r="M77" s="383">
        <f>VLOOKUP($F77,'[3]5.급수원단위'!$B$31:$G$35,3,FALSE)</f>
        <v>304</v>
      </c>
      <c r="N77" s="383">
        <f>VLOOKUP($F77,'[3]5.급수원단위'!$B$31:$G$35,4,FALSE)</f>
        <v>308</v>
      </c>
      <c r="O77" s="383">
        <f>VLOOKUP($F77,'[3]5.급수원단위'!$B$31:$G$35,5,FALSE)</f>
        <v>310</v>
      </c>
      <c r="P77" s="383">
        <f>VLOOKUP($F77,'[3]5.급수원단위'!$B$31:$G$35,6,FALSE)</f>
        <v>310</v>
      </c>
      <c r="Q77" s="302">
        <f>ROUND(IF(G77=0,0,VLOOKUP(C77,'2013실사용량 정리'!$D$6:$F$381,3,FALSE)),0)</f>
        <v>0</v>
      </c>
      <c r="R77" s="383">
        <f t="shared" ref="R77:R102" si="17">ROUND(H77*M77/1000,0)</f>
        <v>0</v>
      </c>
      <c r="S77" s="383">
        <f t="shared" ref="S77:S102" si="18">ROUND(I77*N77/1000,0)</f>
        <v>0</v>
      </c>
      <c r="T77" s="383">
        <f t="shared" ref="T77:T102" si="19">ROUND(J77*O77/1000,0)</f>
        <v>0</v>
      </c>
      <c r="U77" s="383">
        <f t="shared" ref="U77:U102" si="20">ROUND(K77*P77/1000,0)</f>
        <v>0</v>
      </c>
      <c r="V77" s="327" t="s">
        <v>1746</v>
      </c>
      <c r="W77" s="343" t="str">
        <f t="shared" si="12"/>
        <v/>
      </c>
    </row>
    <row r="78" spans="1:23" ht="20.100000000000001" customHeight="1">
      <c r="A78" s="340"/>
      <c r="B78" s="340"/>
      <c r="C78" s="380" t="s">
        <v>1695</v>
      </c>
      <c r="D78" s="381" t="s">
        <v>1299</v>
      </c>
      <c r="E78" s="382">
        <f t="shared" ref="E78:E84" si="21">E50</f>
        <v>0</v>
      </c>
      <c r="F78" s="382" t="s">
        <v>756</v>
      </c>
      <c r="G78" s="302"/>
      <c r="H78" s="302"/>
      <c r="I78" s="302"/>
      <c r="J78" s="302"/>
      <c r="K78" s="302"/>
      <c r="L78" s="383">
        <f>VLOOKUP($F78,'[3]5.급수원단위'!$B$31:$G$35,2,FALSE)</f>
        <v>272</v>
      </c>
      <c r="M78" s="383">
        <f>VLOOKUP($F78,'[3]5.급수원단위'!$B$31:$G$35,3,FALSE)</f>
        <v>304</v>
      </c>
      <c r="N78" s="383">
        <f>VLOOKUP($F78,'[3]5.급수원단위'!$B$31:$G$35,4,FALSE)</f>
        <v>308</v>
      </c>
      <c r="O78" s="383">
        <f>VLOOKUP($F78,'[3]5.급수원단위'!$B$31:$G$35,5,FALSE)</f>
        <v>310</v>
      </c>
      <c r="P78" s="383">
        <f>VLOOKUP($F78,'[3]5.급수원단위'!$B$31:$G$35,6,FALSE)</f>
        <v>310</v>
      </c>
      <c r="Q78" s="302">
        <f>ROUND(IF(G78=0,0,VLOOKUP(C78,'2013실사용량 정리'!$D$6:$F$381,3,FALSE)),0)</f>
        <v>0</v>
      </c>
      <c r="R78" s="383">
        <f t="shared" si="17"/>
        <v>0</v>
      </c>
      <c r="S78" s="383">
        <f t="shared" si="18"/>
        <v>0</v>
      </c>
      <c r="T78" s="383">
        <f t="shared" si="19"/>
        <v>0</v>
      </c>
      <c r="U78" s="383">
        <f t="shared" si="20"/>
        <v>0</v>
      </c>
      <c r="V78" s="327" t="s">
        <v>1746</v>
      </c>
      <c r="W78" s="343" t="str">
        <f t="shared" si="12"/>
        <v/>
      </c>
    </row>
    <row r="79" spans="1:23" ht="20.100000000000001" customHeight="1">
      <c r="A79" s="340"/>
      <c r="B79" s="340"/>
      <c r="C79" s="380" t="s">
        <v>1698</v>
      </c>
      <c r="D79" s="381" t="s">
        <v>1299</v>
      </c>
      <c r="E79" s="382">
        <f t="shared" si="21"/>
        <v>0</v>
      </c>
      <c r="F79" s="382" t="s">
        <v>756</v>
      </c>
      <c r="G79" s="302"/>
      <c r="H79" s="302"/>
      <c r="I79" s="302"/>
      <c r="J79" s="302"/>
      <c r="K79" s="302"/>
      <c r="L79" s="383">
        <f>VLOOKUP($F79,'[3]5.급수원단위'!$B$31:$G$35,2,FALSE)</f>
        <v>272</v>
      </c>
      <c r="M79" s="383">
        <f>VLOOKUP($F79,'[3]5.급수원단위'!$B$31:$G$35,3,FALSE)</f>
        <v>304</v>
      </c>
      <c r="N79" s="383">
        <f>VLOOKUP($F79,'[3]5.급수원단위'!$B$31:$G$35,4,FALSE)</f>
        <v>308</v>
      </c>
      <c r="O79" s="383">
        <f>VLOOKUP($F79,'[3]5.급수원단위'!$B$31:$G$35,5,FALSE)</f>
        <v>310</v>
      </c>
      <c r="P79" s="383">
        <f>VLOOKUP($F79,'[3]5.급수원단위'!$B$31:$G$35,6,FALSE)</f>
        <v>310</v>
      </c>
      <c r="Q79" s="302">
        <f>ROUND(IF(G79=0,0,VLOOKUP(C79,'2013실사용량 정리'!$D$6:$F$381,3,FALSE)),0)</f>
        <v>0</v>
      </c>
      <c r="R79" s="383">
        <f t="shared" si="17"/>
        <v>0</v>
      </c>
      <c r="S79" s="383">
        <f t="shared" si="18"/>
        <v>0</v>
      </c>
      <c r="T79" s="383">
        <f t="shared" si="19"/>
        <v>0</v>
      </c>
      <c r="U79" s="383">
        <f t="shared" si="20"/>
        <v>0</v>
      </c>
      <c r="V79" s="327" t="s">
        <v>1746</v>
      </c>
      <c r="W79" s="343" t="str">
        <f t="shared" si="12"/>
        <v/>
      </c>
    </row>
    <row r="80" spans="1:23" ht="20.100000000000001" customHeight="1">
      <c r="A80" s="340"/>
      <c r="B80" s="340"/>
      <c r="C80" s="380" t="s">
        <v>1699</v>
      </c>
      <c r="D80" s="381" t="s">
        <v>1299</v>
      </c>
      <c r="E80" s="382">
        <f t="shared" si="21"/>
        <v>0</v>
      </c>
      <c r="F80" s="382" t="s">
        <v>756</v>
      </c>
      <c r="G80" s="302"/>
      <c r="H80" s="302"/>
      <c r="I80" s="302"/>
      <c r="J80" s="302"/>
      <c r="K80" s="302"/>
      <c r="L80" s="383">
        <f>VLOOKUP($F80,'[3]5.급수원단위'!$B$31:$G$35,2,FALSE)</f>
        <v>272</v>
      </c>
      <c r="M80" s="383">
        <f>VLOOKUP($F80,'[3]5.급수원단위'!$B$31:$G$35,3,FALSE)</f>
        <v>304</v>
      </c>
      <c r="N80" s="383">
        <f>VLOOKUP($F80,'[3]5.급수원단위'!$B$31:$G$35,4,FALSE)</f>
        <v>308</v>
      </c>
      <c r="O80" s="383">
        <f>VLOOKUP($F80,'[3]5.급수원단위'!$B$31:$G$35,5,FALSE)</f>
        <v>310</v>
      </c>
      <c r="P80" s="383">
        <f>VLOOKUP($F80,'[3]5.급수원단위'!$B$31:$G$35,6,FALSE)</f>
        <v>310</v>
      </c>
      <c r="Q80" s="302">
        <f>ROUND(IF(G80=0,0,VLOOKUP(C80,'2013실사용량 정리'!$D$6:$F$381,3,FALSE)),0)</f>
        <v>0</v>
      </c>
      <c r="R80" s="383">
        <f t="shared" si="17"/>
        <v>0</v>
      </c>
      <c r="S80" s="383">
        <f t="shared" si="18"/>
        <v>0</v>
      </c>
      <c r="T80" s="383">
        <f t="shared" si="19"/>
        <v>0</v>
      </c>
      <c r="U80" s="383">
        <f t="shared" si="20"/>
        <v>0</v>
      </c>
      <c r="V80" s="327" t="s">
        <v>1746</v>
      </c>
      <c r="W80" s="343" t="str">
        <f t="shared" si="12"/>
        <v/>
      </c>
    </row>
    <row r="81" spans="1:23" ht="20.100000000000001" customHeight="1">
      <c r="A81" s="340"/>
      <c r="B81" s="340"/>
      <c r="C81" s="380" t="s">
        <v>1700</v>
      </c>
      <c r="D81" s="381" t="s">
        <v>1299</v>
      </c>
      <c r="E81" s="382">
        <f t="shared" si="21"/>
        <v>0</v>
      </c>
      <c r="F81" s="382" t="s">
        <v>756</v>
      </c>
      <c r="G81" s="302"/>
      <c r="H81" s="302"/>
      <c r="I81" s="302"/>
      <c r="J81" s="302"/>
      <c r="K81" s="302"/>
      <c r="L81" s="383">
        <f>VLOOKUP($F81,'[3]5.급수원단위'!$B$31:$G$35,2,FALSE)</f>
        <v>272</v>
      </c>
      <c r="M81" s="383">
        <f>VLOOKUP($F81,'[3]5.급수원단위'!$B$31:$G$35,3,FALSE)</f>
        <v>304</v>
      </c>
      <c r="N81" s="383">
        <f>VLOOKUP($F81,'[3]5.급수원단위'!$B$31:$G$35,4,FALSE)</f>
        <v>308</v>
      </c>
      <c r="O81" s="383">
        <f>VLOOKUP($F81,'[3]5.급수원단위'!$B$31:$G$35,5,FALSE)</f>
        <v>310</v>
      </c>
      <c r="P81" s="383">
        <f>VLOOKUP($F81,'[3]5.급수원단위'!$B$31:$G$35,6,FALSE)</f>
        <v>310</v>
      </c>
      <c r="Q81" s="302">
        <f>ROUND(IF(G81=0,0,VLOOKUP(C81,'2013실사용량 정리'!$D$6:$F$381,3,FALSE)),0)</f>
        <v>0</v>
      </c>
      <c r="R81" s="383">
        <f t="shared" si="17"/>
        <v>0</v>
      </c>
      <c r="S81" s="383">
        <f t="shared" si="18"/>
        <v>0</v>
      </c>
      <c r="T81" s="383">
        <f t="shared" si="19"/>
        <v>0</v>
      </c>
      <c r="U81" s="383">
        <f t="shared" si="20"/>
        <v>0</v>
      </c>
      <c r="V81" s="327" t="s">
        <v>1746</v>
      </c>
      <c r="W81" s="343" t="str">
        <f t="shared" si="12"/>
        <v/>
      </c>
    </row>
    <row r="82" spans="1:23" ht="20.100000000000001" customHeight="1">
      <c r="A82" s="340"/>
      <c r="B82" s="340"/>
      <c r="C82" s="380" t="s">
        <v>1701</v>
      </c>
      <c r="D82" s="381" t="s">
        <v>1299</v>
      </c>
      <c r="E82" s="382">
        <f t="shared" si="21"/>
        <v>0</v>
      </c>
      <c r="F82" s="382" t="s">
        <v>756</v>
      </c>
      <c r="G82" s="302"/>
      <c r="H82" s="302"/>
      <c r="I82" s="302"/>
      <c r="J82" s="302"/>
      <c r="K82" s="302"/>
      <c r="L82" s="383">
        <f>VLOOKUP($F82,'[3]5.급수원단위'!$B$31:$G$35,2,FALSE)</f>
        <v>272</v>
      </c>
      <c r="M82" s="383">
        <f>VLOOKUP($F82,'[3]5.급수원단위'!$B$31:$G$35,3,FALSE)</f>
        <v>304</v>
      </c>
      <c r="N82" s="383">
        <f>VLOOKUP($F82,'[3]5.급수원단위'!$B$31:$G$35,4,FALSE)</f>
        <v>308</v>
      </c>
      <c r="O82" s="383">
        <f>VLOOKUP($F82,'[3]5.급수원단위'!$B$31:$G$35,5,FALSE)</f>
        <v>310</v>
      </c>
      <c r="P82" s="383">
        <f>VLOOKUP($F82,'[3]5.급수원단위'!$B$31:$G$35,6,FALSE)</f>
        <v>310</v>
      </c>
      <c r="Q82" s="302">
        <f>ROUND(IF(G82=0,0,VLOOKUP(C82,'2013실사용량 정리'!$D$6:$F$381,3,FALSE)),0)</f>
        <v>0</v>
      </c>
      <c r="R82" s="383">
        <f t="shared" si="17"/>
        <v>0</v>
      </c>
      <c r="S82" s="383">
        <f t="shared" si="18"/>
        <v>0</v>
      </c>
      <c r="T82" s="383">
        <f t="shared" si="19"/>
        <v>0</v>
      </c>
      <c r="U82" s="383">
        <f t="shared" si="20"/>
        <v>0</v>
      </c>
      <c r="V82" s="327" t="s">
        <v>1746</v>
      </c>
      <c r="W82" s="343" t="str">
        <f t="shared" si="12"/>
        <v/>
      </c>
    </row>
    <row r="83" spans="1:23" ht="20.100000000000001" customHeight="1">
      <c r="A83" s="340"/>
      <c r="B83" s="340"/>
      <c r="C83" s="380" t="s">
        <v>1702</v>
      </c>
      <c r="D83" s="381" t="s">
        <v>1299</v>
      </c>
      <c r="E83" s="382">
        <f t="shared" si="21"/>
        <v>0</v>
      </c>
      <c r="F83" s="382" t="s">
        <v>756</v>
      </c>
      <c r="G83" s="302"/>
      <c r="H83" s="302"/>
      <c r="I83" s="302"/>
      <c r="J83" s="302"/>
      <c r="K83" s="302"/>
      <c r="L83" s="383">
        <f>VLOOKUP($F83,'[3]5.급수원단위'!$B$31:$G$35,2,FALSE)</f>
        <v>272</v>
      </c>
      <c r="M83" s="383">
        <f>VLOOKUP($F83,'[3]5.급수원단위'!$B$31:$G$35,3,FALSE)</f>
        <v>304</v>
      </c>
      <c r="N83" s="383">
        <f>VLOOKUP($F83,'[3]5.급수원단위'!$B$31:$G$35,4,FALSE)</f>
        <v>308</v>
      </c>
      <c r="O83" s="383">
        <f>VLOOKUP($F83,'[3]5.급수원단위'!$B$31:$G$35,5,FALSE)</f>
        <v>310</v>
      </c>
      <c r="P83" s="383">
        <f>VLOOKUP($F83,'[3]5.급수원단위'!$B$31:$G$35,6,FALSE)</f>
        <v>310</v>
      </c>
      <c r="Q83" s="302">
        <f>ROUND(IF(G83=0,0,VLOOKUP(C83,'2013실사용량 정리'!$D$6:$F$381,3,FALSE)),0)</f>
        <v>0</v>
      </c>
      <c r="R83" s="383">
        <f t="shared" si="17"/>
        <v>0</v>
      </c>
      <c r="S83" s="383">
        <f t="shared" si="18"/>
        <v>0</v>
      </c>
      <c r="T83" s="383">
        <f t="shared" si="19"/>
        <v>0</v>
      </c>
      <c r="U83" s="383">
        <f t="shared" si="20"/>
        <v>0</v>
      </c>
      <c r="V83" s="327" t="s">
        <v>1746</v>
      </c>
      <c r="W83" s="343" t="str">
        <f t="shared" si="12"/>
        <v/>
      </c>
    </row>
    <row r="84" spans="1:23" ht="20.100000000000001" customHeight="1">
      <c r="A84" s="340"/>
      <c r="B84" s="340"/>
      <c r="C84" s="380" t="s">
        <v>1703</v>
      </c>
      <c r="D84" s="381" t="s">
        <v>1299</v>
      </c>
      <c r="E84" s="382">
        <f t="shared" si="21"/>
        <v>0</v>
      </c>
      <c r="F84" s="382" t="s">
        <v>756</v>
      </c>
      <c r="G84" s="302"/>
      <c r="H84" s="302"/>
      <c r="I84" s="302"/>
      <c r="J84" s="302"/>
      <c r="K84" s="302"/>
      <c r="L84" s="383">
        <f>VLOOKUP($F84,'[3]5.급수원단위'!$B$31:$G$35,2,FALSE)</f>
        <v>272</v>
      </c>
      <c r="M84" s="383">
        <f>VLOOKUP($F84,'[3]5.급수원단위'!$B$31:$G$35,3,FALSE)</f>
        <v>304</v>
      </c>
      <c r="N84" s="383">
        <f>VLOOKUP($F84,'[3]5.급수원단위'!$B$31:$G$35,4,FALSE)</f>
        <v>308</v>
      </c>
      <c r="O84" s="383">
        <f>VLOOKUP($F84,'[3]5.급수원단위'!$B$31:$G$35,5,FALSE)</f>
        <v>310</v>
      </c>
      <c r="P84" s="383">
        <f>VLOOKUP($F84,'[3]5.급수원단위'!$B$31:$G$35,6,FALSE)</f>
        <v>310</v>
      </c>
      <c r="Q84" s="302">
        <f>ROUND(IF(G84=0,0,VLOOKUP(C84,'2013실사용량 정리'!$D$6:$F$381,3,FALSE)),0)</f>
        <v>0</v>
      </c>
      <c r="R84" s="383">
        <f t="shared" si="17"/>
        <v>0</v>
      </c>
      <c r="S84" s="383">
        <f t="shared" si="18"/>
        <v>0</v>
      </c>
      <c r="T84" s="383">
        <f t="shared" si="19"/>
        <v>0</v>
      </c>
      <c r="U84" s="383">
        <f t="shared" si="20"/>
        <v>0</v>
      </c>
      <c r="V84" s="327" t="s">
        <v>1746</v>
      </c>
      <c r="W84" s="343" t="str">
        <f t="shared" si="12"/>
        <v/>
      </c>
    </row>
    <row r="85" spans="1:23" ht="20.100000000000001" customHeight="1">
      <c r="A85" s="340"/>
      <c r="B85" s="340"/>
      <c r="C85" s="380" t="s">
        <v>1704</v>
      </c>
      <c r="D85" s="381" t="s">
        <v>1299</v>
      </c>
      <c r="E85" s="382">
        <v>1</v>
      </c>
      <c r="F85" s="382" t="s">
        <v>756</v>
      </c>
      <c r="G85" s="302"/>
      <c r="H85" s="302"/>
      <c r="I85" s="302">
        <f>IF($D85="A",ROUND(VLOOKUP($C85,'[2]2.행정구역별 급수인구'!$C$7:$AD$997,26,FALSE)*$E85,0),IF($D85="B",(ROUND(VLOOKUP($C85,'[2]2.행정구역별 급수인구'!$C$7:$AD$997,26,FALSE)-VLOOKUP($C85,'[2]2.행정구역별 급수인구'!$C$7:$AD$997,26,FALSE)*(1-$E85),0)),VLOOKUP($C85,'[2]2.행정구역별 급수인구'!$C$7:$AD$997,26,FALSE)))</f>
        <v>62</v>
      </c>
      <c r="J85" s="302">
        <f>IF($D85="A",ROUND(VLOOKUP($C85,'[2]2.행정구역별 급수인구'!$C$7:$AD$997,27,FALSE)*$E85,0),IF($D85="B",(ROUND(VLOOKUP($C85,'[2]2.행정구역별 급수인구'!$C$7:$AD$997,27,FALSE)-VLOOKUP($C85,'[2]2.행정구역별 급수인구'!$C$7:$AD$997,27,FALSE)*(1-$E85),0)),VLOOKUP($C85,'[2]2.행정구역별 급수인구'!$C$7:$AD$997,27,FALSE)))</f>
        <v>68</v>
      </c>
      <c r="K85" s="302">
        <f>IF($D85="A",ROUND(VLOOKUP($C85,'[2]2.행정구역별 급수인구'!$C$7:$AD$997,28,FALSE)*$E85,0),IF($D85="B",(ROUND(VLOOKUP($C85,'[2]2.행정구역별 급수인구'!$C$7:$AD$997,28,FALSE)-VLOOKUP($C85,'[2]2.행정구역별 급수인구'!$C$7:$AD$997,28,FALSE)*(1-$E85),0)),VLOOKUP($C85,'[2]2.행정구역별 급수인구'!$C$7:$AD$997,28,FALSE)))</f>
        <v>69</v>
      </c>
      <c r="L85" s="383">
        <f>VLOOKUP($F85,'[3]5.급수원단위'!$B$31:$G$35,2,FALSE)</f>
        <v>272</v>
      </c>
      <c r="M85" s="383">
        <f>VLOOKUP($F85,'[3]5.급수원단위'!$B$31:$G$35,3,FALSE)</f>
        <v>304</v>
      </c>
      <c r="N85" s="383">
        <f>VLOOKUP($F85,'[3]5.급수원단위'!$B$31:$G$35,4,FALSE)</f>
        <v>308</v>
      </c>
      <c r="O85" s="383">
        <f>VLOOKUP($F85,'[3]5.급수원단위'!$B$31:$G$35,5,FALSE)</f>
        <v>310</v>
      </c>
      <c r="P85" s="383">
        <f>VLOOKUP($F85,'[3]5.급수원단위'!$B$31:$G$35,6,FALSE)</f>
        <v>310</v>
      </c>
      <c r="Q85" s="302">
        <f>ROUND(IF(G85=0,0,VLOOKUP(C85,'2013실사용량 정리'!$D$6:$F$381,3,FALSE)),0)</f>
        <v>0</v>
      </c>
      <c r="R85" s="383">
        <f t="shared" si="17"/>
        <v>0</v>
      </c>
      <c r="S85" s="383">
        <f t="shared" si="18"/>
        <v>19</v>
      </c>
      <c r="T85" s="383">
        <f t="shared" si="19"/>
        <v>21</v>
      </c>
      <c r="U85" s="383">
        <f t="shared" si="20"/>
        <v>21</v>
      </c>
      <c r="V85" s="327" t="s">
        <v>2450</v>
      </c>
      <c r="W85" s="343" t="str">
        <f t="shared" si="12"/>
        <v/>
      </c>
    </row>
    <row r="86" spans="1:23" ht="20.100000000000001" customHeight="1">
      <c r="A86" s="340"/>
      <c r="B86" s="340"/>
      <c r="C86" s="380" t="s">
        <v>1705</v>
      </c>
      <c r="D86" s="381" t="s">
        <v>1299</v>
      </c>
      <c r="E86" s="382">
        <v>1</v>
      </c>
      <c r="F86" s="382" t="s">
        <v>756</v>
      </c>
      <c r="G86" s="302"/>
      <c r="H86" s="302"/>
      <c r="I86" s="302">
        <f>IF($D86="A",ROUND(VLOOKUP($C86,'[2]2.행정구역별 급수인구'!$C$7:$AD$997,26,FALSE)*$E86,0),IF($D86="B",(ROUND(VLOOKUP($C86,'[2]2.행정구역별 급수인구'!$C$7:$AD$997,26,FALSE)-VLOOKUP($C86,'[2]2.행정구역별 급수인구'!$C$7:$AD$997,26,FALSE)*(1-$E86),0)),VLOOKUP($C86,'[2]2.행정구역별 급수인구'!$C$7:$AD$997,26,FALSE)))</f>
        <v>299</v>
      </c>
      <c r="J86" s="302">
        <f>IF($D86="A",ROUND(VLOOKUP($C86,'[2]2.행정구역별 급수인구'!$C$7:$AD$997,27,FALSE)*$E86,0),IF($D86="B",(ROUND(VLOOKUP($C86,'[2]2.행정구역별 급수인구'!$C$7:$AD$997,27,FALSE)-VLOOKUP($C86,'[2]2.행정구역별 급수인구'!$C$7:$AD$997,27,FALSE)*(1-$E86),0)),VLOOKUP($C86,'[2]2.행정구역별 급수인구'!$C$7:$AD$997,27,FALSE)))</f>
        <v>324</v>
      </c>
      <c r="K86" s="302">
        <f>IF($D86="A",ROUND(VLOOKUP($C86,'[2]2.행정구역별 급수인구'!$C$7:$AD$997,28,FALSE)*$E86,0),IF($D86="B",(ROUND(VLOOKUP($C86,'[2]2.행정구역별 급수인구'!$C$7:$AD$997,28,FALSE)-VLOOKUP($C86,'[2]2.행정구역별 급수인구'!$C$7:$AD$997,28,FALSE)*(1-$E86),0)),VLOOKUP($C86,'[2]2.행정구역별 급수인구'!$C$7:$AD$997,28,FALSE)))</f>
        <v>331</v>
      </c>
      <c r="L86" s="383">
        <f>VLOOKUP($F86,'[3]5.급수원단위'!$B$31:$G$35,2,FALSE)</f>
        <v>272</v>
      </c>
      <c r="M86" s="383">
        <f>VLOOKUP($F86,'[3]5.급수원단위'!$B$31:$G$35,3,FALSE)</f>
        <v>304</v>
      </c>
      <c r="N86" s="383">
        <f>VLOOKUP($F86,'[3]5.급수원단위'!$B$31:$G$35,4,FALSE)</f>
        <v>308</v>
      </c>
      <c r="O86" s="383">
        <f>VLOOKUP($F86,'[3]5.급수원단위'!$B$31:$G$35,5,FALSE)</f>
        <v>310</v>
      </c>
      <c r="P86" s="383">
        <f>VLOOKUP($F86,'[3]5.급수원단위'!$B$31:$G$35,6,FALSE)</f>
        <v>310</v>
      </c>
      <c r="Q86" s="302">
        <f>ROUND(IF(G86=0,0,VLOOKUP(C86,'2013실사용량 정리'!$D$6:$F$381,3,FALSE)),0)</f>
        <v>0</v>
      </c>
      <c r="R86" s="383">
        <f t="shared" si="17"/>
        <v>0</v>
      </c>
      <c r="S86" s="383">
        <f t="shared" si="18"/>
        <v>92</v>
      </c>
      <c r="T86" s="383">
        <f t="shared" si="19"/>
        <v>100</v>
      </c>
      <c r="U86" s="383">
        <f t="shared" si="20"/>
        <v>103</v>
      </c>
      <c r="V86" s="327" t="s">
        <v>2450</v>
      </c>
      <c r="W86" s="343" t="str">
        <f t="shared" si="12"/>
        <v/>
      </c>
    </row>
    <row r="87" spans="1:23" ht="20.100000000000001" customHeight="1">
      <c r="A87" s="340"/>
      <c r="B87" s="340"/>
      <c r="C87" s="380" t="s">
        <v>1706</v>
      </c>
      <c r="D87" s="381" t="s">
        <v>1299</v>
      </c>
      <c r="E87" s="382">
        <v>1</v>
      </c>
      <c r="F87" s="382" t="s">
        <v>756</v>
      </c>
      <c r="G87" s="302"/>
      <c r="H87" s="302"/>
      <c r="I87" s="302">
        <f>IF($D87="A",ROUND(VLOOKUP($C87,'[2]2.행정구역별 급수인구'!$C$7:$AD$997,26,FALSE)*$E87,0),IF($D87="B",(ROUND(VLOOKUP($C87,'[2]2.행정구역별 급수인구'!$C$7:$AD$997,26,FALSE)-VLOOKUP($C87,'[2]2.행정구역별 급수인구'!$C$7:$AD$997,26,FALSE)*(1-$E87),0)),VLOOKUP($C87,'[2]2.행정구역별 급수인구'!$C$7:$AD$997,26,FALSE)))</f>
        <v>130</v>
      </c>
      <c r="J87" s="302">
        <f>IF($D87="A",ROUND(VLOOKUP($C87,'[2]2.행정구역별 급수인구'!$C$7:$AD$997,27,FALSE)*$E87,0),IF($D87="B",(ROUND(VLOOKUP($C87,'[2]2.행정구역별 급수인구'!$C$7:$AD$997,27,FALSE)-VLOOKUP($C87,'[2]2.행정구역별 급수인구'!$C$7:$AD$997,27,FALSE)*(1-$E87),0)),VLOOKUP($C87,'[2]2.행정구역별 급수인구'!$C$7:$AD$997,27,FALSE)))</f>
        <v>141</v>
      </c>
      <c r="K87" s="302">
        <f>IF($D87="A",ROUND(VLOOKUP($C87,'[2]2.행정구역별 급수인구'!$C$7:$AD$997,28,FALSE)*$E87,0),IF($D87="B",(ROUND(VLOOKUP($C87,'[2]2.행정구역별 급수인구'!$C$7:$AD$997,28,FALSE)-VLOOKUP($C87,'[2]2.행정구역별 급수인구'!$C$7:$AD$997,28,FALSE)*(1-$E87),0)),VLOOKUP($C87,'[2]2.행정구역별 급수인구'!$C$7:$AD$997,28,FALSE)))</f>
        <v>144</v>
      </c>
      <c r="L87" s="383">
        <f>VLOOKUP($F87,'[3]5.급수원단위'!$B$31:$G$35,2,FALSE)</f>
        <v>272</v>
      </c>
      <c r="M87" s="383">
        <f>VLOOKUP($F87,'[3]5.급수원단위'!$B$31:$G$35,3,FALSE)</f>
        <v>304</v>
      </c>
      <c r="N87" s="383">
        <f>VLOOKUP($F87,'[3]5.급수원단위'!$B$31:$G$35,4,FALSE)</f>
        <v>308</v>
      </c>
      <c r="O87" s="383">
        <f>VLOOKUP($F87,'[3]5.급수원단위'!$B$31:$G$35,5,FALSE)</f>
        <v>310</v>
      </c>
      <c r="P87" s="383">
        <f>VLOOKUP($F87,'[3]5.급수원단위'!$B$31:$G$35,6,FALSE)</f>
        <v>310</v>
      </c>
      <c r="Q87" s="302">
        <f>ROUND(IF(G87=0,0,VLOOKUP(C87,'2013실사용량 정리'!$D$6:$F$381,3,FALSE)),0)</f>
        <v>0</v>
      </c>
      <c r="R87" s="383">
        <f t="shared" si="17"/>
        <v>0</v>
      </c>
      <c r="S87" s="383">
        <f t="shared" si="18"/>
        <v>40</v>
      </c>
      <c r="T87" s="383">
        <f t="shared" si="19"/>
        <v>44</v>
      </c>
      <c r="U87" s="383">
        <f t="shared" si="20"/>
        <v>45</v>
      </c>
      <c r="V87" s="327" t="s">
        <v>2450</v>
      </c>
      <c r="W87" s="343" t="str">
        <f t="shared" si="12"/>
        <v/>
      </c>
    </row>
    <row r="88" spans="1:23" ht="20.100000000000001" customHeight="1">
      <c r="A88" s="340"/>
      <c r="B88" s="340"/>
      <c r="C88" s="380" t="s">
        <v>1707</v>
      </c>
      <c r="D88" s="381" t="s">
        <v>1299</v>
      </c>
      <c r="E88" s="382">
        <v>1</v>
      </c>
      <c r="F88" s="382" t="s">
        <v>756</v>
      </c>
      <c r="G88" s="302"/>
      <c r="H88" s="302"/>
      <c r="I88" s="302">
        <f>IF($D88="A",ROUND(VLOOKUP($C88,'[2]2.행정구역별 급수인구'!$C$7:$AD$997,26,FALSE)*$E88,0),IF($D88="B",(ROUND(VLOOKUP($C88,'[2]2.행정구역별 급수인구'!$C$7:$AD$997,26,FALSE)-VLOOKUP($C88,'[2]2.행정구역별 급수인구'!$C$7:$AD$997,26,FALSE)*(1-$E88),0)),VLOOKUP($C88,'[2]2.행정구역별 급수인구'!$C$7:$AD$997,26,FALSE)))</f>
        <v>174</v>
      </c>
      <c r="J88" s="302">
        <f>IF($D88="A",ROUND(VLOOKUP($C88,'[2]2.행정구역별 급수인구'!$C$7:$AD$997,27,FALSE)*$E88,0),IF($D88="B",(ROUND(VLOOKUP($C88,'[2]2.행정구역별 급수인구'!$C$7:$AD$997,27,FALSE)-VLOOKUP($C88,'[2]2.행정구역별 급수인구'!$C$7:$AD$997,27,FALSE)*(1-$E88),0)),VLOOKUP($C88,'[2]2.행정구역별 급수인구'!$C$7:$AD$997,27,FALSE)))</f>
        <v>189</v>
      </c>
      <c r="K88" s="302">
        <f>IF($D88="A",ROUND(VLOOKUP($C88,'[2]2.행정구역별 급수인구'!$C$7:$AD$997,28,FALSE)*$E88,0),IF($D88="B",(ROUND(VLOOKUP($C88,'[2]2.행정구역별 급수인구'!$C$7:$AD$997,28,FALSE)-VLOOKUP($C88,'[2]2.행정구역별 급수인구'!$C$7:$AD$997,28,FALSE)*(1-$E88),0)),VLOOKUP($C88,'[2]2.행정구역별 급수인구'!$C$7:$AD$997,28,FALSE)))</f>
        <v>193</v>
      </c>
      <c r="L88" s="383">
        <f>VLOOKUP($F88,'[3]5.급수원단위'!$B$31:$G$35,2,FALSE)</f>
        <v>272</v>
      </c>
      <c r="M88" s="383">
        <f>VLOOKUP($F88,'[3]5.급수원단위'!$B$31:$G$35,3,FALSE)</f>
        <v>304</v>
      </c>
      <c r="N88" s="383">
        <f>VLOOKUP($F88,'[3]5.급수원단위'!$B$31:$G$35,4,FALSE)</f>
        <v>308</v>
      </c>
      <c r="O88" s="383">
        <f>VLOOKUP($F88,'[3]5.급수원단위'!$B$31:$G$35,5,FALSE)</f>
        <v>310</v>
      </c>
      <c r="P88" s="383">
        <f>VLOOKUP($F88,'[3]5.급수원단위'!$B$31:$G$35,6,FALSE)</f>
        <v>310</v>
      </c>
      <c r="Q88" s="302">
        <f>ROUND(IF(G88=0,0,VLOOKUP(C88,'2013실사용량 정리'!$D$6:$F$381,3,FALSE)),0)</f>
        <v>0</v>
      </c>
      <c r="R88" s="383">
        <f t="shared" si="17"/>
        <v>0</v>
      </c>
      <c r="S88" s="383">
        <f t="shared" si="18"/>
        <v>54</v>
      </c>
      <c r="T88" s="383">
        <f t="shared" si="19"/>
        <v>59</v>
      </c>
      <c r="U88" s="383">
        <f t="shared" si="20"/>
        <v>60</v>
      </c>
      <c r="V88" s="327" t="s">
        <v>2450</v>
      </c>
      <c r="W88" s="343" t="str">
        <f t="shared" si="12"/>
        <v/>
      </c>
    </row>
    <row r="89" spans="1:23" ht="20.100000000000001" customHeight="1">
      <c r="A89" s="340"/>
      <c r="B89" s="340"/>
      <c r="C89" s="380" t="s">
        <v>1708</v>
      </c>
      <c r="D89" s="381" t="s">
        <v>1299</v>
      </c>
      <c r="E89" s="382">
        <v>1</v>
      </c>
      <c r="F89" s="382" t="s">
        <v>756</v>
      </c>
      <c r="G89" s="302"/>
      <c r="H89" s="302"/>
      <c r="I89" s="302">
        <f>IF($D89="A",ROUND(VLOOKUP($C89,'[2]2.행정구역별 급수인구'!$C$7:$AD$997,26,FALSE)*$E89,0),IF($D89="B",(ROUND(VLOOKUP($C89,'[2]2.행정구역별 급수인구'!$C$7:$AD$997,26,FALSE)-VLOOKUP($C89,'[2]2.행정구역별 급수인구'!$C$7:$AD$997,26,FALSE)*(1-$E89),0)),VLOOKUP($C89,'[2]2.행정구역별 급수인구'!$C$7:$AD$997,26,FALSE)))</f>
        <v>138</v>
      </c>
      <c r="J89" s="302">
        <f>IF($D89="A",ROUND(VLOOKUP($C89,'[2]2.행정구역별 급수인구'!$C$7:$AD$997,27,FALSE)*$E89,0),IF($D89="B",(ROUND(VLOOKUP($C89,'[2]2.행정구역별 급수인구'!$C$7:$AD$997,27,FALSE)-VLOOKUP($C89,'[2]2.행정구역별 급수인구'!$C$7:$AD$997,27,FALSE)*(1-$E89),0)),VLOOKUP($C89,'[2]2.행정구역별 급수인구'!$C$7:$AD$997,27,FALSE)))</f>
        <v>150</v>
      </c>
      <c r="K89" s="302">
        <f>IF($D89="A",ROUND(VLOOKUP($C89,'[2]2.행정구역별 급수인구'!$C$7:$AD$997,28,FALSE)*$E89,0),IF($D89="B",(ROUND(VLOOKUP($C89,'[2]2.행정구역별 급수인구'!$C$7:$AD$997,28,FALSE)-VLOOKUP($C89,'[2]2.행정구역별 급수인구'!$C$7:$AD$997,28,FALSE)*(1-$E89),0)),VLOOKUP($C89,'[2]2.행정구역별 급수인구'!$C$7:$AD$997,28,FALSE)))</f>
        <v>152</v>
      </c>
      <c r="L89" s="383">
        <f>VLOOKUP($F89,'[3]5.급수원단위'!$B$31:$G$35,2,FALSE)</f>
        <v>272</v>
      </c>
      <c r="M89" s="383">
        <f>VLOOKUP($F89,'[3]5.급수원단위'!$B$31:$G$35,3,FALSE)</f>
        <v>304</v>
      </c>
      <c r="N89" s="383">
        <f>VLOOKUP($F89,'[3]5.급수원단위'!$B$31:$G$35,4,FALSE)</f>
        <v>308</v>
      </c>
      <c r="O89" s="383">
        <f>VLOOKUP($F89,'[3]5.급수원단위'!$B$31:$G$35,5,FALSE)</f>
        <v>310</v>
      </c>
      <c r="P89" s="383">
        <f>VLOOKUP($F89,'[3]5.급수원단위'!$B$31:$G$35,6,FALSE)</f>
        <v>310</v>
      </c>
      <c r="Q89" s="302">
        <f>ROUND(IF(G89=0,0,VLOOKUP(C89,'2013실사용량 정리'!$D$6:$F$381,3,FALSE)),0)</f>
        <v>0</v>
      </c>
      <c r="R89" s="383">
        <f t="shared" si="17"/>
        <v>0</v>
      </c>
      <c r="S89" s="383">
        <f t="shared" si="18"/>
        <v>43</v>
      </c>
      <c r="T89" s="383">
        <f t="shared" si="19"/>
        <v>47</v>
      </c>
      <c r="U89" s="383">
        <f t="shared" si="20"/>
        <v>47</v>
      </c>
      <c r="V89" s="327" t="s">
        <v>2450</v>
      </c>
      <c r="W89" s="343" t="str">
        <f t="shared" si="12"/>
        <v/>
      </c>
    </row>
    <row r="90" spans="1:23" ht="20.100000000000001" customHeight="1">
      <c r="A90" s="340"/>
      <c r="B90" s="340"/>
      <c r="C90" s="380" t="s">
        <v>1709</v>
      </c>
      <c r="D90" s="381" t="s">
        <v>1299</v>
      </c>
      <c r="E90" s="382">
        <v>1</v>
      </c>
      <c r="F90" s="382" t="s">
        <v>756</v>
      </c>
      <c r="G90" s="302"/>
      <c r="H90" s="302"/>
      <c r="I90" s="302">
        <f>IF($D90="A",ROUND(VLOOKUP($C90,'[2]2.행정구역별 급수인구'!$C$7:$AD$997,26,FALSE)*$E90,0),IF($D90="B",(ROUND(VLOOKUP($C90,'[2]2.행정구역별 급수인구'!$C$7:$AD$997,26,FALSE)-VLOOKUP($C90,'[2]2.행정구역별 급수인구'!$C$7:$AD$997,26,FALSE)*(1-$E90),0)),VLOOKUP($C90,'[2]2.행정구역별 급수인구'!$C$7:$AD$997,26,FALSE)))</f>
        <v>80</v>
      </c>
      <c r="J90" s="302">
        <f>IF($D90="A",ROUND(VLOOKUP($C90,'[2]2.행정구역별 급수인구'!$C$7:$AD$997,27,FALSE)*$E90,0),IF($D90="B",(ROUND(VLOOKUP($C90,'[2]2.행정구역별 급수인구'!$C$7:$AD$997,27,FALSE)-VLOOKUP($C90,'[2]2.행정구역별 급수인구'!$C$7:$AD$997,27,FALSE)*(1-$E90),0)),VLOOKUP($C90,'[2]2.행정구역별 급수인구'!$C$7:$AD$997,27,FALSE)))</f>
        <v>86</v>
      </c>
      <c r="K90" s="302">
        <f>IF($D90="A",ROUND(VLOOKUP($C90,'[2]2.행정구역별 급수인구'!$C$7:$AD$997,28,FALSE)*$E90,0),IF($D90="B",(ROUND(VLOOKUP($C90,'[2]2.행정구역별 급수인구'!$C$7:$AD$997,28,FALSE)-VLOOKUP($C90,'[2]2.행정구역별 급수인구'!$C$7:$AD$997,28,FALSE)*(1-$E90),0)),VLOOKUP($C90,'[2]2.행정구역별 급수인구'!$C$7:$AD$997,28,FALSE)))</f>
        <v>88</v>
      </c>
      <c r="L90" s="383">
        <f>VLOOKUP($F90,'[3]5.급수원단위'!$B$31:$G$35,2,FALSE)</f>
        <v>272</v>
      </c>
      <c r="M90" s="383">
        <f>VLOOKUP($F90,'[3]5.급수원단위'!$B$31:$G$35,3,FALSE)</f>
        <v>304</v>
      </c>
      <c r="N90" s="383">
        <f>VLOOKUP($F90,'[3]5.급수원단위'!$B$31:$G$35,4,FALSE)</f>
        <v>308</v>
      </c>
      <c r="O90" s="383">
        <f>VLOOKUP($F90,'[3]5.급수원단위'!$B$31:$G$35,5,FALSE)</f>
        <v>310</v>
      </c>
      <c r="P90" s="383">
        <f>VLOOKUP($F90,'[3]5.급수원단위'!$B$31:$G$35,6,FALSE)</f>
        <v>310</v>
      </c>
      <c r="Q90" s="302">
        <f>ROUND(IF(G90=0,0,VLOOKUP(C90,'2013실사용량 정리'!$D$6:$F$381,3,FALSE)),0)</f>
        <v>0</v>
      </c>
      <c r="R90" s="383">
        <f t="shared" si="17"/>
        <v>0</v>
      </c>
      <c r="S90" s="383">
        <f t="shared" si="18"/>
        <v>25</v>
      </c>
      <c r="T90" s="383">
        <f t="shared" si="19"/>
        <v>27</v>
      </c>
      <c r="U90" s="383">
        <f t="shared" si="20"/>
        <v>27</v>
      </c>
      <c r="V90" s="327" t="s">
        <v>2450</v>
      </c>
      <c r="W90" s="343" t="str">
        <f t="shared" si="12"/>
        <v/>
      </c>
    </row>
    <row r="91" spans="1:23" ht="20.100000000000001" customHeight="1">
      <c r="A91" s="340"/>
      <c r="B91" s="340"/>
      <c r="C91" s="380" t="s">
        <v>1710</v>
      </c>
      <c r="D91" s="381" t="s">
        <v>1299</v>
      </c>
      <c r="E91" s="382">
        <v>1</v>
      </c>
      <c r="F91" s="382" t="s">
        <v>756</v>
      </c>
      <c r="G91" s="302"/>
      <c r="H91" s="302"/>
      <c r="I91" s="302">
        <f>IF($D91="A",ROUND(VLOOKUP($C91,'[2]2.행정구역별 급수인구'!$C$7:$AD$997,26,FALSE)*$E91,0),IF($D91="B",(ROUND(VLOOKUP($C91,'[2]2.행정구역별 급수인구'!$C$7:$AD$997,26,FALSE)-VLOOKUP($C91,'[2]2.행정구역별 급수인구'!$C$7:$AD$997,26,FALSE)*(1-$E91),0)),VLOOKUP($C91,'[2]2.행정구역별 급수인구'!$C$7:$AD$997,26,FALSE)))</f>
        <v>300</v>
      </c>
      <c r="J91" s="302">
        <f>IF($D91="A",ROUND(VLOOKUP($C91,'[2]2.행정구역별 급수인구'!$C$7:$AD$997,27,FALSE)*$E91,0),IF($D91="B",(ROUND(VLOOKUP($C91,'[2]2.행정구역별 급수인구'!$C$7:$AD$997,27,FALSE)-VLOOKUP($C91,'[2]2.행정구역별 급수인구'!$C$7:$AD$997,27,FALSE)*(1-$E91),0)),VLOOKUP($C91,'[2]2.행정구역별 급수인구'!$C$7:$AD$997,27,FALSE)))</f>
        <v>325</v>
      </c>
      <c r="K91" s="302">
        <f>IF($D91="A",ROUND(VLOOKUP($C91,'[2]2.행정구역별 급수인구'!$C$7:$AD$997,28,FALSE)*$E91,0),IF($D91="B",(ROUND(VLOOKUP($C91,'[2]2.행정구역별 급수인구'!$C$7:$AD$997,28,FALSE)-VLOOKUP($C91,'[2]2.행정구역별 급수인구'!$C$7:$AD$997,28,FALSE)*(1-$E91),0)),VLOOKUP($C91,'[2]2.행정구역별 급수인구'!$C$7:$AD$997,28,FALSE)))</f>
        <v>330</v>
      </c>
      <c r="L91" s="383">
        <f>VLOOKUP($F91,'[3]5.급수원단위'!$B$31:$G$35,2,FALSE)</f>
        <v>272</v>
      </c>
      <c r="M91" s="383">
        <f>VLOOKUP($F91,'[3]5.급수원단위'!$B$31:$G$35,3,FALSE)</f>
        <v>304</v>
      </c>
      <c r="N91" s="383">
        <f>VLOOKUP($F91,'[3]5.급수원단위'!$B$31:$G$35,4,FALSE)</f>
        <v>308</v>
      </c>
      <c r="O91" s="383">
        <f>VLOOKUP($F91,'[3]5.급수원단위'!$B$31:$G$35,5,FALSE)</f>
        <v>310</v>
      </c>
      <c r="P91" s="383">
        <f>VLOOKUP($F91,'[3]5.급수원단위'!$B$31:$G$35,6,FALSE)</f>
        <v>310</v>
      </c>
      <c r="Q91" s="302">
        <f>ROUND(IF(G91=0,0,VLOOKUP(C91,'2013실사용량 정리'!$D$6:$F$381,3,FALSE)),0)</f>
        <v>0</v>
      </c>
      <c r="R91" s="383">
        <f t="shared" si="17"/>
        <v>0</v>
      </c>
      <c r="S91" s="383">
        <f t="shared" si="18"/>
        <v>92</v>
      </c>
      <c r="T91" s="383">
        <f t="shared" si="19"/>
        <v>101</v>
      </c>
      <c r="U91" s="383">
        <f t="shared" si="20"/>
        <v>102</v>
      </c>
      <c r="V91" s="327" t="s">
        <v>2450</v>
      </c>
      <c r="W91" s="343" t="str">
        <f t="shared" si="12"/>
        <v/>
      </c>
    </row>
    <row r="92" spans="1:23" ht="20.100000000000001" customHeight="1">
      <c r="A92" s="340"/>
      <c r="B92" s="340"/>
      <c r="C92" s="380" t="s">
        <v>1711</v>
      </c>
      <c r="D92" s="381" t="s">
        <v>1299</v>
      </c>
      <c r="E92" s="382">
        <v>1</v>
      </c>
      <c r="F92" s="382" t="s">
        <v>756</v>
      </c>
      <c r="G92" s="302"/>
      <c r="H92" s="302"/>
      <c r="I92" s="302">
        <f>IF($D92="A",ROUND(VLOOKUP($C92,'[2]2.행정구역별 급수인구'!$C$7:$AD$997,26,FALSE)*$E92,0),IF($D92="B",(ROUND(VLOOKUP($C92,'[2]2.행정구역별 급수인구'!$C$7:$AD$997,26,FALSE)-VLOOKUP($C92,'[2]2.행정구역별 급수인구'!$C$7:$AD$997,26,FALSE)*(1-$E92),0)),VLOOKUP($C92,'[2]2.행정구역별 급수인구'!$C$7:$AD$997,26,FALSE)))</f>
        <v>126</v>
      </c>
      <c r="J92" s="302">
        <f>IF($D92="A",ROUND(VLOOKUP($C92,'[2]2.행정구역별 급수인구'!$C$7:$AD$997,27,FALSE)*$E92,0),IF($D92="B",(ROUND(VLOOKUP($C92,'[2]2.행정구역별 급수인구'!$C$7:$AD$997,27,FALSE)-VLOOKUP($C92,'[2]2.행정구역별 급수인구'!$C$7:$AD$997,27,FALSE)*(1-$E92),0)),VLOOKUP($C92,'[2]2.행정구역별 급수인구'!$C$7:$AD$997,27,FALSE)))</f>
        <v>138</v>
      </c>
      <c r="K92" s="302">
        <f>IF($D92="A",ROUND(VLOOKUP($C92,'[2]2.행정구역별 급수인구'!$C$7:$AD$997,28,FALSE)*$E92,0),IF($D92="B",(ROUND(VLOOKUP($C92,'[2]2.행정구역별 급수인구'!$C$7:$AD$997,28,FALSE)-VLOOKUP($C92,'[2]2.행정구역별 급수인구'!$C$7:$AD$997,28,FALSE)*(1-$E92),0)),VLOOKUP($C92,'[2]2.행정구역별 급수인구'!$C$7:$AD$997,28,FALSE)))</f>
        <v>140</v>
      </c>
      <c r="L92" s="383">
        <f>VLOOKUP($F92,'[3]5.급수원단위'!$B$31:$G$35,2,FALSE)</f>
        <v>272</v>
      </c>
      <c r="M92" s="383">
        <f>VLOOKUP($F92,'[3]5.급수원단위'!$B$31:$G$35,3,FALSE)</f>
        <v>304</v>
      </c>
      <c r="N92" s="383">
        <f>VLOOKUP($F92,'[3]5.급수원단위'!$B$31:$G$35,4,FALSE)</f>
        <v>308</v>
      </c>
      <c r="O92" s="383">
        <f>VLOOKUP($F92,'[3]5.급수원단위'!$B$31:$G$35,5,FALSE)</f>
        <v>310</v>
      </c>
      <c r="P92" s="383">
        <f>VLOOKUP($F92,'[3]5.급수원단위'!$B$31:$G$35,6,FALSE)</f>
        <v>310</v>
      </c>
      <c r="Q92" s="302">
        <f>ROUND(IF(G92=0,0,VLOOKUP(C92,'2013실사용량 정리'!$D$6:$F$381,3,FALSE)),0)</f>
        <v>0</v>
      </c>
      <c r="R92" s="383">
        <f t="shared" si="17"/>
        <v>0</v>
      </c>
      <c r="S92" s="383">
        <f t="shared" si="18"/>
        <v>39</v>
      </c>
      <c r="T92" s="383">
        <f t="shared" si="19"/>
        <v>43</v>
      </c>
      <c r="U92" s="383">
        <f t="shared" si="20"/>
        <v>43</v>
      </c>
      <c r="V92" s="327" t="s">
        <v>2450</v>
      </c>
      <c r="W92" s="343" t="str">
        <f t="shared" si="12"/>
        <v/>
      </c>
    </row>
    <row r="93" spans="1:23" ht="20.100000000000001" customHeight="1">
      <c r="A93" s="340"/>
      <c r="B93" s="340"/>
      <c r="C93" s="380" t="s">
        <v>1712</v>
      </c>
      <c r="D93" s="381" t="s">
        <v>1299</v>
      </c>
      <c r="E93" s="382">
        <v>1</v>
      </c>
      <c r="F93" s="382" t="s">
        <v>756</v>
      </c>
      <c r="G93" s="302"/>
      <c r="H93" s="302"/>
      <c r="I93" s="302">
        <f>IF($D93="A",ROUND(VLOOKUP($C93,'[2]2.행정구역별 급수인구'!$C$7:$AD$997,26,FALSE)*$E93,0),IF($D93="B",(ROUND(VLOOKUP($C93,'[2]2.행정구역별 급수인구'!$C$7:$AD$997,26,FALSE)-VLOOKUP($C93,'[2]2.행정구역별 급수인구'!$C$7:$AD$997,26,FALSE)*(1-$E93),0)),VLOOKUP($C93,'[2]2.행정구역별 급수인구'!$C$7:$AD$997,26,FALSE)))</f>
        <v>97</v>
      </c>
      <c r="J93" s="302">
        <f>IF($D93="A",ROUND(VLOOKUP($C93,'[2]2.행정구역별 급수인구'!$C$7:$AD$997,27,FALSE)*$E93,0),IF($D93="B",(ROUND(VLOOKUP($C93,'[2]2.행정구역별 급수인구'!$C$7:$AD$997,27,FALSE)-VLOOKUP($C93,'[2]2.행정구역별 급수인구'!$C$7:$AD$997,27,FALSE)*(1-$E93),0)),VLOOKUP($C93,'[2]2.행정구역별 급수인구'!$C$7:$AD$997,27,FALSE)))</f>
        <v>105</v>
      </c>
      <c r="K93" s="302">
        <f>IF($D93="A",ROUND(VLOOKUP($C93,'[2]2.행정구역별 급수인구'!$C$7:$AD$997,28,FALSE)*$E93,0),IF($D93="B",(ROUND(VLOOKUP($C93,'[2]2.행정구역별 급수인구'!$C$7:$AD$997,28,FALSE)-VLOOKUP($C93,'[2]2.행정구역별 급수인구'!$C$7:$AD$997,28,FALSE)*(1-$E93),0)),VLOOKUP($C93,'[2]2.행정구역별 급수인구'!$C$7:$AD$997,28,FALSE)))</f>
        <v>107</v>
      </c>
      <c r="L93" s="383">
        <f>VLOOKUP($F93,'[3]5.급수원단위'!$B$31:$G$35,2,FALSE)</f>
        <v>272</v>
      </c>
      <c r="M93" s="383">
        <f>VLOOKUP($F93,'[3]5.급수원단위'!$B$31:$G$35,3,FALSE)</f>
        <v>304</v>
      </c>
      <c r="N93" s="383">
        <f>VLOOKUP($F93,'[3]5.급수원단위'!$B$31:$G$35,4,FALSE)</f>
        <v>308</v>
      </c>
      <c r="O93" s="383">
        <f>VLOOKUP($F93,'[3]5.급수원단위'!$B$31:$G$35,5,FALSE)</f>
        <v>310</v>
      </c>
      <c r="P93" s="383">
        <f>VLOOKUP($F93,'[3]5.급수원단위'!$B$31:$G$35,6,FALSE)</f>
        <v>310</v>
      </c>
      <c r="Q93" s="302">
        <f>ROUND(IF(G93=0,0,VLOOKUP(C93,'2013실사용량 정리'!$D$6:$F$381,3,FALSE)),0)</f>
        <v>0</v>
      </c>
      <c r="R93" s="383">
        <f t="shared" si="17"/>
        <v>0</v>
      </c>
      <c r="S93" s="383">
        <f t="shared" si="18"/>
        <v>30</v>
      </c>
      <c r="T93" s="383">
        <f t="shared" si="19"/>
        <v>33</v>
      </c>
      <c r="U93" s="383">
        <f t="shared" si="20"/>
        <v>33</v>
      </c>
      <c r="V93" s="327" t="s">
        <v>2450</v>
      </c>
      <c r="W93" s="343" t="str">
        <f t="shared" si="12"/>
        <v/>
      </c>
    </row>
    <row r="94" spans="1:23" ht="20.100000000000001" customHeight="1">
      <c r="A94" s="340"/>
      <c r="B94" s="340"/>
      <c r="C94" s="380" t="s">
        <v>1713</v>
      </c>
      <c r="D94" s="381" t="s">
        <v>1299</v>
      </c>
      <c r="E94" s="382">
        <v>1</v>
      </c>
      <c r="F94" s="382" t="s">
        <v>756</v>
      </c>
      <c r="G94" s="302"/>
      <c r="H94" s="302"/>
      <c r="I94" s="302">
        <f>IF($D94="A",ROUND(VLOOKUP($C94,'[2]2.행정구역별 급수인구'!$C$7:$AD$997,26,FALSE)*$E94,0),IF($D94="B",(ROUND(VLOOKUP($C94,'[2]2.행정구역별 급수인구'!$C$7:$AD$997,26,FALSE)-VLOOKUP($C94,'[2]2.행정구역별 급수인구'!$C$7:$AD$997,26,FALSE)*(1-$E94),0)),VLOOKUP($C94,'[2]2.행정구역별 급수인구'!$C$7:$AD$997,26,FALSE)))</f>
        <v>197</v>
      </c>
      <c r="J94" s="302">
        <f>IF($D94="A",ROUND(VLOOKUP($C94,'[2]2.행정구역별 급수인구'!$C$7:$AD$997,27,FALSE)*$E94,0),IF($D94="B",(ROUND(VLOOKUP($C94,'[2]2.행정구역별 급수인구'!$C$7:$AD$997,27,FALSE)-VLOOKUP($C94,'[2]2.행정구역별 급수인구'!$C$7:$AD$997,27,FALSE)*(1-$E94),0)),VLOOKUP($C94,'[2]2.행정구역별 급수인구'!$C$7:$AD$997,27,FALSE)))</f>
        <v>212</v>
      </c>
      <c r="K94" s="302">
        <f>IF($D94="A",ROUND(VLOOKUP($C94,'[2]2.행정구역별 급수인구'!$C$7:$AD$997,28,FALSE)*$E94,0),IF($D94="B",(ROUND(VLOOKUP($C94,'[2]2.행정구역별 급수인구'!$C$7:$AD$997,28,FALSE)-VLOOKUP($C94,'[2]2.행정구역별 급수인구'!$C$7:$AD$997,28,FALSE)*(1-$E94),0)),VLOOKUP($C94,'[2]2.행정구역별 급수인구'!$C$7:$AD$997,28,FALSE)))</f>
        <v>216</v>
      </c>
      <c r="L94" s="383">
        <f>VLOOKUP($F94,'[3]5.급수원단위'!$B$31:$G$35,2,FALSE)</f>
        <v>272</v>
      </c>
      <c r="M94" s="383">
        <f>VLOOKUP($F94,'[3]5.급수원단위'!$B$31:$G$35,3,FALSE)</f>
        <v>304</v>
      </c>
      <c r="N94" s="383">
        <f>VLOOKUP($F94,'[3]5.급수원단위'!$B$31:$G$35,4,FALSE)</f>
        <v>308</v>
      </c>
      <c r="O94" s="383">
        <f>VLOOKUP($F94,'[3]5.급수원단위'!$B$31:$G$35,5,FALSE)</f>
        <v>310</v>
      </c>
      <c r="P94" s="383">
        <f>VLOOKUP($F94,'[3]5.급수원단위'!$B$31:$G$35,6,FALSE)</f>
        <v>310</v>
      </c>
      <c r="Q94" s="302">
        <f>ROUND(IF(G94=0,0,VLOOKUP(C94,'2013실사용량 정리'!$D$6:$F$381,3,FALSE)),0)</f>
        <v>0</v>
      </c>
      <c r="R94" s="383">
        <f t="shared" si="17"/>
        <v>0</v>
      </c>
      <c r="S94" s="383">
        <f t="shared" si="18"/>
        <v>61</v>
      </c>
      <c r="T94" s="383">
        <f t="shared" si="19"/>
        <v>66</v>
      </c>
      <c r="U94" s="383">
        <f t="shared" si="20"/>
        <v>67</v>
      </c>
      <c r="V94" s="327" t="s">
        <v>2450</v>
      </c>
      <c r="W94" s="343" t="str">
        <f t="shared" si="12"/>
        <v/>
      </c>
    </row>
    <row r="95" spans="1:23" ht="20.100000000000001" customHeight="1">
      <c r="A95" s="340"/>
      <c r="B95" s="340"/>
      <c r="C95" s="380" t="s">
        <v>1714</v>
      </c>
      <c r="D95" s="381" t="s">
        <v>1299</v>
      </c>
      <c r="E95" s="382">
        <v>1</v>
      </c>
      <c r="F95" s="382" t="s">
        <v>756</v>
      </c>
      <c r="G95" s="302"/>
      <c r="H95" s="302"/>
      <c r="I95" s="302">
        <f>IF($D95="A",ROUND(VLOOKUP($C95,'[2]2.행정구역별 급수인구'!$C$7:$AD$997,26,FALSE)*$E95,0),IF($D95="B",(ROUND(VLOOKUP($C95,'[2]2.행정구역별 급수인구'!$C$7:$AD$997,26,FALSE)-VLOOKUP($C95,'[2]2.행정구역별 급수인구'!$C$7:$AD$997,26,FALSE)*(1-$E95),0)),VLOOKUP($C95,'[2]2.행정구역별 급수인구'!$C$7:$AD$997,26,FALSE)))</f>
        <v>60</v>
      </c>
      <c r="J95" s="302">
        <f>IF($D95="A",ROUND(VLOOKUP($C95,'[2]2.행정구역별 급수인구'!$C$7:$AD$997,27,FALSE)*$E95,0),IF($D95="B",(ROUND(VLOOKUP($C95,'[2]2.행정구역별 급수인구'!$C$7:$AD$997,27,FALSE)-VLOOKUP($C95,'[2]2.행정구역별 급수인구'!$C$7:$AD$997,27,FALSE)*(1-$E95),0)),VLOOKUP($C95,'[2]2.행정구역별 급수인구'!$C$7:$AD$997,27,FALSE)))</f>
        <v>65</v>
      </c>
      <c r="K95" s="302">
        <f>IF($D95="A",ROUND(VLOOKUP($C95,'[2]2.행정구역별 급수인구'!$C$7:$AD$997,28,FALSE)*$E95,0),IF($D95="B",(ROUND(VLOOKUP($C95,'[2]2.행정구역별 급수인구'!$C$7:$AD$997,28,FALSE)-VLOOKUP($C95,'[2]2.행정구역별 급수인구'!$C$7:$AD$997,28,FALSE)*(1-$E95),0)),VLOOKUP($C95,'[2]2.행정구역별 급수인구'!$C$7:$AD$997,28,FALSE)))</f>
        <v>65</v>
      </c>
      <c r="L95" s="383">
        <f>VLOOKUP($F95,'[3]5.급수원단위'!$B$31:$G$35,2,FALSE)</f>
        <v>272</v>
      </c>
      <c r="M95" s="383">
        <f>VLOOKUP($F95,'[3]5.급수원단위'!$B$31:$G$35,3,FALSE)</f>
        <v>304</v>
      </c>
      <c r="N95" s="383">
        <f>VLOOKUP($F95,'[3]5.급수원단위'!$B$31:$G$35,4,FALSE)</f>
        <v>308</v>
      </c>
      <c r="O95" s="383">
        <f>VLOOKUP($F95,'[3]5.급수원단위'!$B$31:$G$35,5,FALSE)</f>
        <v>310</v>
      </c>
      <c r="P95" s="383">
        <f>VLOOKUP($F95,'[3]5.급수원단위'!$B$31:$G$35,6,FALSE)</f>
        <v>310</v>
      </c>
      <c r="Q95" s="302">
        <f>ROUND(IF(G95=0,0,VLOOKUP(C95,'2013실사용량 정리'!$D$6:$F$381,3,FALSE)),0)</f>
        <v>0</v>
      </c>
      <c r="R95" s="383">
        <f t="shared" si="17"/>
        <v>0</v>
      </c>
      <c r="S95" s="383">
        <f t="shared" si="18"/>
        <v>18</v>
      </c>
      <c r="T95" s="383">
        <f t="shared" si="19"/>
        <v>20</v>
      </c>
      <c r="U95" s="383">
        <f t="shared" si="20"/>
        <v>20</v>
      </c>
      <c r="V95" s="327" t="s">
        <v>2450</v>
      </c>
      <c r="W95" s="343" t="str">
        <f t="shared" si="12"/>
        <v/>
      </c>
    </row>
    <row r="96" spans="1:23" ht="20.100000000000001" customHeight="1">
      <c r="A96" s="340"/>
      <c r="B96" s="340"/>
      <c r="C96" s="380" t="s">
        <v>1715</v>
      </c>
      <c r="D96" s="381" t="s">
        <v>1299</v>
      </c>
      <c r="E96" s="382">
        <v>1</v>
      </c>
      <c r="F96" s="382" t="s">
        <v>756</v>
      </c>
      <c r="G96" s="302"/>
      <c r="H96" s="302"/>
      <c r="I96" s="302">
        <f>IF($D96="A",ROUND(VLOOKUP($C96,'[2]2.행정구역별 급수인구'!$C$7:$AD$997,26,FALSE)*$E96,0),IF($D96="B",(ROUND(VLOOKUP($C96,'[2]2.행정구역별 급수인구'!$C$7:$AD$997,26,FALSE)-VLOOKUP($C96,'[2]2.행정구역별 급수인구'!$C$7:$AD$997,26,FALSE)*(1-$E96),0)),VLOOKUP($C96,'[2]2.행정구역별 급수인구'!$C$7:$AD$997,26,FALSE)))</f>
        <v>131</v>
      </c>
      <c r="J96" s="302">
        <f>IF($D96="A",ROUND(VLOOKUP($C96,'[2]2.행정구역별 급수인구'!$C$7:$AD$997,27,FALSE)*$E96,0),IF($D96="B",(ROUND(VLOOKUP($C96,'[2]2.행정구역별 급수인구'!$C$7:$AD$997,27,FALSE)-VLOOKUP($C96,'[2]2.행정구역별 급수인구'!$C$7:$AD$997,27,FALSE)*(1-$E96),0)),VLOOKUP($C96,'[2]2.행정구역별 급수인구'!$C$7:$AD$997,27,FALSE)))</f>
        <v>141</v>
      </c>
      <c r="K96" s="302">
        <f>IF($D96="A",ROUND(VLOOKUP($C96,'[2]2.행정구역별 급수인구'!$C$7:$AD$997,28,FALSE)*$E96,0),IF($D96="B",(ROUND(VLOOKUP($C96,'[2]2.행정구역별 급수인구'!$C$7:$AD$997,28,FALSE)-VLOOKUP($C96,'[2]2.행정구역별 급수인구'!$C$7:$AD$997,28,FALSE)*(1-$E96),0)),VLOOKUP($C96,'[2]2.행정구역별 급수인구'!$C$7:$AD$997,28,FALSE)))</f>
        <v>144</v>
      </c>
      <c r="L96" s="383">
        <f>VLOOKUP($F96,'[3]5.급수원단위'!$B$31:$G$35,2,FALSE)</f>
        <v>272</v>
      </c>
      <c r="M96" s="383">
        <f>VLOOKUP($F96,'[3]5.급수원단위'!$B$31:$G$35,3,FALSE)</f>
        <v>304</v>
      </c>
      <c r="N96" s="383">
        <f>VLOOKUP($F96,'[3]5.급수원단위'!$B$31:$G$35,4,FALSE)</f>
        <v>308</v>
      </c>
      <c r="O96" s="383">
        <f>VLOOKUP($F96,'[3]5.급수원단위'!$B$31:$G$35,5,FALSE)</f>
        <v>310</v>
      </c>
      <c r="P96" s="383">
        <f>VLOOKUP($F96,'[3]5.급수원단위'!$B$31:$G$35,6,FALSE)</f>
        <v>310</v>
      </c>
      <c r="Q96" s="302">
        <f>ROUND(IF(G96=0,0,VLOOKUP(C96,'2013실사용량 정리'!$D$6:$F$381,3,FALSE)),0)</f>
        <v>0</v>
      </c>
      <c r="R96" s="383">
        <f t="shared" si="17"/>
        <v>0</v>
      </c>
      <c r="S96" s="383">
        <f t="shared" si="18"/>
        <v>40</v>
      </c>
      <c r="T96" s="383">
        <f t="shared" si="19"/>
        <v>44</v>
      </c>
      <c r="U96" s="383">
        <f t="shared" si="20"/>
        <v>45</v>
      </c>
      <c r="V96" s="327" t="s">
        <v>2450</v>
      </c>
      <c r="W96" s="343" t="str">
        <f t="shared" si="12"/>
        <v/>
      </c>
    </row>
    <row r="97" spans="1:23" ht="20.100000000000001" customHeight="1">
      <c r="A97" s="340"/>
      <c r="B97" s="340"/>
      <c r="C97" s="380" t="s">
        <v>1716</v>
      </c>
      <c r="D97" s="381" t="s">
        <v>1299</v>
      </c>
      <c r="E97" s="382">
        <v>1</v>
      </c>
      <c r="F97" s="382" t="s">
        <v>756</v>
      </c>
      <c r="G97" s="302"/>
      <c r="H97" s="302"/>
      <c r="I97" s="302">
        <f>IF($D97="A",ROUND(VLOOKUP($C97,'[2]2.행정구역별 급수인구'!$C$7:$AD$997,26,FALSE)*$E97,0),IF($D97="B",(ROUND(VLOOKUP($C97,'[2]2.행정구역별 급수인구'!$C$7:$AD$997,26,FALSE)-VLOOKUP($C97,'[2]2.행정구역별 급수인구'!$C$7:$AD$997,26,FALSE)*(1-$E97),0)),VLOOKUP($C97,'[2]2.행정구역별 급수인구'!$C$7:$AD$997,26,FALSE)))</f>
        <v>124</v>
      </c>
      <c r="J97" s="302">
        <f>IF($D97="A",ROUND(VLOOKUP($C97,'[2]2.행정구역별 급수인구'!$C$7:$AD$997,27,FALSE)*$E97,0),IF($D97="B",(ROUND(VLOOKUP($C97,'[2]2.행정구역별 급수인구'!$C$7:$AD$997,27,FALSE)-VLOOKUP($C97,'[2]2.행정구역별 급수인구'!$C$7:$AD$997,27,FALSE)*(1-$E97),0)),VLOOKUP($C97,'[2]2.행정구역별 급수인구'!$C$7:$AD$997,27,FALSE)))</f>
        <v>135</v>
      </c>
      <c r="K97" s="302">
        <f>IF($D97="A",ROUND(VLOOKUP($C97,'[2]2.행정구역별 급수인구'!$C$7:$AD$997,28,FALSE)*$E97,0),IF($D97="B",(ROUND(VLOOKUP($C97,'[2]2.행정구역별 급수인구'!$C$7:$AD$997,28,FALSE)-VLOOKUP($C97,'[2]2.행정구역별 급수인구'!$C$7:$AD$997,28,FALSE)*(1-$E97),0)),VLOOKUP($C97,'[2]2.행정구역별 급수인구'!$C$7:$AD$997,28,FALSE)))</f>
        <v>136</v>
      </c>
      <c r="L97" s="383">
        <f>VLOOKUP($F97,'[3]5.급수원단위'!$B$31:$G$35,2,FALSE)</f>
        <v>272</v>
      </c>
      <c r="M97" s="383">
        <f>VLOOKUP($F97,'[3]5.급수원단위'!$B$31:$G$35,3,FALSE)</f>
        <v>304</v>
      </c>
      <c r="N97" s="383">
        <f>VLOOKUP($F97,'[3]5.급수원단위'!$B$31:$G$35,4,FALSE)</f>
        <v>308</v>
      </c>
      <c r="O97" s="383">
        <f>VLOOKUP($F97,'[3]5.급수원단위'!$B$31:$G$35,5,FALSE)</f>
        <v>310</v>
      </c>
      <c r="P97" s="383">
        <f>VLOOKUP($F97,'[3]5.급수원단위'!$B$31:$G$35,6,FALSE)</f>
        <v>310</v>
      </c>
      <c r="Q97" s="302">
        <f>ROUND(IF(G97=0,0,VLOOKUP(C97,'2013실사용량 정리'!$D$6:$F$381,3,FALSE)),0)</f>
        <v>0</v>
      </c>
      <c r="R97" s="383">
        <f t="shared" si="17"/>
        <v>0</v>
      </c>
      <c r="S97" s="383">
        <f t="shared" si="18"/>
        <v>38</v>
      </c>
      <c r="T97" s="383">
        <f t="shared" si="19"/>
        <v>42</v>
      </c>
      <c r="U97" s="383">
        <f t="shared" si="20"/>
        <v>42</v>
      </c>
      <c r="V97" s="327" t="s">
        <v>2450</v>
      </c>
      <c r="W97" s="343" t="str">
        <f t="shared" si="12"/>
        <v/>
      </c>
    </row>
    <row r="98" spans="1:23" ht="20.100000000000001" customHeight="1">
      <c r="A98" s="340"/>
      <c r="B98" s="340"/>
      <c r="C98" s="380" t="s">
        <v>1717</v>
      </c>
      <c r="D98" s="381" t="s">
        <v>1299</v>
      </c>
      <c r="E98" s="382">
        <v>1</v>
      </c>
      <c r="F98" s="382" t="s">
        <v>756</v>
      </c>
      <c r="G98" s="302"/>
      <c r="H98" s="302"/>
      <c r="I98" s="302">
        <f>IF($D98="A",ROUND(VLOOKUP($C98,'[2]2.행정구역별 급수인구'!$C$7:$AD$997,26,FALSE)*$E98,0),IF($D98="B",(ROUND(VLOOKUP($C98,'[2]2.행정구역별 급수인구'!$C$7:$AD$997,26,FALSE)-VLOOKUP($C98,'[2]2.행정구역별 급수인구'!$C$7:$AD$997,26,FALSE)*(1-$E98),0)),VLOOKUP($C98,'[2]2.행정구역별 급수인구'!$C$7:$AD$997,26,FALSE)))</f>
        <v>149</v>
      </c>
      <c r="J98" s="302">
        <f>IF($D98="A",ROUND(VLOOKUP($C98,'[2]2.행정구역별 급수인구'!$C$7:$AD$997,27,FALSE)*$E98,0),IF($D98="B",(ROUND(VLOOKUP($C98,'[2]2.행정구역별 급수인구'!$C$7:$AD$997,27,FALSE)-VLOOKUP($C98,'[2]2.행정구역별 급수인구'!$C$7:$AD$997,27,FALSE)*(1-$E98),0)),VLOOKUP($C98,'[2]2.행정구역별 급수인구'!$C$7:$AD$997,27,FALSE)))</f>
        <v>161</v>
      </c>
      <c r="K98" s="302">
        <f>IF($D98="A",ROUND(VLOOKUP($C98,'[2]2.행정구역별 급수인구'!$C$7:$AD$997,28,FALSE)*$E98,0),IF($D98="B",(ROUND(VLOOKUP($C98,'[2]2.행정구역별 급수인구'!$C$7:$AD$997,28,FALSE)-VLOOKUP($C98,'[2]2.행정구역별 급수인구'!$C$7:$AD$997,28,FALSE)*(1-$E98),0)),VLOOKUP($C98,'[2]2.행정구역별 급수인구'!$C$7:$AD$997,28,FALSE)))</f>
        <v>164</v>
      </c>
      <c r="L98" s="383">
        <f>VLOOKUP($F98,'[3]5.급수원단위'!$B$31:$G$35,2,FALSE)</f>
        <v>272</v>
      </c>
      <c r="M98" s="383">
        <f>VLOOKUP($F98,'[3]5.급수원단위'!$B$31:$G$35,3,FALSE)</f>
        <v>304</v>
      </c>
      <c r="N98" s="383">
        <f>VLOOKUP($F98,'[3]5.급수원단위'!$B$31:$G$35,4,FALSE)</f>
        <v>308</v>
      </c>
      <c r="O98" s="383">
        <f>VLOOKUP($F98,'[3]5.급수원단위'!$B$31:$G$35,5,FALSE)</f>
        <v>310</v>
      </c>
      <c r="P98" s="383">
        <f>VLOOKUP($F98,'[3]5.급수원단위'!$B$31:$G$35,6,FALSE)</f>
        <v>310</v>
      </c>
      <c r="Q98" s="302">
        <f>ROUND(IF(G98=0,0,VLOOKUP(C98,'2013실사용량 정리'!$D$6:$F$381,3,FALSE)),0)</f>
        <v>0</v>
      </c>
      <c r="R98" s="383">
        <f t="shared" si="17"/>
        <v>0</v>
      </c>
      <c r="S98" s="383">
        <f t="shared" si="18"/>
        <v>46</v>
      </c>
      <c r="T98" s="383">
        <f t="shared" si="19"/>
        <v>50</v>
      </c>
      <c r="U98" s="383">
        <f t="shared" si="20"/>
        <v>51</v>
      </c>
      <c r="V98" s="327" t="s">
        <v>2450</v>
      </c>
      <c r="W98" s="343" t="str">
        <f t="shared" si="12"/>
        <v/>
      </c>
    </row>
    <row r="99" spans="1:23" ht="20.100000000000001" customHeight="1">
      <c r="A99" s="340"/>
      <c r="B99" s="340"/>
      <c r="C99" s="380" t="s">
        <v>1718</v>
      </c>
      <c r="D99" s="381" t="s">
        <v>1299</v>
      </c>
      <c r="E99" s="382">
        <v>1</v>
      </c>
      <c r="F99" s="382" t="s">
        <v>756</v>
      </c>
      <c r="G99" s="302"/>
      <c r="H99" s="302"/>
      <c r="I99" s="302">
        <f>IF($D99="A",ROUND(VLOOKUP($C99,'[2]2.행정구역별 급수인구'!$C$7:$AD$997,26,FALSE)*$E99,0),IF($D99="B",(ROUND(VLOOKUP($C99,'[2]2.행정구역별 급수인구'!$C$7:$AD$997,26,FALSE)-VLOOKUP($C99,'[2]2.행정구역별 급수인구'!$C$7:$AD$997,26,FALSE)*(1-$E99),0)),VLOOKUP($C99,'[2]2.행정구역별 급수인구'!$C$7:$AD$997,26,FALSE)))</f>
        <v>79</v>
      </c>
      <c r="J99" s="302">
        <f>IF($D99="A",ROUND(VLOOKUP($C99,'[2]2.행정구역별 급수인구'!$C$7:$AD$997,27,FALSE)*$E99,0),IF($D99="B",(ROUND(VLOOKUP($C99,'[2]2.행정구역별 급수인구'!$C$7:$AD$997,27,FALSE)-VLOOKUP($C99,'[2]2.행정구역별 급수인구'!$C$7:$AD$997,27,FALSE)*(1-$E99),0)),VLOOKUP($C99,'[2]2.행정구역별 급수인구'!$C$7:$AD$997,27,FALSE)))</f>
        <v>86</v>
      </c>
      <c r="K99" s="302">
        <f>IF($D99="A",ROUND(VLOOKUP($C99,'[2]2.행정구역별 급수인구'!$C$7:$AD$997,28,FALSE)*$E99,0),IF($D99="B",(ROUND(VLOOKUP($C99,'[2]2.행정구역별 급수인구'!$C$7:$AD$997,28,FALSE)-VLOOKUP($C99,'[2]2.행정구역별 급수인구'!$C$7:$AD$997,28,FALSE)*(1-$E99),0)),VLOOKUP($C99,'[2]2.행정구역별 급수인구'!$C$7:$AD$997,28,FALSE)))</f>
        <v>88</v>
      </c>
      <c r="L99" s="383">
        <f>VLOOKUP($F99,'[3]5.급수원단위'!$B$31:$G$35,2,FALSE)</f>
        <v>272</v>
      </c>
      <c r="M99" s="383">
        <f>VLOOKUP($F99,'[3]5.급수원단위'!$B$31:$G$35,3,FALSE)</f>
        <v>304</v>
      </c>
      <c r="N99" s="383">
        <f>VLOOKUP($F99,'[3]5.급수원단위'!$B$31:$G$35,4,FALSE)</f>
        <v>308</v>
      </c>
      <c r="O99" s="383">
        <f>VLOOKUP($F99,'[3]5.급수원단위'!$B$31:$G$35,5,FALSE)</f>
        <v>310</v>
      </c>
      <c r="P99" s="383">
        <f>VLOOKUP($F99,'[3]5.급수원단위'!$B$31:$G$35,6,FALSE)</f>
        <v>310</v>
      </c>
      <c r="Q99" s="302">
        <f>ROUND(IF(G99=0,0,VLOOKUP(C99,'2013실사용량 정리'!$D$6:$F$381,3,FALSE)),0)</f>
        <v>0</v>
      </c>
      <c r="R99" s="383">
        <f t="shared" si="17"/>
        <v>0</v>
      </c>
      <c r="S99" s="383">
        <f t="shared" si="18"/>
        <v>24</v>
      </c>
      <c r="T99" s="383">
        <f t="shared" si="19"/>
        <v>27</v>
      </c>
      <c r="U99" s="383">
        <f t="shared" si="20"/>
        <v>27</v>
      </c>
      <c r="V99" s="327" t="s">
        <v>2450</v>
      </c>
      <c r="W99" s="343" t="str">
        <f t="shared" ref="W99:W102" si="22">IF(ISERROR(U99/Q99),"",U99/Q99)</f>
        <v/>
      </c>
    </row>
    <row r="100" spans="1:23" ht="20.100000000000001" customHeight="1">
      <c r="A100" s="340"/>
      <c r="B100" s="340"/>
      <c r="C100" s="380" t="s">
        <v>1719</v>
      </c>
      <c r="D100" s="381" t="s">
        <v>1299</v>
      </c>
      <c r="E100" s="382">
        <v>1</v>
      </c>
      <c r="F100" s="382" t="s">
        <v>756</v>
      </c>
      <c r="G100" s="302"/>
      <c r="H100" s="302"/>
      <c r="I100" s="302">
        <f>IF($D100="A",ROUND(VLOOKUP($C100,'[2]2.행정구역별 급수인구'!$C$7:$AD$997,26,FALSE)*$E100,0),IF($D100="B",(ROUND(VLOOKUP($C100,'[2]2.행정구역별 급수인구'!$C$7:$AD$997,26,FALSE)-VLOOKUP($C100,'[2]2.행정구역별 급수인구'!$C$7:$AD$997,26,FALSE)*(1-$E100),0)),VLOOKUP($C100,'[2]2.행정구역별 급수인구'!$C$7:$AD$997,26,FALSE)))</f>
        <v>51</v>
      </c>
      <c r="J100" s="302">
        <f>IF($D100="A",ROUND(VLOOKUP($C100,'[2]2.행정구역별 급수인구'!$C$7:$AD$997,27,FALSE)*$E100,0),IF($D100="B",(ROUND(VLOOKUP($C100,'[2]2.행정구역별 급수인구'!$C$7:$AD$997,27,FALSE)-VLOOKUP($C100,'[2]2.행정구역별 급수인구'!$C$7:$AD$997,27,FALSE)*(1-$E100),0)),VLOOKUP($C100,'[2]2.행정구역별 급수인구'!$C$7:$AD$997,27,FALSE)))</f>
        <v>55</v>
      </c>
      <c r="K100" s="302">
        <f>IF($D100="A",ROUND(VLOOKUP($C100,'[2]2.행정구역별 급수인구'!$C$7:$AD$997,28,FALSE)*$E100,0),IF($D100="B",(ROUND(VLOOKUP($C100,'[2]2.행정구역별 급수인구'!$C$7:$AD$997,28,FALSE)-VLOOKUP($C100,'[2]2.행정구역별 급수인구'!$C$7:$AD$997,28,FALSE)*(1-$E100),0)),VLOOKUP($C100,'[2]2.행정구역별 급수인구'!$C$7:$AD$997,28,FALSE)))</f>
        <v>57</v>
      </c>
      <c r="L100" s="383">
        <f>VLOOKUP($F100,'[3]5.급수원단위'!$B$31:$G$35,2,FALSE)</f>
        <v>272</v>
      </c>
      <c r="M100" s="383">
        <f>VLOOKUP($F100,'[3]5.급수원단위'!$B$31:$G$35,3,FALSE)</f>
        <v>304</v>
      </c>
      <c r="N100" s="383">
        <f>VLOOKUP($F100,'[3]5.급수원단위'!$B$31:$G$35,4,FALSE)</f>
        <v>308</v>
      </c>
      <c r="O100" s="383">
        <f>VLOOKUP($F100,'[3]5.급수원단위'!$B$31:$G$35,5,FALSE)</f>
        <v>310</v>
      </c>
      <c r="P100" s="383">
        <f>VLOOKUP($F100,'[3]5.급수원단위'!$B$31:$G$35,6,FALSE)</f>
        <v>310</v>
      </c>
      <c r="Q100" s="302">
        <f>ROUND(IF(G100=0,0,VLOOKUP(C100,'2013실사용량 정리'!$D$6:$F$381,3,FALSE)),0)</f>
        <v>0</v>
      </c>
      <c r="R100" s="383">
        <f t="shared" si="17"/>
        <v>0</v>
      </c>
      <c r="S100" s="383">
        <f t="shared" si="18"/>
        <v>16</v>
      </c>
      <c r="T100" s="383">
        <f t="shared" si="19"/>
        <v>17</v>
      </c>
      <c r="U100" s="383">
        <f t="shared" si="20"/>
        <v>18</v>
      </c>
      <c r="V100" s="327" t="s">
        <v>2450</v>
      </c>
      <c r="W100" s="343" t="str">
        <f t="shared" si="22"/>
        <v/>
      </c>
    </row>
    <row r="101" spans="1:23" ht="20.100000000000001" customHeight="1">
      <c r="A101" s="340"/>
      <c r="B101" s="340"/>
      <c r="C101" s="380" t="s">
        <v>1720</v>
      </c>
      <c r="D101" s="381" t="s">
        <v>1299</v>
      </c>
      <c r="E101" s="382">
        <v>1</v>
      </c>
      <c r="F101" s="382" t="s">
        <v>756</v>
      </c>
      <c r="G101" s="302"/>
      <c r="H101" s="302"/>
      <c r="I101" s="302">
        <f>IF($D101="A",ROUND(VLOOKUP($C101,'[2]2.행정구역별 급수인구'!$C$7:$AD$997,26,FALSE)*$E101,0),IF($D101="B",(ROUND(VLOOKUP($C101,'[2]2.행정구역별 급수인구'!$C$7:$AD$997,26,FALSE)-VLOOKUP($C101,'[2]2.행정구역별 급수인구'!$C$7:$AD$997,26,FALSE)*(1-$E101),0)),VLOOKUP($C101,'[2]2.행정구역별 급수인구'!$C$7:$AD$997,26,FALSE)))</f>
        <v>128</v>
      </c>
      <c r="J101" s="302">
        <f>IF($D101="A",ROUND(VLOOKUP($C101,'[2]2.행정구역별 급수인구'!$C$7:$AD$997,27,FALSE)*$E101,0),IF($D101="B",(ROUND(VLOOKUP($C101,'[2]2.행정구역별 급수인구'!$C$7:$AD$997,27,FALSE)-VLOOKUP($C101,'[2]2.행정구역별 급수인구'!$C$7:$AD$997,27,FALSE)*(1-$E101),0)),VLOOKUP($C101,'[2]2.행정구역별 급수인구'!$C$7:$AD$997,27,FALSE)))</f>
        <v>139</v>
      </c>
      <c r="K101" s="302">
        <f>IF($D101="A",ROUND(VLOOKUP($C101,'[2]2.행정구역별 급수인구'!$C$7:$AD$997,28,FALSE)*$E101,0),IF($D101="B",(ROUND(VLOOKUP($C101,'[2]2.행정구역별 급수인구'!$C$7:$AD$997,28,FALSE)-VLOOKUP($C101,'[2]2.행정구역별 급수인구'!$C$7:$AD$997,28,FALSE)*(1-$E101),0)),VLOOKUP($C101,'[2]2.행정구역별 급수인구'!$C$7:$AD$997,28,FALSE)))</f>
        <v>140</v>
      </c>
      <c r="L101" s="383">
        <f>VLOOKUP($F101,'[3]5.급수원단위'!$B$31:$G$35,2,FALSE)</f>
        <v>272</v>
      </c>
      <c r="M101" s="383">
        <f>VLOOKUP($F101,'[3]5.급수원단위'!$B$31:$G$35,3,FALSE)</f>
        <v>304</v>
      </c>
      <c r="N101" s="383">
        <f>VLOOKUP($F101,'[3]5.급수원단위'!$B$31:$G$35,4,FALSE)</f>
        <v>308</v>
      </c>
      <c r="O101" s="383">
        <f>VLOOKUP($F101,'[3]5.급수원단위'!$B$31:$G$35,5,FALSE)</f>
        <v>310</v>
      </c>
      <c r="P101" s="383">
        <f>VLOOKUP($F101,'[3]5.급수원단위'!$B$31:$G$35,6,FALSE)</f>
        <v>310</v>
      </c>
      <c r="Q101" s="302">
        <f>ROUND(IF(G101=0,0,VLOOKUP(C101,'2013실사용량 정리'!$D$6:$F$381,3,FALSE)),0)</f>
        <v>0</v>
      </c>
      <c r="R101" s="383">
        <f t="shared" si="17"/>
        <v>0</v>
      </c>
      <c r="S101" s="383">
        <f t="shared" si="18"/>
        <v>39</v>
      </c>
      <c r="T101" s="383">
        <f t="shared" si="19"/>
        <v>43</v>
      </c>
      <c r="U101" s="383">
        <f t="shared" si="20"/>
        <v>43</v>
      </c>
      <c r="V101" s="327" t="s">
        <v>2450</v>
      </c>
      <c r="W101" s="343" t="str">
        <f t="shared" si="22"/>
        <v/>
      </c>
    </row>
    <row r="102" spans="1:23" ht="20.100000000000001" customHeight="1">
      <c r="A102" s="386"/>
      <c r="B102" s="386"/>
      <c r="C102" s="380" t="s">
        <v>1721</v>
      </c>
      <c r="D102" s="381" t="s">
        <v>1299</v>
      </c>
      <c r="E102" s="382">
        <v>1</v>
      </c>
      <c r="F102" s="382" t="s">
        <v>756</v>
      </c>
      <c r="G102" s="302"/>
      <c r="H102" s="302"/>
      <c r="I102" s="302">
        <f>IF($D102="A",ROUND(VLOOKUP($C102,'[2]2.행정구역별 급수인구'!$C$7:$AD$997,26,FALSE)*$E102,0),IF($D102="B",(ROUND(VLOOKUP($C102,'[2]2.행정구역별 급수인구'!$C$7:$AD$997,26,FALSE)-VLOOKUP($C102,'[2]2.행정구역별 급수인구'!$C$7:$AD$997,26,FALSE)*(1-$E102),0)),VLOOKUP($C102,'[2]2.행정구역별 급수인구'!$C$7:$AD$997,26,FALSE)))</f>
        <v>87</v>
      </c>
      <c r="J102" s="302">
        <f>IF($D102="A",ROUND(VLOOKUP($C102,'[2]2.행정구역별 급수인구'!$C$7:$AD$997,27,FALSE)*$E102,0),IF($D102="B",(ROUND(VLOOKUP($C102,'[2]2.행정구역별 급수인구'!$C$7:$AD$997,27,FALSE)-VLOOKUP($C102,'[2]2.행정구역별 급수인구'!$C$7:$AD$997,27,FALSE)*(1-$E102),0)),VLOOKUP($C102,'[2]2.행정구역별 급수인구'!$C$7:$AD$997,27,FALSE)))</f>
        <v>95</v>
      </c>
      <c r="K102" s="302">
        <f>IF($D102="A",ROUND(VLOOKUP($C102,'[2]2.행정구역별 급수인구'!$C$7:$AD$997,28,FALSE)*$E102,0),IF($D102="B",(ROUND(VLOOKUP($C102,'[2]2.행정구역별 급수인구'!$C$7:$AD$997,28,FALSE)-VLOOKUP($C102,'[2]2.행정구역별 급수인구'!$C$7:$AD$997,28,FALSE)*(1-$E102),0)),VLOOKUP($C102,'[2]2.행정구역별 급수인구'!$C$7:$AD$997,28,FALSE)))</f>
        <v>96</v>
      </c>
      <c r="L102" s="383">
        <f>VLOOKUP($F102,'[3]5.급수원단위'!$B$31:$G$35,2,FALSE)</f>
        <v>272</v>
      </c>
      <c r="M102" s="383">
        <f>VLOOKUP($F102,'[3]5.급수원단위'!$B$31:$G$35,3,FALSE)</f>
        <v>304</v>
      </c>
      <c r="N102" s="383">
        <f>VLOOKUP($F102,'[3]5.급수원단위'!$B$31:$G$35,4,FALSE)</f>
        <v>308</v>
      </c>
      <c r="O102" s="383">
        <f>VLOOKUP($F102,'[3]5.급수원단위'!$B$31:$G$35,5,FALSE)</f>
        <v>310</v>
      </c>
      <c r="P102" s="383">
        <f>VLOOKUP($F102,'[3]5.급수원단위'!$B$31:$G$35,6,FALSE)</f>
        <v>310</v>
      </c>
      <c r="Q102" s="302">
        <f>ROUND(IF(G102=0,0,VLOOKUP(C102,'2013실사용량 정리'!$D$6:$F$381,3,FALSE)),0)</f>
        <v>0</v>
      </c>
      <c r="R102" s="383">
        <f t="shared" si="17"/>
        <v>0</v>
      </c>
      <c r="S102" s="383">
        <f t="shared" si="18"/>
        <v>27</v>
      </c>
      <c r="T102" s="383">
        <f t="shared" si="19"/>
        <v>29</v>
      </c>
      <c r="U102" s="383">
        <f t="shared" si="20"/>
        <v>30</v>
      </c>
      <c r="V102" s="327" t="s">
        <v>2450</v>
      </c>
      <c r="W102" s="343" t="str">
        <f t="shared" si="22"/>
        <v/>
      </c>
    </row>
    <row r="103" spans="1:23" ht="20.100000000000001" customHeight="1">
      <c r="A103" s="719" t="s">
        <v>1572</v>
      </c>
      <c r="B103" s="719"/>
      <c r="C103" s="719"/>
      <c r="D103" s="719"/>
      <c r="E103" s="332"/>
      <c r="F103" s="332"/>
      <c r="G103" s="298">
        <f>G104+G148</f>
        <v>791</v>
      </c>
      <c r="H103" s="298">
        <f t="shared" ref="H103:K103" si="23">H104+H148</f>
        <v>3963</v>
      </c>
      <c r="I103" s="298">
        <f t="shared" si="23"/>
        <v>8512</v>
      </c>
      <c r="J103" s="298">
        <f t="shared" si="23"/>
        <v>8654</v>
      </c>
      <c r="K103" s="298">
        <f t="shared" si="23"/>
        <v>8755</v>
      </c>
      <c r="L103" s="298"/>
      <c r="M103" s="298"/>
      <c r="N103" s="298"/>
      <c r="O103" s="298"/>
      <c r="P103" s="298"/>
      <c r="Q103" s="298">
        <f t="shared" ref="Q103:U103" si="24">Q104+Q148</f>
        <v>94</v>
      </c>
      <c r="R103" s="298">
        <f t="shared" si="24"/>
        <v>1205</v>
      </c>
      <c r="S103" s="298">
        <f t="shared" si="24"/>
        <v>1720</v>
      </c>
      <c r="T103" s="298">
        <f t="shared" si="24"/>
        <v>1778</v>
      </c>
      <c r="U103" s="298">
        <f t="shared" si="24"/>
        <v>1806</v>
      </c>
      <c r="W103" s="343"/>
    </row>
    <row r="104" spans="1:23" ht="20.100000000000001" customHeight="1">
      <c r="A104" s="339"/>
      <c r="B104" s="694" t="s">
        <v>1615</v>
      </c>
      <c r="C104" s="694"/>
      <c r="D104" s="694"/>
      <c r="E104" s="331"/>
      <c r="F104" s="331"/>
      <c r="G104" s="336">
        <f>SUM(G105:G147)</f>
        <v>699</v>
      </c>
      <c r="H104" s="336">
        <f t="shared" ref="H104:K104" si="25">SUM(H105:H147)</f>
        <v>3717</v>
      </c>
      <c r="I104" s="336">
        <f t="shared" si="25"/>
        <v>8237</v>
      </c>
      <c r="J104" s="336">
        <f t="shared" si="25"/>
        <v>8371</v>
      </c>
      <c r="K104" s="336">
        <f t="shared" si="25"/>
        <v>8468</v>
      </c>
      <c r="L104" s="336"/>
      <c r="M104" s="336"/>
      <c r="N104" s="336"/>
      <c r="O104" s="336"/>
      <c r="P104" s="336"/>
      <c r="Q104" s="336">
        <f t="shared" ref="Q104:U104" si="26">SUM(Q105:Q147)</f>
        <v>82</v>
      </c>
      <c r="R104" s="336">
        <f t="shared" si="26"/>
        <v>1130</v>
      </c>
      <c r="S104" s="336">
        <f t="shared" si="26"/>
        <v>1636</v>
      </c>
      <c r="T104" s="336">
        <f t="shared" si="26"/>
        <v>1690</v>
      </c>
      <c r="U104" s="336">
        <f t="shared" si="26"/>
        <v>1717</v>
      </c>
      <c r="V104" s="343">
        <f>VLOOKUP(B104,'2013년도 용수량 비율'!$A$5:$F$20,6,FALSE)</f>
        <v>1.62</v>
      </c>
      <c r="W104" s="343"/>
    </row>
    <row r="105" spans="1:23" ht="20.100000000000001" customHeight="1">
      <c r="A105" s="340"/>
      <c r="B105" s="339"/>
      <c r="C105" s="406" t="s">
        <v>1573</v>
      </c>
      <c r="D105" s="330" t="s">
        <v>1867</v>
      </c>
      <c r="E105" s="527">
        <v>1</v>
      </c>
      <c r="F105" s="527" t="s">
        <v>1317</v>
      </c>
      <c r="G105" s="302">
        <f>IF($D105="A",ROUND(VLOOKUP($C105,'[2]2.행정구역별 급수인구'!$C$7:$AD$997,17,FALSE)*$E105,0),IF($D105="B",(ROUND(VLOOKUP($C105,'[2]2.행정구역별 급수인구'!$C$7:$AD$997,17,FALSE)-VLOOKUP($C105,'[2]2.행정구역별 급수인구'!$C$7:$AD$997,17,FALSE)*(1-$E105),0)),VLOOKUP($C105,'[2]2.행정구역별 급수인구'!$C$7:$AD$997,17,FALSE)))</f>
        <v>307</v>
      </c>
      <c r="H105" s="302">
        <f>IF($D105="A",ROUND(VLOOKUP($C105,'[2]2.행정구역별 급수인구'!$C$7:$AD$997,25,FALSE)*$E105,0),IF($D105="B",(ROUND(VLOOKUP($C105,'[2]2.행정구역별 급수인구'!$C$7:$AD$997,25,FALSE)-VLOOKUP($C105,'[2]2.행정구역별 급수인구'!$C$7:$AD$997,25,FALSE)*(1-$E105),0)),VLOOKUP($C105,'[2]2.행정구역별 급수인구'!$C$7:$AD$997,25,FALSE)))</f>
        <v>322</v>
      </c>
      <c r="I105" s="302">
        <f>IF($D105="A",ROUND(VLOOKUP($C105,'[2]2.행정구역별 급수인구'!$C$7:$AD$997,26,FALSE)*$E105,0),IF($D105="B",(ROUND(VLOOKUP($C105,'[2]2.행정구역별 급수인구'!$C$7:$AD$997,26,FALSE)-VLOOKUP($C105,'[2]2.행정구역별 급수인구'!$C$7:$AD$997,26,FALSE)*(1-$E105),0)),VLOOKUP($C105,'[2]2.행정구역별 급수인구'!$C$7:$AD$997,26,FALSE)))</f>
        <v>339</v>
      </c>
      <c r="J105" s="302">
        <f>IF($D105="A",ROUND(VLOOKUP($C105,'[2]2.행정구역별 급수인구'!$C$7:$AD$997,27,FALSE)*$E105,0),IF($D105="B",(ROUND(VLOOKUP($C105,'[2]2.행정구역별 급수인구'!$C$7:$AD$997,27,FALSE)-VLOOKUP($C105,'[2]2.행정구역별 급수인구'!$C$7:$AD$997,27,FALSE)*(1-$E105),0)),VLOOKUP($C105,'[2]2.행정구역별 급수인구'!$C$7:$AD$997,27,FALSE)))</f>
        <v>348</v>
      </c>
      <c r="K105" s="302">
        <f>IF($D105="A",ROUND(VLOOKUP($C105,'[2]2.행정구역별 급수인구'!$C$7:$AD$997,28,FALSE)*$E105,0),IF($D105="B",(ROUND(VLOOKUP($C105,'[2]2.행정구역별 급수인구'!$C$7:$AD$997,28,FALSE)-VLOOKUP($C105,'[2]2.행정구역별 급수인구'!$C$7:$AD$997,28,FALSE)*(1-$E105),0)),VLOOKUP($C105,'[2]2.행정구역별 급수인구'!$C$7:$AD$997,28,FALSE)))</f>
        <v>354</v>
      </c>
      <c r="L105" s="302">
        <f>VLOOKUP($F105,'[3]5.급수원단위'!$B$31:$G$35,2,FALSE)</f>
        <v>272</v>
      </c>
      <c r="M105" s="302">
        <f>VLOOKUP($F105,'[3]5.급수원단위'!$B$31:$G$35,3,FALSE)</f>
        <v>304</v>
      </c>
      <c r="N105" s="302">
        <f>VLOOKUP($F105,'[3]5.급수원단위'!$B$31:$G$35,4,FALSE)</f>
        <v>308</v>
      </c>
      <c r="O105" s="302">
        <f>VLOOKUP($F105,'[3]5.급수원단위'!$B$31:$G$35,5,FALSE)</f>
        <v>310</v>
      </c>
      <c r="P105" s="302">
        <f>VLOOKUP($F105,'[3]5.급수원단위'!$B$31:$G$35,6,FALSE)</f>
        <v>310</v>
      </c>
      <c r="Q105" s="302">
        <f>ROUND(IF(G105=0,0,VLOOKUP(C105,'2013실사용량 정리'!$D$6:$F$381,3,FALSE)),0)</f>
        <v>38</v>
      </c>
      <c r="R105" s="302">
        <f t="shared" ref="R105:U120" si="27">ROUND(H105*M105/1000,0)</f>
        <v>98</v>
      </c>
      <c r="S105" s="302">
        <f t="shared" si="27"/>
        <v>104</v>
      </c>
      <c r="T105" s="302">
        <f t="shared" si="27"/>
        <v>108</v>
      </c>
      <c r="U105" s="302">
        <f t="shared" si="27"/>
        <v>110</v>
      </c>
      <c r="W105" s="343">
        <f t="shared" si="12"/>
        <v>2.8947368421052633</v>
      </c>
    </row>
    <row r="106" spans="1:23" ht="20.100000000000001" customHeight="1">
      <c r="A106" s="340"/>
      <c r="B106" s="340"/>
      <c r="C106" s="406" t="s">
        <v>1574</v>
      </c>
      <c r="D106" s="330" t="s">
        <v>1867</v>
      </c>
      <c r="E106" s="527">
        <v>1</v>
      </c>
      <c r="F106" s="527" t="s">
        <v>1317</v>
      </c>
      <c r="G106" s="302">
        <f>IF($D106="A",ROUND(VLOOKUP($C106,'[2]2.행정구역별 급수인구'!$C$7:$AD$997,17,FALSE)*$E106,0),IF($D106="B",(ROUND(VLOOKUP($C106,'[2]2.행정구역별 급수인구'!$C$7:$AD$997,17,FALSE)-VLOOKUP($C106,'[2]2.행정구역별 급수인구'!$C$7:$AD$997,17,FALSE)*(1-$E106),0)),VLOOKUP($C106,'[2]2.행정구역별 급수인구'!$C$7:$AD$997,17,FALSE)))</f>
        <v>196</v>
      </c>
      <c r="H106" s="302">
        <f>IF($D106="A",ROUND(VLOOKUP($C106,'[2]2.행정구역별 급수인구'!$C$7:$AD$997,25,FALSE)*$E106,0),IF($D106="B",(ROUND(VLOOKUP($C106,'[2]2.행정구역별 급수인구'!$C$7:$AD$997,25,FALSE)-VLOOKUP($C106,'[2]2.행정구역별 급수인구'!$C$7:$AD$997,25,FALSE)*(1-$E106),0)),VLOOKUP($C106,'[2]2.행정구역별 급수인구'!$C$7:$AD$997,25,FALSE)))</f>
        <v>206</v>
      </c>
      <c r="I106" s="302">
        <f>IF($D106="A",ROUND(VLOOKUP($C106,'[2]2.행정구역별 급수인구'!$C$7:$AD$997,26,FALSE)*$E106,0),IF($D106="B",(ROUND(VLOOKUP($C106,'[2]2.행정구역별 급수인구'!$C$7:$AD$997,26,FALSE)-VLOOKUP($C106,'[2]2.행정구역별 급수인구'!$C$7:$AD$997,26,FALSE)*(1-$E106),0)),VLOOKUP($C106,'[2]2.행정구역별 급수인구'!$C$7:$AD$997,26,FALSE)))</f>
        <v>217</v>
      </c>
      <c r="J106" s="302">
        <f>IF($D106="A",ROUND(VLOOKUP($C106,'[2]2.행정구역별 급수인구'!$C$7:$AD$997,27,FALSE)*$E106,0),IF($D106="B",(ROUND(VLOOKUP($C106,'[2]2.행정구역별 급수인구'!$C$7:$AD$997,27,FALSE)-VLOOKUP($C106,'[2]2.행정구역별 급수인구'!$C$7:$AD$997,27,FALSE)*(1-$E106),0)),VLOOKUP($C106,'[2]2.행정구역별 급수인구'!$C$7:$AD$997,27,FALSE)))</f>
        <v>222</v>
      </c>
      <c r="K106" s="302">
        <f>IF($D106="A",ROUND(VLOOKUP($C106,'[2]2.행정구역별 급수인구'!$C$7:$AD$997,28,FALSE)*$E106,0),IF($D106="B",(ROUND(VLOOKUP($C106,'[2]2.행정구역별 급수인구'!$C$7:$AD$997,28,FALSE)-VLOOKUP($C106,'[2]2.행정구역별 급수인구'!$C$7:$AD$997,28,FALSE)*(1-$E106),0)),VLOOKUP($C106,'[2]2.행정구역별 급수인구'!$C$7:$AD$997,28,FALSE)))</f>
        <v>225</v>
      </c>
      <c r="L106" s="302">
        <f>VLOOKUP($F106,'[3]5.급수원단위'!$B$31:$G$35,2,FALSE)</f>
        <v>272</v>
      </c>
      <c r="M106" s="302">
        <f>VLOOKUP($F106,'[3]5.급수원단위'!$B$31:$G$35,3,FALSE)</f>
        <v>304</v>
      </c>
      <c r="N106" s="302">
        <f>VLOOKUP($F106,'[3]5.급수원단위'!$B$31:$G$35,4,FALSE)</f>
        <v>308</v>
      </c>
      <c r="O106" s="302">
        <f>VLOOKUP($F106,'[3]5.급수원단위'!$B$31:$G$35,5,FALSE)</f>
        <v>310</v>
      </c>
      <c r="P106" s="302">
        <f>VLOOKUP($F106,'[3]5.급수원단위'!$B$31:$G$35,6,FALSE)</f>
        <v>310</v>
      </c>
      <c r="Q106" s="302">
        <f>ROUND(IF(G106=0,0,VLOOKUP(C106,'2013실사용량 정리'!$D$6:$F$381,3,FALSE)),0)</f>
        <v>24</v>
      </c>
      <c r="R106" s="302">
        <f t="shared" si="27"/>
        <v>63</v>
      </c>
      <c r="S106" s="302">
        <f t="shared" si="27"/>
        <v>67</v>
      </c>
      <c r="T106" s="302">
        <f t="shared" si="27"/>
        <v>69</v>
      </c>
      <c r="U106" s="302">
        <f t="shared" si="27"/>
        <v>70</v>
      </c>
      <c r="W106" s="343">
        <f t="shared" si="12"/>
        <v>2.9166666666666665</v>
      </c>
    </row>
    <row r="107" spans="1:23" ht="20.100000000000001" customHeight="1">
      <c r="A107" s="340"/>
      <c r="B107" s="340"/>
      <c r="C107" s="406" t="s">
        <v>1575</v>
      </c>
      <c r="D107" s="330" t="s">
        <v>1867</v>
      </c>
      <c r="E107" s="527">
        <v>1</v>
      </c>
      <c r="F107" s="527" t="s">
        <v>1317</v>
      </c>
      <c r="G107" s="302">
        <f>IF($D107="A",ROUND(VLOOKUP($C107,'[2]2.행정구역별 급수인구'!$C$7:$AD$997,17,FALSE)*$E107,0),IF($D107="B",(ROUND(VLOOKUP($C107,'[2]2.행정구역별 급수인구'!$C$7:$AD$997,17,FALSE)-VLOOKUP($C107,'[2]2.행정구역별 급수인구'!$C$7:$AD$997,17,FALSE)*(1-$E107),0)),VLOOKUP($C107,'[2]2.행정구역별 급수인구'!$C$7:$AD$997,17,FALSE)))</f>
        <v>0</v>
      </c>
      <c r="H107" s="302">
        <f>IF($D107="A",ROUND(VLOOKUP($C107,'[2]2.행정구역별 급수인구'!$C$7:$AD$997,25,FALSE)*$E107,0),IF($D107="B",(ROUND(VLOOKUP($C107,'[2]2.행정구역별 급수인구'!$C$7:$AD$997,25,FALSE)-VLOOKUP($C107,'[2]2.행정구역별 급수인구'!$C$7:$AD$997,25,FALSE)*(1-$E107),0)),VLOOKUP($C107,'[2]2.행정구역별 급수인구'!$C$7:$AD$997,25,FALSE)))</f>
        <v>85</v>
      </c>
      <c r="I107" s="302">
        <f>IF($D107="A",ROUND(VLOOKUP($C107,'[2]2.행정구역별 급수인구'!$C$7:$AD$997,26,FALSE)*$E107,0),IF($D107="B",(ROUND(VLOOKUP($C107,'[2]2.행정구역별 급수인구'!$C$7:$AD$997,26,FALSE)-VLOOKUP($C107,'[2]2.행정구역별 급수인구'!$C$7:$AD$997,26,FALSE)*(1-$E107),0)),VLOOKUP($C107,'[2]2.행정구역별 급수인구'!$C$7:$AD$997,26,FALSE)))</f>
        <v>90</v>
      </c>
      <c r="J107" s="302">
        <f>IF($D107="A",ROUND(VLOOKUP($C107,'[2]2.행정구역별 급수인구'!$C$7:$AD$997,27,FALSE)*$E107,0),IF($D107="B",(ROUND(VLOOKUP($C107,'[2]2.행정구역별 급수인구'!$C$7:$AD$997,27,FALSE)-VLOOKUP($C107,'[2]2.행정구역별 급수인구'!$C$7:$AD$997,27,FALSE)*(1-$E107),0)),VLOOKUP($C107,'[2]2.행정구역별 급수인구'!$C$7:$AD$997,27,FALSE)))</f>
        <v>92</v>
      </c>
      <c r="K107" s="302">
        <f>IF($D107="A",ROUND(VLOOKUP($C107,'[2]2.행정구역별 급수인구'!$C$7:$AD$997,28,FALSE)*$E107,0),IF($D107="B",(ROUND(VLOOKUP($C107,'[2]2.행정구역별 급수인구'!$C$7:$AD$997,28,FALSE)-VLOOKUP($C107,'[2]2.행정구역별 급수인구'!$C$7:$AD$997,28,FALSE)*(1-$E107),0)),VLOOKUP($C107,'[2]2.행정구역별 급수인구'!$C$7:$AD$997,28,FALSE)))</f>
        <v>94</v>
      </c>
      <c r="L107" s="302">
        <f>VLOOKUP($F107,'[3]5.급수원단위'!$B$31:$G$35,2,FALSE)</f>
        <v>272</v>
      </c>
      <c r="M107" s="302">
        <f>VLOOKUP($F107,'[3]5.급수원단위'!$B$31:$G$35,3,FALSE)</f>
        <v>304</v>
      </c>
      <c r="N107" s="302">
        <f>VLOOKUP($F107,'[3]5.급수원단위'!$B$31:$G$35,4,FALSE)</f>
        <v>308</v>
      </c>
      <c r="O107" s="302">
        <f>VLOOKUP($F107,'[3]5.급수원단위'!$B$31:$G$35,5,FALSE)</f>
        <v>310</v>
      </c>
      <c r="P107" s="302">
        <f>VLOOKUP($F107,'[3]5.급수원단위'!$B$31:$G$35,6,FALSE)</f>
        <v>310</v>
      </c>
      <c r="Q107" s="302">
        <f>ROUND(IF(G107=0,0,VLOOKUP(C107,'2013실사용량 정리'!$D$6:$F$381,3,FALSE)),0)</f>
        <v>0</v>
      </c>
      <c r="R107" s="302">
        <f t="shared" si="27"/>
        <v>26</v>
      </c>
      <c r="S107" s="302">
        <f t="shared" si="27"/>
        <v>28</v>
      </c>
      <c r="T107" s="302">
        <f t="shared" si="27"/>
        <v>29</v>
      </c>
      <c r="U107" s="302">
        <f t="shared" si="27"/>
        <v>29</v>
      </c>
      <c r="W107" s="343" t="str">
        <f t="shared" si="12"/>
        <v/>
      </c>
    </row>
    <row r="108" spans="1:23" ht="20.100000000000001" customHeight="1">
      <c r="A108" s="340"/>
      <c r="B108" s="340"/>
      <c r="C108" s="406" t="s">
        <v>1576</v>
      </c>
      <c r="D108" s="330" t="s">
        <v>1867</v>
      </c>
      <c r="E108" s="527">
        <v>1</v>
      </c>
      <c r="F108" s="527" t="s">
        <v>1317</v>
      </c>
      <c r="G108" s="302">
        <f>IF($D108="A",ROUND(VLOOKUP($C108,'[2]2.행정구역별 급수인구'!$C$7:$AD$997,17,FALSE)*$E108,0),IF($D108="B",(ROUND(VLOOKUP($C108,'[2]2.행정구역별 급수인구'!$C$7:$AD$997,17,FALSE)-VLOOKUP($C108,'[2]2.행정구역별 급수인구'!$C$7:$AD$997,17,FALSE)*(1-$E108),0)),VLOOKUP($C108,'[2]2.행정구역별 급수인구'!$C$7:$AD$997,17,FALSE)))</f>
        <v>0</v>
      </c>
      <c r="H108" s="302">
        <f>IF($D108="A",ROUND(VLOOKUP($C108,'[2]2.행정구역별 급수인구'!$C$7:$AD$997,25,FALSE)*$E108,0),IF($D108="B",(ROUND(VLOOKUP($C108,'[2]2.행정구역별 급수인구'!$C$7:$AD$997,25,FALSE)-VLOOKUP($C108,'[2]2.행정구역별 급수인구'!$C$7:$AD$997,25,FALSE)*(1-$E108),0)),VLOOKUP($C108,'[2]2.행정구역별 급수인구'!$C$7:$AD$997,25,FALSE)))</f>
        <v>0</v>
      </c>
      <c r="I108" s="302">
        <f>IF($D108="A",ROUND(VLOOKUP($C108,'[2]2.행정구역별 급수인구'!$C$7:$AD$997,26,FALSE)*$E108,0),IF($D108="B",(ROUND(VLOOKUP($C108,'[2]2.행정구역별 급수인구'!$C$7:$AD$997,26,FALSE)-VLOOKUP($C108,'[2]2.행정구역별 급수인구'!$C$7:$AD$997,26,FALSE)*(1-$E108),0)),VLOOKUP($C108,'[2]2.행정구역별 급수인구'!$C$7:$AD$997,26,FALSE)))</f>
        <v>96</v>
      </c>
      <c r="J108" s="302">
        <f>IF($D108="A",ROUND(VLOOKUP($C108,'[2]2.행정구역별 급수인구'!$C$7:$AD$997,27,FALSE)*$E108,0),IF($D108="B",(ROUND(VLOOKUP($C108,'[2]2.행정구역별 급수인구'!$C$7:$AD$997,27,FALSE)-VLOOKUP($C108,'[2]2.행정구역별 급수인구'!$C$7:$AD$997,27,FALSE)*(1-$E108),0)),VLOOKUP($C108,'[2]2.행정구역별 급수인구'!$C$7:$AD$997,27,FALSE)))</f>
        <v>99</v>
      </c>
      <c r="K108" s="302">
        <f>IF($D108="A",ROUND(VLOOKUP($C108,'[2]2.행정구역별 급수인구'!$C$7:$AD$997,28,FALSE)*$E108,0),IF($D108="B",(ROUND(VLOOKUP($C108,'[2]2.행정구역별 급수인구'!$C$7:$AD$997,28,FALSE)-VLOOKUP($C108,'[2]2.행정구역별 급수인구'!$C$7:$AD$997,28,FALSE)*(1-$E108),0)),VLOOKUP($C108,'[2]2.행정구역별 급수인구'!$C$7:$AD$997,28,FALSE)))</f>
        <v>100</v>
      </c>
      <c r="L108" s="302">
        <f>VLOOKUP($F108,'[3]5.급수원단위'!$B$31:$G$35,2,FALSE)</f>
        <v>272</v>
      </c>
      <c r="M108" s="302">
        <f>VLOOKUP($F108,'[3]5.급수원단위'!$B$31:$G$35,3,FALSE)</f>
        <v>304</v>
      </c>
      <c r="N108" s="302">
        <f>VLOOKUP($F108,'[3]5.급수원단위'!$B$31:$G$35,4,FALSE)</f>
        <v>308</v>
      </c>
      <c r="O108" s="302">
        <f>VLOOKUP($F108,'[3]5.급수원단위'!$B$31:$G$35,5,FALSE)</f>
        <v>310</v>
      </c>
      <c r="P108" s="302">
        <f>VLOOKUP($F108,'[3]5.급수원단위'!$B$31:$G$35,6,FALSE)</f>
        <v>310</v>
      </c>
      <c r="Q108" s="302">
        <f>ROUND(IF(G108=0,0,VLOOKUP(C108,'2013실사용량 정리'!$D$6:$F$381,3,FALSE)),0)</f>
        <v>0</v>
      </c>
      <c r="R108" s="302">
        <f t="shared" si="27"/>
        <v>0</v>
      </c>
      <c r="S108" s="302">
        <f t="shared" si="27"/>
        <v>30</v>
      </c>
      <c r="T108" s="302">
        <f t="shared" si="27"/>
        <v>31</v>
      </c>
      <c r="U108" s="302">
        <f t="shared" si="27"/>
        <v>31</v>
      </c>
      <c r="W108" s="343" t="str">
        <f t="shared" si="12"/>
        <v/>
      </c>
    </row>
    <row r="109" spans="1:23" ht="20.100000000000001" customHeight="1">
      <c r="A109" s="386"/>
      <c r="B109" s="386"/>
      <c r="C109" s="406" t="s">
        <v>1577</v>
      </c>
      <c r="D109" s="330" t="s">
        <v>1867</v>
      </c>
      <c r="E109" s="527">
        <v>1</v>
      </c>
      <c r="F109" s="527" t="s">
        <v>1317</v>
      </c>
      <c r="G109" s="302">
        <f>IF($D109="A",ROUND(VLOOKUP($C109,'[2]2.행정구역별 급수인구'!$C$7:$AD$997,17,FALSE)*$E109,0),IF($D109="B",(ROUND(VLOOKUP($C109,'[2]2.행정구역별 급수인구'!$C$7:$AD$997,17,FALSE)-VLOOKUP($C109,'[2]2.행정구역별 급수인구'!$C$7:$AD$997,17,FALSE)*(1-$E109),0)),VLOOKUP($C109,'[2]2.행정구역별 급수인구'!$C$7:$AD$997,17,FALSE)))</f>
        <v>0</v>
      </c>
      <c r="H109" s="302">
        <f>IF($D109="A",ROUND(VLOOKUP($C109,'[2]2.행정구역별 급수인구'!$C$7:$AD$997,25,FALSE)*$E109,0),IF($D109="B",(ROUND(VLOOKUP($C109,'[2]2.행정구역별 급수인구'!$C$7:$AD$997,25,FALSE)-VLOOKUP($C109,'[2]2.행정구역별 급수인구'!$C$7:$AD$997,25,FALSE)*(1-$E109),0)),VLOOKUP($C109,'[2]2.행정구역별 급수인구'!$C$7:$AD$997,25,FALSE)))</f>
        <v>98</v>
      </c>
      <c r="I109" s="302">
        <f>IF($D109="A",ROUND(VLOOKUP($C109,'[2]2.행정구역별 급수인구'!$C$7:$AD$997,26,FALSE)*$E109,0),IF($D109="B",(ROUND(VLOOKUP($C109,'[2]2.행정구역별 급수인구'!$C$7:$AD$997,26,FALSE)-VLOOKUP($C109,'[2]2.행정구역별 급수인구'!$C$7:$AD$997,26,FALSE)*(1-$E109),0)),VLOOKUP($C109,'[2]2.행정구역별 급수인구'!$C$7:$AD$997,26,FALSE)))</f>
        <v>103</v>
      </c>
      <c r="J109" s="302">
        <f>IF($D109="A",ROUND(VLOOKUP($C109,'[2]2.행정구역별 급수인구'!$C$7:$AD$997,27,FALSE)*$E109,0),IF($D109="B",(ROUND(VLOOKUP($C109,'[2]2.행정구역별 급수인구'!$C$7:$AD$997,27,FALSE)-VLOOKUP($C109,'[2]2.행정구역별 급수인구'!$C$7:$AD$997,27,FALSE)*(1-$E109),0)),VLOOKUP($C109,'[2]2.행정구역별 급수인구'!$C$7:$AD$997,27,FALSE)))</f>
        <v>105</v>
      </c>
      <c r="K109" s="302">
        <f>IF($D109="A",ROUND(VLOOKUP($C109,'[2]2.행정구역별 급수인구'!$C$7:$AD$997,28,FALSE)*$E109,0),IF($D109="B",(ROUND(VLOOKUP($C109,'[2]2.행정구역별 급수인구'!$C$7:$AD$997,28,FALSE)-VLOOKUP($C109,'[2]2.행정구역별 급수인구'!$C$7:$AD$997,28,FALSE)*(1-$E109),0)),VLOOKUP($C109,'[2]2.행정구역별 급수인구'!$C$7:$AD$997,28,FALSE)))</f>
        <v>107</v>
      </c>
      <c r="L109" s="302">
        <f>VLOOKUP($F109,'[3]5.급수원단위'!$B$31:$G$35,2,FALSE)</f>
        <v>272</v>
      </c>
      <c r="M109" s="302">
        <f>VLOOKUP($F109,'[3]5.급수원단위'!$B$31:$G$35,3,FALSE)</f>
        <v>304</v>
      </c>
      <c r="N109" s="302">
        <f>VLOOKUP($F109,'[3]5.급수원단위'!$B$31:$G$35,4,FALSE)</f>
        <v>308</v>
      </c>
      <c r="O109" s="302">
        <f>VLOOKUP($F109,'[3]5.급수원단위'!$B$31:$G$35,5,FALSE)</f>
        <v>310</v>
      </c>
      <c r="P109" s="302">
        <f>VLOOKUP($F109,'[3]5.급수원단위'!$B$31:$G$35,6,FALSE)</f>
        <v>310</v>
      </c>
      <c r="Q109" s="302">
        <f>ROUND(IF(G109=0,0,VLOOKUP(C109,'2013실사용량 정리'!$D$6:$F$381,3,FALSE)),0)</f>
        <v>0</v>
      </c>
      <c r="R109" s="302">
        <f t="shared" si="27"/>
        <v>30</v>
      </c>
      <c r="S109" s="302">
        <f t="shared" si="27"/>
        <v>32</v>
      </c>
      <c r="T109" s="302">
        <f t="shared" si="27"/>
        <v>33</v>
      </c>
      <c r="U109" s="302">
        <f t="shared" si="27"/>
        <v>33</v>
      </c>
      <c r="W109" s="343" t="str">
        <f t="shared" si="12"/>
        <v/>
      </c>
    </row>
    <row r="110" spans="1:23" ht="20.100000000000001" customHeight="1">
      <c r="A110" s="339"/>
      <c r="B110" s="339"/>
      <c r="C110" s="406" t="s">
        <v>1578</v>
      </c>
      <c r="D110" s="330" t="s">
        <v>1867</v>
      </c>
      <c r="E110" s="527">
        <v>1</v>
      </c>
      <c r="F110" s="527" t="s">
        <v>1317</v>
      </c>
      <c r="G110" s="302">
        <f>IF($D110="A",ROUND(VLOOKUP($C110,'[2]2.행정구역별 급수인구'!$C$7:$AD$997,17,FALSE)*$E110,0),IF($D110="B",(ROUND(VLOOKUP($C110,'[2]2.행정구역별 급수인구'!$C$7:$AD$997,17,FALSE)-VLOOKUP($C110,'[2]2.행정구역별 급수인구'!$C$7:$AD$997,17,FALSE)*(1-$E110),0)),VLOOKUP($C110,'[2]2.행정구역별 급수인구'!$C$7:$AD$997,17,FALSE)))</f>
        <v>0</v>
      </c>
      <c r="H110" s="302">
        <f>IF($D110="A",ROUND(VLOOKUP($C110,'[2]2.행정구역별 급수인구'!$C$7:$AD$997,25,FALSE)*$E110,0),IF($D110="B",(ROUND(VLOOKUP($C110,'[2]2.행정구역별 급수인구'!$C$7:$AD$997,25,FALSE)-VLOOKUP($C110,'[2]2.행정구역별 급수인구'!$C$7:$AD$997,25,FALSE)*(1-$E110),0)),VLOOKUP($C110,'[2]2.행정구역별 급수인구'!$C$7:$AD$997,25,FALSE)))</f>
        <v>103</v>
      </c>
      <c r="I110" s="302">
        <f>IF($D110="A",ROUND(VLOOKUP($C110,'[2]2.행정구역별 급수인구'!$C$7:$AD$997,26,FALSE)*$E110,0),IF($D110="B",(ROUND(VLOOKUP($C110,'[2]2.행정구역별 급수인구'!$C$7:$AD$997,26,FALSE)-VLOOKUP($C110,'[2]2.행정구역별 급수인구'!$C$7:$AD$997,26,FALSE)*(1-$E110),0)),VLOOKUP($C110,'[2]2.행정구역별 급수인구'!$C$7:$AD$997,26,FALSE)))</f>
        <v>107</v>
      </c>
      <c r="J110" s="302">
        <f>IF($D110="A",ROUND(VLOOKUP($C110,'[2]2.행정구역별 급수인구'!$C$7:$AD$997,27,FALSE)*$E110,0),IF($D110="B",(ROUND(VLOOKUP($C110,'[2]2.행정구역별 급수인구'!$C$7:$AD$997,27,FALSE)-VLOOKUP($C110,'[2]2.행정구역별 급수인구'!$C$7:$AD$997,27,FALSE)*(1-$E110),0)),VLOOKUP($C110,'[2]2.행정구역별 급수인구'!$C$7:$AD$997,27,FALSE)))</f>
        <v>110</v>
      </c>
      <c r="K110" s="302">
        <f>IF($D110="A",ROUND(VLOOKUP($C110,'[2]2.행정구역별 급수인구'!$C$7:$AD$997,28,FALSE)*$E110,0),IF($D110="B",(ROUND(VLOOKUP($C110,'[2]2.행정구역별 급수인구'!$C$7:$AD$997,28,FALSE)-VLOOKUP($C110,'[2]2.행정구역별 급수인구'!$C$7:$AD$997,28,FALSE)*(1-$E110),0)),VLOOKUP($C110,'[2]2.행정구역별 급수인구'!$C$7:$AD$997,28,FALSE)))</f>
        <v>113</v>
      </c>
      <c r="L110" s="302">
        <f>VLOOKUP($F110,'[3]5.급수원단위'!$B$31:$G$35,2,FALSE)</f>
        <v>272</v>
      </c>
      <c r="M110" s="302">
        <f>VLOOKUP($F110,'[3]5.급수원단위'!$B$31:$G$35,3,FALSE)</f>
        <v>304</v>
      </c>
      <c r="N110" s="302">
        <f>VLOOKUP($F110,'[3]5.급수원단위'!$B$31:$G$35,4,FALSE)</f>
        <v>308</v>
      </c>
      <c r="O110" s="302">
        <f>VLOOKUP($F110,'[3]5.급수원단위'!$B$31:$G$35,5,FALSE)</f>
        <v>310</v>
      </c>
      <c r="P110" s="302">
        <f>VLOOKUP($F110,'[3]5.급수원단위'!$B$31:$G$35,6,FALSE)</f>
        <v>310</v>
      </c>
      <c r="Q110" s="302">
        <f>ROUND(IF(G110=0,0,VLOOKUP(C110,'2013실사용량 정리'!$D$6:$F$381,3,FALSE)),0)</f>
        <v>0</v>
      </c>
      <c r="R110" s="302">
        <f t="shared" si="27"/>
        <v>31</v>
      </c>
      <c r="S110" s="302">
        <f t="shared" si="27"/>
        <v>33</v>
      </c>
      <c r="T110" s="302">
        <f t="shared" si="27"/>
        <v>34</v>
      </c>
      <c r="U110" s="302">
        <f t="shared" si="27"/>
        <v>35</v>
      </c>
      <c r="W110" s="343" t="str">
        <f t="shared" si="12"/>
        <v/>
      </c>
    </row>
    <row r="111" spans="1:23" ht="20.100000000000001" customHeight="1">
      <c r="A111" s="340"/>
      <c r="B111" s="340"/>
      <c r="C111" s="406" t="s">
        <v>1579</v>
      </c>
      <c r="D111" s="330" t="s">
        <v>1867</v>
      </c>
      <c r="E111" s="527">
        <v>1</v>
      </c>
      <c r="F111" s="527" t="s">
        <v>1317</v>
      </c>
      <c r="G111" s="302">
        <f>IF($D111="A",ROUND(VLOOKUP($C111,'[2]2.행정구역별 급수인구'!$C$7:$AD$997,17,FALSE)*$E111,0),IF($D111="B",(ROUND(VLOOKUP($C111,'[2]2.행정구역별 급수인구'!$C$7:$AD$997,17,FALSE)-VLOOKUP($C111,'[2]2.행정구역별 급수인구'!$C$7:$AD$997,17,FALSE)*(1-$E111),0)),VLOOKUP($C111,'[2]2.행정구역별 급수인구'!$C$7:$AD$997,17,FALSE)))</f>
        <v>108</v>
      </c>
      <c r="H111" s="302">
        <f>IF($D111="A",ROUND(VLOOKUP($C111,'[2]2.행정구역별 급수인구'!$C$7:$AD$997,25,FALSE)*$E111,0),IF($D111="B",(ROUND(VLOOKUP($C111,'[2]2.행정구역별 급수인구'!$C$7:$AD$997,25,FALSE)-VLOOKUP($C111,'[2]2.행정구역별 급수인구'!$C$7:$AD$997,25,FALSE)*(1-$E111),0)),VLOOKUP($C111,'[2]2.행정구역별 급수인구'!$C$7:$AD$997,25,FALSE)))</f>
        <v>130</v>
      </c>
      <c r="I111" s="302">
        <f>IF($D111="A",ROUND(VLOOKUP($C111,'[2]2.행정구역별 급수인구'!$C$7:$AD$997,26,FALSE)*$E111,0),IF($D111="B",(ROUND(VLOOKUP($C111,'[2]2.행정구역별 급수인구'!$C$7:$AD$997,26,FALSE)-VLOOKUP($C111,'[2]2.행정구역별 급수인구'!$C$7:$AD$997,26,FALSE)*(1-$E111),0)),VLOOKUP($C111,'[2]2.행정구역별 급수인구'!$C$7:$AD$997,26,FALSE)))</f>
        <v>136</v>
      </c>
      <c r="J111" s="302">
        <f>IF($D111="A",ROUND(VLOOKUP($C111,'[2]2.행정구역별 급수인구'!$C$7:$AD$997,27,FALSE)*$E111,0),IF($D111="B",(ROUND(VLOOKUP($C111,'[2]2.행정구역별 급수인구'!$C$7:$AD$997,27,FALSE)-VLOOKUP($C111,'[2]2.행정구역별 급수인구'!$C$7:$AD$997,27,FALSE)*(1-$E111),0)),VLOOKUP($C111,'[2]2.행정구역별 급수인구'!$C$7:$AD$997,27,FALSE)))</f>
        <v>139</v>
      </c>
      <c r="K111" s="302">
        <f>IF($D111="A",ROUND(VLOOKUP($C111,'[2]2.행정구역별 급수인구'!$C$7:$AD$997,28,FALSE)*$E111,0),IF($D111="B",(ROUND(VLOOKUP($C111,'[2]2.행정구역별 급수인구'!$C$7:$AD$997,28,FALSE)-VLOOKUP($C111,'[2]2.행정구역별 급수인구'!$C$7:$AD$997,28,FALSE)*(1-$E111),0)),VLOOKUP($C111,'[2]2.행정구역별 급수인구'!$C$7:$AD$997,28,FALSE)))</f>
        <v>142</v>
      </c>
      <c r="L111" s="302">
        <f>VLOOKUP($F111,'[3]5.급수원단위'!$B$31:$G$35,2,FALSE)</f>
        <v>272</v>
      </c>
      <c r="M111" s="302">
        <f>VLOOKUP($F111,'[3]5.급수원단위'!$B$31:$G$35,3,FALSE)</f>
        <v>304</v>
      </c>
      <c r="N111" s="302">
        <f>VLOOKUP($F111,'[3]5.급수원단위'!$B$31:$G$35,4,FALSE)</f>
        <v>308</v>
      </c>
      <c r="O111" s="302">
        <f>VLOOKUP($F111,'[3]5.급수원단위'!$B$31:$G$35,5,FALSE)</f>
        <v>310</v>
      </c>
      <c r="P111" s="302">
        <f>VLOOKUP($F111,'[3]5.급수원단위'!$B$31:$G$35,6,FALSE)</f>
        <v>310</v>
      </c>
      <c r="Q111" s="302">
        <f>ROUND(IF(G111=0,0,VLOOKUP(C111,'2013실사용량 정리'!$D$6:$F$381,3,FALSE)),0)</f>
        <v>4</v>
      </c>
      <c r="R111" s="302">
        <f t="shared" si="27"/>
        <v>40</v>
      </c>
      <c r="S111" s="302">
        <f t="shared" si="27"/>
        <v>42</v>
      </c>
      <c r="T111" s="302">
        <f t="shared" si="27"/>
        <v>43</v>
      </c>
      <c r="U111" s="302">
        <f t="shared" si="27"/>
        <v>44</v>
      </c>
      <c r="W111" s="343">
        <f t="shared" si="12"/>
        <v>11</v>
      </c>
    </row>
    <row r="112" spans="1:23" ht="20.100000000000001" customHeight="1">
      <c r="A112" s="340"/>
      <c r="B112" s="340"/>
      <c r="C112" s="406" t="s">
        <v>1580</v>
      </c>
      <c r="D112" s="330" t="s">
        <v>1867</v>
      </c>
      <c r="E112" s="527">
        <v>1</v>
      </c>
      <c r="F112" s="527" t="s">
        <v>1317</v>
      </c>
      <c r="G112" s="302">
        <f>IF($D112="A",ROUND(VLOOKUP($C112,'[2]2.행정구역별 급수인구'!$C$7:$AD$997,17,FALSE)*$E112,0),IF($D112="B",(ROUND(VLOOKUP($C112,'[2]2.행정구역별 급수인구'!$C$7:$AD$997,17,FALSE)-VLOOKUP($C112,'[2]2.행정구역별 급수인구'!$C$7:$AD$997,17,FALSE)*(1-$E112),0)),VLOOKUP($C112,'[2]2.행정구역별 급수인구'!$C$7:$AD$997,17,FALSE)))</f>
        <v>0</v>
      </c>
      <c r="H112" s="302">
        <f>IF($D112="A",ROUND(VLOOKUP($C112,'[2]2.행정구역별 급수인구'!$C$7:$AD$997,25,FALSE)*$E112,0),IF($D112="B",(ROUND(VLOOKUP($C112,'[2]2.행정구역별 급수인구'!$C$7:$AD$997,25,FALSE)-VLOOKUP($C112,'[2]2.행정구역별 급수인구'!$C$7:$AD$997,25,FALSE)*(1-$E112),0)),VLOOKUP($C112,'[2]2.행정구역별 급수인구'!$C$7:$AD$997,25,FALSE)))</f>
        <v>81</v>
      </c>
      <c r="I112" s="302">
        <f>IF($D112="A",ROUND(VLOOKUP($C112,'[2]2.행정구역별 급수인구'!$C$7:$AD$997,26,FALSE)*$E112,0),IF($D112="B",(ROUND(VLOOKUP($C112,'[2]2.행정구역별 급수인구'!$C$7:$AD$997,26,FALSE)-VLOOKUP($C112,'[2]2.행정구역별 급수인구'!$C$7:$AD$997,26,FALSE)*(1-$E112),0)),VLOOKUP($C112,'[2]2.행정구역별 급수인구'!$C$7:$AD$997,26,FALSE)))</f>
        <v>85</v>
      </c>
      <c r="J112" s="302">
        <f>IF($D112="A",ROUND(VLOOKUP($C112,'[2]2.행정구역별 급수인구'!$C$7:$AD$997,27,FALSE)*$E112,0),IF($D112="B",(ROUND(VLOOKUP($C112,'[2]2.행정구역별 급수인구'!$C$7:$AD$997,27,FALSE)-VLOOKUP($C112,'[2]2.행정구역별 급수인구'!$C$7:$AD$997,27,FALSE)*(1-$E112),0)),VLOOKUP($C112,'[2]2.행정구역별 급수인구'!$C$7:$AD$997,27,FALSE)))</f>
        <v>88</v>
      </c>
      <c r="K112" s="302">
        <f>IF($D112="A",ROUND(VLOOKUP($C112,'[2]2.행정구역별 급수인구'!$C$7:$AD$997,28,FALSE)*$E112,0),IF($D112="B",(ROUND(VLOOKUP($C112,'[2]2.행정구역별 급수인구'!$C$7:$AD$997,28,FALSE)-VLOOKUP($C112,'[2]2.행정구역별 급수인구'!$C$7:$AD$997,28,FALSE)*(1-$E112),0)),VLOOKUP($C112,'[2]2.행정구역별 급수인구'!$C$7:$AD$997,28,FALSE)))</f>
        <v>90</v>
      </c>
      <c r="L112" s="302">
        <f>VLOOKUP($F112,'[3]5.급수원단위'!$B$31:$G$35,2,FALSE)</f>
        <v>272</v>
      </c>
      <c r="M112" s="302">
        <f>VLOOKUP($F112,'[3]5.급수원단위'!$B$31:$G$35,3,FALSE)</f>
        <v>304</v>
      </c>
      <c r="N112" s="302">
        <f>VLOOKUP($F112,'[3]5.급수원단위'!$B$31:$G$35,4,FALSE)</f>
        <v>308</v>
      </c>
      <c r="O112" s="302">
        <f>VLOOKUP($F112,'[3]5.급수원단위'!$B$31:$G$35,5,FALSE)</f>
        <v>310</v>
      </c>
      <c r="P112" s="302">
        <f>VLOOKUP($F112,'[3]5.급수원단위'!$B$31:$G$35,6,FALSE)</f>
        <v>310</v>
      </c>
      <c r="Q112" s="302">
        <f>ROUND(IF(G112=0,0,VLOOKUP(C112,'2013실사용량 정리'!$D$6:$F$381,3,FALSE)),0)</f>
        <v>0</v>
      </c>
      <c r="R112" s="302">
        <f t="shared" si="27"/>
        <v>25</v>
      </c>
      <c r="S112" s="302">
        <f t="shared" si="27"/>
        <v>26</v>
      </c>
      <c r="T112" s="302">
        <f t="shared" si="27"/>
        <v>27</v>
      </c>
      <c r="U112" s="302">
        <f t="shared" si="27"/>
        <v>28</v>
      </c>
      <c r="W112" s="343" t="str">
        <f t="shared" si="12"/>
        <v/>
      </c>
    </row>
    <row r="113" spans="1:45" s="583" customFormat="1" ht="20.100000000000001" customHeight="1">
      <c r="A113" s="580"/>
      <c r="B113" s="580"/>
      <c r="C113" s="581" t="s">
        <v>1581</v>
      </c>
      <c r="D113" s="582" t="s">
        <v>1867</v>
      </c>
      <c r="E113" s="407">
        <v>1</v>
      </c>
      <c r="F113" s="407" t="s">
        <v>1317</v>
      </c>
      <c r="G113" s="408">
        <f>IF($D113="A",ROUND(VLOOKUP($C113,'[2]2.행정구역별 급수인구'!$C$7:$AD$997,17,FALSE)*$E113,0),IF($D113="B",(ROUND(VLOOKUP($C113,'[2]2.행정구역별 급수인구'!$C$7:$AD$997,17,FALSE)-VLOOKUP($C113,'[2]2.행정구역별 급수인구'!$C$7:$AD$997,17,FALSE)*(1-$E113),0)),VLOOKUP($C113,'[2]2.행정구역별 급수인구'!$C$7:$AD$997,17,FALSE)))</f>
        <v>0</v>
      </c>
      <c r="H113" s="408">
        <f>IF($D113="A",ROUND(VLOOKUP($C113,'[2]2.행정구역별 급수인구'!$C$7:$AD$997,25,FALSE)*$E113,0),IF($D113="B",(ROUND(VLOOKUP($C113,'[2]2.행정구역별 급수인구'!$C$7:$AD$997,25,FALSE)-VLOOKUP($C113,'[2]2.행정구역별 급수인구'!$C$7:$AD$997,25,FALSE)*(1-$E113),0)),VLOOKUP($C113,'[2]2.행정구역별 급수인구'!$C$7:$AD$997,25,FALSE)))</f>
        <v>0</v>
      </c>
      <c r="I113" s="408">
        <f>IF($D113="A",ROUND(VLOOKUP($C113,'[2]2.행정구역별 급수인구'!$C$7:$AD$997,26,FALSE)*$E113,0),IF($D113="B",(ROUND(VLOOKUP($C113,'[2]2.행정구역별 급수인구'!$C$7:$AD$997,26,FALSE)-VLOOKUP($C113,'[2]2.행정구역별 급수인구'!$C$7:$AD$997,26,FALSE)*(1-$E113),0)),VLOOKUP($C113,'[2]2.행정구역별 급수인구'!$C$7:$AD$997,26,FALSE)))</f>
        <v>66</v>
      </c>
      <c r="J113" s="408">
        <f>IF($D113="A",ROUND(VLOOKUP($C113,'[2]2.행정구역별 급수인구'!$C$7:$AD$997,27,FALSE)*$E113,0),IF($D113="B",(ROUND(VLOOKUP($C113,'[2]2.행정구역별 급수인구'!$C$7:$AD$997,27,FALSE)-VLOOKUP($C113,'[2]2.행정구역별 급수인구'!$C$7:$AD$997,27,FALSE)*(1-$E113),0)),VLOOKUP($C113,'[2]2.행정구역별 급수인구'!$C$7:$AD$997,27,FALSE)))</f>
        <v>68</v>
      </c>
      <c r="K113" s="408">
        <f>IF($D113="A",ROUND(VLOOKUP($C113,'[2]2.행정구역별 급수인구'!$C$7:$AD$997,28,FALSE)*$E113,0),IF($D113="B",(ROUND(VLOOKUP($C113,'[2]2.행정구역별 급수인구'!$C$7:$AD$997,28,FALSE)-VLOOKUP($C113,'[2]2.행정구역별 급수인구'!$C$7:$AD$997,28,FALSE)*(1-$E113),0)),VLOOKUP($C113,'[2]2.행정구역별 급수인구'!$C$7:$AD$997,28,FALSE)))</f>
        <v>69</v>
      </c>
      <c r="L113" s="408">
        <f>VLOOKUP($F113,'[3]5.급수원단위'!$B$31:$G$35,2,FALSE)</f>
        <v>272</v>
      </c>
      <c r="M113" s="408">
        <f>VLOOKUP($F113,'[3]5.급수원단위'!$B$31:$G$35,3,FALSE)</f>
        <v>304</v>
      </c>
      <c r="N113" s="408">
        <f>VLOOKUP($F113,'[3]5.급수원단위'!$B$31:$G$35,4,FALSE)</f>
        <v>308</v>
      </c>
      <c r="O113" s="408">
        <f>VLOOKUP($F113,'[3]5.급수원단위'!$B$31:$G$35,5,FALSE)</f>
        <v>310</v>
      </c>
      <c r="P113" s="408">
        <f>VLOOKUP($F113,'[3]5.급수원단위'!$B$31:$G$35,6,FALSE)</f>
        <v>310</v>
      </c>
      <c r="Q113" s="408">
        <f>ROUND(IF(G113=0,0,VLOOKUP(C113,'2013실사용량 정리'!$D$6:$F$381,3,FALSE)),0)</f>
        <v>0</v>
      </c>
      <c r="R113" s="408">
        <f t="shared" si="27"/>
        <v>0</v>
      </c>
      <c r="S113" s="408">
        <f t="shared" si="27"/>
        <v>20</v>
      </c>
      <c r="T113" s="408">
        <f t="shared" si="27"/>
        <v>21</v>
      </c>
      <c r="U113" s="408">
        <f t="shared" si="27"/>
        <v>21</v>
      </c>
      <c r="W113" s="584" t="str">
        <f t="shared" si="12"/>
        <v/>
      </c>
      <c r="Z113" s="585"/>
      <c r="AA113" s="585"/>
      <c r="AB113" s="585"/>
      <c r="AC113" s="585"/>
      <c r="AD113" s="585"/>
      <c r="AE113" s="585"/>
      <c r="AF113" s="585"/>
      <c r="AG113" s="585"/>
      <c r="AH113" s="585"/>
      <c r="AI113" s="585"/>
      <c r="AJ113" s="585"/>
      <c r="AK113" s="585"/>
      <c r="AL113" s="585"/>
      <c r="AM113" s="585"/>
      <c r="AN113" s="585"/>
      <c r="AO113" s="585"/>
      <c r="AP113" s="585"/>
      <c r="AQ113" s="585"/>
      <c r="AR113" s="585"/>
      <c r="AS113" s="585"/>
    </row>
    <row r="114" spans="1:45" ht="20.100000000000001" customHeight="1">
      <c r="A114" s="340"/>
      <c r="B114" s="340"/>
      <c r="C114" s="406" t="s">
        <v>1582</v>
      </c>
      <c r="D114" s="330" t="s">
        <v>1867</v>
      </c>
      <c r="E114" s="527">
        <v>1</v>
      </c>
      <c r="F114" s="527" t="s">
        <v>1317</v>
      </c>
      <c r="G114" s="302">
        <f>IF($D114="A",ROUND(VLOOKUP($C114,'[2]2.행정구역별 급수인구'!$C$7:$AD$997,17,FALSE)*$E114,0),IF($D114="B",(ROUND(VLOOKUP($C114,'[2]2.행정구역별 급수인구'!$C$7:$AD$997,17,FALSE)-VLOOKUP($C114,'[2]2.행정구역별 급수인구'!$C$7:$AD$997,17,FALSE)*(1-$E114),0)),VLOOKUP($C114,'[2]2.행정구역별 급수인구'!$C$7:$AD$997,17,FALSE)))</f>
        <v>0</v>
      </c>
      <c r="H114" s="302">
        <f>IF($D114="A",ROUND(VLOOKUP($C114,'[2]2.행정구역별 급수인구'!$C$7:$AD$997,25,FALSE)*$E114,0),IF($D114="B",(ROUND(VLOOKUP($C114,'[2]2.행정구역별 급수인구'!$C$7:$AD$997,25,FALSE)-VLOOKUP($C114,'[2]2.행정구역별 급수인구'!$C$7:$AD$997,25,FALSE)*(1-$E114),0)),VLOOKUP($C114,'[2]2.행정구역별 급수인구'!$C$7:$AD$997,25,FALSE)))</f>
        <v>136</v>
      </c>
      <c r="I114" s="302">
        <f>IF($D114="A",ROUND(VLOOKUP($C114,'[2]2.행정구역별 급수인구'!$C$7:$AD$997,26,FALSE)*$E114,0),IF($D114="B",(ROUND(VLOOKUP($C114,'[2]2.행정구역별 급수인구'!$C$7:$AD$997,26,FALSE)-VLOOKUP($C114,'[2]2.행정구역별 급수인구'!$C$7:$AD$997,26,FALSE)*(1-$E114),0)),VLOOKUP($C114,'[2]2.행정구역별 급수인구'!$C$7:$AD$997,26,FALSE)))</f>
        <v>143</v>
      </c>
      <c r="J114" s="302">
        <f>IF($D114="A",ROUND(VLOOKUP($C114,'[2]2.행정구역별 급수인구'!$C$7:$AD$997,27,FALSE)*$E114,0),IF($D114="B",(ROUND(VLOOKUP($C114,'[2]2.행정구역별 급수인구'!$C$7:$AD$997,27,FALSE)-VLOOKUP($C114,'[2]2.행정구역별 급수인구'!$C$7:$AD$997,27,FALSE)*(1-$E114),0)),VLOOKUP($C114,'[2]2.행정구역별 급수인구'!$C$7:$AD$997,27,FALSE)))</f>
        <v>146</v>
      </c>
      <c r="K114" s="302">
        <f>IF($D114="A",ROUND(VLOOKUP($C114,'[2]2.행정구역별 급수인구'!$C$7:$AD$997,28,FALSE)*$E114,0),IF($D114="B",(ROUND(VLOOKUP($C114,'[2]2.행정구역별 급수인구'!$C$7:$AD$997,28,FALSE)-VLOOKUP($C114,'[2]2.행정구역별 급수인구'!$C$7:$AD$997,28,FALSE)*(1-$E114),0)),VLOOKUP($C114,'[2]2.행정구역별 급수인구'!$C$7:$AD$997,28,FALSE)))</f>
        <v>149</v>
      </c>
      <c r="L114" s="302">
        <f>VLOOKUP($F114,'[3]5.급수원단위'!$B$31:$G$35,2,FALSE)</f>
        <v>272</v>
      </c>
      <c r="M114" s="302">
        <f>VLOOKUP($F114,'[3]5.급수원단위'!$B$31:$G$35,3,FALSE)</f>
        <v>304</v>
      </c>
      <c r="N114" s="302">
        <f>VLOOKUP($F114,'[3]5.급수원단위'!$B$31:$G$35,4,FALSE)</f>
        <v>308</v>
      </c>
      <c r="O114" s="302">
        <f>VLOOKUP($F114,'[3]5.급수원단위'!$B$31:$G$35,5,FALSE)</f>
        <v>310</v>
      </c>
      <c r="P114" s="302">
        <f>VLOOKUP($F114,'[3]5.급수원단위'!$B$31:$G$35,6,FALSE)</f>
        <v>310</v>
      </c>
      <c r="Q114" s="302">
        <f>ROUND(IF(G114=0,0,VLOOKUP(C114,'2013실사용량 정리'!$D$6:$F$381,3,FALSE)),0)</f>
        <v>0</v>
      </c>
      <c r="R114" s="302">
        <f t="shared" si="27"/>
        <v>41</v>
      </c>
      <c r="S114" s="302">
        <f t="shared" si="27"/>
        <v>44</v>
      </c>
      <c r="T114" s="302">
        <f t="shared" si="27"/>
        <v>45</v>
      </c>
      <c r="U114" s="302">
        <f t="shared" si="27"/>
        <v>46</v>
      </c>
      <c r="W114" s="343" t="str">
        <f t="shared" si="12"/>
        <v/>
      </c>
    </row>
    <row r="115" spans="1:45" s="583" customFormat="1" ht="20.100000000000001" customHeight="1">
      <c r="A115" s="580"/>
      <c r="B115" s="580"/>
      <c r="C115" s="581" t="s">
        <v>1583</v>
      </c>
      <c r="D115" s="582" t="s">
        <v>1867</v>
      </c>
      <c r="E115" s="407">
        <v>1</v>
      </c>
      <c r="F115" s="407" t="s">
        <v>1317</v>
      </c>
      <c r="G115" s="408">
        <f>IF($D115="A",ROUND(VLOOKUP($C115,'[2]2.행정구역별 급수인구'!$C$7:$AD$997,17,FALSE)*$E115,0),IF($D115="B",(ROUND(VLOOKUP($C115,'[2]2.행정구역별 급수인구'!$C$7:$AD$997,17,FALSE)-VLOOKUP($C115,'[2]2.행정구역별 급수인구'!$C$7:$AD$997,17,FALSE)*(1-$E115),0)),VLOOKUP($C115,'[2]2.행정구역별 급수인구'!$C$7:$AD$997,17,FALSE)))</f>
        <v>0</v>
      </c>
      <c r="H115" s="408">
        <f>IF($D115="A",ROUND(VLOOKUP($C115,'[2]2.행정구역별 급수인구'!$C$7:$AD$997,25,FALSE)*$E115,0),IF($D115="B",(ROUND(VLOOKUP($C115,'[2]2.행정구역별 급수인구'!$C$7:$AD$997,25,FALSE)-VLOOKUP($C115,'[2]2.행정구역별 급수인구'!$C$7:$AD$997,25,FALSE)*(1-$E115),0)),VLOOKUP($C115,'[2]2.행정구역별 급수인구'!$C$7:$AD$997,25,FALSE)))</f>
        <v>0</v>
      </c>
      <c r="I115" s="408">
        <f>IF($D115="A",ROUND(VLOOKUP($C115,'[2]2.행정구역별 급수인구'!$C$7:$AD$997,26,FALSE)*$E115,0),IF($D115="B",(ROUND(VLOOKUP($C115,'[2]2.행정구역별 급수인구'!$C$7:$AD$997,26,FALSE)-VLOOKUP($C115,'[2]2.행정구역별 급수인구'!$C$7:$AD$997,26,FALSE)*(1-$E115),0)),VLOOKUP($C115,'[2]2.행정구역별 급수인구'!$C$7:$AD$997,26,FALSE)))</f>
        <v>85</v>
      </c>
      <c r="J115" s="408">
        <f>IF($D115="A",ROUND(VLOOKUP($C115,'[2]2.행정구역별 급수인구'!$C$7:$AD$997,27,FALSE)*$E115,0),IF($D115="B",(ROUND(VLOOKUP($C115,'[2]2.행정구역별 급수인구'!$C$7:$AD$997,27,FALSE)-VLOOKUP($C115,'[2]2.행정구역별 급수인구'!$C$7:$AD$997,27,FALSE)*(1-$E115),0)),VLOOKUP($C115,'[2]2.행정구역별 급수인구'!$C$7:$AD$997,27,FALSE)))</f>
        <v>87</v>
      </c>
      <c r="K115" s="408">
        <f>IF($D115="A",ROUND(VLOOKUP($C115,'[2]2.행정구역별 급수인구'!$C$7:$AD$997,28,FALSE)*$E115,0),IF($D115="B",(ROUND(VLOOKUP($C115,'[2]2.행정구역별 급수인구'!$C$7:$AD$997,28,FALSE)-VLOOKUP($C115,'[2]2.행정구역별 급수인구'!$C$7:$AD$997,28,FALSE)*(1-$E115),0)),VLOOKUP($C115,'[2]2.행정구역별 급수인구'!$C$7:$AD$997,28,FALSE)))</f>
        <v>89</v>
      </c>
      <c r="L115" s="408">
        <f>VLOOKUP($F115,'[3]5.급수원단위'!$B$31:$G$35,2,FALSE)</f>
        <v>272</v>
      </c>
      <c r="M115" s="408">
        <f>VLOOKUP($F115,'[3]5.급수원단위'!$B$31:$G$35,3,FALSE)</f>
        <v>304</v>
      </c>
      <c r="N115" s="408">
        <f>VLOOKUP($F115,'[3]5.급수원단위'!$B$31:$G$35,4,FALSE)</f>
        <v>308</v>
      </c>
      <c r="O115" s="408">
        <f>VLOOKUP($F115,'[3]5.급수원단위'!$B$31:$G$35,5,FALSE)</f>
        <v>310</v>
      </c>
      <c r="P115" s="408">
        <f>VLOOKUP($F115,'[3]5.급수원단위'!$B$31:$G$35,6,FALSE)</f>
        <v>310</v>
      </c>
      <c r="Q115" s="408">
        <f>ROUND(IF(G115=0,0,VLOOKUP(C115,'2013실사용량 정리'!$D$6:$F$381,3,FALSE)),0)</f>
        <v>0</v>
      </c>
      <c r="R115" s="408">
        <f t="shared" si="27"/>
        <v>0</v>
      </c>
      <c r="S115" s="408">
        <f t="shared" si="27"/>
        <v>26</v>
      </c>
      <c r="T115" s="408">
        <f t="shared" si="27"/>
        <v>27</v>
      </c>
      <c r="U115" s="408">
        <f t="shared" si="27"/>
        <v>28</v>
      </c>
      <c r="W115" s="584" t="str">
        <f t="shared" si="12"/>
        <v/>
      </c>
      <c r="Z115" s="585"/>
      <c r="AA115" s="585"/>
      <c r="AB115" s="585"/>
      <c r="AC115" s="585"/>
      <c r="AD115" s="585"/>
      <c r="AE115" s="585"/>
      <c r="AF115" s="585"/>
      <c r="AG115" s="585"/>
      <c r="AH115" s="585"/>
      <c r="AI115" s="585"/>
      <c r="AJ115" s="585"/>
      <c r="AK115" s="585"/>
      <c r="AL115" s="585"/>
      <c r="AM115" s="585"/>
      <c r="AN115" s="585"/>
      <c r="AO115" s="585"/>
      <c r="AP115" s="585"/>
      <c r="AQ115" s="585"/>
      <c r="AR115" s="585"/>
      <c r="AS115" s="585"/>
    </row>
    <row r="116" spans="1:45" s="583" customFormat="1" ht="20.100000000000001" customHeight="1">
      <c r="A116" s="580"/>
      <c r="B116" s="580"/>
      <c r="C116" s="581" t="s">
        <v>1584</v>
      </c>
      <c r="D116" s="582" t="s">
        <v>1867</v>
      </c>
      <c r="E116" s="407">
        <v>1</v>
      </c>
      <c r="F116" s="407" t="s">
        <v>1317</v>
      </c>
      <c r="G116" s="408">
        <f>IF($D116="A",ROUND(VLOOKUP($C116,'[2]2.행정구역별 급수인구'!$C$7:$AD$997,17,FALSE)*$E116,0),IF($D116="B",(ROUND(VLOOKUP($C116,'[2]2.행정구역별 급수인구'!$C$7:$AD$997,17,FALSE)-VLOOKUP($C116,'[2]2.행정구역별 급수인구'!$C$7:$AD$997,17,FALSE)*(1-$E116),0)),VLOOKUP($C116,'[2]2.행정구역별 급수인구'!$C$7:$AD$997,17,FALSE)))</f>
        <v>0</v>
      </c>
      <c r="H116" s="408">
        <f>IF($D116="A",ROUND(VLOOKUP($C116,'[2]2.행정구역별 급수인구'!$C$7:$AD$997,25,FALSE)*$E116,0),IF($D116="B",(ROUND(VLOOKUP($C116,'[2]2.행정구역별 급수인구'!$C$7:$AD$997,25,FALSE)-VLOOKUP($C116,'[2]2.행정구역별 급수인구'!$C$7:$AD$997,25,FALSE)*(1-$E116),0)),VLOOKUP($C116,'[2]2.행정구역별 급수인구'!$C$7:$AD$997,25,FALSE)))</f>
        <v>0</v>
      </c>
      <c r="I116" s="408">
        <f>IF($D116="A",ROUND(VLOOKUP($C116,'[2]2.행정구역별 급수인구'!$C$7:$AD$997,26,FALSE)*$E116,0),IF($D116="B",(ROUND(VLOOKUP($C116,'[2]2.행정구역별 급수인구'!$C$7:$AD$997,26,FALSE)-VLOOKUP($C116,'[2]2.행정구역별 급수인구'!$C$7:$AD$997,26,FALSE)*(1-$E116),0)),VLOOKUP($C116,'[2]2.행정구역별 급수인구'!$C$7:$AD$997,26,FALSE)))</f>
        <v>188</v>
      </c>
      <c r="J116" s="408">
        <f>IF($D116="A",ROUND(VLOOKUP($C116,'[2]2.행정구역별 급수인구'!$C$7:$AD$997,27,FALSE)*$E116,0),IF($D116="B",(ROUND(VLOOKUP($C116,'[2]2.행정구역별 급수인구'!$C$7:$AD$997,27,FALSE)-VLOOKUP($C116,'[2]2.행정구역별 급수인구'!$C$7:$AD$997,27,FALSE)*(1-$E116),0)),VLOOKUP($C116,'[2]2.행정구역별 급수인구'!$C$7:$AD$997,27,FALSE)))</f>
        <v>193</v>
      </c>
      <c r="K116" s="408">
        <f>IF($D116="A",ROUND(VLOOKUP($C116,'[2]2.행정구역별 급수인구'!$C$7:$AD$997,28,FALSE)*$E116,0),IF($D116="B",(ROUND(VLOOKUP($C116,'[2]2.행정구역별 급수인구'!$C$7:$AD$997,28,FALSE)-VLOOKUP($C116,'[2]2.행정구역별 급수인구'!$C$7:$AD$997,28,FALSE)*(1-$E116),0)),VLOOKUP($C116,'[2]2.행정구역별 급수인구'!$C$7:$AD$997,28,FALSE)))</f>
        <v>197</v>
      </c>
      <c r="L116" s="408">
        <f>VLOOKUP($F116,'[3]5.급수원단위'!$B$31:$G$35,2,FALSE)</f>
        <v>272</v>
      </c>
      <c r="M116" s="408">
        <f>VLOOKUP($F116,'[3]5.급수원단위'!$B$31:$G$35,3,FALSE)</f>
        <v>304</v>
      </c>
      <c r="N116" s="408">
        <f>VLOOKUP($F116,'[3]5.급수원단위'!$B$31:$G$35,4,FALSE)</f>
        <v>308</v>
      </c>
      <c r="O116" s="408">
        <f>VLOOKUP($F116,'[3]5.급수원단위'!$B$31:$G$35,5,FALSE)</f>
        <v>310</v>
      </c>
      <c r="P116" s="408">
        <f>VLOOKUP($F116,'[3]5.급수원단위'!$B$31:$G$35,6,FALSE)</f>
        <v>310</v>
      </c>
      <c r="Q116" s="408">
        <f>ROUND(IF(G116=0,0,VLOOKUP(C116,'2013실사용량 정리'!$D$6:$F$381,3,FALSE)),0)</f>
        <v>0</v>
      </c>
      <c r="R116" s="408">
        <f t="shared" si="27"/>
        <v>0</v>
      </c>
      <c r="S116" s="408">
        <f t="shared" si="27"/>
        <v>58</v>
      </c>
      <c r="T116" s="408">
        <f t="shared" si="27"/>
        <v>60</v>
      </c>
      <c r="U116" s="408">
        <f t="shared" si="27"/>
        <v>61</v>
      </c>
      <c r="W116" s="584" t="str">
        <f t="shared" si="12"/>
        <v/>
      </c>
      <c r="Z116" s="585"/>
      <c r="AA116" s="585"/>
      <c r="AB116" s="585"/>
      <c r="AC116" s="585"/>
      <c r="AD116" s="585"/>
      <c r="AE116" s="585"/>
      <c r="AF116" s="585"/>
      <c r="AG116" s="585"/>
      <c r="AH116" s="585"/>
      <c r="AI116" s="585"/>
      <c r="AJ116" s="585"/>
      <c r="AK116" s="585"/>
      <c r="AL116" s="585"/>
      <c r="AM116" s="585"/>
      <c r="AN116" s="585"/>
      <c r="AO116" s="585"/>
      <c r="AP116" s="585"/>
      <c r="AQ116" s="585"/>
      <c r="AR116" s="585"/>
      <c r="AS116" s="585"/>
    </row>
    <row r="117" spans="1:45" s="583" customFormat="1" ht="20.100000000000001" customHeight="1">
      <c r="A117" s="580"/>
      <c r="B117" s="580"/>
      <c r="C117" s="581" t="s">
        <v>1585</v>
      </c>
      <c r="D117" s="582" t="s">
        <v>1867</v>
      </c>
      <c r="E117" s="407">
        <v>1</v>
      </c>
      <c r="F117" s="407" t="s">
        <v>1317</v>
      </c>
      <c r="G117" s="408">
        <f>IF($D117="A",ROUND(VLOOKUP($C117,'[2]2.행정구역별 급수인구'!$C$7:$AD$997,17,FALSE)*$E117,0),IF($D117="B",(ROUND(VLOOKUP($C117,'[2]2.행정구역별 급수인구'!$C$7:$AD$997,17,FALSE)-VLOOKUP($C117,'[2]2.행정구역별 급수인구'!$C$7:$AD$997,17,FALSE)*(1-$E117),0)),VLOOKUP($C117,'[2]2.행정구역별 급수인구'!$C$7:$AD$997,17,FALSE)))</f>
        <v>0</v>
      </c>
      <c r="H117" s="408">
        <f>IF($D117="A",ROUND(VLOOKUP($C117,'[2]2.행정구역별 급수인구'!$C$7:$AD$997,25,FALSE)*$E117,0),IF($D117="B",(ROUND(VLOOKUP($C117,'[2]2.행정구역별 급수인구'!$C$7:$AD$997,25,FALSE)-VLOOKUP($C117,'[2]2.행정구역별 급수인구'!$C$7:$AD$997,25,FALSE)*(1-$E117),0)),VLOOKUP($C117,'[2]2.행정구역별 급수인구'!$C$7:$AD$997,25,FALSE)))</f>
        <v>0</v>
      </c>
      <c r="I117" s="408">
        <f>IF($D117="A",ROUND(VLOOKUP($C117,'[2]2.행정구역별 급수인구'!$C$7:$AD$997,26,FALSE)*$E117,0),IF($D117="B",(ROUND(VLOOKUP($C117,'[2]2.행정구역별 급수인구'!$C$7:$AD$997,26,FALSE)-VLOOKUP($C117,'[2]2.행정구역별 급수인구'!$C$7:$AD$997,26,FALSE)*(1-$E117),0)),VLOOKUP($C117,'[2]2.행정구역별 급수인구'!$C$7:$AD$997,26,FALSE)))</f>
        <v>134</v>
      </c>
      <c r="J117" s="408">
        <f>IF($D117="A",ROUND(VLOOKUP($C117,'[2]2.행정구역별 급수인구'!$C$7:$AD$997,27,FALSE)*$E117,0),IF($D117="B",(ROUND(VLOOKUP($C117,'[2]2.행정구역별 급수인구'!$C$7:$AD$997,27,FALSE)-VLOOKUP($C117,'[2]2.행정구역별 급수인구'!$C$7:$AD$997,27,FALSE)*(1-$E117),0)),VLOOKUP($C117,'[2]2.행정구역별 급수인구'!$C$7:$AD$997,27,FALSE)))</f>
        <v>138</v>
      </c>
      <c r="K117" s="408">
        <f>IF($D117="A",ROUND(VLOOKUP($C117,'[2]2.행정구역별 급수인구'!$C$7:$AD$997,28,FALSE)*$E117,0),IF($D117="B",(ROUND(VLOOKUP($C117,'[2]2.행정구역별 급수인구'!$C$7:$AD$997,28,FALSE)-VLOOKUP($C117,'[2]2.행정구역별 급수인구'!$C$7:$AD$997,28,FALSE)*(1-$E117),0)),VLOOKUP($C117,'[2]2.행정구역별 급수인구'!$C$7:$AD$997,28,FALSE)))</f>
        <v>140</v>
      </c>
      <c r="L117" s="408">
        <f>VLOOKUP($F117,'[3]5.급수원단위'!$B$31:$G$35,2,FALSE)</f>
        <v>272</v>
      </c>
      <c r="M117" s="408">
        <f>VLOOKUP($F117,'[3]5.급수원단위'!$B$31:$G$35,3,FALSE)</f>
        <v>304</v>
      </c>
      <c r="N117" s="408">
        <f>VLOOKUP($F117,'[3]5.급수원단위'!$B$31:$G$35,4,FALSE)</f>
        <v>308</v>
      </c>
      <c r="O117" s="408">
        <f>VLOOKUP($F117,'[3]5.급수원단위'!$B$31:$G$35,5,FALSE)</f>
        <v>310</v>
      </c>
      <c r="P117" s="408">
        <f>VLOOKUP($F117,'[3]5.급수원단위'!$B$31:$G$35,6,FALSE)</f>
        <v>310</v>
      </c>
      <c r="Q117" s="408">
        <f>ROUND(IF(G117=0,0,VLOOKUP(C117,'2013실사용량 정리'!$D$6:$F$381,3,FALSE)),0)</f>
        <v>0</v>
      </c>
      <c r="R117" s="408">
        <f t="shared" si="27"/>
        <v>0</v>
      </c>
      <c r="S117" s="408">
        <f t="shared" si="27"/>
        <v>41</v>
      </c>
      <c r="T117" s="408">
        <f t="shared" si="27"/>
        <v>43</v>
      </c>
      <c r="U117" s="408">
        <f t="shared" si="27"/>
        <v>43</v>
      </c>
      <c r="W117" s="584" t="str">
        <f t="shared" si="12"/>
        <v/>
      </c>
      <c r="Z117" s="585"/>
      <c r="AA117" s="585"/>
      <c r="AB117" s="585"/>
      <c r="AC117" s="585"/>
      <c r="AD117" s="585"/>
      <c r="AE117" s="585"/>
      <c r="AF117" s="585"/>
      <c r="AG117" s="585"/>
      <c r="AH117" s="585"/>
      <c r="AI117" s="585"/>
      <c r="AJ117" s="585"/>
      <c r="AK117" s="585"/>
      <c r="AL117" s="585"/>
      <c r="AM117" s="585"/>
      <c r="AN117" s="585"/>
      <c r="AO117" s="585"/>
      <c r="AP117" s="585"/>
      <c r="AQ117" s="585"/>
      <c r="AR117" s="585"/>
      <c r="AS117" s="585"/>
    </row>
    <row r="118" spans="1:45" s="583" customFormat="1" ht="20.100000000000001" customHeight="1">
      <c r="A118" s="580"/>
      <c r="B118" s="580"/>
      <c r="C118" s="581" t="s">
        <v>1586</v>
      </c>
      <c r="D118" s="582" t="s">
        <v>1867</v>
      </c>
      <c r="E118" s="407">
        <v>1</v>
      </c>
      <c r="F118" s="407" t="s">
        <v>1317</v>
      </c>
      <c r="G118" s="408">
        <f>IF($D118="A",ROUND(VLOOKUP($C118,'[2]2.행정구역별 급수인구'!$C$7:$AD$997,17,FALSE)*$E118,0),IF($D118="B",(ROUND(VLOOKUP($C118,'[2]2.행정구역별 급수인구'!$C$7:$AD$997,17,FALSE)-VLOOKUP($C118,'[2]2.행정구역별 급수인구'!$C$7:$AD$997,17,FALSE)*(1-$E118),0)),VLOOKUP($C118,'[2]2.행정구역별 급수인구'!$C$7:$AD$997,17,FALSE)))</f>
        <v>0</v>
      </c>
      <c r="H118" s="408">
        <f>IF($D118="A",ROUND(VLOOKUP($C118,'[2]2.행정구역별 급수인구'!$C$7:$AD$997,25,FALSE)*$E118,0),IF($D118="B",(ROUND(VLOOKUP($C118,'[2]2.행정구역별 급수인구'!$C$7:$AD$997,25,FALSE)-VLOOKUP($C118,'[2]2.행정구역별 급수인구'!$C$7:$AD$997,25,FALSE)*(1-$E118),0)),VLOOKUP($C118,'[2]2.행정구역별 급수인구'!$C$7:$AD$997,25,FALSE)))</f>
        <v>0</v>
      </c>
      <c r="I118" s="408">
        <f>IF($D118="A",ROUND(VLOOKUP($C118,'[2]2.행정구역별 급수인구'!$C$7:$AD$997,26,FALSE)*$E118,0),IF($D118="B",(ROUND(VLOOKUP($C118,'[2]2.행정구역별 급수인구'!$C$7:$AD$997,26,FALSE)-VLOOKUP($C118,'[2]2.행정구역별 급수인구'!$C$7:$AD$997,26,FALSE)*(1-$E118),0)),VLOOKUP($C118,'[2]2.행정구역별 급수인구'!$C$7:$AD$997,26,FALSE)))</f>
        <v>153</v>
      </c>
      <c r="J118" s="408">
        <f>IF($D118="A",ROUND(VLOOKUP($C118,'[2]2.행정구역별 급수인구'!$C$7:$AD$997,27,FALSE)*$E118,0),IF($D118="B",(ROUND(VLOOKUP($C118,'[2]2.행정구역별 급수인구'!$C$7:$AD$997,27,FALSE)-VLOOKUP($C118,'[2]2.행정구역별 급수인구'!$C$7:$AD$997,27,FALSE)*(1-$E118),0)),VLOOKUP($C118,'[2]2.행정구역별 급수인구'!$C$7:$AD$997,27,FALSE)))</f>
        <v>156</v>
      </c>
      <c r="K118" s="408">
        <f>IF($D118="A",ROUND(VLOOKUP($C118,'[2]2.행정구역별 급수인구'!$C$7:$AD$997,28,FALSE)*$E118,0),IF($D118="B",(ROUND(VLOOKUP($C118,'[2]2.행정구역별 급수인구'!$C$7:$AD$997,28,FALSE)-VLOOKUP($C118,'[2]2.행정구역별 급수인구'!$C$7:$AD$997,28,FALSE)*(1-$E118),0)),VLOOKUP($C118,'[2]2.행정구역별 급수인구'!$C$7:$AD$997,28,FALSE)))</f>
        <v>160</v>
      </c>
      <c r="L118" s="408">
        <f>VLOOKUP($F118,'[3]5.급수원단위'!$B$31:$G$35,2,FALSE)</f>
        <v>272</v>
      </c>
      <c r="M118" s="408">
        <f>VLOOKUP($F118,'[3]5.급수원단위'!$B$31:$G$35,3,FALSE)</f>
        <v>304</v>
      </c>
      <c r="N118" s="408">
        <f>VLOOKUP($F118,'[3]5.급수원단위'!$B$31:$G$35,4,FALSE)</f>
        <v>308</v>
      </c>
      <c r="O118" s="408">
        <f>VLOOKUP($F118,'[3]5.급수원단위'!$B$31:$G$35,5,FALSE)</f>
        <v>310</v>
      </c>
      <c r="P118" s="408">
        <f>VLOOKUP($F118,'[3]5.급수원단위'!$B$31:$G$35,6,FALSE)</f>
        <v>310</v>
      </c>
      <c r="Q118" s="408">
        <f>ROUND(IF(G118=0,0,VLOOKUP(C118,'2013실사용량 정리'!$D$6:$F$381,3,FALSE)),0)</f>
        <v>0</v>
      </c>
      <c r="R118" s="408">
        <f t="shared" si="27"/>
        <v>0</v>
      </c>
      <c r="S118" s="408">
        <f t="shared" si="27"/>
        <v>47</v>
      </c>
      <c r="T118" s="408">
        <f t="shared" si="27"/>
        <v>48</v>
      </c>
      <c r="U118" s="408">
        <f t="shared" si="27"/>
        <v>50</v>
      </c>
      <c r="W118" s="584" t="str">
        <f t="shared" si="12"/>
        <v/>
      </c>
      <c r="Z118" s="585"/>
      <c r="AA118" s="585"/>
      <c r="AB118" s="585"/>
      <c r="AC118" s="585"/>
      <c r="AD118" s="585"/>
      <c r="AE118" s="585"/>
      <c r="AF118" s="585"/>
      <c r="AG118" s="585"/>
      <c r="AH118" s="585"/>
      <c r="AI118" s="585"/>
      <c r="AJ118" s="585"/>
      <c r="AK118" s="585"/>
      <c r="AL118" s="585"/>
      <c r="AM118" s="585"/>
      <c r="AN118" s="585"/>
      <c r="AO118" s="585"/>
      <c r="AP118" s="585"/>
      <c r="AQ118" s="585"/>
      <c r="AR118" s="585"/>
      <c r="AS118" s="585"/>
    </row>
    <row r="119" spans="1:45" s="583" customFormat="1" ht="20.100000000000001" customHeight="1">
      <c r="A119" s="580"/>
      <c r="B119" s="580"/>
      <c r="C119" s="581" t="s">
        <v>1587</v>
      </c>
      <c r="D119" s="582" t="s">
        <v>1867</v>
      </c>
      <c r="E119" s="407">
        <v>1</v>
      </c>
      <c r="F119" s="407" t="s">
        <v>1317</v>
      </c>
      <c r="G119" s="408">
        <f>IF($D119="A",ROUND(VLOOKUP($C119,'[2]2.행정구역별 급수인구'!$C$7:$AD$997,17,FALSE)*$E119,0),IF($D119="B",(ROUND(VLOOKUP($C119,'[2]2.행정구역별 급수인구'!$C$7:$AD$997,17,FALSE)-VLOOKUP($C119,'[2]2.행정구역별 급수인구'!$C$7:$AD$997,17,FALSE)*(1-$E119),0)),VLOOKUP($C119,'[2]2.행정구역별 급수인구'!$C$7:$AD$997,17,FALSE)))</f>
        <v>0</v>
      </c>
      <c r="H119" s="408">
        <f>IF($D119="A",ROUND(VLOOKUP($C119,'[2]2.행정구역별 급수인구'!$C$7:$AD$997,25,FALSE)*$E119,0),IF($D119="B",(ROUND(VLOOKUP($C119,'[2]2.행정구역별 급수인구'!$C$7:$AD$997,25,FALSE)-VLOOKUP($C119,'[2]2.행정구역별 급수인구'!$C$7:$AD$997,25,FALSE)*(1-$E119),0)),VLOOKUP($C119,'[2]2.행정구역별 급수인구'!$C$7:$AD$997,25,FALSE)))</f>
        <v>0</v>
      </c>
      <c r="I119" s="408">
        <f>IF($D119="A",ROUND(VLOOKUP($C119,'[2]2.행정구역별 급수인구'!$C$7:$AD$997,26,FALSE)*$E119,0),IF($D119="B",(ROUND(VLOOKUP($C119,'[2]2.행정구역별 급수인구'!$C$7:$AD$997,26,FALSE)-VLOOKUP($C119,'[2]2.행정구역별 급수인구'!$C$7:$AD$997,26,FALSE)*(1-$E119),0)),VLOOKUP($C119,'[2]2.행정구역별 급수인구'!$C$7:$AD$997,26,FALSE)))</f>
        <v>120</v>
      </c>
      <c r="J119" s="408">
        <f>IF($D119="A",ROUND(VLOOKUP($C119,'[2]2.행정구역별 급수인구'!$C$7:$AD$997,27,FALSE)*$E119,0),IF($D119="B",(ROUND(VLOOKUP($C119,'[2]2.행정구역별 급수인구'!$C$7:$AD$997,27,FALSE)-VLOOKUP($C119,'[2]2.행정구역별 급수인구'!$C$7:$AD$997,27,FALSE)*(1-$E119),0)),VLOOKUP($C119,'[2]2.행정구역별 급수인구'!$C$7:$AD$997,27,FALSE)))</f>
        <v>123</v>
      </c>
      <c r="K119" s="408">
        <f>IF($D119="A",ROUND(VLOOKUP($C119,'[2]2.행정구역별 급수인구'!$C$7:$AD$997,28,FALSE)*$E119,0),IF($D119="B",(ROUND(VLOOKUP($C119,'[2]2.행정구역별 급수인구'!$C$7:$AD$997,28,FALSE)-VLOOKUP($C119,'[2]2.행정구역별 급수인구'!$C$7:$AD$997,28,FALSE)*(1-$E119),0)),VLOOKUP($C119,'[2]2.행정구역별 급수인구'!$C$7:$AD$997,28,FALSE)))</f>
        <v>125</v>
      </c>
      <c r="L119" s="408">
        <f>VLOOKUP($F119,'[3]5.급수원단위'!$B$31:$G$35,2,FALSE)</f>
        <v>272</v>
      </c>
      <c r="M119" s="408">
        <f>VLOOKUP($F119,'[3]5.급수원단위'!$B$31:$G$35,3,FALSE)</f>
        <v>304</v>
      </c>
      <c r="N119" s="408">
        <f>VLOOKUP($F119,'[3]5.급수원단위'!$B$31:$G$35,4,FALSE)</f>
        <v>308</v>
      </c>
      <c r="O119" s="408">
        <f>VLOOKUP($F119,'[3]5.급수원단위'!$B$31:$G$35,5,FALSE)</f>
        <v>310</v>
      </c>
      <c r="P119" s="408">
        <f>VLOOKUP($F119,'[3]5.급수원단위'!$B$31:$G$35,6,FALSE)</f>
        <v>310</v>
      </c>
      <c r="Q119" s="408">
        <f>ROUND(IF(G119=0,0,VLOOKUP(C119,'2013실사용량 정리'!$D$6:$F$381,3,FALSE)),0)</f>
        <v>0</v>
      </c>
      <c r="R119" s="408">
        <f t="shared" si="27"/>
        <v>0</v>
      </c>
      <c r="S119" s="408">
        <f t="shared" si="27"/>
        <v>37</v>
      </c>
      <c r="T119" s="408">
        <f t="shared" si="27"/>
        <v>38</v>
      </c>
      <c r="U119" s="408">
        <f t="shared" si="27"/>
        <v>39</v>
      </c>
      <c r="W119" s="584" t="str">
        <f t="shared" si="12"/>
        <v/>
      </c>
      <c r="Z119" s="585"/>
      <c r="AA119" s="585"/>
      <c r="AB119" s="585"/>
      <c r="AC119" s="585"/>
      <c r="AD119" s="585"/>
      <c r="AE119" s="585"/>
      <c r="AF119" s="585"/>
      <c r="AG119" s="585"/>
      <c r="AH119" s="585"/>
      <c r="AI119" s="585"/>
      <c r="AJ119" s="585"/>
      <c r="AK119" s="585"/>
      <c r="AL119" s="585"/>
      <c r="AM119" s="585"/>
      <c r="AN119" s="585"/>
      <c r="AO119" s="585"/>
      <c r="AP119" s="585"/>
      <c r="AQ119" s="585"/>
      <c r="AR119" s="585"/>
      <c r="AS119" s="585"/>
    </row>
    <row r="120" spans="1:45" s="583" customFormat="1" ht="20.100000000000001" customHeight="1">
      <c r="A120" s="580"/>
      <c r="B120" s="580"/>
      <c r="C120" s="581" t="s">
        <v>1588</v>
      </c>
      <c r="D120" s="582" t="s">
        <v>1867</v>
      </c>
      <c r="E120" s="407">
        <v>1</v>
      </c>
      <c r="F120" s="407" t="s">
        <v>1317</v>
      </c>
      <c r="G120" s="408">
        <f>IF($D120="A",ROUND(VLOOKUP($C120,'[2]2.행정구역별 급수인구'!$C$7:$AD$997,17,FALSE)*$E120,0),IF($D120="B",(ROUND(VLOOKUP($C120,'[2]2.행정구역별 급수인구'!$C$7:$AD$997,17,FALSE)-VLOOKUP($C120,'[2]2.행정구역별 급수인구'!$C$7:$AD$997,17,FALSE)*(1-$E120),0)),VLOOKUP($C120,'[2]2.행정구역별 급수인구'!$C$7:$AD$997,17,FALSE)))</f>
        <v>0</v>
      </c>
      <c r="H120" s="408">
        <f>IF($D120="A",ROUND(VLOOKUP($C120,'[2]2.행정구역별 급수인구'!$C$7:$AD$997,25,FALSE)*$E120,0),IF($D120="B",(ROUND(VLOOKUP($C120,'[2]2.행정구역별 급수인구'!$C$7:$AD$997,25,FALSE)-VLOOKUP($C120,'[2]2.행정구역별 급수인구'!$C$7:$AD$997,25,FALSE)*(1-$E120),0)),VLOOKUP($C120,'[2]2.행정구역별 급수인구'!$C$7:$AD$997,25,FALSE)))</f>
        <v>0</v>
      </c>
      <c r="I120" s="408">
        <f>IF($D120="A",ROUND(VLOOKUP($C120,'[2]2.행정구역별 급수인구'!$C$7:$AD$997,26,FALSE)*$E120,0),IF($D120="B",(ROUND(VLOOKUP($C120,'[2]2.행정구역별 급수인구'!$C$7:$AD$997,26,FALSE)-VLOOKUP($C120,'[2]2.행정구역별 급수인구'!$C$7:$AD$997,26,FALSE)*(1-$E120),0)),VLOOKUP($C120,'[2]2.행정구역별 급수인구'!$C$7:$AD$997,26,FALSE)))</f>
        <v>119</v>
      </c>
      <c r="J120" s="408">
        <f>IF($D120="A",ROUND(VLOOKUP($C120,'[2]2.행정구역별 급수인구'!$C$7:$AD$997,27,FALSE)*$E120,0),IF($D120="B",(ROUND(VLOOKUP($C120,'[2]2.행정구역별 급수인구'!$C$7:$AD$997,27,FALSE)-VLOOKUP($C120,'[2]2.행정구역별 급수인구'!$C$7:$AD$997,27,FALSE)*(1-$E120),0)),VLOOKUP($C120,'[2]2.행정구역별 급수인구'!$C$7:$AD$997,27,FALSE)))</f>
        <v>122</v>
      </c>
      <c r="K120" s="408">
        <f>IF($D120="A",ROUND(VLOOKUP($C120,'[2]2.행정구역별 급수인구'!$C$7:$AD$997,28,FALSE)*$E120,0),IF($D120="B",(ROUND(VLOOKUP($C120,'[2]2.행정구역별 급수인구'!$C$7:$AD$997,28,FALSE)-VLOOKUP($C120,'[2]2.행정구역별 급수인구'!$C$7:$AD$997,28,FALSE)*(1-$E120),0)),VLOOKUP($C120,'[2]2.행정구역별 급수인구'!$C$7:$AD$997,28,FALSE)))</f>
        <v>124</v>
      </c>
      <c r="L120" s="408">
        <f>VLOOKUP($F120,'[3]5.급수원단위'!$B$31:$G$35,2,FALSE)</f>
        <v>272</v>
      </c>
      <c r="M120" s="408">
        <f>VLOOKUP($F120,'[3]5.급수원단위'!$B$31:$G$35,3,FALSE)</f>
        <v>304</v>
      </c>
      <c r="N120" s="408">
        <f>VLOOKUP($F120,'[3]5.급수원단위'!$B$31:$G$35,4,FALSE)</f>
        <v>308</v>
      </c>
      <c r="O120" s="408">
        <f>VLOOKUP($F120,'[3]5.급수원단위'!$B$31:$G$35,5,FALSE)</f>
        <v>310</v>
      </c>
      <c r="P120" s="408">
        <f>VLOOKUP($F120,'[3]5.급수원단위'!$B$31:$G$35,6,FALSE)</f>
        <v>310</v>
      </c>
      <c r="Q120" s="408">
        <f>ROUND(IF(G120=0,0,VLOOKUP(C120,'2013실사용량 정리'!$D$6:$F$381,3,FALSE)),0)</f>
        <v>0</v>
      </c>
      <c r="R120" s="408">
        <f t="shared" si="27"/>
        <v>0</v>
      </c>
      <c r="S120" s="408">
        <f t="shared" si="27"/>
        <v>37</v>
      </c>
      <c r="T120" s="408">
        <f t="shared" si="27"/>
        <v>38</v>
      </c>
      <c r="U120" s="408">
        <f t="shared" si="27"/>
        <v>38</v>
      </c>
      <c r="W120" s="584" t="str">
        <f t="shared" si="12"/>
        <v/>
      </c>
      <c r="Z120" s="585"/>
      <c r="AA120" s="585"/>
      <c r="AB120" s="585"/>
      <c r="AC120" s="585"/>
      <c r="AD120" s="585"/>
      <c r="AE120" s="585"/>
      <c r="AF120" s="585"/>
      <c r="AG120" s="585"/>
      <c r="AH120" s="585"/>
      <c r="AI120" s="585"/>
      <c r="AJ120" s="585"/>
      <c r="AK120" s="585"/>
      <c r="AL120" s="585"/>
      <c r="AM120" s="585"/>
      <c r="AN120" s="585"/>
      <c r="AO120" s="585"/>
      <c r="AP120" s="585"/>
      <c r="AQ120" s="585"/>
      <c r="AR120" s="585"/>
      <c r="AS120" s="585"/>
    </row>
    <row r="121" spans="1:45" s="583" customFormat="1" ht="20.100000000000001" customHeight="1">
      <c r="A121" s="580"/>
      <c r="B121" s="580"/>
      <c r="C121" s="581" t="s">
        <v>1589</v>
      </c>
      <c r="D121" s="582" t="s">
        <v>1867</v>
      </c>
      <c r="E121" s="407">
        <v>1</v>
      </c>
      <c r="F121" s="407" t="s">
        <v>1317</v>
      </c>
      <c r="G121" s="408">
        <f>IF($D121="A",ROUND(VLOOKUP($C121,'[2]2.행정구역별 급수인구'!$C$7:$AD$997,17,FALSE)*$E121,0),IF($D121="B",(ROUND(VLOOKUP($C121,'[2]2.행정구역별 급수인구'!$C$7:$AD$997,17,FALSE)-VLOOKUP($C121,'[2]2.행정구역별 급수인구'!$C$7:$AD$997,17,FALSE)*(1-$E121),0)),VLOOKUP($C121,'[2]2.행정구역별 급수인구'!$C$7:$AD$997,17,FALSE)))</f>
        <v>0</v>
      </c>
      <c r="H121" s="408">
        <f>IF($D121="A",ROUND(VLOOKUP($C121,'[2]2.행정구역별 급수인구'!$C$7:$AD$997,25,FALSE)*$E121,0),IF($D121="B",(ROUND(VLOOKUP($C121,'[2]2.행정구역별 급수인구'!$C$7:$AD$997,25,FALSE)-VLOOKUP($C121,'[2]2.행정구역별 급수인구'!$C$7:$AD$997,25,FALSE)*(1-$E121),0)),VLOOKUP($C121,'[2]2.행정구역별 급수인구'!$C$7:$AD$997,25,FALSE)))</f>
        <v>0</v>
      </c>
      <c r="I121" s="408">
        <f>IF($D121="A",ROUND(VLOOKUP($C121,'[2]2.행정구역별 급수인구'!$C$7:$AD$997,26,FALSE)*$E121,0),IF($D121="B",(ROUND(VLOOKUP($C121,'[2]2.행정구역별 급수인구'!$C$7:$AD$997,26,FALSE)-VLOOKUP($C121,'[2]2.행정구역별 급수인구'!$C$7:$AD$997,26,FALSE)*(1-$E121),0)),VLOOKUP($C121,'[2]2.행정구역별 급수인구'!$C$7:$AD$997,26,FALSE)))</f>
        <v>188</v>
      </c>
      <c r="J121" s="408">
        <f>IF($D121="A",ROUND(VLOOKUP($C121,'[2]2.행정구역별 급수인구'!$C$7:$AD$997,27,FALSE)*$E121,0),IF($D121="B",(ROUND(VLOOKUP($C121,'[2]2.행정구역별 급수인구'!$C$7:$AD$997,27,FALSE)-VLOOKUP($C121,'[2]2.행정구역별 급수인구'!$C$7:$AD$997,27,FALSE)*(1-$E121),0)),VLOOKUP($C121,'[2]2.행정구역별 급수인구'!$C$7:$AD$997,27,FALSE)))</f>
        <v>193</v>
      </c>
      <c r="K121" s="408">
        <f>IF($D121="A",ROUND(VLOOKUP($C121,'[2]2.행정구역별 급수인구'!$C$7:$AD$997,28,FALSE)*$E121,0),IF($D121="B",(ROUND(VLOOKUP($C121,'[2]2.행정구역별 급수인구'!$C$7:$AD$997,28,FALSE)-VLOOKUP($C121,'[2]2.행정구역별 급수인구'!$C$7:$AD$997,28,FALSE)*(1-$E121),0)),VLOOKUP($C121,'[2]2.행정구역별 급수인구'!$C$7:$AD$997,28,FALSE)))</f>
        <v>196</v>
      </c>
      <c r="L121" s="408">
        <f>VLOOKUP($F121,'[3]5.급수원단위'!$B$31:$G$35,2,FALSE)</f>
        <v>272</v>
      </c>
      <c r="M121" s="408">
        <f>VLOOKUP($F121,'[3]5.급수원단위'!$B$31:$G$35,3,FALSE)</f>
        <v>304</v>
      </c>
      <c r="N121" s="408">
        <f>VLOOKUP($F121,'[3]5.급수원단위'!$B$31:$G$35,4,FALSE)</f>
        <v>308</v>
      </c>
      <c r="O121" s="408">
        <f>VLOOKUP($F121,'[3]5.급수원단위'!$B$31:$G$35,5,FALSE)</f>
        <v>310</v>
      </c>
      <c r="P121" s="408">
        <f>VLOOKUP($F121,'[3]5.급수원단위'!$B$31:$G$35,6,FALSE)</f>
        <v>310</v>
      </c>
      <c r="Q121" s="408">
        <f>ROUND(IF(G121=0,0,VLOOKUP(C121,'2013실사용량 정리'!$D$6:$F$381,3,FALSE)),0)</f>
        <v>0</v>
      </c>
      <c r="R121" s="408">
        <f t="shared" ref="R121:U147" si="28">ROUND(H121*M121/1000,0)</f>
        <v>0</v>
      </c>
      <c r="S121" s="408">
        <f t="shared" si="28"/>
        <v>58</v>
      </c>
      <c r="T121" s="408">
        <f t="shared" si="28"/>
        <v>60</v>
      </c>
      <c r="U121" s="408">
        <f t="shared" si="28"/>
        <v>61</v>
      </c>
      <c r="W121" s="584" t="str">
        <f t="shared" si="12"/>
        <v/>
      </c>
      <c r="Z121" s="585"/>
      <c r="AA121" s="585"/>
      <c r="AB121" s="585"/>
      <c r="AC121" s="585"/>
      <c r="AD121" s="585"/>
      <c r="AE121" s="585"/>
      <c r="AF121" s="585"/>
      <c r="AG121" s="585"/>
      <c r="AH121" s="585"/>
      <c r="AI121" s="585"/>
      <c r="AJ121" s="585"/>
      <c r="AK121" s="585"/>
      <c r="AL121" s="585"/>
      <c r="AM121" s="585"/>
      <c r="AN121" s="585"/>
      <c r="AO121" s="585"/>
      <c r="AP121" s="585"/>
      <c r="AQ121" s="585"/>
      <c r="AR121" s="585"/>
      <c r="AS121" s="585"/>
    </row>
    <row r="122" spans="1:45" s="583" customFormat="1" ht="20.100000000000001" customHeight="1">
      <c r="A122" s="580"/>
      <c r="B122" s="580"/>
      <c r="C122" s="581" t="s">
        <v>1590</v>
      </c>
      <c r="D122" s="582" t="s">
        <v>1867</v>
      </c>
      <c r="E122" s="407">
        <v>1</v>
      </c>
      <c r="F122" s="407" t="s">
        <v>1317</v>
      </c>
      <c r="G122" s="408">
        <f>IF($D122="A",ROUND(VLOOKUP($C122,'[2]2.행정구역별 급수인구'!$C$7:$AD$997,17,FALSE)*$E122,0),IF($D122="B",(ROUND(VLOOKUP($C122,'[2]2.행정구역별 급수인구'!$C$7:$AD$997,17,FALSE)-VLOOKUP($C122,'[2]2.행정구역별 급수인구'!$C$7:$AD$997,17,FALSE)*(1-$E122),0)),VLOOKUP($C122,'[2]2.행정구역별 급수인구'!$C$7:$AD$997,17,FALSE)))</f>
        <v>0</v>
      </c>
      <c r="H122" s="408">
        <f>IF($D122="A",ROUND(VLOOKUP($C122,'[2]2.행정구역별 급수인구'!$C$7:$AD$997,25,FALSE)*$E122,0),IF($D122="B",(ROUND(VLOOKUP($C122,'[2]2.행정구역별 급수인구'!$C$7:$AD$997,25,FALSE)-VLOOKUP($C122,'[2]2.행정구역별 급수인구'!$C$7:$AD$997,25,FALSE)*(1-$E122),0)),VLOOKUP($C122,'[2]2.행정구역별 급수인구'!$C$7:$AD$997,25,FALSE)))</f>
        <v>0</v>
      </c>
      <c r="I122" s="408">
        <f>IF($D122="A",ROUND(VLOOKUP($C122,'[2]2.행정구역별 급수인구'!$C$7:$AD$997,26,FALSE)*$E122,0),IF($D122="B",(ROUND(VLOOKUP($C122,'[2]2.행정구역별 급수인구'!$C$7:$AD$997,26,FALSE)-VLOOKUP($C122,'[2]2.행정구역별 급수인구'!$C$7:$AD$997,26,FALSE)*(1-$E122),0)),VLOOKUP($C122,'[2]2.행정구역별 급수인구'!$C$7:$AD$997,26,FALSE)))</f>
        <v>137</v>
      </c>
      <c r="J122" s="408">
        <f>IF($D122="A",ROUND(VLOOKUP($C122,'[2]2.행정구역별 급수인구'!$C$7:$AD$997,27,FALSE)*$E122,0),IF($D122="B",(ROUND(VLOOKUP($C122,'[2]2.행정구역별 급수인구'!$C$7:$AD$997,27,FALSE)-VLOOKUP($C122,'[2]2.행정구역별 급수인구'!$C$7:$AD$997,27,FALSE)*(1-$E122),0)),VLOOKUP($C122,'[2]2.행정구역별 급수인구'!$C$7:$AD$997,27,FALSE)))</f>
        <v>141</v>
      </c>
      <c r="K122" s="408">
        <f>IF($D122="A",ROUND(VLOOKUP($C122,'[2]2.행정구역별 급수인구'!$C$7:$AD$997,28,FALSE)*$E122,0),IF($D122="B",(ROUND(VLOOKUP($C122,'[2]2.행정구역별 급수인구'!$C$7:$AD$997,28,FALSE)-VLOOKUP($C122,'[2]2.행정구역별 급수인구'!$C$7:$AD$997,28,FALSE)*(1-$E122),0)),VLOOKUP($C122,'[2]2.행정구역별 급수인구'!$C$7:$AD$997,28,FALSE)))</f>
        <v>144</v>
      </c>
      <c r="L122" s="408">
        <f>VLOOKUP($F122,'[3]5.급수원단위'!$B$31:$G$35,2,FALSE)</f>
        <v>272</v>
      </c>
      <c r="M122" s="408">
        <f>VLOOKUP($F122,'[3]5.급수원단위'!$B$31:$G$35,3,FALSE)</f>
        <v>304</v>
      </c>
      <c r="N122" s="408">
        <f>VLOOKUP($F122,'[3]5.급수원단위'!$B$31:$G$35,4,FALSE)</f>
        <v>308</v>
      </c>
      <c r="O122" s="408">
        <f>VLOOKUP($F122,'[3]5.급수원단위'!$B$31:$G$35,5,FALSE)</f>
        <v>310</v>
      </c>
      <c r="P122" s="408">
        <f>VLOOKUP($F122,'[3]5.급수원단위'!$B$31:$G$35,6,FALSE)</f>
        <v>310</v>
      </c>
      <c r="Q122" s="408">
        <f>ROUND(IF(G122=0,0,VLOOKUP(C122,'2013실사용량 정리'!$D$6:$F$381,3,FALSE)),0)</f>
        <v>0</v>
      </c>
      <c r="R122" s="408">
        <f t="shared" si="28"/>
        <v>0</v>
      </c>
      <c r="S122" s="408">
        <f t="shared" si="28"/>
        <v>42</v>
      </c>
      <c r="T122" s="408">
        <f t="shared" si="28"/>
        <v>44</v>
      </c>
      <c r="U122" s="408">
        <f t="shared" si="28"/>
        <v>45</v>
      </c>
      <c r="W122" s="584" t="str">
        <f t="shared" si="12"/>
        <v/>
      </c>
      <c r="Z122" s="585"/>
      <c r="AA122" s="585"/>
      <c r="AB122" s="585"/>
      <c r="AC122" s="585"/>
      <c r="AD122" s="585"/>
      <c r="AE122" s="585"/>
      <c r="AF122" s="585"/>
      <c r="AG122" s="585"/>
      <c r="AH122" s="585"/>
      <c r="AI122" s="585"/>
      <c r="AJ122" s="585"/>
      <c r="AK122" s="585"/>
      <c r="AL122" s="585"/>
      <c r="AM122" s="585"/>
      <c r="AN122" s="585"/>
      <c r="AO122" s="585"/>
      <c r="AP122" s="585"/>
      <c r="AQ122" s="585"/>
      <c r="AR122" s="585"/>
      <c r="AS122" s="585"/>
    </row>
    <row r="123" spans="1:45" s="583" customFormat="1" ht="20.100000000000001" customHeight="1">
      <c r="A123" s="580"/>
      <c r="B123" s="580"/>
      <c r="C123" s="581" t="s">
        <v>1591</v>
      </c>
      <c r="D123" s="582" t="s">
        <v>1867</v>
      </c>
      <c r="E123" s="407">
        <v>1</v>
      </c>
      <c r="F123" s="407" t="s">
        <v>1317</v>
      </c>
      <c r="G123" s="408">
        <f>IF($D123="A",ROUND(VLOOKUP($C123,'[2]2.행정구역별 급수인구'!$C$7:$AD$997,17,FALSE)*$E123,0),IF($D123="B",(ROUND(VLOOKUP($C123,'[2]2.행정구역별 급수인구'!$C$7:$AD$997,17,FALSE)-VLOOKUP($C123,'[2]2.행정구역별 급수인구'!$C$7:$AD$997,17,FALSE)*(1-$E123),0)),VLOOKUP($C123,'[2]2.행정구역별 급수인구'!$C$7:$AD$997,17,FALSE)))</f>
        <v>0</v>
      </c>
      <c r="H123" s="408">
        <f>IF($D123="A",ROUND(VLOOKUP($C123,'[2]2.행정구역별 급수인구'!$C$7:$AD$997,25,FALSE)*$E123,0),IF($D123="B",(ROUND(VLOOKUP($C123,'[2]2.행정구역별 급수인구'!$C$7:$AD$997,25,FALSE)-VLOOKUP($C123,'[2]2.행정구역별 급수인구'!$C$7:$AD$997,25,FALSE)*(1-$E123),0)),VLOOKUP($C123,'[2]2.행정구역별 급수인구'!$C$7:$AD$997,25,FALSE)))</f>
        <v>0</v>
      </c>
      <c r="I123" s="408">
        <f>IF($D123="A",ROUND(VLOOKUP($C123,'[2]2.행정구역별 급수인구'!$C$7:$AD$997,26,FALSE)*$E123,0),IF($D123="B",(ROUND(VLOOKUP($C123,'[2]2.행정구역별 급수인구'!$C$7:$AD$997,26,FALSE)-VLOOKUP($C123,'[2]2.행정구역별 급수인구'!$C$7:$AD$997,26,FALSE)*(1-$E123),0)),VLOOKUP($C123,'[2]2.행정구역별 급수인구'!$C$7:$AD$997,26,FALSE)))</f>
        <v>106</v>
      </c>
      <c r="J123" s="408">
        <f>IF($D123="A",ROUND(VLOOKUP($C123,'[2]2.행정구역별 급수인구'!$C$7:$AD$997,27,FALSE)*$E123,0),IF($D123="B",(ROUND(VLOOKUP($C123,'[2]2.행정구역별 급수인구'!$C$7:$AD$997,27,FALSE)-VLOOKUP($C123,'[2]2.행정구역별 급수인구'!$C$7:$AD$997,27,FALSE)*(1-$E123),0)),VLOOKUP($C123,'[2]2.행정구역별 급수인구'!$C$7:$AD$997,27,FALSE)))</f>
        <v>109</v>
      </c>
      <c r="K123" s="408">
        <f>IF($D123="A",ROUND(VLOOKUP($C123,'[2]2.행정구역별 급수인구'!$C$7:$AD$997,28,FALSE)*$E123,0),IF($D123="B",(ROUND(VLOOKUP($C123,'[2]2.행정구역별 급수인구'!$C$7:$AD$997,28,FALSE)-VLOOKUP($C123,'[2]2.행정구역별 급수인구'!$C$7:$AD$997,28,FALSE)*(1-$E123),0)),VLOOKUP($C123,'[2]2.행정구역별 급수인구'!$C$7:$AD$997,28,FALSE)))</f>
        <v>112</v>
      </c>
      <c r="L123" s="408">
        <f>VLOOKUP($F123,'[3]5.급수원단위'!$B$31:$G$35,2,FALSE)</f>
        <v>272</v>
      </c>
      <c r="M123" s="408">
        <f>VLOOKUP($F123,'[3]5.급수원단위'!$B$31:$G$35,3,FALSE)</f>
        <v>304</v>
      </c>
      <c r="N123" s="408">
        <f>VLOOKUP($F123,'[3]5.급수원단위'!$B$31:$G$35,4,FALSE)</f>
        <v>308</v>
      </c>
      <c r="O123" s="408">
        <f>VLOOKUP($F123,'[3]5.급수원단위'!$B$31:$G$35,5,FALSE)</f>
        <v>310</v>
      </c>
      <c r="P123" s="408">
        <f>VLOOKUP($F123,'[3]5.급수원단위'!$B$31:$G$35,6,FALSE)</f>
        <v>310</v>
      </c>
      <c r="Q123" s="408">
        <f>ROUND(IF(G123=0,0,VLOOKUP(C123,'2013실사용량 정리'!$D$6:$F$381,3,FALSE)),0)</f>
        <v>0</v>
      </c>
      <c r="R123" s="408">
        <f t="shared" si="28"/>
        <v>0</v>
      </c>
      <c r="S123" s="408">
        <f t="shared" si="28"/>
        <v>33</v>
      </c>
      <c r="T123" s="408">
        <f t="shared" si="28"/>
        <v>34</v>
      </c>
      <c r="U123" s="408">
        <f t="shared" si="28"/>
        <v>35</v>
      </c>
      <c r="W123" s="584" t="str">
        <f t="shared" si="12"/>
        <v/>
      </c>
      <c r="Z123" s="585"/>
      <c r="AA123" s="585"/>
      <c r="AB123" s="585"/>
      <c r="AC123" s="585"/>
      <c r="AD123" s="585"/>
      <c r="AE123" s="585"/>
      <c r="AF123" s="585"/>
      <c r="AG123" s="585"/>
      <c r="AH123" s="585"/>
      <c r="AI123" s="585"/>
      <c r="AJ123" s="585"/>
      <c r="AK123" s="585"/>
      <c r="AL123" s="585"/>
      <c r="AM123" s="585"/>
      <c r="AN123" s="585"/>
      <c r="AO123" s="585"/>
      <c r="AP123" s="585"/>
      <c r="AQ123" s="585"/>
      <c r="AR123" s="585"/>
      <c r="AS123" s="585"/>
    </row>
    <row r="124" spans="1:45" ht="20.100000000000001" customHeight="1">
      <c r="A124" s="340"/>
      <c r="B124" s="340"/>
      <c r="C124" s="346" t="s">
        <v>1592</v>
      </c>
      <c r="D124" s="330" t="s">
        <v>1867</v>
      </c>
      <c r="E124" s="527">
        <v>1</v>
      </c>
      <c r="F124" s="527" t="s">
        <v>1317</v>
      </c>
      <c r="G124" s="302">
        <f>IF($D124="A",ROUND(VLOOKUP($C124,'[2]2.행정구역별 급수인구'!$C$7:$AD$997,17,FALSE)*$E124,0),IF($D124="B",(ROUND(VLOOKUP($C124,'[2]2.행정구역별 급수인구'!$C$7:$AD$997,17,FALSE)-VLOOKUP($C124,'[2]2.행정구역별 급수인구'!$C$7:$AD$997,17,FALSE)*(1-$E124),0)),VLOOKUP($C124,'[2]2.행정구역별 급수인구'!$C$7:$AD$997,17,FALSE)))</f>
        <v>0</v>
      </c>
      <c r="H124" s="302">
        <f>IF($D124="A",ROUND(VLOOKUP($C124,'[2]2.행정구역별 급수인구'!$C$7:$AD$997,25,FALSE)*$E124,0),IF($D124="B",(ROUND(VLOOKUP($C124,'[2]2.행정구역별 급수인구'!$C$7:$AD$997,25,FALSE)-VLOOKUP($C124,'[2]2.행정구역별 급수인구'!$C$7:$AD$997,25,FALSE)*(1-$E124),0)),VLOOKUP($C124,'[2]2.행정구역별 급수인구'!$C$7:$AD$997,25,FALSE)))</f>
        <v>179</v>
      </c>
      <c r="I124" s="302">
        <f>IF($D124="A",ROUND(VLOOKUP($C124,'[2]2.행정구역별 급수인구'!$C$7:$AD$997,26,FALSE)*$E124,0),IF($D124="B",(ROUND(VLOOKUP($C124,'[2]2.행정구역별 급수인구'!$C$7:$AD$997,26,FALSE)-VLOOKUP($C124,'[2]2.행정구역별 급수인구'!$C$7:$AD$997,26,FALSE)*(1-$E124),0)),VLOOKUP($C124,'[2]2.행정구역별 급수인구'!$C$7:$AD$997,26,FALSE)))</f>
        <v>188</v>
      </c>
      <c r="J124" s="302">
        <f>IF($D124="A",ROUND(VLOOKUP($C124,'[2]2.행정구역별 급수인구'!$C$7:$AD$997,27,FALSE)*$E124,0),IF($D124="B",(ROUND(VLOOKUP($C124,'[2]2.행정구역별 급수인구'!$C$7:$AD$997,27,FALSE)-VLOOKUP($C124,'[2]2.행정구역별 급수인구'!$C$7:$AD$997,27,FALSE)*(1-$E124),0)),VLOOKUP($C124,'[2]2.행정구역별 급수인구'!$C$7:$AD$997,27,FALSE)))</f>
        <v>193</v>
      </c>
      <c r="K124" s="302">
        <f>IF($D124="A",ROUND(VLOOKUP($C124,'[2]2.행정구역별 급수인구'!$C$7:$AD$997,28,FALSE)*$E124,0),IF($D124="B",(ROUND(VLOOKUP($C124,'[2]2.행정구역별 급수인구'!$C$7:$AD$997,28,FALSE)-VLOOKUP($C124,'[2]2.행정구역별 급수인구'!$C$7:$AD$997,28,FALSE)*(1-$E124),0)),VLOOKUP($C124,'[2]2.행정구역별 급수인구'!$C$7:$AD$997,28,FALSE)))</f>
        <v>196</v>
      </c>
      <c r="L124" s="302">
        <f>VLOOKUP($F124,'[3]5.급수원단위'!$B$31:$G$35,2,FALSE)</f>
        <v>272</v>
      </c>
      <c r="M124" s="302">
        <f>VLOOKUP($F124,'[3]5.급수원단위'!$B$31:$G$35,3,FALSE)</f>
        <v>304</v>
      </c>
      <c r="N124" s="302">
        <f>VLOOKUP($F124,'[3]5.급수원단위'!$B$31:$G$35,4,FALSE)</f>
        <v>308</v>
      </c>
      <c r="O124" s="302">
        <f>VLOOKUP($F124,'[3]5.급수원단위'!$B$31:$G$35,5,FALSE)</f>
        <v>310</v>
      </c>
      <c r="P124" s="302">
        <f>VLOOKUP($F124,'[3]5.급수원단위'!$B$31:$G$35,6,FALSE)</f>
        <v>310</v>
      </c>
      <c r="Q124" s="302">
        <f>ROUND(IF(G124=0,0,VLOOKUP(C124,'2013실사용량 정리'!$D$6:$F$381,3,FALSE)),0)</f>
        <v>0</v>
      </c>
      <c r="R124" s="302">
        <f t="shared" si="28"/>
        <v>54</v>
      </c>
      <c r="S124" s="302">
        <f t="shared" si="28"/>
        <v>58</v>
      </c>
      <c r="T124" s="302">
        <f t="shared" si="28"/>
        <v>60</v>
      </c>
      <c r="U124" s="302">
        <f t="shared" si="28"/>
        <v>61</v>
      </c>
      <c r="W124" s="343" t="str">
        <f t="shared" si="12"/>
        <v/>
      </c>
    </row>
    <row r="125" spans="1:45" ht="20.100000000000001" customHeight="1">
      <c r="A125" s="340"/>
      <c r="B125" s="340"/>
      <c r="C125" s="346" t="s">
        <v>1593</v>
      </c>
      <c r="D125" s="330" t="s">
        <v>1867</v>
      </c>
      <c r="E125" s="527">
        <v>1</v>
      </c>
      <c r="F125" s="527" t="s">
        <v>1317</v>
      </c>
      <c r="G125" s="302">
        <f>IF($D125="A",ROUND(VLOOKUP($C125,'[2]2.행정구역별 급수인구'!$C$7:$AD$997,17,FALSE)*$E125,0),IF($D125="B",(ROUND(VLOOKUP($C125,'[2]2.행정구역별 급수인구'!$C$7:$AD$997,17,FALSE)-VLOOKUP($C125,'[2]2.행정구역별 급수인구'!$C$7:$AD$997,17,FALSE)*(1-$E125),0)),VLOOKUP($C125,'[2]2.행정구역별 급수인구'!$C$7:$AD$997,17,FALSE)))</f>
        <v>0</v>
      </c>
      <c r="H125" s="302">
        <f>IF($D125="A",ROUND(VLOOKUP($C125,'[2]2.행정구역별 급수인구'!$C$7:$AD$997,25,FALSE)*$E125,0),IF($D125="B",(ROUND(VLOOKUP($C125,'[2]2.행정구역별 급수인구'!$C$7:$AD$997,25,FALSE)-VLOOKUP($C125,'[2]2.행정구역별 급수인구'!$C$7:$AD$997,25,FALSE)*(1-$E125),0)),VLOOKUP($C125,'[2]2.행정구역별 급수인구'!$C$7:$AD$997,25,FALSE)))</f>
        <v>69</v>
      </c>
      <c r="I125" s="302">
        <f>IF($D125="A",ROUND(VLOOKUP($C125,'[2]2.행정구역별 급수인구'!$C$7:$AD$997,26,FALSE)*$E125,0),IF($D125="B",(ROUND(VLOOKUP($C125,'[2]2.행정구역별 급수인구'!$C$7:$AD$997,26,FALSE)-VLOOKUP($C125,'[2]2.행정구역별 급수인구'!$C$7:$AD$997,26,FALSE)*(1-$E125),0)),VLOOKUP($C125,'[2]2.행정구역별 급수인구'!$C$7:$AD$997,26,FALSE)))</f>
        <v>72</v>
      </c>
      <c r="J125" s="302">
        <f>IF($D125="A",ROUND(VLOOKUP($C125,'[2]2.행정구역별 급수인구'!$C$7:$AD$997,27,FALSE)*$E125,0),IF($D125="B",(ROUND(VLOOKUP($C125,'[2]2.행정구역별 급수인구'!$C$7:$AD$997,27,FALSE)-VLOOKUP($C125,'[2]2.행정구역별 급수인구'!$C$7:$AD$997,27,FALSE)*(1-$E125),0)),VLOOKUP($C125,'[2]2.행정구역별 급수인구'!$C$7:$AD$997,27,FALSE)))</f>
        <v>74</v>
      </c>
      <c r="K125" s="302">
        <f>IF($D125="A",ROUND(VLOOKUP($C125,'[2]2.행정구역별 급수인구'!$C$7:$AD$997,28,FALSE)*$E125,0),IF($D125="B",(ROUND(VLOOKUP($C125,'[2]2.행정구역별 급수인구'!$C$7:$AD$997,28,FALSE)-VLOOKUP($C125,'[2]2.행정구역별 급수인구'!$C$7:$AD$997,28,FALSE)*(1-$E125),0)),VLOOKUP($C125,'[2]2.행정구역별 급수인구'!$C$7:$AD$997,28,FALSE)))</f>
        <v>75</v>
      </c>
      <c r="L125" s="302">
        <f>VLOOKUP($F125,'[3]5.급수원단위'!$B$31:$G$35,2,FALSE)</f>
        <v>272</v>
      </c>
      <c r="M125" s="302">
        <f>VLOOKUP($F125,'[3]5.급수원단위'!$B$31:$G$35,3,FALSE)</f>
        <v>304</v>
      </c>
      <c r="N125" s="302">
        <f>VLOOKUP($F125,'[3]5.급수원단위'!$B$31:$G$35,4,FALSE)</f>
        <v>308</v>
      </c>
      <c r="O125" s="302">
        <f>VLOOKUP($F125,'[3]5.급수원단위'!$B$31:$G$35,5,FALSE)</f>
        <v>310</v>
      </c>
      <c r="P125" s="302">
        <f>VLOOKUP($F125,'[3]5.급수원단위'!$B$31:$G$35,6,FALSE)</f>
        <v>310</v>
      </c>
      <c r="Q125" s="302">
        <f>ROUND(IF(G125=0,0,VLOOKUP(C125,'2013실사용량 정리'!$D$6:$F$381,3,FALSE)),0)</f>
        <v>0</v>
      </c>
      <c r="R125" s="302">
        <f t="shared" si="28"/>
        <v>21</v>
      </c>
      <c r="S125" s="302">
        <f t="shared" si="28"/>
        <v>22</v>
      </c>
      <c r="T125" s="302">
        <f t="shared" si="28"/>
        <v>23</v>
      </c>
      <c r="U125" s="302">
        <f t="shared" si="28"/>
        <v>23</v>
      </c>
      <c r="W125" s="343" t="str">
        <f t="shared" si="12"/>
        <v/>
      </c>
    </row>
    <row r="126" spans="1:45" ht="20.100000000000001" customHeight="1">
      <c r="A126" s="340"/>
      <c r="B126" s="340"/>
      <c r="C126" s="406" t="s">
        <v>1594</v>
      </c>
      <c r="D126" s="330" t="s">
        <v>1867</v>
      </c>
      <c r="E126" s="527">
        <v>1</v>
      </c>
      <c r="F126" s="527" t="s">
        <v>1317</v>
      </c>
      <c r="G126" s="302">
        <f>IF($D126="A",ROUND(VLOOKUP($C126,'[2]2.행정구역별 급수인구'!$C$7:$AD$997,17,FALSE)*$E126,0),IF($D126="B",(ROUND(VLOOKUP($C126,'[2]2.행정구역별 급수인구'!$C$7:$AD$997,17,FALSE)-VLOOKUP($C126,'[2]2.행정구역별 급수인구'!$C$7:$AD$997,17,FALSE)*(1-$E126),0)),VLOOKUP($C126,'[2]2.행정구역별 급수인구'!$C$7:$AD$997,17,FALSE)))</f>
        <v>0</v>
      </c>
      <c r="H126" s="302">
        <f>IF($D126="A",ROUND(VLOOKUP($C126,'[2]2.행정구역별 급수인구'!$C$7:$AD$997,25,FALSE)*$E126,0),IF($D126="B",(ROUND(VLOOKUP($C126,'[2]2.행정구역별 급수인구'!$C$7:$AD$997,25,FALSE)-VLOOKUP($C126,'[2]2.행정구역별 급수인구'!$C$7:$AD$997,25,FALSE)*(1-$E126),0)),VLOOKUP($C126,'[2]2.행정구역별 급수인구'!$C$7:$AD$997,25,FALSE)))</f>
        <v>79</v>
      </c>
      <c r="I126" s="302">
        <f>IF($D126="A",ROUND(VLOOKUP($C126,'[2]2.행정구역별 급수인구'!$C$7:$AD$997,26,FALSE)*$E126,0),IF($D126="B",(ROUND(VLOOKUP($C126,'[2]2.행정구역별 급수인구'!$C$7:$AD$997,26,FALSE)-VLOOKUP($C126,'[2]2.행정구역별 급수인구'!$C$7:$AD$997,26,FALSE)*(1-$E126),0)),VLOOKUP($C126,'[2]2.행정구역별 급수인구'!$C$7:$AD$997,26,FALSE)))</f>
        <v>83</v>
      </c>
      <c r="J126" s="302">
        <f>IF($D126="A",ROUND(VLOOKUP($C126,'[2]2.행정구역별 급수인구'!$C$7:$AD$997,27,FALSE)*$E126,0),IF($D126="B",(ROUND(VLOOKUP($C126,'[2]2.행정구역별 급수인구'!$C$7:$AD$997,27,FALSE)-VLOOKUP($C126,'[2]2.행정구역별 급수인구'!$C$7:$AD$997,27,FALSE)*(1-$E126),0)),VLOOKUP($C126,'[2]2.행정구역별 급수인구'!$C$7:$AD$997,27,FALSE)))</f>
        <v>86</v>
      </c>
      <c r="K126" s="302">
        <f>IF($D126="A",ROUND(VLOOKUP($C126,'[2]2.행정구역별 급수인구'!$C$7:$AD$997,28,FALSE)*$E126,0),IF($D126="B",(ROUND(VLOOKUP($C126,'[2]2.행정구역별 급수인구'!$C$7:$AD$997,28,FALSE)-VLOOKUP($C126,'[2]2.행정구역별 급수인구'!$C$7:$AD$997,28,FALSE)*(1-$E126),0)),VLOOKUP($C126,'[2]2.행정구역별 급수인구'!$C$7:$AD$997,28,FALSE)))</f>
        <v>87</v>
      </c>
      <c r="L126" s="302">
        <f>VLOOKUP($F126,'[3]5.급수원단위'!$B$31:$G$35,2,FALSE)</f>
        <v>272</v>
      </c>
      <c r="M126" s="302">
        <f>VLOOKUP($F126,'[3]5.급수원단위'!$B$31:$G$35,3,FALSE)</f>
        <v>304</v>
      </c>
      <c r="N126" s="302">
        <f>VLOOKUP($F126,'[3]5.급수원단위'!$B$31:$G$35,4,FALSE)</f>
        <v>308</v>
      </c>
      <c r="O126" s="302">
        <f>VLOOKUP($F126,'[3]5.급수원단위'!$B$31:$G$35,5,FALSE)</f>
        <v>310</v>
      </c>
      <c r="P126" s="302">
        <f>VLOOKUP($F126,'[3]5.급수원단위'!$B$31:$G$35,6,FALSE)</f>
        <v>310</v>
      </c>
      <c r="Q126" s="302">
        <f>ROUND(IF(G126=0,0,VLOOKUP(C126,'2013실사용량 정리'!$D$6:$F$381,3,FALSE)),0)</f>
        <v>0</v>
      </c>
      <c r="R126" s="302">
        <f t="shared" si="28"/>
        <v>24</v>
      </c>
      <c r="S126" s="302">
        <f t="shared" si="28"/>
        <v>26</v>
      </c>
      <c r="T126" s="302">
        <f t="shared" si="28"/>
        <v>27</v>
      </c>
      <c r="U126" s="302">
        <f t="shared" si="28"/>
        <v>27</v>
      </c>
      <c r="W126" s="343" t="str">
        <f t="shared" si="12"/>
        <v/>
      </c>
    </row>
    <row r="127" spans="1:45" ht="20.100000000000001" customHeight="1">
      <c r="A127" s="340"/>
      <c r="B127" s="340"/>
      <c r="C127" s="406" t="s">
        <v>1595</v>
      </c>
      <c r="D127" s="330" t="s">
        <v>1867</v>
      </c>
      <c r="E127" s="527">
        <v>1</v>
      </c>
      <c r="F127" s="527" t="s">
        <v>1317</v>
      </c>
      <c r="G127" s="302">
        <f>IF($D127="A",ROUND(VLOOKUP($C127,'[2]2.행정구역별 급수인구'!$C$7:$AD$997,17,FALSE)*$E127,0),IF($D127="B",(ROUND(VLOOKUP($C127,'[2]2.행정구역별 급수인구'!$C$7:$AD$997,17,FALSE)-VLOOKUP($C127,'[2]2.행정구역별 급수인구'!$C$7:$AD$997,17,FALSE)*(1-$E127),0)),VLOOKUP($C127,'[2]2.행정구역별 급수인구'!$C$7:$AD$997,17,FALSE)))</f>
        <v>0</v>
      </c>
      <c r="H127" s="302">
        <f>IF($D127="A",ROUND(VLOOKUP($C127,'[2]2.행정구역별 급수인구'!$C$7:$AD$997,25,FALSE)*$E127,0),IF($D127="B",(ROUND(VLOOKUP($C127,'[2]2.행정구역별 급수인구'!$C$7:$AD$997,25,FALSE)-VLOOKUP($C127,'[2]2.행정구역별 급수인구'!$C$7:$AD$997,25,FALSE)*(1-$E127),0)),VLOOKUP($C127,'[2]2.행정구역별 급수인구'!$C$7:$AD$997,25,FALSE)))</f>
        <v>109</v>
      </c>
      <c r="I127" s="302">
        <f>IF($D127="A",ROUND(VLOOKUP($C127,'[2]2.행정구역별 급수인구'!$C$7:$AD$997,26,FALSE)*$E127,0),IF($D127="B",(ROUND(VLOOKUP($C127,'[2]2.행정구역별 급수인구'!$C$7:$AD$997,26,FALSE)-VLOOKUP($C127,'[2]2.행정구역별 급수인구'!$C$7:$AD$997,26,FALSE)*(1-$E127),0)),VLOOKUP($C127,'[2]2.행정구역별 급수인구'!$C$7:$AD$997,26,FALSE)))</f>
        <v>115</v>
      </c>
      <c r="J127" s="302">
        <f>IF($D127="A",ROUND(VLOOKUP($C127,'[2]2.행정구역별 급수인구'!$C$7:$AD$997,27,FALSE)*$E127,0),IF($D127="B",(ROUND(VLOOKUP($C127,'[2]2.행정구역별 급수인구'!$C$7:$AD$997,27,FALSE)-VLOOKUP($C127,'[2]2.행정구역별 급수인구'!$C$7:$AD$997,27,FALSE)*(1-$E127),0)),VLOOKUP($C127,'[2]2.행정구역별 급수인구'!$C$7:$AD$997,27,FALSE)))</f>
        <v>117</v>
      </c>
      <c r="K127" s="302">
        <f>IF($D127="A",ROUND(VLOOKUP($C127,'[2]2.행정구역별 급수인구'!$C$7:$AD$997,28,FALSE)*$E127,0),IF($D127="B",(ROUND(VLOOKUP($C127,'[2]2.행정구역별 급수인구'!$C$7:$AD$997,28,FALSE)-VLOOKUP($C127,'[2]2.행정구역별 급수인구'!$C$7:$AD$997,28,FALSE)*(1-$E127),0)),VLOOKUP($C127,'[2]2.행정구역별 급수인구'!$C$7:$AD$997,28,FALSE)))</f>
        <v>119</v>
      </c>
      <c r="L127" s="302">
        <f>VLOOKUP($F127,'[3]5.급수원단위'!$B$31:$G$35,2,FALSE)</f>
        <v>272</v>
      </c>
      <c r="M127" s="302">
        <f>VLOOKUP($F127,'[3]5.급수원단위'!$B$31:$G$35,3,FALSE)</f>
        <v>304</v>
      </c>
      <c r="N127" s="302">
        <f>VLOOKUP($F127,'[3]5.급수원단위'!$B$31:$G$35,4,FALSE)</f>
        <v>308</v>
      </c>
      <c r="O127" s="302">
        <f>VLOOKUP($F127,'[3]5.급수원단위'!$B$31:$G$35,5,FALSE)</f>
        <v>310</v>
      </c>
      <c r="P127" s="302">
        <f>VLOOKUP($F127,'[3]5.급수원단위'!$B$31:$G$35,6,FALSE)</f>
        <v>310</v>
      </c>
      <c r="Q127" s="302">
        <f>ROUND(IF(G127=0,0,VLOOKUP(C127,'2013실사용량 정리'!$D$6:$F$381,3,FALSE)),0)</f>
        <v>0</v>
      </c>
      <c r="R127" s="302">
        <f t="shared" si="28"/>
        <v>33</v>
      </c>
      <c r="S127" s="302">
        <f t="shared" si="28"/>
        <v>35</v>
      </c>
      <c r="T127" s="302">
        <f t="shared" si="28"/>
        <v>36</v>
      </c>
      <c r="U127" s="302">
        <f t="shared" si="28"/>
        <v>37</v>
      </c>
      <c r="W127" s="343" t="str">
        <f t="shared" si="12"/>
        <v/>
      </c>
    </row>
    <row r="128" spans="1:45" ht="20.100000000000001" customHeight="1">
      <c r="A128" s="340"/>
      <c r="B128" s="340"/>
      <c r="C128" s="406" t="s">
        <v>1596</v>
      </c>
      <c r="D128" s="330" t="s">
        <v>1867</v>
      </c>
      <c r="E128" s="527">
        <v>0</v>
      </c>
      <c r="F128" s="527" t="s">
        <v>1317</v>
      </c>
      <c r="G128" s="302">
        <f>IF($D128="A",ROUND(VLOOKUP($C128,'[2]2.행정구역별 급수인구'!$C$7:$AD$997,17,FALSE)*$E128,0),IF($D128="B",(ROUND(VLOOKUP($C128,'[2]2.행정구역별 급수인구'!$C$7:$AD$997,17,FALSE)-VLOOKUP($C128,'[2]2.행정구역별 급수인구'!$C$7:$AD$997,17,FALSE)*(1-$E128),0)),VLOOKUP($C128,'[2]2.행정구역별 급수인구'!$C$7:$AD$997,17,FALSE)))</f>
        <v>0</v>
      </c>
      <c r="H128" s="302">
        <f>IF($D128="A",ROUND(VLOOKUP($C128,'[2]2.행정구역별 급수인구'!$C$7:$AD$997,25,FALSE)*$E128,0),IF($D128="B",(ROUND(VLOOKUP($C128,'[2]2.행정구역별 급수인구'!$C$7:$AD$997,25,FALSE)-VLOOKUP($C128,'[2]2.행정구역별 급수인구'!$C$7:$AD$997,25,FALSE)*(1-$E128),0)),VLOOKUP($C128,'[2]2.행정구역별 급수인구'!$C$7:$AD$997,25,FALSE)))</f>
        <v>0</v>
      </c>
      <c r="I128" s="302">
        <f>IF($D128="A",ROUND(VLOOKUP($C128,'[2]2.행정구역별 급수인구'!$C$7:$AD$997,26,FALSE)*$E128,0),IF($D128="B",(ROUND(VLOOKUP($C128,'[2]2.행정구역별 급수인구'!$C$7:$AD$997,26,FALSE)-VLOOKUP($C128,'[2]2.행정구역별 급수인구'!$C$7:$AD$997,26,FALSE)*(1-$E128),0)),VLOOKUP($C128,'[2]2.행정구역별 급수인구'!$C$7:$AD$997,26,FALSE)))</f>
        <v>0</v>
      </c>
      <c r="J128" s="302">
        <f>IF($D128="A",ROUND(VLOOKUP($C128,'[2]2.행정구역별 급수인구'!$C$7:$AD$997,27,FALSE)*$E128,0),IF($D128="B",(ROUND(VLOOKUP($C128,'[2]2.행정구역별 급수인구'!$C$7:$AD$997,27,FALSE)-VLOOKUP($C128,'[2]2.행정구역별 급수인구'!$C$7:$AD$997,27,FALSE)*(1-$E128),0)),VLOOKUP($C128,'[2]2.행정구역별 급수인구'!$C$7:$AD$997,27,FALSE)))</f>
        <v>0</v>
      </c>
      <c r="K128" s="302">
        <f>IF($D128="A",ROUND(VLOOKUP($C128,'[2]2.행정구역별 급수인구'!$C$7:$AD$997,28,FALSE)*$E128,0),IF($D128="B",(ROUND(VLOOKUP($C128,'[2]2.행정구역별 급수인구'!$C$7:$AD$997,28,FALSE)-VLOOKUP($C128,'[2]2.행정구역별 급수인구'!$C$7:$AD$997,28,FALSE)*(1-$E128),0)),VLOOKUP($C128,'[2]2.행정구역별 급수인구'!$C$7:$AD$997,28,FALSE)))</f>
        <v>0</v>
      </c>
      <c r="L128" s="302">
        <f>VLOOKUP($F128,'[3]5.급수원단위'!$B$31:$G$35,2,FALSE)</f>
        <v>272</v>
      </c>
      <c r="M128" s="302">
        <f>VLOOKUP($F128,'[3]5.급수원단위'!$B$31:$G$35,3,FALSE)</f>
        <v>304</v>
      </c>
      <c r="N128" s="302">
        <f>VLOOKUP($F128,'[3]5.급수원단위'!$B$31:$G$35,4,FALSE)</f>
        <v>308</v>
      </c>
      <c r="O128" s="302">
        <f>VLOOKUP($F128,'[3]5.급수원단위'!$B$31:$G$35,5,FALSE)</f>
        <v>310</v>
      </c>
      <c r="P128" s="302">
        <f>VLOOKUP($F128,'[3]5.급수원단위'!$B$31:$G$35,6,FALSE)</f>
        <v>310</v>
      </c>
      <c r="Q128" s="302">
        <f>ROUND(IF(G128=0,0,VLOOKUP(C128,'2013실사용량 정리'!$D$6:$F$381,3,FALSE)),0)</f>
        <v>0</v>
      </c>
      <c r="R128" s="302">
        <f t="shared" si="28"/>
        <v>0</v>
      </c>
      <c r="S128" s="302">
        <f t="shared" si="28"/>
        <v>0</v>
      </c>
      <c r="T128" s="302">
        <f t="shared" si="28"/>
        <v>0</v>
      </c>
      <c r="U128" s="302">
        <f t="shared" si="28"/>
        <v>0</v>
      </c>
      <c r="V128" s="327" t="s">
        <v>1868</v>
      </c>
      <c r="W128" s="343" t="str">
        <f t="shared" si="12"/>
        <v/>
      </c>
    </row>
    <row r="129" spans="1:23" ht="20.100000000000001" customHeight="1">
      <c r="A129" s="340"/>
      <c r="B129" s="340"/>
      <c r="C129" s="406" t="s">
        <v>1597</v>
      </c>
      <c r="D129" s="330" t="s">
        <v>1867</v>
      </c>
      <c r="E129" s="527">
        <v>0</v>
      </c>
      <c r="F129" s="527" t="s">
        <v>1317</v>
      </c>
      <c r="G129" s="302">
        <f>IF($D129="A",ROUND(VLOOKUP($C129,'[2]2.행정구역별 급수인구'!$C$7:$AD$997,17,FALSE)*$E129,0),IF($D129="B",(ROUND(VLOOKUP($C129,'[2]2.행정구역별 급수인구'!$C$7:$AD$997,17,FALSE)-VLOOKUP($C129,'[2]2.행정구역별 급수인구'!$C$7:$AD$997,17,FALSE)*(1-$E129),0)),VLOOKUP($C129,'[2]2.행정구역별 급수인구'!$C$7:$AD$997,17,FALSE)))</f>
        <v>0</v>
      </c>
      <c r="H129" s="302">
        <f>IF($D129="A",ROUND(VLOOKUP($C129,'[2]2.행정구역별 급수인구'!$C$7:$AD$997,25,FALSE)*$E129,0),IF($D129="B",(ROUND(VLOOKUP($C129,'[2]2.행정구역별 급수인구'!$C$7:$AD$997,25,FALSE)-VLOOKUP($C129,'[2]2.행정구역별 급수인구'!$C$7:$AD$997,25,FALSE)*(1-$E129),0)),VLOOKUP($C129,'[2]2.행정구역별 급수인구'!$C$7:$AD$997,25,FALSE)))</f>
        <v>0</v>
      </c>
      <c r="I129" s="302">
        <f>IF($D129="A",ROUND(VLOOKUP($C129,'[2]2.행정구역별 급수인구'!$C$7:$AD$997,26,FALSE)*$E129,0),IF($D129="B",(ROUND(VLOOKUP($C129,'[2]2.행정구역별 급수인구'!$C$7:$AD$997,26,FALSE)-VLOOKUP($C129,'[2]2.행정구역별 급수인구'!$C$7:$AD$997,26,FALSE)*(1-$E129),0)),VLOOKUP($C129,'[2]2.행정구역별 급수인구'!$C$7:$AD$997,26,FALSE)))</f>
        <v>0</v>
      </c>
      <c r="J129" s="302">
        <f>IF($D129="A",ROUND(VLOOKUP($C129,'[2]2.행정구역별 급수인구'!$C$7:$AD$997,27,FALSE)*$E129,0),IF($D129="B",(ROUND(VLOOKUP($C129,'[2]2.행정구역별 급수인구'!$C$7:$AD$997,27,FALSE)-VLOOKUP($C129,'[2]2.행정구역별 급수인구'!$C$7:$AD$997,27,FALSE)*(1-$E129),0)),VLOOKUP($C129,'[2]2.행정구역별 급수인구'!$C$7:$AD$997,27,FALSE)))</f>
        <v>0</v>
      </c>
      <c r="K129" s="302">
        <f>IF($D129="A",ROUND(VLOOKUP($C129,'[2]2.행정구역별 급수인구'!$C$7:$AD$997,28,FALSE)*$E129,0),IF($D129="B",(ROUND(VLOOKUP($C129,'[2]2.행정구역별 급수인구'!$C$7:$AD$997,28,FALSE)-VLOOKUP($C129,'[2]2.행정구역별 급수인구'!$C$7:$AD$997,28,FALSE)*(1-$E129),0)),VLOOKUP($C129,'[2]2.행정구역별 급수인구'!$C$7:$AD$997,28,FALSE)))</f>
        <v>0</v>
      </c>
      <c r="L129" s="302">
        <f>VLOOKUP($F129,'[3]5.급수원단위'!$B$31:$G$35,2,FALSE)</f>
        <v>272</v>
      </c>
      <c r="M129" s="302">
        <f>VLOOKUP($F129,'[3]5.급수원단위'!$B$31:$G$35,3,FALSE)</f>
        <v>304</v>
      </c>
      <c r="N129" s="302">
        <f>VLOOKUP($F129,'[3]5.급수원단위'!$B$31:$G$35,4,FALSE)</f>
        <v>308</v>
      </c>
      <c r="O129" s="302">
        <f>VLOOKUP($F129,'[3]5.급수원단위'!$B$31:$G$35,5,FALSE)</f>
        <v>310</v>
      </c>
      <c r="P129" s="302">
        <f>VLOOKUP($F129,'[3]5.급수원단위'!$B$31:$G$35,6,FALSE)</f>
        <v>310</v>
      </c>
      <c r="Q129" s="302">
        <f>ROUND(IF(G129=0,0,VLOOKUP(C129,'2013실사용량 정리'!$D$6:$F$381,3,FALSE)),0)</f>
        <v>0</v>
      </c>
      <c r="R129" s="302">
        <f t="shared" si="28"/>
        <v>0</v>
      </c>
      <c r="S129" s="302">
        <f t="shared" si="28"/>
        <v>0</v>
      </c>
      <c r="T129" s="302">
        <f t="shared" si="28"/>
        <v>0</v>
      </c>
      <c r="U129" s="302">
        <f t="shared" si="28"/>
        <v>0</v>
      </c>
      <c r="V129" s="327" t="s">
        <v>1868</v>
      </c>
      <c r="W129" s="343" t="str">
        <f t="shared" si="12"/>
        <v/>
      </c>
    </row>
    <row r="130" spans="1:23" ht="20.100000000000001" customHeight="1">
      <c r="A130" s="340"/>
      <c r="B130" s="340"/>
      <c r="C130" s="406" t="s">
        <v>1598</v>
      </c>
      <c r="D130" s="330" t="s">
        <v>1867</v>
      </c>
      <c r="E130" s="527">
        <v>1</v>
      </c>
      <c r="F130" s="527" t="s">
        <v>1317</v>
      </c>
      <c r="G130" s="302">
        <f>IF($D130="A",ROUND(VLOOKUP($C130,'[2]2.행정구역별 급수인구'!$C$7:$AD$997,17,FALSE)*$E130,0),IF($D130="B",(ROUND(VLOOKUP($C130,'[2]2.행정구역별 급수인구'!$C$7:$AD$997,17,FALSE)-VLOOKUP($C130,'[2]2.행정구역별 급수인구'!$C$7:$AD$997,17,FALSE)*(1-$E130),0)),VLOOKUP($C130,'[2]2.행정구역별 급수인구'!$C$7:$AD$997,17,FALSE)))</f>
        <v>0</v>
      </c>
      <c r="H130" s="302">
        <f>IF($D130="A",ROUND(VLOOKUP($C130,'[2]2.행정구역별 급수인구'!$C$7:$AD$997,25,FALSE)*$E130,0),IF($D130="B",(ROUND(VLOOKUP($C130,'[2]2.행정구역별 급수인구'!$C$7:$AD$997,25,FALSE)-VLOOKUP($C130,'[2]2.행정구역별 급수인구'!$C$7:$AD$997,25,FALSE)*(1-$E130),0)),VLOOKUP($C130,'[2]2.행정구역별 급수인구'!$C$7:$AD$997,25,FALSE)))</f>
        <v>200</v>
      </c>
      <c r="I130" s="302">
        <f>IF($D130="A",ROUND(VLOOKUP($C130,'[2]2.행정구역별 급수인구'!$C$7:$AD$997,26,FALSE)*$E130,0),IF($D130="B",(ROUND(VLOOKUP($C130,'[2]2.행정구역별 급수인구'!$C$7:$AD$997,26,FALSE)-VLOOKUP($C130,'[2]2.행정구역별 급수인구'!$C$7:$AD$997,26,FALSE)*(1-$E130),0)),VLOOKUP($C130,'[2]2.행정구역별 급수인구'!$C$7:$AD$997,26,FALSE)))</f>
        <v>210</v>
      </c>
      <c r="J130" s="302">
        <f>IF($D130="A",ROUND(VLOOKUP($C130,'[2]2.행정구역별 급수인구'!$C$7:$AD$997,27,FALSE)*$E130,0),IF($D130="B",(ROUND(VLOOKUP($C130,'[2]2.행정구역별 급수인구'!$C$7:$AD$997,27,FALSE)-VLOOKUP($C130,'[2]2.행정구역별 급수인구'!$C$7:$AD$997,27,FALSE)*(1-$E130),0)),VLOOKUP($C130,'[2]2.행정구역별 급수인구'!$C$7:$AD$997,27,FALSE)))</f>
        <v>216</v>
      </c>
      <c r="K130" s="302">
        <f>IF($D130="A",ROUND(VLOOKUP($C130,'[2]2.행정구역별 급수인구'!$C$7:$AD$997,28,FALSE)*$E130,0),IF($D130="B",(ROUND(VLOOKUP($C130,'[2]2.행정구역별 급수인구'!$C$7:$AD$997,28,FALSE)-VLOOKUP($C130,'[2]2.행정구역별 급수인구'!$C$7:$AD$997,28,FALSE)*(1-$E130),0)),VLOOKUP($C130,'[2]2.행정구역별 급수인구'!$C$7:$AD$997,28,FALSE)))</f>
        <v>220</v>
      </c>
      <c r="L130" s="302">
        <f>VLOOKUP($F130,'[3]5.급수원단위'!$B$31:$G$35,2,FALSE)</f>
        <v>272</v>
      </c>
      <c r="M130" s="302">
        <f>VLOOKUP($F130,'[3]5.급수원단위'!$B$31:$G$35,3,FALSE)</f>
        <v>304</v>
      </c>
      <c r="N130" s="302">
        <f>VLOOKUP($F130,'[3]5.급수원단위'!$B$31:$G$35,4,FALSE)</f>
        <v>308</v>
      </c>
      <c r="O130" s="302">
        <f>VLOOKUP($F130,'[3]5.급수원단위'!$B$31:$G$35,5,FALSE)</f>
        <v>310</v>
      </c>
      <c r="P130" s="302">
        <f>VLOOKUP($F130,'[3]5.급수원단위'!$B$31:$G$35,6,FALSE)</f>
        <v>310</v>
      </c>
      <c r="Q130" s="302">
        <f>ROUND(IF(G130=0,0,VLOOKUP(C130,'2013실사용량 정리'!$D$6:$F$381,3,FALSE)),0)</f>
        <v>0</v>
      </c>
      <c r="R130" s="302">
        <f t="shared" si="28"/>
        <v>61</v>
      </c>
      <c r="S130" s="302">
        <f t="shared" si="28"/>
        <v>65</v>
      </c>
      <c r="T130" s="302">
        <f t="shared" si="28"/>
        <v>67</v>
      </c>
      <c r="U130" s="302">
        <f t="shared" si="28"/>
        <v>68</v>
      </c>
      <c r="W130" s="343" t="str">
        <f t="shared" si="12"/>
        <v/>
      </c>
    </row>
    <row r="131" spans="1:23" ht="20.100000000000001" customHeight="1">
      <c r="A131" s="340"/>
      <c r="B131" s="340"/>
      <c r="C131" s="406" t="s">
        <v>1599</v>
      </c>
      <c r="D131" s="330" t="s">
        <v>1867</v>
      </c>
      <c r="E131" s="527">
        <v>1</v>
      </c>
      <c r="F131" s="527" t="s">
        <v>1317</v>
      </c>
      <c r="G131" s="302">
        <f>IF($D131="A",ROUND(VLOOKUP($C131,'[2]2.행정구역별 급수인구'!$C$7:$AD$997,17,FALSE)*$E131,0),IF($D131="B",(ROUND(VLOOKUP($C131,'[2]2.행정구역별 급수인구'!$C$7:$AD$997,17,FALSE)-VLOOKUP($C131,'[2]2.행정구역별 급수인구'!$C$7:$AD$997,17,FALSE)*(1-$E131),0)),VLOOKUP($C131,'[2]2.행정구역별 급수인구'!$C$7:$AD$997,17,FALSE)))</f>
        <v>88</v>
      </c>
      <c r="H131" s="302">
        <f>IF($D131="A",ROUND(VLOOKUP($C131,'[2]2.행정구역별 급수인구'!$C$7:$AD$997,25,FALSE)*$E131,0),IF($D131="B",(ROUND(VLOOKUP($C131,'[2]2.행정구역별 급수인구'!$C$7:$AD$997,25,FALSE)-VLOOKUP($C131,'[2]2.행정구역별 급수인구'!$C$7:$AD$997,25,FALSE)*(1-$E131),0)),VLOOKUP($C131,'[2]2.행정구역별 급수인구'!$C$7:$AD$997,25,FALSE)))</f>
        <v>92</v>
      </c>
      <c r="I131" s="302">
        <f>IF($D131="A",ROUND(VLOOKUP($C131,'[2]2.행정구역별 급수인구'!$C$7:$AD$997,26,FALSE)*$E131,0),IF($D131="B",(ROUND(VLOOKUP($C131,'[2]2.행정구역별 급수인구'!$C$7:$AD$997,26,FALSE)-VLOOKUP($C131,'[2]2.행정구역별 급수인구'!$C$7:$AD$997,26,FALSE)*(1-$E131),0)),VLOOKUP($C131,'[2]2.행정구역별 급수인구'!$C$7:$AD$997,26,FALSE)))</f>
        <v>97</v>
      </c>
      <c r="J131" s="302">
        <f>IF($D131="A",ROUND(VLOOKUP($C131,'[2]2.행정구역별 급수인구'!$C$7:$AD$997,27,FALSE)*$E131,0),IF($D131="B",(ROUND(VLOOKUP($C131,'[2]2.행정구역별 급수인구'!$C$7:$AD$997,27,FALSE)-VLOOKUP($C131,'[2]2.행정구역별 급수인구'!$C$7:$AD$997,27,FALSE)*(1-$E131),0)),VLOOKUP($C131,'[2]2.행정구역별 급수인구'!$C$7:$AD$997,27,FALSE)))</f>
        <v>99</v>
      </c>
      <c r="K131" s="302">
        <f>IF($D131="A",ROUND(VLOOKUP($C131,'[2]2.행정구역별 급수인구'!$C$7:$AD$997,28,FALSE)*$E131,0),IF($D131="B",(ROUND(VLOOKUP($C131,'[2]2.행정구역별 급수인구'!$C$7:$AD$997,28,FALSE)-VLOOKUP($C131,'[2]2.행정구역별 급수인구'!$C$7:$AD$997,28,FALSE)*(1-$E131),0)),VLOOKUP($C131,'[2]2.행정구역별 급수인구'!$C$7:$AD$997,28,FALSE)))</f>
        <v>101</v>
      </c>
      <c r="L131" s="302">
        <f>VLOOKUP($F131,'[3]5.급수원단위'!$B$31:$G$35,2,FALSE)</f>
        <v>272</v>
      </c>
      <c r="M131" s="302">
        <f>VLOOKUP($F131,'[3]5.급수원단위'!$B$31:$G$35,3,FALSE)</f>
        <v>304</v>
      </c>
      <c r="N131" s="302">
        <f>VLOOKUP($F131,'[3]5.급수원단위'!$B$31:$G$35,4,FALSE)</f>
        <v>308</v>
      </c>
      <c r="O131" s="302">
        <f>VLOOKUP($F131,'[3]5.급수원단위'!$B$31:$G$35,5,FALSE)</f>
        <v>310</v>
      </c>
      <c r="P131" s="302">
        <f>VLOOKUP($F131,'[3]5.급수원단위'!$B$31:$G$35,6,FALSE)</f>
        <v>310</v>
      </c>
      <c r="Q131" s="302">
        <f>ROUND(IF(G131=0,0,VLOOKUP(C131,'2013실사용량 정리'!$D$6:$F$381,3,FALSE)),0)</f>
        <v>16</v>
      </c>
      <c r="R131" s="302">
        <f t="shared" si="28"/>
        <v>28</v>
      </c>
      <c r="S131" s="302">
        <f t="shared" si="28"/>
        <v>30</v>
      </c>
      <c r="T131" s="302">
        <f t="shared" si="28"/>
        <v>31</v>
      </c>
      <c r="U131" s="302">
        <f t="shared" si="28"/>
        <v>31</v>
      </c>
      <c r="W131" s="343">
        <f t="shared" si="12"/>
        <v>1.9375</v>
      </c>
    </row>
    <row r="132" spans="1:23" ht="20.100000000000001" customHeight="1">
      <c r="A132" s="340"/>
      <c r="B132" s="340"/>
      <c r="C132" s="406" t="s">
        <v>1600</v>
      </c>
      <c r="D132" s="330" t="s">
        <v>1867</v>
      </c>
      <c r="E132" s="527">
        <v>1</v>
      </c>
      <c r="F132" s="527" t="s">
        <v>1317</v>
      </c>
      <c r="G132" s="302">
        <f>IF($D132="A",ROUND(VLOOKUP($C132,'[2]2.행정구역별 급수인구'!$C$7:$AD$997,17,FALSE)*$E132,0),IF($D132="B",(ROUND(VLOOKUP($C132,'[2]2.행정구역별 급수인구'!$C$7:$AD$997,17,FALSE)-VLOOKUP($C132,'[2]2.행정구역별 급수인구'!$C$7:$AD$997,17,FALSE)*(1-$E132),0)),VLOOKUP($C132,'[2]2.행정구역별 급수인구'!$C$7:$AD$997,17,FALSE)))</f>
        <v>0</v>
      </c>
      <c r="H132" s="302">
        <f>IF($D132="A",ROUND(VLOOKUP($C132,'[2]2.행정구역별 급수인구'!$C$7:$AD$997,25,FALSE)*$E132,0),IF($D132="B",(ROUND(VLOOKUP($C132,'[2]2.행정구역별 급수인구'!$C$7:$AD$997,25,FALSE)-VLOOKUP($C132,'[2]2.행정구역별 급수인구'!$C$7:$AD$997,25,FALSE)*(1-$E132),0)),VLOOKUP($C132,'[2]2.행정구역별 급수인구'!$C$7:$AD$997,25,FALSE)))</f>
        <v>70</v>
      </c>
      <c r="I132" s="302">
        <f>IF($D132="A",ROUND(VLOOKUP($C132,'[2]2.행정구역별 급수인구'!$C$7:$AD$997,26,FALSE)*$E132,0),IF($D132="B",(ROUND(VLOOKUP($C132,'[2]2.행정구역별 급수인구'!$C$7:$AD$997,26,FALSE)-VLOOKUP($C132,'[2]2.행정구역별 급수인구'!$C$7:$AD$997,26,FALSE)*(1-$E132),0)),VLOOKUP($C132,'[2]2.행정구역별 급수인구'!$C$7:$AD$997,26,FALSE)))</f>
        <v>74</v>
      </c>
      <c r="J132" s="302">
        <f>IF($D132="A",ROUND(VLOOKUP($C132,'[2]2.행정구역별 급수인구'!$C$7:$AD$997,27,FALSE)*$E132,0),IF($D132="B",(ROUND(VLOOKUP($C132,'[2]2.행정구역별 급수인구'!$C$7:$AD$997,27,FALSE)-VLOOKUP($C132,'[2]2.행정구역별 급수인구'!$C$7:$AD$997,27,FALSE)*(1-$E132),0)),VLOOKUP($C132,'[2]2.행정구역별 급수인구'!$C$7:$AD$997,27,FALSE)))</f>
        <v>76</v>
      </c>
      <c r="K132" s="302">
        <f>IF($D132="A",ROUND(VLOOKUP($C132,'[2]2.행정구역별 급수인구'!$C$7:$AD$997,28,FALSE)*$E132,0),IF($D132="B",(ROUND(VLOOKUP($C132,'[2]2.행정구역별 급수인구'!$C$7:$AD$997,28,FALSE)-VLOOKUP($C132,'[2]2.행정구역별 급수인구'!$C$7:$AD$997,28,FALSE)*(1-$E132),0)),VLOOKUP($C132,'[2]2.행정구역별 급수인구'!$C$7:$AD$997,28,FALSE)))</f>
        <v>77</v>
      </c>
      <c r="L132" s="302">
        <f>VLOOKUP($F132,'[3]5.급수원단위'!$B$31:$G$35,2,FALSE)</f>
        <v>272</v>
      </c>
      <c r="M132" s="302">
        <f>VLOOKUP($F132,'[3]5.급수원단위'!$B$31:$G$35,3,FALSE)</f>
        <v>304</v>
      </c>
      <c r="N132" s="302">
        <f>VLOOKUP($F132,'[3]5.급수원단위'!$B$31:$G$35,4,FALSE)</f>
        <v>308</v>
      </c>
      <c r="O132" s="302">
        <f>VLOOKUP($F132,'[3]5.급수원단위'!$B$31:$G$35,5,FALSE)</f>
        <v>310</v>
      </c>
      <c r="P132" s="302">
        <f>VLOOKUP($F132,'[3]5.급수원단위'!$B$31:$G$35,6,FALSE)</f>
        <v>310</v>
      </c>
      <c r="Q132" s="302">
        <f>ROUND(IF(G132=0,0,VLOOKUP(C132,'2013실사용량 정리'!$D$6:$F$381,3,FALSE)),0)</f>
        <v>0</v>
      </c>
      <c r="R132" s="302">
        <f t="shared" si="28"/>
        <v>21</v>
      </c>
      <c r="S132" s="302">
        <f t="shared" si="28"/>
        <v>23</v>
      </c>
      <c r="T132" s="302">
        <f t="shared" si="28"/>
        <v>24</v>
      </c>
      <c r="U132" s="302">
        <f t="shared" si="28"/>
        <v>24</v>
      </c>
      <c r="W132" s="343" t="str">
        <f t="shared" si="12"/>
        <v/>
      </c>
    </row>
    <row r="133" spans="1:23" ht="20.100000000000001" customHeight="1">
      <c r="A133" s="340"/>
      <c r="B133" s="340"/>
      <c r="C133" s="406" t="s">
        <v>1601</v>
      </c>
      <c r="D133" s="330" t="s">
        <v>1867</v>
      </c>
      <c r="E133" s="527">
        <v>1</v>
      </c>
      <c r="F133" s="527" t="s">
        <v>1317</v>
      </c>
      <c r="G133" s="302">
        <f>IF($D133="A",ROUND(VLOOKUP($C133,'[2]2.행정구역별 급수인구'!$C$7:$AD$997,17,FALSE)*$E133,0),IF($D133="B",(ROUND(VLOOKUP($C133,'[2]2.행정구역별 급수인구'!$C$7:$AD$997,17,FALSE)-VLOOKUP($C133,'[2]2.행정구역별 급수인구'!$C$7:$AD$997,17,FALSE)*(1-$E133),0)),VLOOKUP($C133,'[2]2.행정구역별 급수인구'!$C$7:$AD$997,17,FALSE)))</f>
        <v>0</v>
      </c>
      <c r="H133" s="302">
        <f>IF($D133="A",ROUND(VLOOKUP($C133,'[2]2.행정구역별 급수인구'!$C$7:$AD$997,25,FALSE)*$E133,0),IF($D133="B",(ROUND(VLOOKUP($C133,'[2]2.행정구역별 급수인구'!$C$7:$AD$997,25,FALSE)-VLOOKUP($C133,'[2]2.행정구역별 급수인구'!$C$7:$AD$997,25,FALSE)*(1-$E133),0)),VLOOKUP($C133,'[2]2.행정구역별 급수인구'!$C$7:$AD$997,25,FALSE)))</f>
        <v>141</v>
      </c>
      <c r="I133" s="302">
        <f>IF($D133="A",ROUND(VLOOKUP($C133,'[2]2.행정구역별 급수인구'!$C$7:$AD$997,26,FALSE)*$E133,0),IF($D133="B",(ROUND(VLOOKUP($C133,'[2]2.행정구역별 급수인구'!$C$7:$AD$997,26,FALSE)-VLOOKUP($C133,'[2]2.행정구역별 급수인구'!$C$7:$AD$997,26,FALSE)*(1-$E133),0)),VLOOKUP($C133,'[2]2.행정구역별 급수인구'!$C$7:$AD$997,26,FALSE)))</f>
        <v>149</v>
      </c>
      <c r="J133" s="302">
        <f>IF($D133="A",ROUND(VLOOKUP($C133,'[2]2.행정구역별 급수인구'!$C$7:$AD$997,27,FALSE)*$E133,0),IF($D133="B",(ROUND(VLOOKUP($C133,'[2]2.행정구역별 급수인구'!$C$7:$AD$997,27,FALSE)-VLOOKUP($C133,'[2]2.행정구역별 급수인구'!$C$7:$AD$997,27,FALSE)*(1-$E133),0)),VLOOKUP($C133,'[2]2.행정구역별 급수인구'!$C$7:$AD$997,27,FALSE)))</f>
        <v>153</v>
      </c>
      <c r="K133" s="302">
        <f>IF($D133="A",ROUND(VLOOKUP($C133,'[2]2.행정구역별 급수인구'!$C$7:$AD$997,28,FALSE)*$E133,0),IF($D133="B",(ROUND(VLOOKUP($C133,'[2]2.행정구역별 급수인구'!$C$7:$AD$997,28,FALSE)-VLOOKUP($C133,'[2]2.행정구역별 급수인구'!$C$7:$AD$997,28,FALSE)*(1-$E133),0)),VLOOKUP($C133,'[2]2.행정구역별 급수인구'!$C$7:$AD$997,28,FALSE)))</f>
        <v>155</v>
      </c>
      <c r="L133" s="302">
        <f>VLOOKUP($F133,'[3]5.급수원단위'!$B$31:$G$35,2,FALSE)</f>
        <v>272</v>
      </c>
      <c r="M133" s="302">
        <f>VLOOKUP($F133,'[3]5.급수원단위'!$B$31:$G$35,3,FALSE)</f>
        <v>304</v>
      </c>
      <c r="N133" s="302">
        <f>VLOOKUP($F133,'[3]5.급수원단위'!$B$31:$G$35,4,FALSE)</f>
        <v>308</v>
      </c>
      <c r="O133" s="302">
        <f>VLOOKUP($F133,'[3]5.급수원단위'!$B$31:$G$35,5,FALSE)</f>
        <v>310</v>
      </c>
      <c r="P133" s="302">
        <f>VLOOKUP($F133,'[3]5.급수원단위'!$B$31:$G$35,6,FALSE)</f>
        <v>310</v>
      </c>
      <c r="Q133" s="302">
        <f>ROUND(IF(G133=0,0,VLOOKUP(C133,'2013실사용량 정리'!$D$6:$F$381,3,FALSE)),0)</f>
        <v>0</v>
      </c>
      <c r="R133" s="302">
        <f t="shared" si="28"/>
        <v>43</v>
      </c>
      <c r="S133" s="302">
        <f t="shared" si="28"/>
        <v>46</v>
      </c>
      <c r="T133" s="302">
        <f t="shared" si="28"/>
        <v>47</v>
      </c>
      <c r="U133" s="302">
        <f t="shared" si="28"/>
        <v>48</v>
      </c>
      <c r="W133" s="343" t="str">
        <f t="shared" si="12"/>
        <v/>
      </c>
    </row>
    <row r="134" spans="1:23" ht="20.100000000000001" customHeight="1">
      <c r="A134" s="340"/>
      <c r="B134" s="340"/>
      <c r="C134" s="406" t="s">
        <v>1602</v>
      </c>
      <c r="D134" s="330" t="s">
        <v>1867</v>
      </c>
      <c r="E134" s="527">
        <v>1</v>
      </c>
      <c r="F134" s="527" t="s">
        <v>1317</v>
      </c>
      <c r="G134" s="302">
        <f>IF($D134="A",ROUND(VLOOKUP($C134,'[2]2.행정구역별 급수인구'!$C$7:$AD$997,17,FALSE)*$E134,0),IF($D134="B",(ROUND(VLOOKUP($C134,'[2]2.행정구역별 급수인구'!$C$7:$AD$997,17,FALSE)-VLOOKUP($C134,'[2]2.행정구역별 급수인구'!$C$7:$AD$997,17,FALSE)*(1-$E134),0)),VLOOKUP($C134,'[2]2.행정구역별 급수인구'!$C$7:$AD$997,17,FALSE)))</f>
        <v>0</v>
      </c>
      <c r="H134" s="302">
        <f>IF($D134="A",ROUND(VLOOKUP($C134,'[2]2.행정구역별 급수인구'!$C$7:$AD$997,25,FALSE)*$E134,0),IF($D134="B",(ROUND(VLOOKUP($C134,'[2]2.행정구역별 급수인구'!$C$7:$AD$997,25,FALSE)-VLOOKUP($C134,'[2]2.행정구역별 급수인구'!$C$7:$AD$997,25,FALSE)*(1-$E134),0)),VLOOKUP($C134,'[2]2.행정구역별 급수인구'!$C$7:$AD$997,25,FALSE)))</f>
        <v>117</v>
      </c>
      <c r="I134" s="302">
        <f>IF($D134="A",ROUND(VLOOKUP($C134,'[2]2.행정구역별 급수인구'!$C$7:$AD$997,26,FALSE)*$E134,0),IF($D134="B",(ROUND(VLOOKUP($C134,'[2]2.행정구역별 급수인구'!$C$7:$AD$997,26,FALSE)-VLOOKUP($C134,'[2]2.행정구역별 급수인구'!$C$7:$AD$997,26,FALSE)*(1-$E134),0)),VLOOKUP($C134,'[2]2.행정구역별 급수인구'!$C$7:$AD$997,26,FALSE)))</f>
        <v>123</v>
      </c>
      <c r="J134" s="302">
        <f>IF($D134="A",ROUND(VLOOKUP($C134,'[2]2.행정구역별 급수인구'!$C$7:$AD$997,27,FALSE)*$E134,0),IF($D134="B",(ROUND(VLOOKUP($C134,'[2]2.행정구역별 급수인구'!$C$7:$AD$997,27,FALSE)-VLOOKUP($C134,'[2]2.행정구역별 급수인구'!$C$7:$AD$997,27,FALSE)*(1-$E134),0)),VLOOKUP($C134,'[2]2.행정구역별 급수인구'!$C$7:$AD$997,27,FALSE)))</f>
        <v>126</v>
      </c>
      <c r="K134" s="302">
        <f>IF($D134="A",ROUND(VLOOKUP($C134,'[2]2.행정구역별 급수인구'!$C$7:$AD$997,28,FALSE)*$E134,0),IF($D134="B",(ROUND(VLOOKUP($C134,'[2]2.행정구역별 급수인구'!$C$7:$AD$997,28,FALSE)-VLOOKUP($C134,'[2]2.행정구역별 급수인구'!$C$7:$AD$997,28,FALSE)*(1-$E134),0)),VLOOKUP($C134,'[2]2.행정구역별 급수인구'!$C$7:$AD$997,28,FALSE)))</f>
        <v>128</v>
      </c>
      <c r="L134" s="302">
        <f>VLOOKUP($F134,'[3]5.급수원단위'!$B$31:$G$35,2,FALSE)</f>
        <v>272</v>
      </c>
      <c r="M134" s="302">
        <f>VLOOKUP($F134,'[3]5.급수원단위'!$B$31:$G$35,3,FALSE)</f>
        <v>304</v>
      </c>
      <c r="N134" s="302">
        <f>VLOOKUP($F134,'[3]5.급수원단위'!$B$31:$G$35,4,FALSE)</f>
        <v>308</v>
      </c>
      <c r="O134" s="302">
        <f>VLOOKUP($F134,'[3]5.급수원단위'!$B$31:$G$35,5,FALSE)</f>
        <v>310</v>
      </c>
      <c r="P134" s="302">
        <f>VLOOKUP($F134,'[3]5.급수원단위'!$B$31:$G$35,6,FALSE)</f>
        <v>310</v>
      </c>
      <c r="Q134" s="302">
        <f>ROUND(IF(G134=0,0,VLOOKUP(C134,'2013실사용량 정리'!$D$6:$F$381,3,FALSE)),0)</f>
        <v>0</v>
      </c>
      <c r="R134" s="302">
        <f t="shared" si="28"/>
        <v>36</v>
      </c>
      <c r="S134" s="302">
        <f t="shared" si="28"/>
        <v>38</v>
      </c>
      <c r="T134" s="302">
        <f t="shared" si="28"/>
        <v>39</v>
      </c>
      <c r="U134" s="302">
        <f t="shared" si="28"/>
        <v>40</v>
      </c>
      <c r="W134" s="343" t="str">
        <f t="shared" si="12"/>
        <v/>
      </c>
    </row>
    <row r="135" spans="1:23" ht="20.100000000000001" customHeight="1">
      <c r="A135" s="340"/>
      <c r="B135" s="340"/>
      <c r="C135" s="406" t="s">
        <v>1603</v>
      </c>
      <c r="D135" s="330" t="s">
        <v>1867</v>
      </c>
      <c r="E135" s="527">
        <v>1</v>
      </c>
      <c r="F135" s="527" t="s">
        <v>1317</v>
      </c>
      <c r="G135" s="302">
        <f>IF($D135="A",ROUND(VLOOKUP($C135,'[2]2.행정구역별 급수인구'!$C$7:$AD$997,17,FALSE)*$E135,0),IF($D135="B",(ROUND(VLOOKUP($C135,'[2]2.행정구역별 급수인구'!$C$7:$AD$997,17,FALSE)-VLOOKUP($C135,'[2]2.행정구역별 급수인구'!$C$7:$AD$997,17,FALSE)*(1-$E135),0)),VLOOKUP($C135,'[2]2.행정구역별 급수인구'!$C$7:$AD$997,17,FALSE)))</f>
        <v>0</v>
      </c>
      <c r="H135" s="302">
        <f>IF($D135="A",ROUND(VLOOKUP($C135,'[2]2.행정구역별 급수인구'!$C$7:$AD$997,25,FALSE)*$E135,0),IF($D135="B",(ROUND(VLOOKUP($C135,'[2]2.행정구역별 급수인구'!$C$7:$AD$997,25,FALSE)-VLOOKUP($C135,'[2]2.행정구역별 급수인구'!$C$7:$AD$997,25,FALSE)*(1-$E135),0)),VLOOKUP($C135,'[2]2.행정구역별 급수인구'!$C$7:$AD$997,25,FALSE)))</f>
        <v>151</v>
      </c>
      <c r="I135" s="302">
        <f>IF($D135="A",ROUND(VLOOKUP($C135,'[2]2.행정구역별 급수인구'!$C$7:$AD$997,26,FALSE)*$E135,0),IF($D135="B",(ROUND(VLOOKUP($C135,'[2]2.행정구역별 급수인구'!$C$7:$AD$997,26,FALSE)-VLOOKUP($C135,'[2]2.행정구역별 급수인구'!$C$7:$AD$997,26,FALSE)*(1-$E135),0)),VLOOKUP($C135,'[2]2.행정구역별 급수인구'!$C$7:$AD$997,26,FALSE)))</f>
        <v>158</v>
      </c>
      <c r="J135" s="302">
        <f>IF($D135="A",ROUND(VLOOKUP($C135,'[2]2.행정구역별 급수인구'!$C$7:$AD$997,27,FALSE)*$E135,0),IF($D135="B",(ROUND(VLOOKUP($C135,'[2]2.행정구역별 급수인구'!$C$7:$AD$997,27,FALSE)-VLOOKUP($C135,'[2]2.행정구역별 급수인구'!$C$7:$AD$997,27,FALSE)*(1-$E135),0)),VLOOKUP($C135,'[2]2.행정구역별 급수인구'!$C$7:$AD$997,27,FALSE)))</f>
        <v>162</v>
      </c>
      <c r="K135" s="302">
        <f>IF($D135="A",ROUND(VLOOKUP($C135,'[2]2.행정구역별 급수인구'!$C$7:$AD$997,28,FALSE)*$E135,0),IF($D135="B",(ROUND(VLOOKUP($C135,'[2]2.행정구역별 급수인구'!$C$7:$AD$997,28,FALSE)-VLOOKUP($C135,'[2]2.행정구역별 급수인구'!$C$7:$AD$997,28,FALSE)*(1-$E135),0)),VLOOKUP($C135,'[2]2.행정구역별 급수인구'!$C$7:$AD$997,28,FALSE)))</f>
        <v>165</v>
      </c>
      <c r="L135" s="302">
        <f>VLOOKUP($F135,'[3]5.급수원단위'!$B$31:$G$35,2,FALSE)</f>
        <v>272</v>
      </c>
      <c r="M135" s="302">
        <f>VLOOKUP($F135,'[3]5.급수원단위'!$B$31:$G$35,3,FALSE)</f>
        <v>304</v>
      </c>
      <c r="N135" s="302">
        <f>VLOOKUP($F135,'[3]5.급수원단위'!$B$31:$G$35,4,FALSE)</f>
        <v>308</v>
      </c>
      <c r="O135" s="302">
        <f>VLOOKUP($F135,'[3]5.급수원단위'!$B$31:$G$35,5,FALSE)</f>
        <v>310</v>
      </c>
      <c r="P135" s="302">
        <f>VLOOKUP($F135,'[3]5.급수원단위'!$B$31:$G$35,6,FALSE)</f>
        <v>310</v>
      </c>
      <c r="Q135" s="302">
        <f>ROUND(IF(G135=0,0,VLOOKUP(C135,'2013실사용량 정리'!$D$6:$F$381,3,FALSE)),0)</f>
        <v>0</v>
      </c>
      <c r="R135" s="302">
        <f t="shared" si="28"/>
        <v>46</v>
      </c>
      <c r="S135" s="302">
        <f t="shared" si="28"/>
        <v>49</v>
      </c>
      <c r="T135" s="302">
        <f t="shared" si="28"/>
        <v>50</v>
      </c>
      <c r="U135" s="302">
        <f t="shared" si="28"/>
        <v>51</v>
      </c>
      <c r="W135" s="343" t="str">
        <f t="shared" si="12"/>
        <v/>
      </c>
    </row>
    <row r="136" spans="1:23" ht="20.100000000000001" customHeight="1">
      <c r="A136" s="340"/>
      <c r="B136" s="340"/>
      <c r="C136" s="406" t="s">
        <v>1604</v>
      </c>
      <c r="D136" s="330" t="s">
        <v>1867</v>
      </c>
      <c r="E136" s="527">
        <v>1</v>
      </c>
      <c r="F136" s="527" t="s">
        <v>1317</v>
      </c>
      <c r="G136" s="302">
        <f>IF($D136="A",ROUND(VLOOKUP($C136,'[2]2.행정구역별 급수인구'!$C$7:$AD$997,17,FALSE)*$E136,0),IF($D136="B",(ROUND(VLOOKUP($C136,'[2]2.행정구역별 급수인구'!$C$7:$AD$997,17,FALSE)-VLOOKUP($C136,'[2]2.행정구역별 급수인구'!$C$7:$AD$997,17,FALSE)*(1-$E136),0)),VLOOKUP($C136,'[2]2.행정구역별 급수인구'!$C$7:$AD$997,17,FALSE)))-G138</f>
        <v>0</v>
      </c>
      <c r="H136" s="302">
        <f>IF($D136="A",ROUND(VLOOKUP($C136,'[2]2.행정구역별 급수인구'!$C$7:$AD$997,25,FALSE)*$E136,0),IF($D136="B",(ROUND(VLOOKUP($C136,'[2]2.행정구역별 급수인구'!$C$7:$AD$997,25,FALSE)-VLOOKUP($C136,'[2]2.행정구역별 급수인구'!$C$7:$AD$997,25,FALSE)*(1-$E136),0)),VLOOKUP($C136,'[2]2.행정구역별 급수인구'!$C$7:$AD$997,25,FALSE)))-H138</f>
        <v>105</v>
      </c>
      <c r="I136" s="302">
        <f>IF($D136="A",ROUND(VLOOKUP($C136,'[2]2.행정구역별 급수인구'!$C$7:$AD$997,26,FALSE)*$E136,0),IF($D136="B",(ROUND(VLOOKUP($C136,'[2]2.행정구역별 급수인구'!$C$7:$AD$997,26,FALSE)-VLOOKUP($C136,'[2]2.행정구역별 급수인구'!$C$7:$AD$997,26,FALSE)*(1-$E136),0)),VLOOKUP($C136,'[2]2.행정구역별 급수인구'!$C$7:$AD$997,26,FALSE)))-I138</f>
        <v>120</v>
      </c>
      <c r="J136" s="302">
        <f>IF($D136="A",ROUND(VLOOKUP($C136,'[2]2.행정구역별 급수인구'!$C$7:$AD$997,27,FALSE)*$E136,0),IF($D136="B",(ROUND(VLOOKUP($C136,'[2]2.행정구역별 급수인구'!$C$7:$AD$997,27,FALSE)-VLOOKUP($C136,'[2]2.행정구역별 급수인구'!$C$7:$AD$997,27,FALSE)*(1-$E136),0)),VLOOKUP($C136,'[2]2.행정구역별 급수인구'!$C$7:$AD$997,27,FALSE)))-J138</f>
        <v>122</v>
      </c>
      <c r="K136" s="302">
        <f>IF($D136="A",ROUND(VLOOKUP($C136,'[2]2.행정구역별 급수인구'!$C$7:$AD$997,28,FALSE)*$E136,0),IF($D136="B",(ROUND(VLOOKUP($C136,'[2]2.행정구역별 급수인구'!$C$7:$AD$997,28,FALSE)-VLOOKUP($C136,'[2]2.행정구역별 급수인구'!$C$7:$AD$997,28,FALSE)*(1-$E136),0)),VLOOKUP($C136,'[2]2.행정구역별 급수인구'!$C$7:$AD$997,28,FALSE)))-K138</f>
        <v>125</v>
      </c>
      <c r="L136" s="302">
        <f>VLOOKUP($F136,'[3]5.급수원단위'!$B$31:$G$35,2,FALSE)</f>
        <v>272</v>
      </c>
      <c r="M136" s="302">
        <f>VLOOKUP($F136,'[3]5.급수원단위'!$B$31:$G$35,3,FALSE)</f>
        <v>304</v>
      </c>
      <c r="N136" s="302">
        <f>VLOOKUP($F136,'[3]5.급수원단위'!$B$31:$G$35,4,FALSE)</f>
        <v>308</v>
      </c>
      <c r="O136" s="302">
        <f>VLOOKUP($F136,'[3]5.급수원단위'!$B$31:$G$35,5,FALSE)</f>
        <v>310</v>
      </c>
      <c r="P136" s="302">
        <f>VLOOKUP($F136,'[3]5.급수원단위'!$B$31:$G$35,6,FALSE)</f>
        <v>310</v>
      </c>
      <c r="Q136" s="302">
        <f>ROUND(IF(G136=0,0,VLOOKUP(C136,'2013실사용량 정리'!$D$6:$F$381,3,FALSE)),0)</f>
        <v>0</v>
      </c>
      <c r="R136" s="302">
        <f t="shared" si="28"/>
        <v>32</v>
      </c>
      <c r="S136" s="302">
        <f t="shared" si="28"/>
        <v>37</v>
      </c>
      <c r="T136" s="302">
        <f t="shared" si="28"/>
        <v>38</v>
      </c>
      <c r="U136" s="302">
        <f t="shared" si="28"/>
        <v>39</v>
      </c>
      <c r="W136" s="343" t="str">
        <f t="shared" si="12"/>
        <v/>
      </c>
    </row>
    <row r="137" spans="1:23" ht="20.100000000000001" customHeight="1">
      <c r="A137" s="340"/>
      <c r="B137" s="340"/>
      <c r="C137" s="406" t="s">
        <v>1605</v>
      </c>
      <c r="D137" s="330" t="s">
        <v>1867</v>
      </c>
      <c r="E137" s="527">
        <v>1</v>
      </c>
      <c r="F137" s="527" t="s">
        <v>1317</v>
      </c>
      <c r="G137" s="302">
        <f>IF($D137="A",ROUND(VLOOKUP($C137,'[2]2.행정구역별 급수인구'!$C$7:$AD$997,17,FALSE)*$E137,0),IF($D137="B",(ROUND(VLOOKUP($C137,'[2]2.행정구역별 급수인구'!$C$7:$AD$997,17,FALSE)-VLOOKUP($C137,'[2]2.행정구역별 급수인구'!$C$7:$AD$997,17,FALSE)*(1-$E137),0)),VLOOKUP($C137,'[2]2.행정구역별 급수인구'!$C$7:$AD$997,17,FALSE)))</f>
        <v>0</v>
      </c>
      <c r="H137" s="302">
        <f>IF($D137="A",ROUND(VLOOKUP($C137,'[2]2.행정구역별 급수인구'!$C$7:$AD$997,25,FALSE)*$E137,0),IF($D137="B",(ROUND(VLOOKUP($C137,'[2]2.행정구역별 급수인구'!$C$7:$AD$997,25,FALSE)-VLOOKUP($C137,'[2]2.행정구역별 급수인구'!$C$7:$AD$997,25,FALSE)*(1-$E137),0)),VLOOKUP($C137,'[2]2.행정구역별 급수인구'!$C$7:$AD$997,25,FALSE)))</f>
        <v>57</v>
      </c>
      <c r="I137" s="302">
        <f>IF($D137="A",ROUND(VLOOKUP($C137,'[2]2.행정구역별 급수인구'!$C$7:$AD$997,26,FALSE)*$E137,0),IF($D137="B",(ROUND(VLOOKUP($C137,'[2]2.행정구역별 급수인구'!$C$7:$AD$997,26,FALSE)-VLOOKUP($C137,'[2]2.행정구역별 급수인구'!$C$7:$AD$997,26,FALSE)*(1-$E137),0)),VLOOKUP($C137,'[2]2.행정구역별 급수인구'!$C$7:$AD$997,26,FALSE)))</f>
        <v>60</v>
      </c>
      <c r="J137" s="302">
        <f>IF($D137="A",ROUND(VLOOKUP($C137,'[2]2.행정구역별 급수인구'!$C$7:$AD$997,27,FALSE)*$E137,0),IF($D137="B",(ROUND(VLOOKUP($C137,'[2]2.행정구역별 급수인구'!$C$7:$AD$997,27,FALSE)-VLOOKUP($C137,'[2]2.행정구역별 급수인구'!$C$7:$AD$997,27,FALSE)*(1-$E137),0)),VLOOKUP($C137,'[2]2.행정구역별 급수인구'!$C$7:$AD$997,27,FALSE)))</f>
        <v>61</v>
      </c>
      <c r="K137" s="302">
        <f>IF($D137="A",ROUND(VLOOKUP($C137,'[2]2.행정구역별 급수인구'!$C$7:$AD$997,28,FALSE)*$E137,0),IF($D137="B",(ROUND(VLOOKUP($C137,'[2]2.행정구역별 급수인구'!$C$7:$AD$997,28,FALSE)-VLOOKUP($C137,'[2]2.행정구역별 급수인구'!$C$7:$AD$997,28,FALSE)*(1-$E137),0)),VLOOKUP($C137,'[2]2.행정구역별 급수인구'!$C$7:$AD$997,28,FALSE)))</f>
        <v>62</v>
      </c>
      <c r="L137" s="302">
        <f>VLOOKUP($F137,'[3]5.급수원단위'!$B$31:$G$35,2,FALSE)</f>
        <v>272</v>
      </c>
      <c r="M137" s="302">
        <f>VLOOKUP($F137,'[3]5.급수원단위'!$B$31:$G$35,3,FALSE)</f>
        <v>304</v>
      </c>
      <c r="N137" s="302">
        <f>VLOOKUP($F137,'[3]5.급수원단위'!$B$31:$G$35,4,FALSE)</f>
        <v>308</v>
      </c>
      <c r="O137" s="302">
        <f>VLOOKUP($F137,'[3]5.급수원단위'!$B$31:$G$35,5,FALSE)</f>
        <v>310</v>
      </c>
      <c r="P137" s="302">
        <f>VLOOKUP($F137,'[3]5.급수원단위'!$B$31:$G$35,6,FALSE)</f>
        <v>310</v>
      </c>
      <c r="Q137" s="302">
        <f>ROUND(IF(G137=0,0,VLOOKUP(C137,'2013실사용량 정리'!$D$6:$F$381,3,FALSE)),0)</f>
        <v>0</v>
      </c>
      <c r="R137" s="302">
        <f t="shared" si="28"/>
        <v>17</v>
      </c>
      <c r="S137" s="302">
        <f t="shared" si="28"/>
        <v>18</v>
      </c>
      <c r="T137" s="302">
        <f t="shared" si="28"/>
        <v>19</v>
      </c>
      <c r="U137" s="302">
        <f t="shared" si="28"/>
        <v>19</v>
      </c>
      <c r="W137" s="343" t="str">
        <f t="shared" si="12"/>
        <v/>
      </c>
    </row>
    <row r="138" spans="1:23" ht="20.100000000000001" customHeight="1">
      <c r="A138" s="340"/>
      <c r="B138" s="340"/>
      <c r="C138" s="414" t="s">
        <v>1761</v>
      </c>
      <c r="D138" s="415" t="s">
        <v>1867</v>
      </c>
      <c r="E138" s="416">
        <v>1</v>
      </c>
      <c r="F138" s="416" t="s">
        <v>1761</v>
      </c>
      <c r="G138" s="417">
        <v>0</v>
      </c>
      <c r="H138" s="417">
        <v>0</v>
      </c>
      <c r="I138" s="417">
        <v>2927</v>
      </c>
      <c r="J138" s="417">
        <f>I138</f>
        <v>2927</v>
      </c>
      <c r="K138" s="417">
        <f>J138</f>
        <v>2927</v>
      </c>
      <c r="L138" s="393">
        <f>VLOOKUP($F138,'[3]5.급수원단위'!$B$31:$G$35,2,FALSE)</f>
        <v>0</v>
      </c>
      <c r="M138" s="393">
        <f>VLOOKUP($F138,'[3]5.급수원단위'!$B$31:$G$35,3,FALSE)</f>
        <v>0</v>
      </c>
      <c r="N138" s="393">
        <f>VLOOKUP($F138,'[3]5.급수원단위'!$B$31:$G$35,4,FALSE)</f>
        <v>555</v>
      </c>
      <c r="O138" s="393">
        <f>VLOOKUP($F138,'[3]5.급수원단위'!$B$31:$G$35,5,FALSE)</f>
        <v>555</v>
      </c>
      <c r="P138" s="393">
        <f>VLOOKUP($F138,'[3]5.급수원단위'!$B$31:$G$35,6,FALSE)</f>
        <v>555</v>
      </c>
      <c r="Q138" s="393">
        <f>ROUND(IF(G138=0,0,VLOOKUP(C138,'2013실사용량 정리'!$D$6:$F$381,3,FALSE)),0)</f>
        <v>0</v>
      </c>
      <c r="R138" s="393">
        <f t="shared" si="28"/>
        <v>0</v>
      </c>
      <c r="S138" s="393">
        <v>0</v>
      </c>
      <c r="T138" s="393">
        <v>0</v>
      </c>
      <c r="U138" s="393">
        <v>0</v>
      </c>
      <c r="W138" s="343">
        <v>1624</v>
      </c>
    </row>
    <row r="139" spans="1:23" ht="20.100000000000001" customHeight="1">
      <c r="A139" s="340"/>
      <c r="B139" s="340"/>
      <c r="C139" s="406" t="s">
        <v>1606</v>
      </c>
      <c r="D139" s="330" t="s">
        <v>1867</v>
      </c>
      <c r="E139" s="527">
        <v>1</v>
      </c>
      <c r="F139" s="527" t="s">
        <v>1317</v>
      </c>
      <c r="G139" s="302">
        <f>IF($D139="A",ROUND(VLOOKUP($C139,'[2]2.행정구역별 급수인구'!$C$7:$AD$997,17,FALSE)*$E139,0),IF($D139="B",(ROUND(VLOOKUP($C139,'[2]2.행정구역별 급수인구'!$C$7:$AD$997,17,FALSE)-VLOOKUP($C139,'[2]2.행정구역별 급수인구'!$C$7:$AD$997,17,FALSE)*(1-$E139),0)),VLOOKUP($C139,'[2]2.행정구역별 급수인구'!$C$7:$AD$997,17,FALSE)))</f>
        <v>0</v>
      </c>
      <c r="H139" s="302">
        <f>IF($D139="A",ROUND(VLOOKUP($C139,'[2]2.행정구역별 급수인구'!$C$7:$AD$997,25,FALSE)*$E139,0),IF($D139="B",(ROUND(VLOOKUP($C139,'[2]2.행정구역별 급수인구'!$C$7:$AD$997,25,FALSE)-VLOOKUP($C139,'[2]2.행정구역별 급수인구'!$C$7:$AD$997,25,FALSE)*(1-$E139),0)),VLOOKUP($C139,'[2]2.행정구역별 급수인구'!$C$7:$AD$997,25,FALSE)))</f>
        <v>220</v>
      </c>
      <c r="I139" s="302">
        <f>IF($D139="A",ROUND(VLOOKUP($C139,'[2]2.행정구역별 급수인구'!$C$7:$AD$997,26,FALSE)*$E139,0),IF($D139="B",(ROUND(VLOOKUP($C139,'[2]2.행정구역별 급수인구'!$C$7:$AD$997,26,FALSE)-VLOOKUP($C139,'[2]2.행정구역별 급수인구'!$C$7:$AD$997,26,FALSE)*(1-$E139),0)),VLOOKUP($C139,'[2]2.행정구역별 급수인구'!$C$7:$AD$997,26,FALSE)))</f>
        <v>232</v>
      </c>
      <c r="J139" s="302">
        <f>IF($D139="A",ROUND(VLOOKUP($C139,'[2]2.행정구역별 급수인구'!$C$7:$AD$997,27,FALSE)*$E139,0),IF($D139="B",(ROUND(VLOOKUP($C139,'[2]2.행정구역별 급수인구'!$C$7:$AD$997,27,FALSE)-VLOOKUP($C139,'[2]2.행정구역별 급수인구'!$C$7:$AD$997,27,FALSE)*(1-$E139),0)),VLOOKUP($C139,'[2]2.행정구역별 급수인구'!$C$7:$AD$997,27,FALSE)))</f>
        <v>239</v>
      </c>
      <c r="K139" s="302">
        <f>IF($D139="A",ROUND(VLOOKUP($C139,'[2]2.행정구역별 급수인구'!$C$7:$AD$997,28,FALSE)*$E139,0),IF($D139="B",(ROUND(VLOOKUP($C139,'[2]2.행정구역별 급수인구'!$C$7:$AD$997,28,FALSE)-VLOOKUP($C139,'[2]2.행정구역별 급수인구'!$C$7:$AD$997,28,FALSE)*(1-$E139),0)),VLOOKUP($C139,'[2]2.행정구역별 급수인구'!$C$7:$AD$997,28,FALSE)))</f>
        <v>242</v>
      </c>
      <c r="L139" s="302">
        <f>VLOOKUP($F139,'[3]5.급수원단위'!$B$31:$G$35,2,FALSE)</f>
        <v>272</v>
      </c>
      <c r="M139" s="302">
        <f>VLOOKUP($F139,'[3]5.급수원단위'!$B$31:$G$35,3,FALSE)</f>
        <v>304</v>
      </c>
      <c r="N139" s="302">
        <f>VLOOKUP($F139,'[3]5.급수원단위'!$B$31:$G$35,4,FALSE)</f>
        <v>308</v>
      </c>
      <c r="O139" s="302">
        <f>VLOOKUP($F139,'[3]5.급수원단위'!$B$31:$G$35,5,FALSE)</f>
        <v>310</v>
      </c>
      <c r="P139" s="302">
        <f>VLOOKUP($F139,'[3]5.급수원단위'!$B$31:$G$35,6,FALSE)</f>
        <v>310</v>
      </c>
      <c r="Q139" s="302">
        <f>ROUND(IF(G139=0,0,VLOOKUP(C139,'2013실사용량 정리'!$D$6:$F$381,3,FALSE)),0)</f>
        <v>0</v>
      </c>
      <c r="R139" s="302">
        <f t="shared" si="28"/>
        <v>67</v>
      </c>
      <c r="S139" s="302">
        <f t="shared" si="28"/>
        <v>71</v>
      </c>
      <c r="T139" s="302">
        <f t="shared" si="28"/>
        <v>74</v>
      </c>
      <c r="U139" s="302">
        <f t="shared" si="28"/>
        <v>75</v>
      </c>
      <c r="W139" s="343" t="str">
        <f t="shared" si="12"/>
        <v/>
      </c>
    </row>
    <row r="140" spans="1:23" ht="20.100000000000001" customHeight="1">
      <c r="A140" s="340"/>
      <c r="B140" s="340"/>
      <c r="C140" s="406" t="s">
        <v>1607</v>
      </c>
      <c r="D140" s="330" t="s">
        <v>1867</v>
      </c>
      <c r="E140" s="527">
        <v>1</v>
      </c>
      <c r="F140" s="527" t="s">
        <v>1317</v>
      </c>
      <c r="G140" s="302">
        <f>IF($D140="A",ROUND(VLOOKUP($C140,'[2]2.행정구역별 급수인구'!$C$7:$AD$997,17,FALSE)*$E140,0),IF($D140="B",(ROUND(VLOOKUP($C140,'[2]2.행정구역별 급수인구'!$C$7:$AD$997,17,FALSE)-VLOOKUP($C140,'[2]2.행정구역별 급수인구'!$C$7:$AD$997,17,FALSE)*(1-$E140),0)),VLOOKUP($C140,'[2]2.행정구역별 급수인구'!$C$7:$AD$997,17,FALSE)))</f>
        <v>0</v>
      </c>
      <c r="H140" s="302">
        <f>IF($D140="A",ROUND(VLOOKUP($C140,'[2]2.행정구역별 급수인구'!$C$7:$AD$997,25,FALSE)*$E140,0),IF($D140="B",(ROUND(VLOOKUP($C140,'[2]2.행정구역별 급수인구'!$C$7:$AD$997,25,FALSE)-VLOOKUP($C140,'[2]2.행정구역별 급수인구'!$C$7:$AD$997,25,FALSE)*(1-$E140),0)),VLOOKUP($C140,'[2]2.행정구역별 급수인구'!$C$7:$AD$997,25,FALSE)))</f>
        <v>260</v>
      </c>
      <c r="I140" s="302">
        <f>IF($D140="A",ROUND(VLOOKUP($C140,'[2]2.행정구역별 급수인구'!$C$7:$AD$997,26,FALSE)*$E140,0),IF($D140="B",(ROUND(VLOOKUP($C140,'[2]2.행정구역별 급수인구'!$C$7:$AD$997,26,FALSE)-VLOOKUP($C140,'[2]2.행정구역별 급수인구'!$C$7:$AD$997,26,FALSE)*(1-$E140),0)),VLOOKUP($C140,'[2]2.행정구역별 급수인구'!$C$7:$AD$997,26,FALSE)))</f>
        <v>272</v>
      </c>
      <c r="J140" s="302">
        <f>IF($D140="A",ROUND(VLOOKUP($C140,'[2]2.행정구역별 급수인구'!$C$7:$AD$997,27,FALSE)*$E140,0),IF($D140="B",(ROUND(VLOOKUP($C140,'[2]2.행정구역별 급수인구'!$C$7:$AD$997,27,FALSE)-VLOOKUP($C140,'[2]2.행정구역별 급수인구'!$C$7:$AD$997,27,FALSE)*(1-$E140),0)),VLOOKUP($C140,'[2]2.행정구역별 급수인구'!$C$7:$AD$997,27,FALSE)))</f>
        <v>278</v>
      </c>
      <c r="K140" s="302">
        <f>IF($D140="A",ROUND(VLOOKUP($C140,'[2]2.행정구역별 급수인구'!$C$7:$AD$997,28,FALSE)*$E140,0),IF($D140="B",(ROUND(VLOOKUP($C140,'[2]2.행정구역별 급수인구'!$C$7:$AD$997,28,FALSE)-VLOOKUP($C140,'[2]2.행정구역별 급수인구'!$C$7:$AD$997,28,FALSE)*(1-$E140),0)),VLOOKUP($C140,'[2]2.행정구역별 급수인구'!$C$7:$AD$997,28,FALSE)))</f>
        <v>283</v>
      </c>
      <c r="L140" s="302">
        <f>VLOOKUP($F140,'[3]5.급수원단위'!$B$31:$G$35,2,FALSE)</f>
        <v>272</v>
      </c>
      <c r="M140" s="302">
        <f>VLOOKUP($F140,'[3]5.급수원단위'!$B$31:$G$35,3,FALSE)</f>
        <v>304</v>
      </c>
      <c r="N140" s="302">
        <f>VLOOKUP($F140,'[3]5.급수원단위'!$B$31:$G$35,4,FALSE)</f>
        <v>308</v>
      </c>
      <c r="O140" s="302">
        <f>VLOOKUP($F140,'[3]5.급수원단위'!$B$31:$G$35,5,FALSE)</f>
        <v>310</v>
      </c>
      <c r="P140" s="302">
        <f>VLOOKUP($F140,'[3]5.급수원단위'!$B$31:$G$35,6,FALSE)</f>
        <v>310</v>
      </c>
      <c r="Q140" s="302">
        <f>ROUND(IF(G140=0,0,VLOOKUP(C140,'2013실사용량 정리'!$D$6:$F$381,3,FALSE)),0)</f>
        <v>0</v>
      </c>
      <c r="R140" s="302">
        <f t="shared" si="28"/>
        <v>79</v>
      </c>
      <c r="S140" s="302">
        <f t="shared" si="28"/>
        <v>84</v>
      </c>
      <c r="T140" s="302">
        <f t="shared" si="28"/>
        <v>86</v>
      </c>
      <c r="U140" s="302">
        <f t="shared" si="28"/>
        <v>88</v>
      </c>
      <c r="W140" s="343" t="str">
        <f t="shared" si="12"/>
        <v/>
      </c>
    </row>
    <row r="141" spans="1:23" ht="20.100000000000001" customHeight="1">
      <c r="A141" s="340"/>
      <c r="B141" s="340"/>
      <c r="C141" s="406" t="s">
        <v>1608</v>
      </c>
      <c r="D141" s="330" t="s">
        <v>1867</v>
      </c>
      <c r="E141" s="527">
        <v>1</v>
      </c>
      <c r="F141" s="527" t="s">
        <v>1317</v>
      </c>
      <c r="G141" s="302">
        <f>IF($D141="A",ROUND(VLOOKUP($C141,'[2]2.행정구역별 급수인구'!$C$7:$AD$997,17,FALSE)*$E141,0),IF($D141="B",(ROUND(VLOOKUP($C141,'[2]2.행정구역별 급수인구'!$C$7:$AD$997,17,FALSE)-VLOOKUP($C141,'[2]2.행정구역별 급수인구'!$C$7:$AD$997,17,FALSE)*(1-$E141),0)),VLOOKUP($C141,'[2]2.행정구역별 급수인구'!$C$7:$AD$997,17,FALSE)))</f>
        <v>0</v>
      </c>
      <c r="H141" s="302">
        <f>IF($D141="A",ROUND(VLOOKUP($C141,'[2]2.행정구역별 급수인구'!$C$7:$AD$997,25,FALSE)*$E141,0),IF($D141="B",(ROUND(VLOOKUP($C141,'[2]2.행정구역별 급수인구'!$C$7:$AD$997,25,FALSE)-VLOOKUP($C141,'[2]2.행정구역별 급수인구'!$C$7:$AD$997,25,FALSE)*(1-$E141),0)),VLOOKUP($C141,'[2]2.행정구역별 급수인구'!$C$7:$AD$997,25,FALSE)))</f>
        <v>74</v>
      </c>
      <c r="I141" s="302">
        <f>IF($D141="A",ROUND(VLOOKUP($C141,'[2]2.행정구역별 급수인구'!$C$7:$AD$997,26,FALSE)*$E141,0),IF($D141="B",(ROUND(VLOOKUP($C141,'[2]2.행정구역별 급수인구'!$C$7:$AD$997,26,FALSE)-VLOOKUP($C141,'[2]2.행정구역별 급수인구'!$C$7:$AD$997,26,FALSE)*(1-$E141),0)),VLOOKUP($C141,'[2]2.행정구역별 급수인구'!$C$7:$AD$997,26,FALSE)))</f>
        <v>78</v>
      </c>
      <c r="J141" s="302">
        <f>IF($D141="A",ROUND(VLOOKUP($C141,'[2]2.행정구역별 급수인구'!$C$7:$AD$997,27,FALSE)*$E141,0),IF($D141="B",(ROUND(VLOOKUP($C141,'[2]2.행정구역별 급수인구'!$C$7:$AD$997,27,FALSE)-VLOOKUP($C141,'[2]2.행정구역별 급수인구'!$C$7:$AD$997,27,FALSE)*(1-$E141),0)),VLOOKUP($C141,'[2]2.행정구역별 급수인구'!$C$7:$AD$997,27,FALSE)))</f>
        <v>80</v>
      </c>
      <c r="K141" s="302">
        <f>IF($D141="A",ROUND(VLOOKUP($C141,'[2]2.행정구역별 급수인구'!$C$7:$AD$997,28,FALSE)*$E141,0),IF($D141="B",(ROUND(VLOOKUP($C141,'[2]2.행정구역별 급수인구'!$C$7:$AD$997,28,FALSE)-VLOOKUP($C141,'[2]2.행정구역별 급수인구'!$C$7:$AD$997,28,FALSE)*(1-$E141),0)),VLOOKUP($C141,'[2]2.행정구역별 급수인구'!$C$7:$AD$997,28,FALSE)))</f>
        <v>82</v>
      </c>
      <c r="L141" s="302">
        <f>VLOOKUP($F141,'[3]5.급수원단위'!$B$31:$G$35,2,FALSE)</f>
        <v>272</v>
      </c>
      <c r="M141" s="302">
        <f>VLOOKUP($F141,'[3]5.급수원단위'!$B$31:$G$35,3,FALSE)</f>
        <v>304</v>
      </c>
      <c r="N141" s="302">
        <f>VLOOKUP($F141,'[3]5.급수원단위'!$B$31:$G$35,4,FALSE)</f>
        <v>308</v>
      </c>
      <c r="O141" s="302">
        <f>VLOOKUP($F141,'[3]5.급수원단위'!$B$31:$G$35,5,FALSE)</f>
        <v>310</v>
      </c>
      <c r="P141" s="302">
        <f>VLOOKUP($F141,'[3]5.급수원단위'!$B$31:$G$35,6,FALSE)</f>
        <v>310</v>
      </c>
      <c r="Q141" s="302">
        <f>ROUND(IF(G141=0,0,VLOOKUP(C141,'2013실사용량 정리'!$D$6:$F$381,3,FALSE)),0)</f>
        <v>0</v>
      </c>
      <c r="R141" s="302">
        <f t="shared" si="28"/>
        <v>22</v>
      </c>
      <c r="S141" s="302">
        <f t="shared" si="28"/>
        <v>24</v>
      </c>
      <c r="T141" s="302">
        <f t="shared" si="28"/>
        <v>25</v>
      </c>
      <c r="U141" s="302">
        <f t="shared" si="28"/>
        <v>25</v>
      </c>
      <c r="W141" s="343" t="str">
        <f t="shared" si="12"/>
        <v/>
      </c>
    </row>
    <row r="142" spans="1:23" ht="20.100000000000001" customHeight="1">
      <c r="A142" s="340"/>
      <c r="B142" s="340"/>
      <c r="C142" s="406" t="s">
        <v>1609</v>
      </c>
      <c r="D142" s="330" t="s">
        <v>1867</v>
      </c>
      <c r="E142" s="527">
        <v>1</v>
      </c>
      <c r="F142" s="527" t="s">
        <v>1317</v>
      </c>
      <c r="G142" s="302">
        <f>IF($D142="A",ROUND(VLOOKUP($C142,'[2]2.행정구역별 급수인구'!$C$7:$AD$997,17,FALSE)*$E142,0),IF($D142="B",(ROUND(VLOOKUP($C142,'[2]2.행정구역별 급수인구'!$C$7:$AD$997,17,FALSE)-VLOOKUP($C142,'[2]2.행정구역별 급수인구'!$C$7:$AD$997,17,FALSE)*(1-$E142),0)),VLOOKUP($C142,'[2]2.행정구역별 급수인구'!$C$7:$AD$997,17,FALSE)))</f>
        <v>0</v>
      </c>
      <c r="H142" s="302">
        <f>IF($D142="A",ROUND(VLOOKUP($C142,'[2]2.행정구역별 급수인구'!$C$7:$AD$997,25,FALSE)*$E142,0),IF($D142="B",(ROUND(VLOOKUP($C142,'[2]2.행정구역별 급수인구'!$C$7:$AD$997,25,FALSE)-VLOOKUP($C142,'[2]2.행정구역별 급수인구'!$C$7:$AD$997,25,FALSE)*(1-$E142),0)),VLOOKUP($C142,'[2]2.행정구역별 급수인구'!$C$7:$AD$997,25,FALSE)))</f>
        <v>139</v>
      </c>
      <c r="I142" s="302">
        <f>IF($D142="A",ROUND(VLOOKUP($C142,'[2]2.행정구역별 급수인구'!$C$7:$AD$997,26,FALSE)*$E142,0),IF($D142="B",(ROUND(VLOOKUP($C142,'[2]2.행정구역별 급수인구'!$C$7:$AD$997,26,FALSE)-VLOOKUP($C142,'[2]2.행정구역별 급수인구'!$C$7:$AD$997,26,FALSE)*(1-$E142),0)),VLOOKUP($C142,'[2]2.행정구역별 급수인구'!$C$7:$AD$997,26,FALSE)))</f>
        <v>147</v>
      </c>
      <c r="J142" s="302">
        <f>IF($D142="A",ROUND(VLOOKUP($C142,'[2]2.행정구역별 급수인구'!$C$7:$AD$997,27,FALSE)*$E142,0),IF($D142="B",(ROUND(VLOOKUP($C142,'[2]2.행정구역별 급수인구'!$C$7:$AD$997,27,FALSE)-VLOOKUP($C142,'[2]2.행정구역별 급수인구'!$C$7:$AD$997,27,FALSE)*(1-$E142),0)),VLOOKUP($C142,'[2]2.행정구역별 급수인구'!$C$7:$AD$997,27,FALSE)))</f>
        <v>150</v>
      </c>
      <c r="K142" s="302">
        <f>IF($D142="A",ROUND(VLOOKUP($C142,'[2]2.행정구역별 급수인구'!$C$7:$AD$997,28,FALSE)*$E142,0),IF($D142="B",(ROUND(VLOOKUP($C142,'[2]2.행정구역별 급수인구'!$C$7:$AD$997,28,FALSE)-VLOOKUP($C142,'[2]2.행정구역별 급수인구'!$C$7:$AD$997,28,FALSE)*(1-$E142),0)),VLOOKUP($C142,'[2]2.행정구역별 급수인구'!$C$7:$AD$997,28,FALSE)))</f>
        <v>153</v>
      </c>
      <c r="L142" s="302">
        <f>VLOOKUP($F142,'[3]5.급수원단위'!$B$31:$G$35,2,FALSE)</f>
        <v>272</v>
      </c>
      <c r="M142" s="302">
        <f>VLOOKUP($F142,'[3]5.급수원단위'!$B$31:$G$35,3,FALSE)</f>
        <v>304</v>
      </c>
      <c r="N142" s="302">
        <f>VLOOKUP($F142,'[3]5.급수원단위'!$B$31:$G$35,4,FALSE)</f>
        <v>308</v>
      </c>
      <c r="O142" s="302">
        <f>VLOOKUP($F142,'[3]5.급수원단위'!$B$31:$G$35,5,FALSE)</f>
        <v>310</v>
      </c>
      <c r="P142" s="302">
        <f>VLOOKUP($F142,'[3]5.급수원단위'!$B$31:$G$35,6,FALSE)</f>
        <v>310</v>
      </c>
      <c r="Q142" s="302">
        <f>ROUND(IF(G142=0,0,VLOOKUP(C142,'2013실사용량 정리'!$D$6:$F$381,3,FALSE)),0)</f>
        <v>0</v>
      </c>
      <c r="R142" s="302">
        <f t="shared" si="28"/>
        <v>42</v>
      </c>
      <c r="S142" s="302">
        <f t="shared" si="28"/>
        <v>45</v>
      </c>
      <c r="T142" s="302">
        <f t="shared" si="28"/>
        <v>47</v>
      </c>
      <c r="U142" s="302">
        <f t="shared" si="28"/>
        <v>47</v>
      </c>
      <c r="W142" s="343" t="str">
        <f t="shared" si="12"/>
        <v/>
      </c>
    </row>
    <row r="143" spans="1:23" ht="20.100000000000001" customHeight="1">
      <c r="A143" s="340"/>
      <c r="B143" s="340"/>
      <c r="C143" s="406" t="s">
        <v>1610</v>
      </c>
      <c r="D143" s="330" t="s">
        <v>1867</v>
      </c>
      <c r="E143" s="527">
        <v>1</v>
      </c>
      <c r="F143" s="527" t="s">
        <v>1317</v>
      </c>
      <c r="G143" s="302">
        <f>IF($D143="A",ROUND(VLOOKUP($C143,'[2]2.행정구역별 급수인구'!$C$7:$AD$997,17,FALSE)*$E143,0),IF($D143="B",(ROUND(VLOOKUP($C143,'[2]2.행정구역별 급수인구'!$C$7:$AD$997,17,FALSE)-VLOOKUP($C143,'[2]2.행정구역별 급수인구'!$C$7:$AD$997,17,FALSE)*(1-$E143),0)),VLOOKUP($C143,'[2]2.행정구역별 급수인구'!$C$7:$AD$997,17,FALSE)))</f>
        <v>0</v>
      </c>
      <c r="H143" s="302">
        <f>IF($D143="A",ROUND(VLOOKUP($C143,'[2]2.행정구역별 급수인구'!$C$7:$AD$997,25,FALSE)*$E143,0),IF($D143="B",(ROUND(VLOOKUP($C143,'[2]2.행정구역별 급수인구'!$C$7:$AD$997,25,FALSE)-VLOOKUP($C143,'[2]2.행정구역별 급수인구'!$C$7:$AD$997,25,FALSE)*(1-$E143),0)),VLOOKUP($C143,'[2]2.행정구역별 급수인구'!$C$7:$AD$997,25,FALSE)))</f>
        <v>69</v>
      </c>
      <c r="I143" s="302">
        <f>IF($D143="A",ROUND(VLOOKUP($C143,'[2]2.행정구역별 급수인구'!$C$7:$AD$997,26,FALSE)*$E143,0),IF($D143="B",(ROUND(VLOOKUP($C143,'[2]2.행정구역별 급수인구'!$C$7:$AD$997,26,FALSE)-VLOOKUP($C143,'[2]2.행정구역별 급수인구'!$C$7:$AD$997,26,FALSE)*(1-$E143),0)),VLOOKUP($C143,'[2]2.행정구역별 급수인구'!$C$7:$AD$997,26,FALSE)))</f>
        <v>72</v>
      </c>
      <c r="J143" s="302">
        <f>IF($D143="A",ROUND(VLOOKUP($C143,'[2]2.행정구역별 급수인구'!$C$7:$AD$997,27,FALSE)*$E143,0),IF($D143="B",(ROUND(VLOOKUP($C143,'[2]2.행정구역별 급수인구'!$C$7:$AD$997,27,FALSE)-VLOOKUP($C143,'[2]2.행정구역별 급수인구'!$C$7:$AD$997,27,FALSE)*(1-$E143),0)),VLOOKUP($C143,'[2]2.행정구역별 급수인구'!$C$7:$AD$997,27,FALSE)))</f>
        <v>74</v>
      </c>
      <c r="K143" s="302">
        <f>IF($D143="A",ROUND(VLOOKUP($C143,'[2]2.행정구역별 급수인구'!$C$7:$AD$997,28,FALSE)*$E143,0),IF($D143="B",(ROUND(VLOOKUP($C143,'[2]2.행정구역별 급수인구'!$C$7:$AD$997,28,FALSE)-VLOOKUP($C143,'[2]2.행정구역별 급수인구'!$C$7:$AD$997,28,FALSE)*(1-$E143),0)),VLOOKUP($C143,'[2]2.행정구역별 급수인구'!$C$7:$AD$997,28,FALSE)))</f>
        <v>75</v>
      </c>
      <c r="L143" s="302">
        <f>VLOOKUP($F143,'[3]5.급수원단위'!$B$31:$G$35,2,FALSE)</f>
        <v>272</v>
      </c>
      <c r="M143" s="302">
        <f>VLOOKUP($F143,'[3]5.급수원단위'!$B$31:$G$35,3,FALSE)</f>
        <v>304</v>
      </c>
      <c r="N143" s="302">
        <f>VLOOKUP($F143,'[3]5.급수원단위'!$B$31:$G$35,4,FALSE)</f>
        <v>308</v>
      </c>
      <c r="O143" s="302">
        <f>VLOOKUP($F143,'[3]5.급수원단위'!$B$31:$G$35,5,FALSE)</f>
        <v>310</v>
      </c>
      <c r="P143" s="302">
        <f>VLOOKUP($F143,'[3]5.급수원단위'!$B$31:$G$35,6,FALSE)</f>
        <v>310</v>
      </c>
      <c r="Q143" s="302">
        <f>ROUND(IF(G143=0,0,VLOOKUP(C143,'2013실사용량 정리'!$D$6:$F$381,3,FALSE)),0)</f>
        <v>0</v>
      </c>
      <c r="R143" s="302">
        <f t="shared" si="28"/>
        <v>21</v>
      </c>
      <c r="S143" s="302">
        <f t="shared" si="28"/>
        <v>22</v>
      </c>
      <c r="T143" s="302">
        <f t="shared" si="28"/>
        <v>23</v>
      </c>
      <c r="U143" s="302">
        <f t="shared" si="28"/>
        <v>23</v>
      </c>
      <c r="W143" s="343" t="str">
        <f t="shared" si="12"/>
        <v/>
      </c>
    </row>
    <row r="144" spans="1:23" ht="20.100000000000001" customHeight="1">
      <c r="A144" s="386"/>
      <c r="B144" s="386"/>
      <c r="C144" s="406" t="s">
        <v>1611</v>
      </c>
      <c r="D144" s="330" t="s">
        <v>1867</v>
      </c>
      <c r="E144" s="527">
        <v>1</v>
      </c>
      <c r="F144" s="527" t="s">
        <v>1317</v>
      </c>
      <c r="G144" s="302">
        <f>IF($D144="A",ROUND(VLOOKUP($C144,'[2]2.행정구역별 급수인구'!$C$7:$AD$997,17,FALSE)*$E144,0),IF($D144="B",(ROUND(VLOOKUP($C144,'[2]2.행정구역별 급수인구'!$C$7:$AD$997,17,FALSE)-VLOOKUP($C144,'[2]2.행정구역별 급수인구'!$C$7:$AD$997,17,FALSE)*(1-$E144),0)),VLOOKUP($C144,'[2]2.행정구역별 급수인구'!$C$7:$AD$997,17,FALSE)))</f>
        <v>0</v>
      </c>
      <c r="H144" s="302">
        <f>IF($D144="A",ROUND(VLOOKUP($C144,'[2]2.행정구역별 급수인구'!$C$7:$AD$997,25,FALSE)*$E144,0),IF($D144="B",(ROUND(VLOOKUP($C144,'[2]2.행정구역별 급수인구'!$C$7:$AD$997,25,FALSE)-VLOOKUP($C144,'[2]2.행정구역별 급수인구'!$C$7:$AD$997,25,FALSE)*(1-$E144),0)),VLOOKUP($C144,'[2]2.행정구역별 급수인구'!$C$7:$AD$997,25,FALSE)))</f>
        <v>113</v>
      </c>
      <c r="I144" s="302">
        <f>IF($D144="A",ROUND(VLOOKUP($C144,'[2]2.행정구역별 급수인구'!$C$7:$AD$997,26,FALSE)*$E144,0),IF($D144="B",(ROUND(VLOOKUP($C144,'[2]2.행정구역별 급수인구'!$C$7:$AD$997,26,FALSE)-VLOOKUP($C144,'[2]2.행정구역별 급수인구'!$C$7:$AD$997,26,FALSE)*(1-$E144),0)),VLOOKUP($C144,'[2]2.행정구역별 급수인구'!$C$7:$AD$997,26,FALSE)))</f>
        <v>119</v>
      </c>
      <c r="J144" s="302">
        <f>IF($D144="A",ROUND(VLOOKUP($C144,'[2]2.행정구역별 급수인구'!$C$7:$AD$997,27,FALSE)*$E144,0),IF($D144="B",(ROUND(VLOOKUP($C144,'[2]2.행정구역별 급수인구'!$C$7:$AD$997,27,FALSE)-VLOOKUP($C144,'[2]2.행정구역별 급수인구'!$C$7:$AD$997,27,FALSE)*(1-$E144),0)),VLOOKUP($C144,'[2]2.행정구역별 급수인구'!$C$7:$AD$997,27,FALSE)))</f>
        <v>122</v>
      </c>
      <c r="K144" s="302">
        <f>IF($D144="A",ROUND(VLOOKUP($C144,'[2]2.행정구역별 급수인구'!$C$7:$AD$997,28,FALSE)*$E144,0),IF($D144="B",(ROUND(VLOOKUP($C144,'[2]2.행정구역별 급수인구'!$C$7:$AD$997,28,FALSE)-VLOOKUP($C144,'[2]2.행정구역별 급수인구'!$C$7:$AD$997,28,FALSE)*(1-$E144),0)),VLOOKUP($C144,'[2]2.행정구역별 급수인구'!$C$7:$AD$997,28,FALSE)))</f>
        <v>124</v>
      </c>
      <c r="L144" s="302">
        <f>VLOOKUP($F144,'[3]5.급수원단위'!$B$31:$G$35,2,FALSE)</f>
        <v>272</v>
      </c>
      <c r="M144" s="302">
        <f>VLOOKUP($F144,'[3]5.급수원단위'!$B$31:$G$35,3,FALSE)</f>
        <v>304</v>
      </c>
      <c r="N144" s="302">
        <f>VLOOKUP($F144,'[3]5.급수원단위'!$B$31:$G$35,4,FALSE)</f>
        <v>308</v>
      </c>
      <c r="O144" s="302">
        <f>VLOOKUP($F144,'[3]5.급수원단위'!$B$31:$G$35,5,FALSE)</f>
        <v>310</v>
      </c>
      <c r="P144" s="302">
        <f>VLOOKUP($F144,'[3]5.급수원단위'!$B$31:$G$35,6,FALSE)</f>
        <v>310</v>
      </c>
      <c r="Q144" s="302">
        <f>ROUND(IF(G144=0,0,VLOOKUP(C144,'2013실사용량 정리'!$D$6:$F$381,3,FALSE)),0)</f>
        <v>0</v>
      </c>
      <c r="R144" s="302">
        <f t="shared" si="28"/>
        <v>34</v>
      </c>
      <c r="S144" s="302">
        <f t="shared" si="28"/>
        <v>37</v>
      </c>
      <c r="T144" s="302">
        <f t="shared" si="28"/>
        <v>38</v>
      </c>
      <c r="U144" s="302">
        <f t="shared" si="28"/>
        <v>38</v>
      </c>
      <c r="W144" s="343" t="str">
        <f t="shared" si="12"/>
        <v/>
      </c>
    </row>
    <row r="145" spans="1:23" ht="20.100000000000001" customHeight="1">
      <c r="A145" s="339"/>
      <c r="B145" s="339"/>
      <c r="C145" s="406" t="s">
        <v>1612</v>
      </c>
      <c r="D145" s="330" t="s">
        <v>1867</v>
      </c>
      <c r="E145" s="527">
        <v>1</v>
      </c>
      <c r="F145" s="527" t="s">
        <v>1317</v>
      </c>
      <c r="G145" s="302">
        <f>IF($D145="A",ROUND(VLOOKUP($C145,'[2]2.행정구역별 급수인구'!$C$7:$AD$997,17,FALSE)*$E145,0),IF($D145="B",(ROUND(VLOOKUP($C145,'[2]2.행정구역별 급수인구'!$C$7:$AD$997,17,FALSE)-VLOOKUP($C145,'[2]2.행정구역별 급수인구'!$C$7:$AD$997,17,FALSE)*(1-$E145),0)),VLOOKUP($C145,'[2]2.행정구역별 급수인구'!$C$7:$AD$997,17,FALSE)))</f>
        <v>0</v>
      </c>
      <c r="H145" s="302">
        <f>IF($D145="A",ROUND(VLOOKUP($C145,'[2]2.행정구역별 급수인구'!$C$7:$AD$997,25,FALSE)*$E145,0),IF($D145="B",(ROUND(VLOOKUP($C145,'[2]2.행정구역별 급수인구'!$C$7:$AD$997,25,FALSE)-VLOOKUP($C145,'[2]2.행정구역별 급수인구'!$C$7:$AD$997,25,FALSE)*(1-$E145),0)),VLOOKUP($C145,'[2]2.행정구역별 급수인구'!$C$7:$AD$997,25,FALSE)))</f>
        <v>99</v>
      </c>
      <c r="I145" s="302">
        <f>IF($D145="A",ROUND(VLOOKUP($C145,'[2]2.행정구역별 급수인구'!$C$7:$AD$997,26,FALSE)*$E145,0),IF($D145="B",(ROUND(VLOOKUP($C145,'[2]2.행정구역별 급수인구'!$C$7:$AD$997,26,FALSE)-VLOOKUP($C145,'[2]2.행정구역별 급수인구'!$C$7:$AD$997,26,FALSE)*(1-$E145),0)),VLOOKUP($C145,'[2]2.행정구역별 급수인구'!$C$7:$AD$997,26,FALSE)))</f>
        <v>105</v>
      </c>
      <c r="J145" s="302">
        <f>IF($D145="A",ROUND(VLOOKUP($C145,'[2]2.행정구역별 급수인구'!$C$7:$AD$997,27,FALSE)*$E145,0),IF($D145="B",(ROUND(VLOOKUP($C145,'[2]2.행정구역별 급수인구'!$C$7:$AD$997,27,FALSE)-VLOOKUP($C145,'[2]2.행정구역별 급수인구'!$C$7:$AD$997,27,FALSE)*(1-$E145),0)),VLOOKUP($C145,'[2]2.행정구역별 급수인구'!$C$7:$AD$997,27,FALSE)))</f>
        <v>107</v>
      </c>
      <c r="K145" s="302">
        <f>IF($D145="A",ROUND(VLOOKUP($C145,'[2]2.행정구역별 급수인구'!$C$7:$AD$997,28,FALSE)*$E145,0),IF($D145="B",(ROUND(VLOOKUP($C145,'[2]2.행정구역별 급수인구'!$C$7:$AD$997,28,FALSE)-VLOOKUP($C145,'[2]2.행정구역별 급수인구'!$C$7:$AD$997,28,FALSE)*(1-$E145),0)),VLOOKUP($C145,'[2]2.행정구역별 급수인구'!$C$7:$AD$997,28,FALSE)))</f>
        <v>109</v>
      </c>
      <c r="L145" s="302">
        <f>VLOOKUP($F145,'[3]5.급수원단위'!$B$31:$G$35,2,FALSE)</f>
        <v>272</v>
      </c>
      <c r="M145" s="302">
        <f>VLOOKUP($F145,'[3]5.급수원단위'!$B$31:$G$35,3,FALSE)</f>
        <v>304</v>
      </c>
      <c r="N145" s="302">
        <f>VLOOKUP($F145,'[3]5.급수원단위'!$B$31:$G$35,4,FALSE)</f>
        <v>308</v>
      </c>
      <c r="O145" s="302">
        <f>VLOOKUP($F145,'[3]5.급수원단위'!$B$31:$G$35,5,FALSE)</f>
        <v>310</v>
      </c>
      <c r="P145" s="302">
        <f>VLOOKUP($F145,'[3]5.급수원단위'!$B$31:$G$35,6,FALSE)</f>
        <v>310</v>
      </c>
      <c r="Q145" s="302">
        <f>ROUND(IF(G145=0,0,VLOOKUP(C145,'2013실사용량 정리'!$D$6:$F$381,3,FALSE)),0)</f>
        <v>0</v>
      </c>
      <c r="R145" s="302">
        <f t="shared" si="28"/>
        <v>30</v>
      </c>
      <c r="S145" s="302">
        <f t="shared" si="28"/>
        <v>32</v>
      </c>
      <c r="T145" s="302">
        <f t="shared" si="28"/>
        <v>33</v>
      </c>
      <c r="U145" s="302">
        <f t="shared" si="28"/>
        <v>34</v>
      </c>
      <c r="W145" s="343" t="str">
        <f t="shared" si="12"/>
        <v/>
      </c>
    </row>
    <row r="146" spans="1:23" ht="20.100000000000001" customHeight="1">
      <c r="A146" s="340"/>
      <c r="B146" s="340"/>
      <c r="C146" s="406" t="s">
        <v>1613</v>
      </c>
      <c r="D146" s="330" t="s">
        <v>1867</v>
      </c>
      <c r="E146" s="527">
        <v>1</v>
      </c>
      <c r="F146" s="527" t="s">
        <v>1317</v>
      </c>
      <c r="G146" s="302">
        <f>IF($D146="A",ROUND(VLOOKUP($C146,'[2]2.행정구역별 급수인구'!$C$7:$AD$997,17,FALSE)*$E146,0),IF($D146="B",(ROUND(VLOOKUP($C146,'[2]2.행정구역별 급수인구'!$C$7:$AD$997,17,FALSE)-VLOOKUP($C146,'[2]2.행정구역별 급수인구'!$C$7:$AD$997,17,FALSE)*(1-$E146),0)),VLOOKUP($C146,'[2]2.행정구역별 급수인구'!$C$7:$AD$997,17,FALSE)))</f>
        <v>0</v>
      </c>
      <c r="H146" s="302">
        <f>IF($D146="A",ROUND(VLOOKUP($C146,'[2]2.행정구역별 급수인구'!$C$7:$AD$997,25,FALSE)*$E146,0),IF($D146="B",(ROUND(VLOOKUP($C146,'[2]2.행정구역별 급수인구'!$C$7:$AD$997,25,FALSE)-VLOOKUP($C146,'[2]2.행정구역별 급수인구'!$C$7:$AD$997,25,FALSE)*(1-$E146),0)),VLOOKUP($C146,'[2]2.행정구역별 급수인구'!$C$7:$AD$997,25,FALSE)))</f>
        <v>109</v>
      </c>
      <c r="I146" s="302">
        <f>IF($D146="A",ROUND(VLOOKUP($C146,'[2]2.행정구역별 급수인구'!$C$7:$AD$997,26,FALSE)*$E146,0),IF($D146="B",(ROUND(VLOOKUP($C146,'[2]2.행정구역별 급수인구'!$C$7:$AD$997,26,FALSE)-VLOOKUP($C146,'[2]2.행정구역별 급수인구'!$C$7:$AD$997,26,FALSE)*(1-$E146),0)),VLOOKUP($C146,'[2]2.행정구역별 급수인구'!$C$7:$AD$997,26,FALSE)))</f>
        <v>116</v>
      </c>
      <c r="J146" s="302">
        <f>IF($D146="A",ROUND(VLOOKUP($C146,'[2]2.행정구역별 급수인구'!$C$7:$AD$997,27,FALSE)*$E146,0),IF($D146="B",(ROUND(VLOOKUP($C146,'[2]2.행정구역별 급수인구'!$C$7:$AD$997,27,FALSE)-VLOOKUP($C146,'[2]2.행정구역별 급수인구'!$C$7:$AD$997,27,FALSE)*(1-$E146),0)),VLOOKUP($C146,'[2]2.행정구역별 급수인구'!$C$7:$AD$997,27,FALSE)))</f>
        <v>119</v>
      </c>
      <c r="K146" s="302">
        <f>IF($D146="A",ROUND(VLOOKUP($C146,'[2]2.행정구역별 급수인구'!$C$7:$AD$997,28,FALSE)*$E146,0),IF($D146="B",(ROUND(VLOOKUP($C146,'[2]2.행정구역별 급수인구'!$C$7:$AD$997,28,FALSE)-VLOOKUP($C146,'[2]2.행정구역별 급수인구'!$C$7:$AD$997,28,FALSE)*(1-$E146),0)),VLOOKUP($C146,'[2]2.행정구역별 급수인구'!$C$7:$AD$997,28,FALSE)))</f>
        <v>120</v>
      </c>
      <c r="L146" s="302">
        <f>VLOOKUP($F146,'[3]5.급수원단위'!$B$31:$G$35,2,FALSE)</f>
        <v>272</v>
      </c>
      <c r="M146" s="302">
        <f>VLOOKUP($F146,'[3]5.급수원단위'!$B$31:$G$35,3,FALSE)</f>
        <v>304</v>
      </c>
      <c r="N146" s="302">
        <f>VLOOKUP($F146,'[3]5.급수원단위'!$B$31:$G$35,4,FALSE)</f>
        <v>308</v>
      </c>
      <c r="O146" s="302">
        <f>VLOOKUP($F146,'[3]5.급수원단위'!$B$31:$G$35,5,FALSE)</f>
        <v>310</v>
      </c>
      <c r="P146" s="302">
        <f>VLOOKUP($F146,'[3]5.급수원단위'!$B$31:$G$35,6,FALSE)</f>
        <v>310</v>
      </c>
      <c r="Q146" s="302">
        <f>ROUND(IF(G146=0,0,VLOOKUP(C146,'2013실사용량 정리'!$D$6:$F$381,3,FALSE)),0)</f>
        <v>0</v>
      </c>
      <c r="R146" s="302">
        <f t="shared" si="28"/>
        <v>33</v>
      </c>
      <c r="S146" s="302">
        <f t="shared" si="28"/>
        <v>36</v>
      </c>
      <c r="T146" s="302">
        <f t="shared" si="28"/>
        <v>37</v>
      </c>
      <c r="U146" s="302">
        <f t="shared" si="28"/>
        <v>37</v>
      </c>
      <c r="W146" s="343" t="str">
        <f t="shared" si="12"/>
        <v/>
      </c>
    </row>
    <row r="147" spans="1:23" ht="20.100000000000001" customHeight="1">
      <c r="A147" s="340"/>
      <c r="B147" s="386"/>
      <c r="C147" s="406" t="s">
        <v>1614</v>
      </c>
      <c r="D147" s="330" t="s">
        <v>1867</v>
      </c>
      <c r="E147" s="527">
        <v>1</v>
      </c>
      <c r="F147" s="527" t="s">
        <v>1317</v>
      </c>
      <c r="G147" s="302">
        <f>IF($D147="A",ROUND(VLOOKUP($C147,'[2]2.행정구역별 급수인구'!$C$7:$AD$997,17,FALSE)*$E147,0),IF($D147="B",(ROUND(VLOOKUP($C147,'[2]2.행정구역별 급수인구'!$C$7:$AD$997,17,FALSE)-VLOOKUP($C147,'[2]2.행정구역별 급수인구'!$C$7:$AD$997,17,FALSE)*(1-$E147),0)),VLOOKUP($C147,'[2]2.행정구역별 급수인구'!$C$7:$AD$997,17,FALSE)))</f>
        <v>0</v>
      </c>
      <c r="H147" s="302">
        <f>IF($D147="A",ROUND(VLOOKUP($C147,'[2]2.행정구역별 급수인구'!$C$7:$AD$997,25,FALSE)*$E147,0),IF($D147="B",(ROUND(VLOOKUP($C147,'[2]2.행정구역별 급수인구'!$C$7:$AD$997,25,FALSE)-VLOOKUP($C147,'[2]2.행정구역별 급수인구'!$C$7:$AD$997,25,FALSE)*(1-$E147),0)),VLOOKUP($C147,'[2]2.행정구역별 급수인구'!$C$7:$AD$997,25,FALSE)))</f>
        <v>104</v>
      </c>
      <c r="I147" s="302">
        <f>IF($D147="A",ROUND(VLOOKUP($C147,'[2]2.행정구역별 급수인구'!$C$7:$AD$997,26,FALSE)*$E147,0),IF($D147="B",(ROUND(VLOOKUP($C147,'[2]2.행정구역별 급수인구'!$C$7:$AD$997,26,FALSE)-VLOOKUP($C147,'[2]2.행정구역별 급수인구'!$C$7:$AD$997,26,FALSE)*(1-$E147),0)),VLOOKUP($C147,'[2]2.행정구역별 급수인구'!$C$7:$AD$997,26,FALSE)))</f>
        <v>108</v>
      </c>
      <c r="J147" s="302">
        <f>IF($D147="A",ROUND(VLOOKUP($C147,'[2]2.행정구역별 급수인구'!$C$7:$AD$997,27,FALSE)*$E147,0),IF($D147="B",(ROUND(VLOOKUP($C147,'[2]2.행정구역별 급수인구'!$C$7:$AD$997,27,FALSE)-VLOOKUP($C147,'[2]2.행정구역별 급수인구'!$C$7:$AD$997,27,FALSE)*(1-$E147),0)),VLOOKUP($C147,'[2]2.행정구역별 급수인구'!$C$7:$AD$997,27,FALSE)))</f>
        <v>111</v>
      </c>
      <c r="K147" s="302">
        <f>IF($D147="A",ROUND(VLOOKUP($C147,'[2]2.행정구역별 급수인구'!$C$7:$AD$997,28,FALSE)*$E147,0),IF($D147="B",(ROUND(VLOOKUP($C147,'[2]2.행정구역별 급수인구'!$C$7:$AD$997,28,FALSE)-VLOOKUP($C147,'[2]2.행정구역별 급수인구'!$C$7:$AD$997,28,FALSE)*(1-$E147),0)),VLOOKUP($C147,'[2]2.행정구역별 급수인구'!$C$7:$AD$997,28,FALSE)))</f>
        <v>113</v>
      </c>
      <c r="L147" s="302">
        <f>VLOOKUP($F147,'[3]5.급수원단위'!$B$31:$G$35,2,FALSE)</f>
        <v>272</v>
      </c>
      <c r="M147" s="302">
        <f>VLOOKUP($F147,'[3]5.급수원단위'!$B$31:$G$35,3,FALSE)</f>
        <v>304</v>
      </c>
      <c r="N147" s="302">
        <f>VLOOKUP($F147,'[3]5.급수원단위'!$B$31:$G$35,4,FALSE)</f>
        <v>308</v>
      </c>
      <c r="O147" s="302">
        <f>VLOOKUP($F147,'[3]5.급수원단위'!$B$31:$G$35,5,FALSE)</f>
        <v>310</v>
      </c>
      <c r="P147" s="302">
        <f>VLOOKUP($F147,'[3]5.급수원단위'!$B$31:$G$35,6,FALSE)</f>
        <v>310</v>
      </c>
      <c r="Q147" s="302">
        <f>ROUND(IF(G147=0,0,VLOOKUP(C147,'2013실사용량 정리'!$D$6:$F$381,3,FALSE)),0)</f>
        <v>0</v>
      </c>
      <c r="R147" s="302">
        <f t="shared" si="28"/>
        <v>32</v>
      </c>
      <c r="S147" s="302">
        <f t="shared" si="28"/>
        <v>33</v>
      </c>
      <c r="T147" s="302">
        <f t="shared" si="28"/>
        <v>34</v>
      </c>
      <c r="U147" s="302">
        <f t="shared" si="28"/>
        <v>35</v>
      </c>
      <c r="W147" s="343" t="str">
        <f t="shared" si="12"/>
        <v/>
      </c>
    </row>
    <row r="148" spans="1:23" ht="20.100000000000001" customHeight="1">
      <c r="A148" s="340"/>
      <c r="B148" s="694" t="s">
        <v>1457</v>
      </c>
      <c r="C148" s="694"/>
      <c r="D148" s="694"/>
      <c r="E148" s="331"/>
      <c r="F148" s="331"/>
      <c r="G148" s="336">
        <f>SUM(G149:G151)</f>
        <v>92</v>
      </c>
      <c r="H148" s="336">
        <f>SUM(H149:H151)</f>
        <v>246</v>
      </c>
      <c r="I148" s="336">
        <f>SUM(I149:I151)</f>
        <v>275</v>
      </c>
      <c r="J148" s="336">
        <f>SUM(J149:J151)</f>
        <v>283</v>
      </c>
      <c r="K148" s="336">
        <f>SUM(K149:K151)</f>
        <v>287</v>
      </c>
      <c r="L148" s="336"/>
      <c r="M148" s="336"/>
      <c r="N148" s="336"/>
      <c r="O148" s="336"/>
      <c r="P148" s="336"/>
      <c r="Q148" s="336">
        <f>SUM(Q149:Q151)</f>
        <v>12</v>
      </c>
      <c r="R148" s="336">
        <f>SUM(R149:R151)</f>
        <v>75</v>
      </c>
      <c r="S148" s="336">
        <f>SUM(S149:S151)</f>
        <v>84</v>
      </c>
      <c r="T148" s="336">
        <f>SUM(T149:T151)</f>
        <v>88</v>
      </c>
      <c r="U148" s="336">
        <f>SUM(U149:U151)</f>
        <v>89</v>
      </c>
      <c r="V148" s="343">
        <f>VLOOKUP(B148,'2013년도 용수량 비율'!$A$5:$F$20,6,FALSE)</f>
        <v>0</v>
      </c>
      <c r="W148" s="343"/>
    </row>
    <row r="149" spans="1:23" ht="20.100000000000001" customHeight="1">
      <c r="A149" s="340"/>
      <c r="B149" s="339"/>
      <c r="C149" s="406" t="s">
        <v>1616</v>
      </c>
      <c r="D149" s="330"/>
      <c r="E149" s="527"/>
      <c r="F149" s="527" t="s">
        <v>1317</v>
      </c>
      <c r="G149" s="302">
        <f>IF($D149="A",ROUND(VLOOKUP($C149,'[2]2.행정구역별 급수인구'!$C$7:$AD$997,17,FALSE)*$E149,0),IF($D149="B",(ROUND(VLOOKUP($C149,'[2]2.행정구역별 급수인구'!$C$7:$AD$997,17,FALSE)-VLOOKUP($C149,'[2]2.행정구역별 급수인구'!$C$7:$AD$997,17,FALSE)*(1-$E149),0)),VLOOKUP($C149,'[2]2.행정구역별 급수인구'!$C$7:$AD$997,17,FALSE)))</f>
        <v>0</v>
      </c>
      <c r="H149" s="302">
        <f>IF($D149="A",ROUND(VLOOKUP($C149,'[2]2.행정구역별 급수인구'!$C$7:$AD$997,25,FALSE)*$E149,0),IF($D149="B",(ROUND(VLOOKUP($C149,'[2]2.행정구역별 급수인구'!$C$7:$AD$997,25,FALSE)-VLOOKUP($C149,'[2]2.행정구역별 급수인구'!$C$7:$AD$997,25,FALSE)*(1-$E149),0)),VLOOKUP($C149,'[2]2.행정구역별 급수인구'!$C$7:$AD$997,25,FALSE)))</f>
        <v>81</v>
      </c>
      <c r="I149" s="302">
        <f>IF($D149="A",ROUND(VLOOKUP($C149,'[2]2.행정구역별 급수인구'!$C$7:$AD$997,26,FALSE)*$E149,0),IF($D149="B",(ROUND(VLOOKUP($C149,'[2]2.행정구역별 급수인구'!$C$7:$AD$997,26,FALSE)-VLOOKUP($C149,'[2]2.행정구역별 급수인구'!$C$7:$AD$997,26,FALSE)*(1-$E149),0)),VLOOKUP($C149,'[2]2.행정구역별 급수인구'!$C$7:$AD$997,26,FALSE)))</f>
        <v>102</v>
      </c>
      <c r="J149" s="302">
        <f>IF($D149="A",ROUND(VLOOKUP($C149,'[2]2.행정구역별 급수인구'!$C$7:$AD$997,27,FALSE)*$E149,0),IF($D149="B",(ROUND(VLOOKUP($C149,'[2]2.행정구역별 급수인구'!$C$7:$AD$997,27,FALSE)-VLOOKUP($C149,'[2]2.행정구역별 급수인구'!$C$7:$AD$997,27,FALSE)*(1-$E149),0)),VLOOKUP($C149,'[2]2.행정구역별 급수인구'!$C$7:$AD$997,27,FALSE)))</f>
        <v>105</v>
      </c>
      <c r="K149" s="302">
        <f>IF($D149="A",ROUND(VLOOKUP($C149,'[2]2.행정구역별 급수인구'!$C$7:$AD$997,28,FALSE)*$E149,0),IF($D149="B",(ROUND(VLOOKUP($C149,'[2]2.행정구역별 급수인구'!$C$7:$AD$997,28,FALSE)-VLOOKUP($C149,'[2]2.행정구역별 급수인구'!$C$7:$AD$997,28,FALSE)*(1-$E149),0)),VLOOKUP($C149,'[2]2.행정구역별 급수인구'!$C$7:$AD$997,28,FALSE)))</f>
        <v>107</v>
      </c>
      <c r="L149" s="302">
        <f>VLOOKUP($F149,'[3]5.급수원단위'!$B$31:$G$35,2,FALSE)</f>
        <v>272</v>
      </c>
      <c r="M149" s="302">
        <f>VLOOKUP($F149,'[3]5.급수원단위'!$B$31:$G$35,3,FALSE)</f>
        <v>304</v>
      </c>
      <c r="N149" s="302">
        <f>VLOOKUP($F149,'[3]5.급수원단위'!$B$31:$G$35,4,FALSE)</f>
        <v>308</v>
      </c>
      <c r="O149" s="302">
        <f>VLOOKUP($F149,'[3]5.급수원단위'!$B$31:$G$35,5,FALSE)</f>
        <v>310</v>
      </c>
      <c r="P149" s="302">
        <f>VLOOKUP($F149,'[3]5.급수원단위'!$B$31:$G$35,6,FALSE)</f>
        <v>310</v>
      </c>
      <c r="Q149" s="302">
        <f>ROUND(IF(G149=0,0,VLOOKUP(C149,'2013실사용량 정리'!$D$6:$F$381,3,FALSE)),0)</f>
        <v>0</v>
      </c>
      <c r="R149" s="302">
        <f t="shared" ref="R149:U151" si="29">ROUND(H149*M149/1000,0)</f>
        <v>25</v>
      </c>
      <c r="S149" s="302">
        <f t="shared" si="29"/>
        <v>31</v>
      </c>
      <c r="T149" s="302">
        <f t="shared" si="29"/>
        <v>33</v>
      </c>
      <c r="U149" s="302">
        <f t="shared" si="29"/>
        <v>33</v>
      </c>
      <c r="W149" s="343" t="str">
        <f t="shared" si="12"/>
        <v/>
      </c>
    </row>
    <row r="150" spans="1:23" ht="20.100000000000001" customHeight="1">
      <c r="A150" s="340"/>
      <c r="B150" s="528"/>
      <c r="C150" s="406" t="s">
        <v>1617</v>
      </c>
      <c r="D150" s="330"/>
      <c r="E150" s="527"/>
      <c r="F150" s="527" t="s">
        <v>1317</v>
      </c>
      <c r="G150" s="302">
        <f>IF($D150="A",ROUND(VLOOKUP($C150,'[2]2.행정구역별 급수인구'!$C$7:$AD$997,17,FALSE)*$E150,0),IF($D150="B",(ROUND(VLOOKUP($C150,'[2]2.행정구역별 급수인구'!$C$7:$AD$997,17,FALSE)-VLOOKUP($C150,'[2]2.행정구역별 급수인구'!$C$7:$AD$997,17,FALSE)*(1-$E150),0)),VLOOKUP($C150,'[2]2.행정구역별 급수인구'!$C$7:$AD$997,17,FALSE)))</f>
        <v>0</v>
      </c>
      <c r="H150" s="302">
        <f>IF($D150="A",ROUND(VLOOKUP($C150,'[2]2.행정구역별 급수인구'!$C$7:$AD$997,25,FALSE)*$E150,0),IF($D150="B",(ROUND(VLOOKUP($C150,'[2]2.행정구역별 급수인구'!$C$7:$AD$997,25,FALSE)-VLOOKUP($C150,'[2]2.행정구역별 급수인구'!$C$7:$AD$997,25,FALSE)*(1-$E150),0)),VLOOKUP($C150,'[2]2.행정구역별 급수인구'!$C$7:$AD$997,25,FALSE)))</f>
        <v>69</v>
      </c>
      <c r="I150" s="302">
        <f>IF($D150="A",ROUND(VLOOKUP($C150,'[2]2.행정구역별 급수인구'!$C$7:$AD$997,26,FALSE)*$E150,0),IF($D150="B",(ROUND(VLOOKUP($C150,'[2]2.행정구역별 급수인구'!$C$7:$AD$997,26,FALSE)-VLOOKUP($C150,'[2]2.행정구역별 급수인구'!$C$7:$AD$997,26,FALSE)*(1-$E150),0)),VLOOKUP($C150,'[2]2.행정구역별 급수인구'!$C$7:$AD$997,26,FALSE)))</f>
        <v>72</v>
      </c>
      <c r="J150" s="302">
        <f>IF($D150="A",ROUND(VLOOKUP($C150,'[2]2.행정구역별 급수인구'!$C$7:$AD$997,27,FALSE)*$E150,0),IF($D150="B",(ROUND(VLOOKUP($C150,'[2]2.행정구역별 급수인구'!$C$7:$AD$997,27,FALSE)-VLOOKUP($C150,'[2]2.행정구역별 급수인구'!$C$7:$AD$997,27,FALSE)*(1-$E150),0)),VLOOKUP($C150,'[2]2.행정구역별 급수인구'!$C$7:$AD$997,27,FALSE)))</f>
        <v>74</v>
      </c>
      <c r="K150" s="302">
        <f>IF($D150="A",ROUND(VLOOKUP($C150,'[2]2.행정구역별 급수인구'!$C$7:$AD$997,28,FALSE)*$E150,0),IF($D150="B",(ROUND(VLOOKUP($C150,'[2]2.행정구역별 급수인구'!$C$7:$AD$997,28,FALSE)-VLOOKUP($C150,'[2]2.행정구역별 급수인구'!$C$7:$AD$997,28,FALSE)*(1-$E150),0)),VLOOKUP($C150,'[2]2.행정구역별 급수인구'!$C$7:$AD$997,28,FALSE)))</f>
        <v>75</v>
      </c>
      <c r="L150" s="302">
        <f>VLOOKUP($F150,'[3]5.급수원단위'!$B$31:$G$35,2,FALSE)</f>
        <v>272</v>
      </c>
      <c r="M150" s="302">
        <f>VLOOKUP($F150,'[3]5.급수원단위'!$B$31:$G$35,3,FALSE)</f>
        <v>304</v>
      </c>
      <c r="N150" s="302">
        <f>VLOOKUP($F150,'[3]5.급수원단위'!$B$31:$G$35,4,FALSE)</f>
        <v>308</v>
      </c>
      <c r="O150" s="302">
        <f>VLOOKUP($F150,'[3]5.급수원단위'!$B$31:$G$35,5,FALSE)</f>
        <v>310</v>
      </c>
      <c r="P150" s="302">
        <f>VLOOKUP($F150,'[3]5.급수원단위'!$B$31:$G$35,6,FALSE)</f>
        <v>310</v>
      </c>
      <c r="Q150" s="302">
        <f>ROUND(IF(G150=0,0,VLOOKUP(C150,'2013실사용량 정리'!$D$6:$F$381,3,FALSE)),0)</f>
        <v>0</v>
      </c>
      <c r="R150" s="302">
        <f t="shared" si="29"/>
        <v>21</v>
      </c>
      <c r="S150" s="302">
        <f t="shared" si="29"/>
        <v>22</v>
      </c>
      <c r="T150" s="302">
        <f t="shared" si="29"/>
        <v>23</v>
      </c>
      <c r="U150" s="302">
        <f t="shared" si="29"/>
        <v>23</v>
      </c>
      <c r="W150" s="343" t="str">
        <f t="shared" si="12"/>
        <v/>
      </c>
    </row>
    <row r="151" spans="1:23" ht="20.100000000000001" customHeight="1">
      <c r="A151" s="386"/>
      <c r="B151" s="386"/>
      <c r="C151" s="406" t="s">
        <v>1618</v>
      </c>
      <c r="D151" s="330"/>
      <c r="E151" s="527"/>
      <c r="F151" s="527" t="s">
        <v>1317</v>
      </c>
      <c r="G151" s="302">
        <f>IF($D151="A",ROUND(VLOOKUP($C151,'[2]2.행정구역별 급수인구'!$C$7:$AD$997,17,FALSE)*$E151,0),IF($D151="B",(ROUND(VLOOKUP($C151,'[2]2.행정구역별 급수인구'!$C$7:$AD$997,17,FALSE)-VLOOKUP($C151,'[2]2.행정구역별 급수인구'!$C$7:$AD$997,17,FALSE)*(1-$E151),0)),VLOOKUP($C151,'[2]2.행정구역별 급수인구'!$C$7:$AD$997,17,FALSE)))</f>
        <v>92</v>
      </c>
      <c r="H151" s="302">
        <f>IF($D151="A",ROUND(VLOOKUP($C151,'[2]2.행정구역별 급수인구'!$C$7:$AD$997,25,FALSE)*$E151,0),IF($D151="B",(ROUND(VLOOKUP($C151,'[2]2.행정구역별 급수인구'!$C$7:$AD$997,25,FALSE)-VLOOKUP($C151,'[2]2.행정구역별 급수인구'!$C$7:$AD$997,25,FALSE)*(1-$E151),0)),VLOOKUP($C151,'[2]2.행정구역별 급수인구'!$C$7:$AD$997,25,FALSE)))</f>
        <v>96</v>
      </c>
      <c r="I151" s="302">
        <f>IF($D151="A",ROUND(VLOOKUP($C151,'[2]2.행정구역별 급수인구'!$C$7:$AD$997,26,FALSE)*$E151,0),IF($D151="B",(ROUND(VLOOKUP($C151,'[2]2.행정구역별 급수인구'!$C$7:$AD$997,26,FALSE)-VLOOKUP($C151,'[2]2.행정구역별 급수인구'!$C$7:$AD$997,26,FALSE)*(1-$E151),0)),VLOOKUP($C151,'[2]2.행정구역별 급수인구'!$C$7:$AD$997,26,FALSE)))</f>
        <v>101</v>
      </c>
      <c r="J151" s="302">
        <f>IF($D151="A",ROUND(VLOOKUP($C151,'[2]2.행정구역별 급수인구'!$C$7:$AD$997,27,FALSE)*$E151,0),IF($D151="B",(ROUND(VLOOKUP($C151,'[2]2.행정구역별 급수인구'!$C$7:$AD$997,27,FALSE)-VLOOKUP($C151,'[2]2.행정구역별 급수인구'!$C$7:$AD$997,27,FALSE)*(1-$E151),0)),VLOOKUP($C151,'[2]2.행정구역별 급수인구'!$C$7:$AD$997,27,FALSE)))</f>
        <v>104</v>
      </c>
      <c r="K151" s="302">
        <f>IF($D151="A",ROUND(VLOOKUP($C151,'[2]2.행정구역별 급수인구'!$C$7:$AD$997,28,FALSE)*$E151,0),IF($D151="B",(ROUND(VLOOKUP($C151,'[2]2.행정구역별 급수인구'!$C$7:$AD$997,28,FALSE)-VLOOKUP($C151,'[2]2.행정구역별 급수인구'!$C$7:$AD$997,28,FALSE)*(1-$E151),0)),VLOOKUP($C151,'[2]2.행정구역별 급수인구'!$C$7:$AD$997,28,FALSE)))</f>
        <v>105</v>
      </c>
      <c r="L151" s="302">
        <f>VLOOKUP($F151,'[3]5.급수원단위'!$B$31:$G$35,2,FALSE)</f>
        <v>272</v>
      </c>
      <c r="M151" s="302">
        <f>VLOOKUP($F151,'[3]5.급수원단위'!$B$31:$G$35,3,FALSE)</f>
        <v>304</v>
      </c>
      <c r="N151" s="302">
        <f>VLOOKUP($F151,'[3]5.급수원단위'!$B$31:$G$35,4,FALSE)</f>
        <v>308</v>
      </c>
      <c r="O151" s="302">
        <f>VLOOKUP($F151,'[3]5.급수원단위'!$B$31:$G$35,5,FALSE)</f>
        <v>310</v>
      </c>
      <c r="P151" s="302">
        <f>VLOOKUP($F151,'[3]5.급수원단위'!$B$31:$G$35,6,FALSE)</f>
        <v>310</v>
      </c>
      <c r="Q151" s="302">
        <f>ROUND(IF(G151=0,0,VLOOKUP(C151,'2013실사용량 정리'!$D$6:$F$381,3,FALSE)),0)</f>
        <v>12</v>
      </c>
      <c r="R151" s="302">
        <f t="shared" si="29"/>
        <v>29</v>
      </c>
      <c r="S151" s="302">
        <f t="shared" si="29"/>
        <v>31</v>
      </c>
      <c r="T151" s="302">
        <f t="shared" si="29"/>
        <v>32</v>
      </c>
      <c r="U151" s="302">
        <f t="shared" si="29"/>
        <v>33</v>
      </c>
      <c r="W151" s="343">
        <f t="shared" si="12"/>
        <v>2.75</v>
      </c>
    </row>
    <row r="152" spans="1:23" ht="20.100000000000001" customHeight="1">
      <c r="A152" s="719" t="s">
        <v>1619</v>
      </c>
      <c r="B152" s="719"/>
      <c r="C152" s="719"/>
      <c r="D152" s="719"/>
      <c r="E152" s="332"/>
      <c r="F152" s="332"/>
      <c r="G152" s="298">
        <f>G153+G177</f>
        <v>0</v>
      </c>
      <c r="H152" s="298">
        <f t="shared" ref="H152:K152" si="30">H153+H177</f>
        <v>0</v>
      </c>
      <c r="I152" s="298">
        <f t="shared" si="30"/>
        <v>2412</v>
      </c>
      <c r="J152" s="298">
        <f t="shared" si="30"/>
        <v>2468</v>
      </c>
      <c r="K152" s="298">
        <f t="shared" si="30"/>
        <v>2516</v>
      </c>
      <c r="L152" s="298"/>
      <c r="M152" s="298"/>
      <c r="N152" s="298"/>
      <c r="O152" s="298"/>
      <c r="P152" s="298"/>
      <c r="Q152" s="298">
        <f t="shared" ref="Q152:U152" si="31">Q153+Q177</f>
        <v>0</v>
      </c>
      <c r="R152" s="298">
        <f t="shared" si="31"/>
        <v>0</v>
      </c>
      <c r="S152" s="298">
        <f t="shared" si="31"/>
        <v>742</v>
      </c>
      <c r="T152" s="298">
        <f t="shared" si="31"/>
        <v>765</v>
      </c>
      <c r="U152" s="298">
        <f t="shared" si="31"/>
        <v>781</v>
      </c>
      <c r="W152" s="343" t="str">
        <f t="shared" si="12"/>
        <v/>
      </c>
    </row>
    <row r="153" spans="1:23" ht="20.100000000000001" customHeight="1">
      <c r="A153" s="339"/>
      <c r="B153" s="694" t="s">
        <v>1455</v>
      </c>
      <c r="C153" s="694"/>
      <c r="D153" s="694"/>
      <c r="E153" s="331"/>
      <c r="F153" s="331"/>
      <c r="G153" s="336">
        <f>SUM(G154:G176)</f>
        <v>0</v>
      </c>
      <c r="H153" s="336">
        <f>SUM(H154:H176)</f>
        <v>0</v>
      </c>
      <c r="I153" s="336">
        <f>SUM(I154:I176)</f>
        <v>2241</v>
      </c>
      <c r="J153" s="336">
        <f>SUM(J154:J176)</f>
        <v>2292</v>
      </c>
      <c r="K153" s="336">
        <f>SUM(K154:K176)</f>
        <v>2336</v>
      </c>
      <c r="L153" s="336"/>
      <c r="M153" s="336"/>
      <c r="N153" s="336"/>
      <c r="O153" s="336"/>
      <c r="P153" s="336"/>
      <c r="Q153" s="336">
        <f>SUM(Q154:Q176)</f>
        <v>0</v>
      </c>
      <c r="R153" s="336">
        <f>SUM(R154:R176)</f>
        <v>0</v>
      </c>
      <c r="S153" s="336">
        <f>SUM(S154:S176)</f>
        <v>689</v>
      </c>
      <c r="T153" s="336">
        <f>SUM(T154:T176)</f>
        <v>710</v>
      </c>
      <c r="U153" s="336">
        <f>SUM(U154:U176)</f>
        <v>725</v>
      </c>
      <c r="V153" s="343">
        <f>VLOOKUP(B153,'2013년도 용수량 비율'!$A$5:$F$20,6,FALSE)</f>
        <v>1</v>
      </c>
      <c r="W153" s="343" t="str">
        <f t="shared" si="12"/>
        <v/>
      </c>
    </row>
    <row r="154" spans="1:23" ht="20.100000000000001" customHeight="1">
      <c r="A154" s="340"/>
      <c r="B154" s="339"/>
      <c r="C154" s="406" t="s">
        <v>1620</v>
      </c>
      <c r="D154" s="330"/>
      <c r="E154" s="527"/>
      <c r="F154" s="527" t="s">
        <v>1317</v>
      </c>
      <c r="G154" s="302">
        <f>IF($D154="A",ROUND(VLOOKUP($C154,'[2]2.행정구역별 급수인구'!$C$7:$AD$997,17,FALSE)*$E154,0),IF($D154="B",(ROUND(VLOOKUP($C154,'[2]2.행정구역별 급수인구'!$C$7:$AD$997,17,FALSE)-VLOOKUP($C154,'[2]2.행정구역별 급수인구'!$C$7:$AD$997,17,FALSE)*(1-$E154),0)),VLOOKUP($C154,'[2]2.행정구역별 급수인구'!$C$7:$AD$997,17,FALSE)))</f>
        <v>0</v>
      </c>
      <c r="H154" s="302">
        <f>IF($D154="A",ROUND(VLOOKUP($C154,'[2]2.행정구역별 급수인구'!$C$7:$AD$997,25,FALSE)*$E154,0),IF($D154="B",(ROUND(VLOOKUP($C154,'[2]2.행정구역별 급수인구'!$C$7:$AD$997,25,FALSE)-VLOOKUP($C154,'[2]2.행정구역별 급수인구'!$C$7:$AD$997,25,FALSE)*(1-$E154),0)),VLOOKUP($C154,'[2]2.행정구역별 급수인구'!$C$7:$AD$997,25,FALSE)))</f>
        <v>0</v>
      </c>
      <c r="I154" s="302">
        <f>IF($D154="A",ROUND(VLOOKUP($C154,'[2]2.행정구역별 급수인구'!$C$7:$AD$997,26,FALSE)*$E154,0),IF($D154="B",(ROUND(VLOOKUP($C154,'[2]2.행정구역별 급수인구'!$C$7:$AD$997,26,FALSE)-VLOOKUP($C154,'[2]2.행정구역별 급수인구'!$C$7:$AD$997,26,FALSE)*(1-$E154),0)),VLOOKUP($C154,'[2]2.행정구역별 급수인구'!$C$7:$AD$997,26,FALSE)))</f>
        <v>186</v>
      </c>
      <c r="J154" s="302">
        <f>IF($D154="A",ROUND(VLOOKUP($C154,'[2]2.행정구역별 급수인구'!$C$7:$AD$997,27,FALSE)*$E154,0),IF($D154="B",(ROUND(VLOOKUP($C154,'[2]2.행정구역별 급수인구'!$C$7:$AD$997,27,FALSE)-VLOOKUP($C154,'[2]2.행정구역별 급수인구'!$C$7:$AD$997,27,FALSE)*(1-$E154),0)),VLOOKUP($C154,'[2]2.행정구역별 급수인구'!$C$7:$AD$997,27,FALSE)))</f>
        <v>190</v>
      </c>
      <c r="K154" s="302">
        <f>IF($D154="A",ROUND(VLOOKUP($C154,'[2]2.행정구역별 급수인구'!$C$7:$AD$997,28,FALSE)*$E154,0),IF($D154="B",(ROUND(VLOOKUP($C154,'[2]2.행정구역별 급수인구'!$C$7:$AD$997,28,FALSE)-VLOOKUP($C154,'[2]2.행정구역별 급수인구'!$C$7:$AD$997,28,FALSE)*(1-$E154),0)),VLOOKUP($C154,'[2]2.행정구역별 급수인구'!$C$7:$AD$997,28,FALSE)))</f>
        <v>194</v>
      </c>
      <c r="L154" s="302">
        <f>VLOOKUP($F154,'[3]5.급수원단위'!$B$31:$G$35,2,FALSE)</f>
        <v>272</v>
      </c>
      <c r="M154" s="302">
        <f>VLOOKUP($F154,'[3]5.급수원단위'!$B$31:$G$35,3,FALSE)</f>
        <v>304</v>
      </c>
      <c r="N154" s="302">
        <f>VLOOKUP($F154,'[3]5.급수원단위'!$B$31:$G$35,4,FALSE)</f>
        <v>308</v>
      </c>
      <c r="O154" s="302">
        <f>VLOOKUP($F154,'[3]5.급수원단위'!$B$31:$G$35,5,FALSE)</f>
        <v>310</v>
      </c>
      <c r="P154" s="302">
        <f>VLOOKUP($F154,'[3]5.급수원단위'!$B$31:$G$35,6,FALSE)</f>
        <v>310</v>
      </c>
      <c r="Q154" s="302">
        <f>ROUND(IF(G154=0,0,VLOOKUP(C154,'2013실사용량 정리'!$D$6:$F$381,3,FALSE)),0)</f>
        <v>0</v>
      </c>
      <c r="R154" s="302">
        <f t="shared" ref="R154:U169" si="32">ROUND(H154*M154/1000,0)</f>
        <v>0</v>
      </c>
      <c r="S154" s="302">
        <f t="shared" si="32"/>
        <v>57</v>
      </c>
      <c r="T154" s="302">
        <f t="shared" si="32"/>
        <v>59</v>
      </c>
      <c r="U154" s="302">
        <f t="shared" si="32"/>
        <v>60</v>
      </c>
      <c r="W154" s="343" t="str">
        <f t="shared" si="12"/>
        <v/>
      </c>
    </row>
    <row r="155" spans="1:23" ht="20.100000000000001" customHeight="1">
      <c r="A155" s="340"/>
      <c r="B155" s="340"/>
      <c r="C155" s="406" t="s">
        <v>1622</v>
      </c>
      <c r="D155" s="330"/>
      <c r="E155" s="527"/>
      <c r="F155" s="527" t="s">
        <v>1317</v>
      </c>
      <c r="G155" s="302">
        <f>IF($D155="A",ROUND(VLOOKUP($C155,'[2]2.행정구역별 급수인구'!$C$7:$AD$997,17,FALSE)*$E155,0),IF($D155="B",(ROUND(VLOOKUP($C155,'[2]2.행정구역별 급수인구'!$C$7:$AD$997,17,FALSE)-VLOOKUP($C155,'[2]2.행정구역별 급수인구'!$C$7:$AD$997,17,FALSE)*(1-$E155),0)),VLOOKUP($C155,'[2]2.행정구역별 급수인구'!$C$7:$AD$997,17,FALSE)))</f>
        <v>0</v>
      </c>
      <c r="H155" s="302">
        <f>IF($D155="A",ROUND(VLOOKUP($C155,'[2]2.행정구역별 급수인구'!$C$7:$AD$997,25,FALSE)*$E155,0),IF($D155="B",(ROUND(VLOOKUP($C155,'[2]2.행정구역별 급수인구'!$C$7:$AD$997,25,FALSE)-VLOOKUP($C155,'[2]2.행정구역별 급수인구'!$C$7:$AD$997,25,FALSE)*(1-$E155),0)),VLOOKUP($C155,'[2]2.행정구역별 급수인구'!$C$7:$AD$997,25,FALSE)))</f>
        <v>0</v>
      </c>
      <c r="I155" s="302">
        <f>IF($D155="A",ROUND(VLOOKUP($C155,'[2]2.행정구역별 급수인구'!$C$7:$AD$997,26,FALSE)*$E155,0),IF($D155="B",(ROUND(VLOOKUP($C155,'[2]2.행정구역별 급수인구'!$C$7:$AD$997,26,FALSE)-VLOOKUP($C155,'[2]2.행정구역별 급수인구'!$C$7:$AD$997,26,FALSE)*(1-$E155),0)),VLOOKUP($C155,'[2]2.행정구역별 급수인구'!$C$7:$AD$997,26,FALSE)))</f>
        <v>47</v>
      </c>
      <c r="J155" s="302">
        <f>IF($D155="A",ROUND(VLOOKUP($C155,'[2]2.행정구역별 급수인구'!$C$7:$AD$997,27,FALSE)*$E155,0),IF($D155="B",(ROUND(VLOOKUP($C155,'[2]2.행정구역별 급수인구'!$C$7:$AD$997,27,FALSE)-VLOOKUP($C155,'[2]2.행정구역별 급수인구'!$C$7:$AD$997,27,FALSE)*(1-$E155),0)),VLOOKUP($C155,'[2]2.행정구역별 급수인구'!$C$7:$AD$997,27,FALSE)))</f>
        <v>48</v>
      </c>
      <c r="K155" s="302">
        <f>IF($D155="A",ROUND(VLOOKUP($C155,'[2]2.행정구역별 급수인구'!$C$7:$AD$997,28,FALSE)*$E155,0),IF($D155="B",(ROUND(VLOOKUP($C155,'[2]2.행정구역별 급수인구'!$C$7:$AD$997,28,FALSE)-VLOOKUP($C155,'[2]2.행정구역별 급수인구'!$C$7:$AD$997,28,FALSE)*(1-$E155),0)),VLOOKUP($C155,'[2]2.행정구역별 급수인구'!$C$7:$AD$997,28,FALSE)))</f>
        <v>49</v>
      </c>
      <c r="L155" s="302">
        <f>VLOOKUP($F155,'[3]5.급수원단위'!$B$31:$G$35,2,FALSE)</f>
        <v>272</v>
      </c>
      <c r="M155" s="302">
        <f>VLOOKUP($F155,'[3]5.급수원단위'!$B$31:$G$35,3,FALSE)</f>
        <v>304</v>
      </c>
      <c r="N155" s="302">
        <f>VLOOKUP($F155,'[3]5.급수원단위'!$B$31:$G$35,4,FALSE)</f>
        <v>308</v>
      </c>
      <c r="O155" s="302">
        <f>VLOOKUP($F155,'[3]5.급수원단위'!$B$31:$G$35,5,FALSE)</f>
        <v>310</v>
      </c>
      <c r="P155" s="302">
        <f>VLOOKUP($F155,'[3]5.급수원단위'!$B$31:$G$35,6,FALSE)</f>
        <v>310</v>
      </c>
      <c r="Q155" s="302">
        <f>ROUND(IF(G155=0,0,VLOOKUP(C155,'2013실사용량 정리'!$D$6:$F$381,3,FALSE)),0)</f>
        <v>0</v>
      </c>
      <c r="R155" s="302">
        <f t="shared" si="32"/>
        <v>0</v>
      </c>
      <c r="S155" s="302">
        <f t="shared" si="32"/>
        <v>14</v>
      </c>
      <c r="T155" s="302">
        <f t="shared" si="32"/>
        <v>15</v>
      </c>
      <c r="U155" s="302">
        <f t="shared" si="32"/>
        <v>15</v>
      </c>
      <c r="W155" s="343" t="str">
        <f t="shared" si="12"/>
        <v/>
      </c>
    </row>
    <row r="156" spans="1:23" ht="20.100000000000001" customHeight="1">
      <c r="A156" s="340"/>
      <c r="B156" s="340"/>
      <c r="C156" s="406" t="s">
        <v>1621</v>
      </c>
      <c r="D156" s="330"/>
      <c r="E156" s="527"/>
      <c r="F156" s="527" t="s">
        <v>1317</v>
      </c>
      <c r="G156" s="302">
        <f>IF($D156="A",ROUND(VLOOKUP($C156,'[2]2.행정구역별 급수인구'!$C$7:$AD$997,17,FALSE)*$E156,0),IF($D156="B",(ROUND(VLOOKUP($C156,'[2]2.행정구역별 급수인구'!$C$7:$AD$997,17,FALSE)-VLOOKUP($C156,'[2]2.행정구역별 급수인구'!$C$7:$AD$997,17,FALSE)*(1-$E156),0)),VLOOKUP($C156,'[2]2.행정구역별 급수인구'!$C$7:$AD$997,17,FALSE)))</f>
        <v>0</v>
      </c>
      <c r="H156" s="302">
        <f>IF($D156="A",ROUND(VLOOKUP($C156,'[2]2.행정구역별 급수인구'!$C$7:$AD$997,25,FALSE)*$E156,0),IF($D156="B",(ROUND(VLOOKUP($C156,'[2]2.행정구역별 급수인구'!$C$7:$AD$997,25,FALSE)-VLOOKUP($C156,'[2]2.행정구역별 급수인구'!$C$7:$AD$997,25,FALSE)*(1-$E156),0)),VLOOKUP($C156,'[2]2.행정구역별 급수인구'!$C$7:$AD$997,25,FALSE)))</f>
        <v>0</v>
      </c>
      <c r="I156" s="302">
        <f>IF($D156="A",ROUND(VLOOKUP($C156,'[2]2.행정구역별 급수인구'!$C$7:$AD$997,26,FALSE)*$E156,0),IF($D156="B",(ROUND(VLOOKUP($C156,'[2]2.행정구역별 급수인구'!$C$7:$AD$997,26,FALSE)-VLOOKUP($C156,'[2]2.행정구역별 급수인구'!$C$7:$AD$997,26,FALSE)*(1-$E156),0)),VLOOKUP($C156,'[2]2.행정구역별 급수인구'!$C$7:$AD$997,26,FALSE)))</f>
        <v>94</v>
      </c>
      <c r="J156" s="302">
        <f>IF($D156="A",ROUND(VLOOKUP($C156,'[2]2.행정구역별 급수인구'!$C$7:$AD$997,27,FALSE)*$E156,0),IF($D156="B",(ROUND(VLOOKUP($C156,'[2]2.행정구역별 급수인구'!$C$7:$AD$997,27,FALSE)-VLOOKUP($C156,'[2]2.행정구역별 급수인구'!$C$7:$AD$997,27,FALSE)*(1-$E156),0)),VLOOKUP($C156,'[2]2.행정구역별 급수인구'!$C$7:$AD$997,27,FALSE)))</f>
        <v>96</v>
      </c>
      <c r="K156" s="302">
        <f>IF($D156="A",ROUND(VLOOKUP($C156,'[2]2.행정구역별 급수인구'!$C$7:$AD$997,28,FALSE)*$E156,0),IF($D156="B",(ROUND(VLOOKUP($C156,'[2]2.행정구역별 급수인구'!$C$7:$AD$997,28,FALSE)-VLOOKUP($C156,'[2]2.행정구역별 급수인구'!$C$7:$AD$997,28,FALSE)*(1-$E156),0)),VLOOKUP($C156,'[2]2.행정구역별 급수인구'!$C$7:$AD$997,28,FALSE)))</f>
        <v>98</v>
      </c>
      <c r="L156" s="302">
        <f>VLOOKUP($F156,'[3]5.급수원단위'!$B$31:$G$35,2,FALSE)</f>
        <v>272</v>
      </c>
      <c r="M156" s="302">
        <f>VLOOKUP($F156,'[3]5.급수원단위'!$B$31:$G$35,3,FALSE)</f>
        <v>304</v>
      </c>
      <c r="N156" s="302">
        <f>VLOOKUP($F156,'[3]5.급수원단위'!$B$31:$G$35,4,FALSE)</f>
        <v>308</v>
      </c>
      <c r="O156" s="302">
        <f>VLOOKUP($F156,'[3]5.급수원단위'!$B$31:$G$35,5,FALSE)</f>
        <v>310</v>
      </c>
      <c r="P156" s="302">
        <f>VLOOKUP($F156,'[3]5.급수원단위'!$B$31:$G$35,6,FALSE)</f>
        <v>310</v>
      </c>
      <c r="Q156" s="302">
        <f>ROUND(IF(G156=0,0,VLOOKUP(C156,'2013실사용량 정리'!$D$6:$F$381,3,FALSE)),0)</f>
        <v>0</v>
      </c>
      <c r="R156" s="302">
        <f t="shared" si="32"/>
        <v>0</v>
      </c>
      <c r="S156" s="302">
        <f t="shared" si="32"/>
        <v>29</v>
      </c>
      <c r="T156" s="302">
        <f t="shared" si="32"/>
        <v>30</v>
      </c>
      <c r="U156" s="302">
        <f t="shared" si="32"/>
        <v>30</v>
      </c>
      <c r="W156" s="343" t="str">
        <f t="shared" si="12"/>
        <v/>
      </c>
    </row>
    <row r="157" spans="1:23" ht="20.100000000000001" customHeight="1">
      <c r="A157" s="340"/>
      <c r="B157" s="340"/>
      <c r="C157" s="406" t="s">
        <v>1623</v>
      </c>
      <c r="D157" s="330"/>
      <c r="E157" s="527"/>
      <c r="F157" s="527" t="s">
        <v>1317</v>
      </c>
      <c r="G157" s="302">
        <f>IF($D157="A",ROUND(VLOOKUP($C157,'[2]2.행정구역별 급수인구'!$C$7:$AD$997,17,FALSE)*$E157,0),IF($D157="B",(ROUND(VLOOKUP($C157,'[2]2.행정구역별 급수인구'!$C$7:$AD$997,17,FALSE)-VLOOKUP($C157,'[2]2.행정구역별 급수인구'!$C$7:$AD$997,17,FALSE)*(1-$E157),0)),VLOOKUP($C157,'[2]2.행정구역별 급수인구'!$C$7:$AD$997,17,FALSE)))</f>
        <v>0</v>
      </c>
      <c r="H157" s="302">
        <f>IF($D157="A",ROUND(VLOOKUP($C157,'[2]2.행정구역별 급수인구'!$C$7:$AD$997,25,FALSE)*$E157,0),IF($D157="B",(ROUND(VLOOKUP($C157,'[2]2.행정구역별 급수인구'!$C$7:$AD$997,25,FALSE)-VLOOKUP($C157,'[2]2.행정구역별 급수인구'!$C$7:$AD$997,25,FALSE)*(1-$E157),0)),VLOOKUP($C157,'[2]2.행정구역별 급수인구'!$C$7:$AD$997,25,FALSE)))</f>
        <v>0</v>
      </c>
      <c r="I157" s="302">
        <f>IF($D157="A",ROUND(VLOOKUP($C157,'[2]2.행정구역별 급수인구'!$C$7:$AD$997,26,FALSE)*$E157,0),IF($D157="B",(ROUND(VLOOKUP($C157,'[2]2.행정구역별 급수인구'!$C$7:$AD$997,26,FALSE)-VLOOKUP($C157,'[2]2.행정구역별 급수인구'!$C$7:$AD$997,26,FALSE)*(1-$E157),0)),VLOOKUP($C157,'[2]2.행정구역별 급수인구'!$C$7:$AD$997,26,FALSE)))</f>
        <v>75</v>
      </c>
      <c r="J157" s="302">
        <f>IF($D157="A",ROUND(VLOOKUP($C157,'[2]2.행정구역별 급수인구'!$C$7:$AD$997,27,FALSE)*$E157,0),IF($D157="B",(ROUND(VLOOKUP($C157,'[2]2.행정구역별 급수인구'!$C$7:$AD$997,27,FALSE)-VLOOKUP($C157,'[2]2.행정구역별 급수인구'!$C$7:$AD$997,27,FALSE)*(1-$E157),0)),VLOOKUP($C157,'[2]2.행정구역별 급수인구'!$C$7:$AD$997,27,FALSE)))</f>
        <v>77</v>
      </c>
      <c r="K157" s="302">
        <f>IF($D157="A",ROUND(VLOOKUP($C157,'[2]2.행정구역별 급수인구'!$C$7:$AD$997,28,FALSE)*$E157,0),IF($D157="B",(ROUND(VLOOKUP($C157,'[2]2.행정구역별 급수인구'!$C$7:$AD$997,28,FALSE)-VLOOKUP($C157,'[2]2.행정구역별 급수인구'!$C$7:$AD$997,28,FALSE)*(1-$E157),0)),VLOOKUP($C157,'[2]2.행정구역별 급수인구'!$C$7:$AD$997,28,FALSE)))</f>
        <v>78</v>
      </c>
      <c r="L157" s="302">
        <f>VLOOKUP($F157,'[3]5.급수원단위'!$B$31:$G$35,2,FALSE)</f>
        <v>272</v>
      </c>
      <c r="M157" s="302">
        <f>VLOOKUP($F157,'[3]5.급수원단위'!$B$31:$G$35,3,FALSE)</f>
        <v>304</v>
      </c>
      <c r="N157" s="302">
        <f>VLOOKUP($F157,'[3]5.급수원단위'!$B$31:$G$35,4,FALSE)</f>
        <v>308</v>
      </c>
      <c r="O157" s="302">
        <f>VLOOKUP($F157,'[3]5.급수원단위'!$B$31:$G$35,5,FALSE)</f>
        <v>310</v>
      </c>
      <c r="P157" s="302">
        <f>VLOOKUP($F157,'[3]5.급수원단위'!$B$31:$G$35,6,FALSE)</f>
        <v>310</v>
      </c>
      <c r="Q157" s="302">
        <f>ROUND(IF(G157=0,0,VLOOKUP(C157,'2013실사용량 정리'!$D$6:$F$381,3,FALSE)),0)</f>
        <v>0</v>
      </c>
      <c r="R157" s="302">
        <f t="shared" si="32"/>
        <v>0</v>
      </c>
      <c r="S157" s="302">
        <f t="shared" si="32"/>
        <v>23</v>
      </c>
      <c r="T157" s="302">
        <f t="shared" si="32"/>
        <v>24</v>
      </c>
      <c r="U157" s="302">
        <f t="shared" si="32"/>
        <v>24</v>
      </c>
      <c r="W157" s="343" t="str">
        <f t="shared" si="12"/>
        <v/>
      </c>
    </row>
    <row r="158" spans="1:23" ht="20.100000000000001" customHeight="1">
      <c r="A158" s="340"/>
      <c r="B158" s="340"/>
      <c r="C158" s="406" t="s">
        <v>1624</v>
      </c>
      <c r="D158" s="330"/>
      <c r="E158" s="527"/>
      <c r="F158" s="527" t="s">
        <v>1317</v>
      </c>
      <c r="G158" s="302">
        <f>IF($D158="A",ROUND(VLOOKUP($C158,'[2]2.행정구역별 급수인구'!$C$7:$AD$997,17,FALSE)*$E158,0),IF($D158="B",(ROUND(VLOOKUP($C158,'[2]2.행정구역별 급수인구'!$C$7:$AD$997,17,FALSE)-VLOOKUP($C158,'[2]2.행정구역별 급수인구'!$C$7:$AD$997,17,FALSE)*(1-$E158),0)),VLOOKUP($C158,'[2]2.행정구역별 급수인구'!$C$7:$AD$997,17,FALSE)))</f>
        <v>0</v>
      </c>
      <c r="H158" s="302">
        <f>IF($D158="A",ROUND(VLOOKUP($C158,'[2]2.행정구역별 급수인구'!$C$7:$AD$997,25,FALSE)*$E158,0),IF($D158="B",(ROUND(VLOOKUP($C158,'[2]2.행정구역별 급수인구'!$C$7:$AD$997,25,FALSE)-VLOOKUP($C158,'[2]2.행정구역별 급수인구'!$C$7:$AD$997,25,FALSE)*(1-$E158),0)),VLOOKUP($C158,'[2]2.행정구역별 급수인구'!$C$7:$AD$997,25,FALSE)))</f>
        <v>0</v>
      </c>
      <c r="I158" s="302">
        <f>IF($D158="A",ROUND(VLOOKUP($C158,'[2]2.행정구역별 급수인구'!$C$7:$AD$997,26,FALSE)*$E158,0),IF($D158="B",(ROUND(VLOOKUP($C158,'[2]2.행정구역별 급수인구'!$C$7:$AD$997,26,FALSE)-VLOOKUP($C158,'[2]2.행정구역별 급수인구'!$C$7:$AD$997,26,FALSE)*(1-$E158),0)),VLOOKUP($C158,'[2]2.행정구역별 급수인구'!$C$7:$AD$997,26,FALSE)))</f>
        <v>58</v>
      </c>
      <c r="J158" s="302">
        <f>IF($D158="A",ROUND(VLOOKUP($C158,'[2]2.행정구역별 급수인구'!$C$7:$AD$997,27,FALSE)*$E158,0),IF($D158="B",(ROUND(VLOOKUP($C158,'[2]2.행정구역별 급수인구'!$C$7:$AD$997,27,FALSE)-VLOOKUP($C158,'[2]2.행정구역별 급수인구'!$C$7:$AD$997,27,FALSE)*(1-$E158),0)),VLOOKUP($C158,'[2]2.행정구역별 급수인구'!$C$7:$AD$997,27,FALSE)))</f>
        <v>59</v>
      </c>
      <c r="K158" s="302">
        <f>IF($D158="A",ROUND(VLOOKUP($C158,'[2]2.행정구역별 급수인구'!$C$7:$AD$997,28,FALSE)*$E158,0),IF($D158="B",(ROUND(VLOOKUP($C158,'[2]2.행정구역별 급수인구'!$C$7:$AD$997,28,FALSE)-VLOOKUP($C158,'[2]2.행정구역별 급수인구'!$C$7:$AD$997,28,FALSE)*(1-$E158),0)),VLOOKUP($C158,'[2]2.행정구역별 급수인구'!$C$7:$AD$997,28,FALSE)))</f>
        <v>61</v>
      </c>
      <c r="L158" s="302">
        <f>VLOOKUP($F158,'[3]5.급수원단위'!$B$31:$G$35,2,FALSE)</f>
        <v>272</v>
      </c>
      <c r="M158" s="302">
        <f>VLOOKUP($F158,'[3]5.급수원단위'!$B$31:$G$35,3,FALSE)</f>
        <v>304</v>
      </c>
      <c r="N158" s="302">
        <f>VLOOKUP($F158,'[3]5.급수원단위'!$B$31:$G$35,4,FALSE)</f>
        <v>308</v>
      </c>
      <c r="O158" s="302">
        <f>VLOOKUP($F158,'[3]5.급수원단위'!$B$31:$G$35,5,FALSE)</f>
        <v>310</v>
      </c>
      <c r="P158" s="302">
        <f>VLOOKUP($F158,'[3]5.급수원단위'!$B$31:$G$35,6,FALSE)</f>
        <v>310</v>
      </c>
      <c r="Q158" s="302">
        <f>ROUND(IF(G158=0,0,VLOOKUP(C158,'2013실사용량 정리'!$D$6:$F$381,3,FALSE)),0)</f>
        <v>0</v>
      </c>
      <c r="R158" s="302">
        <f t="shared" si="32"/>
        <v>0</v>
      </c>
      <c r="S158" s="302">
        <f t="shared" si="32"/>
        <v>18</v>
      </c>
      <c r="T158" s="302">
        <f t="shared" si="32"/>
        <v>18</v>
      </c>
      <c r="U158" s="302">
        <f t="shared" si="32"/>
        <v>19</v>
      </c>
      <c r="W158" s="343" t="str">
        <f t="shared" si="12"/>
        <v/>
      </c>
    </row>
    <row r="159" spans="1:23" ht="20.100000000000001" customHeight="1">
      <c r="A159" s="340"/>
      <c r="B159" s="340"/>
      <c r="C159" s="406" t="s">
        <v>1625</v>
      </c>
      <c r="D159" s="330"/>
      <c r="E159" s="527"/>
      <c r="F159" s="527" t="s">
        <v>1317</v>
      </c>
      <c r="G159" s="302">
        <f>IF($D159="A",ROUND(VLOOKUP($C159,'[2]2.행정구역별 급수인구'!$C$7:$AD$997,17,FALSE)*$E159,0),IF($D159="B",(ROUND(VLOOKUP($C159,'[2]2.행정구역별 급수인구'!$C$7:$AD$997,17,FALSE)-VLOOKUP($C159,'[2]2.행정구역별 급수인구'!$C$7:$AD$997,17,FALSE)*(1-$E159),0)),VLOOKUP($C159,'[2]2.행정구역별 급수인구'!$C$7:$AD$997,17,FALSE)))</f>
        <v>0</v>
      </c>
      <c r="H159" s="302">
        <f>IF($D159="A",ROUND(VLOOKUP($C159,'[2]2.행정구역별 급수인구'!$C$7:$AD$997,25,FALSE)*$E159,0),IF($D159="B",(ROUND(VLOOKUP($C159,'[2]2.행정구역별 급수인구'!$C$7:$AD$997,25,FALSE)-VLOOKUP($C159,'[2]2.행정구역별 급수인구'!$C$7:$AD$997,25,FALSE)*(1-$E159),0)),VLOOKUP($C159,'[2]2.행정구역별 급수인구'!$C$7:$AD$997,25,FALSE)))</f>
        <v>0</v>
      </c>
      <c r="I159" s="302">
        <f>IF($D159="A",ROUND(VLOOKUP($C159,'[2]2.행정구역별 급수인구'!$C$7:$AD$997,26,FALSE)*$E159,0),IF($D159="B",(ROUND(VLOOKUP($C159,'[2]2.행정구역별 급수인구'!$C$7:$AD$997,26,FALSE)-VLOOKUP($C159,'[2]2.행정구역별 급수인구'!$C$7:$AD$997,26,FALSE)*(1-$E159),0)),VLOOKUP($C159,'[2]2.행정구역별 급수인구'!$C$7:$AD$997,26,FALSE)))</f>
        <v>48</v>
      </c>
      <c r="J159" s="302">
        <f>IF($D159="A",ROUND(VLOOKUP($C159,'[2]2.행정구역별 급수인구'!$C$7:$AD$997,27,FALSE)*$E159,0),IF($D159="B",(ROUND(VLOOKUP($C159,'[2]2.행정구역별 급수인구'!$C$7:$AD$997,27,FALSE)-VLOOKUP($C159,'[2]2.행정구역별 급수인구'!$C$7:$AD$997,27,FALSE)*(1-$E159),0)),VLOOKUP($C159,'[2]2.행정구역별 급수인구'!$C$7:$AD$997,27,FALSE)))</f>
        <v>49</v>
      </c>
      <c r="K159" s="302">
        <f>IF($D159="A",ROUND(VLOOKUP($C159,'[2]2.행정구역별 급수인구'!$C$7:$AD$997,28,FALSE)*$E159,0),IF($D159="B",(ROUND(VLOOKUP($C159,'[2]2.행정구역별 급수인구'!$C$7:$AD$997,28,FALSE)-VLOOKUP($C159,'[2]2.행정구역별 급수인구'!$C$7:$AD$997,28,FALSE)*(1-$E159),0)),VLOOKUP($C159,'[2]2.행정구역별 급수인구'!$C$7:$AD$997,28,FALSE)))</f>
        <v>50</v>
      </c>
      <c r="L159" s="302">
        <f>VLOOKUP($F159,'[3]5.급수원단위'!$B$31:$G$35,2,FALSE)</f>
        <v>272</v>
      </c>
      <c r="M159" s="302">
        <f>VLOOKUP($F159,'[3]5.급수원단위'!$B$31:$G$35,3,FALSE)</f>
        <v>304</v>
      </c>
      <c r="N159" s="302">
        <f>VLOOKUP($F159,'[3]5.급수원단위'!$B$31:$G$35,4,FALSE)</f>
        <v>308</v>
      </c>
      <c r="O159" s="302">
        <f>VLOOKUP($F159,'[3]5.급수원단위'!$B$31:$G$35,5,FALSE)</f>
        <v>310</v>
      </c>
      <c r="P159" s="302">
        <f>VLOOKUP($F159,'[3]5.급수원단위'!$B$31:$G$35,6,FALSE)</f>
        <v>310</v>
      </c>
      <c r="Q159" s="302">
        <f>ROUND(IF(G159=0,0,VLOOKUP(C159,'2013실사용량 정리'!$D$6:$F$381,3,FALSE)),0)</f>
        <v>0</v>
      </c>
      <c r="R159" s="302">
        <f t="shared" si="32"/>
        <v>0</v>
      </c>
      <c r="S159" s="302">
        <f t="shared" si="32"/>
        <v>15</v>
      </c>
      <c r="T159" s="302">
        <f t="shared" si="32"/>
        <v>15</v>
      </c>
      <c r="U159" s="302">
        <f t="shared" si="32"/>
        <v>16</v>
      </c>
      <c r="W159" s="343" t="str">
        <f t="shared" si="12"/>
        <v/>
      </c>
    </row>
    <row r="160" spans="1:23" ht="20.100000000000001" customHeight="1">
      <c r="A160" s="340"/>
      <c r="B160" s="340"/>
      <c r="C160" s="406" t="s">
        <v>1626</v>
      </c>
      <c r="D160" s="330"/>
      <c r="E160" s="527"/>
      <c r="F160" s="527" t="s">
        <v>1317</v>
      </c>
      <c r="G160" s="302">
        <f>IF($D160="A",ROUND(VLOOKUP($C160,'[2]2.행정구역별 급수인구'!$C$7:$AD$997,17,FALSE)*$E160,0),IF($D160="B",(ROUND(VLOOKUP($C160,'[2]2.행정구역별 급수인구'!$C$7:$AD$997,17,FALSE)-VLOOKUP($C160,'[2]2.행정구역별 급수인구'!$C$7:$AD$997,17,FALSE)*(1-$E160),0)),VLOOKUP($C160,'[2]2.행정구역별 급수인구'!$C$7:$AD$997,17,FALSE)))</f>
        <v>0</v>
      </c>
      <c r="H160" s="302">
        <f>IF($D160="A",ROUND(VLOOKUP($C160,'[2]2.행정구역별 급수인구'!$C$7:$AD$997,25,FALSE)*$E160,0),IF($D160="B",(ROUND(VLOOKUP($C160,'[2]2.행정구역별 급수인구'!$C$7:$AD$997,25,FALSE)-VLOOKUP($C160,'[2]2.행정구역별 급수인구'!$C$7:$AD$997,25,FALSE)*(1-$E160),0)),VLOOKUP($C160,'[2]2.행정구역별 급수인구'!$C$7:$AD$997,25,FALSE)))</f>
        <v>0</v>
      </c>
      <c r="I160" s="302">
        <f>IF($D160="A",ROUND(VLOOKUP($C160,'[2]2.행정구역별 급수인구'!$C$7:$AD$997,26,FALSE)*$E160,0),IF($D160="B",(ROUND(VLOOKUP($C160,'[2]2.행정구역별 급수인구'!$C$7:$AD$997,26,FALSE)-VLOOKUP($C160,'[2]2.행정구역별 급수인구'!$C$7:$AD$997,26,FALSE)*(1-$E160),0)),VLOOKUP($C160,'[2]2.행정구역별 급수인구'!$C$7:$AD$997,26,FALSE)))</f>
        <v>210</v>
      </c>
      <c r="J160" s="302">
        <f>IF($D160="A",ROUND(VLOOKUP($C160,'[2]2.행정구역별 급수인구'!$C$7:$AD$997,27,FALSE)*$E160,0),IF($D160="B",(ROUND(VLOOKUP($C160,'[2]2.행정구역별 급수인구'!$C$7:$AD$997,27,FALSE)-VLOOKUP($C160,'[2]2.행정구역별 급수인구'!$C$7:$AD$997,27,FALSE)*(1-$E160),0)),VLOOKUP($C160,'[2]2.행정구역별 급수인구'!$C$7:$AD$997,27,FALSE)))</f>
        <v>214</v>
      </c>
      <c r="K160" s="302">
        <f>IF($D160="A",ROUND(VLOOKUP($C160,'[2]2.행정구역별 급수인구'!$C$7:$AD$997,28,FALSE)*$E160,0),IF($D160="B",(ROUND(VLOOKUP($C160,'[2]2.행정구역별 급수인구'!$C$7:$AD$997,28,FALSE)-VLOOKUP($C160,'[2]2.행정구역별 급수인구'!$C$7:$AD$997,28,FALSE)*(1-$E160),0)),VLOOKUP($C160,'[2]2.행정구역별 급수인구'!$C$7:$AD$997,28,FALSE)))</f>
        <v>218</v>
      </c>
      <c r="L160" s="302">
        <f>VLOOKUP($F160,'[3]5.급수원단위'!$B$31:$G$35,2,FALSE)</f>
        <v>272</v>
      </c>
      <c r="M160" s="302">
        <f>VLOOKUP($F160,'[3]5.급수원단위'!$B$31:$G$35,3,FALSE)</f>
        <v>304</v>
      </c>
      <c r="N160" s="302">
        <f>VLOOKUP($F160,'[3]5.급수원단위'!$B$31:$G$35,4,FALSE)</f>
        <v>308</v>
      </c>
      <c r="O160" s="302">
        <f>VLOOKUP($F160,'[3]5.급수원단위'!$B$31:$G$35,5,FALSE)</f>
        <v>310</v>
      </c>
      <c r="P160" s="302">
        <f>VLOOKUP($F160,'[3]5.급수원단위'!$B$31:$G$35,6,FALSE)</f>
        <v>310</v>
      </c>
      <c r="Q160" s="302">
        <f>ROUND(IF(G160=0,0,VLOOKUP(C160,'2013실사용량 정리'!$D$6:$F$381,3,FALSE)),0)</f>
        <v>0</v>
      </c>
      <c r="R160" s="302">
        <f t="shared" si="32"/>
        <v>0</v>
      </c>
      <c r="S160" s="302">
        <f t="shared" si="32"/>
        <v>65</v>
      </c>
      <c r="T160" s="302">
        <f t="shared" si="32"/>
        <v>66</v>
      </c>
      <c r="U160" s="302">
        <f t="shared" si="32"/>
        <v>68</v>
      </c>
      <c r="W160" s="343" t="str">
        <f t="shared" si="12"/>
        <v/>
      </c>
    </row>
    <row r="161" spans="1:23" ht="20.100000000000001" customHeight="1">
      <c r="A161" s="340"/>
      <c r="B161" s="340"/>
      <c r="C161" s="406" t="s">
        <v>1627</v>
      </c>
      <c r="D161" s="330"/>
      <c r="E161" s="527"/>
      <c r="F161" s="527" t="s">
        <v>1317</v>
      </c>
      <c r="G161" s="302">
        <f>IF($D161="A",ROUND(VLOOKUP($C161,'[2]2.행정구역별 급수인구'!$C$7:$AD$997,17,FALSE)*$E161,0),IF($D161="B",(ROUND(VLOOKUP($C161,'[2]2.행정구역별 급수인구'!$C$7:$AD$997,17,FALSE)-VLOOKUP($C161,'[2]2.행정구역별 급수인구'!$C$7:$AD$997,17,FALSE)*(1-$E161),0)),VLOOKUP($C161,'[2]2.행정구역별 급수인구'!$C$7:$AD$997,17,FALSE)))</f>
        <v>0</v>
      </c>
      <c r="H161" s="302">
        <f>IF($D161="A",ROUND(VLOOKUP($C161,'[2]2.행정구역별 급수인구'!$C$7:$AD$997,25,FALSE)*$E161,0),IF($D161="B",(ROUND(VLOOKUP($C161,'[2]2.행정구역별 급수인구'!$C$7:$AD$997,25,FALSE)-VLOOKUP($C161,'[2]2.행정구역별 급수인구'!$C$7:$AD$997,25,FALSE)*(1-$E161),0)),VLOOKUP($C161,'[2]2.행정구역별 급수인구'!$C$7:$AD$997,25,FALSE)))</f>
        <v>0</v>
      </c>
      <c r="I161" s="302">
        <f>IF($D161="A",ROUND(VLOOKUP($C161,'[2]2.행정구역별 급수인구'!$C$7:$AD$997,26,FALSE)*$E161,0),IF($D161="B",(ROUND(VLOOKUP($C161,'[2]2.행정구역별 급수인구'!$C$7:$AD$997,26,FALSE)-VLOOKUP($C161,'[2]2.행정구역별 급수인구'!$C$7:$AD$997,26,FALSE)*(1-$E161),0)),VLOOKUP($C161,'[2]2.행정구역별 급수인구'!$C$7:$AD$997,26,FALSE)))</f>
        <v>89</v>
      </c>
      <c r="J161" s="302">
        <f>IF($D161="A",ROUND(VLOOKUP($C161,'[2]2.행정구역별 급수인구'!$C$7:$AD$997,27,FALSE)*$E161,0),IF($D161="B",(ROUND(VLOOKUP($C161,'[2]2.행정구역별 급수인구'!$C$7:$AD$997,27,FALSE)-VLOOKUP($C161,'[2]2.행정구역별 급수인구'!$C$7:$AD$997,27,FALSE)*(1-$E161),0)),VLOOKUP($C161,'[2]2.행정구역별 급수인구'!$C$7:$AD$997,27,FALSE)))</f>
        <v>90</v>
      </c>
      <c r="K161" s="302">
        <f>IF($D161="A",ROUND(VLOOKUP($C161,'[2]2.행정구역별 급수인구'!$C$7:$AD$997,28,FALSE)*$E161,0),IF($D161="B",(ROUND(VLOOKUP($C161,'[2]2.행정구역별 급수인구'!$C$7:$AD$997,28,FALSE)-VLOOKUP($C161,'[2]2.행정구역별 급수인구'!$C$7:$AD$997,28,FALSE)*(1-$E161),0)),VLOOKUP($C161,'[2]2.행정구역별 급수인구'!$C$7:$AD$997,28,FALSE)))</f>
        <v>92</v>
      </c>
      <c r="L161" s="302">
        <f>VLOOKUP($F161,'[3]5.급수원단위'!$B$31:$G$35,2,FALSE)</f>
        <v>272</v>
      </c>
      <c r="M161" s="302">
        <f>VLOOKUP($F161,'[3]5.급수원단위'!$B$31:$G$35,3,FALSE)</f>
        <v>304</v>
      </c>
      <c r="N161" s="302">
        <f>VLOOKUP($F161,'[3]5.급수원단위'!$B$31:$G$35,4,FALSE)</f>
        <v>308</v>
      </c>
      <c r="O161" s="302">
        <f>VLOOKUP($F161,'[3]5.급수원단위'!$B$31:$G$35,5,FALSE)</f>
        <v>310</v>
      </c>
      <c r="P161" s="302">
        <f>VLOOKUP($F161,'[3]5.급수원단위'!$B$31:$G$35,6,FALSE)</f>
        <v>310</v>
      </c>
      <c r="Q161" s="302">
        <f>ROUND(IF(G161=0,0,VLOOKUP(C161,'2013실사용량 정리'!$D$6:$F$381,3,FALSE)),0)</f>
        <v>0</v>
      </c>
      <c r="R161" s="302">
        <f t="shared" si="32"/>
        <v>0</v>
      </c>
      <c r="S161" s="302">
        <f t="shared" si="32"/>
        <v>27</v>
      </c>
      <c r="T161" s="302">
        <f t="shared" si="32"/>
        <v>28</v>
      </c>
      <c r="U161" s="302">
        <f t="shared" si="32"/>
        <v>29</v>
      </c>
      <c r="W161" s="343" t="str">
        <f t="shared" si="12"/>
        <v/>
      </c>
    </row>
    <row r="162" spans="1:23" ht="20.100000000000001" customHeight="1">
      <c r="A162" s="340"/>
      <c r="B162" s="340"/>
      <c r="C162" s="406" t="s">
        <v>1628</v>
      </c>
      <c r="D162" s="330"/>
      <c r="E162" s="527"/>
      <c r="F162" s="527" t="s">
        <v>1317</v>
      </c>
      <c r="G162" s="302">
        <f>IF($D162="A",ROUND(VLOOKUP($C162,'[2]2.행정구역별 급수인구'!$C$7:$AD$997,17,FALSE)*$E162,0),IF($D162="B",(ROUND(VLOOKUP($C162,'[2]2.행정구역별 급수인구'!$C$7:$AD$997,17,FALSE)-VLOOKUP($C162,'[2]2.행정구역별 급수인구'!$C$7:$AD$997,17,FALSE)*(1-$E162),0)),VLOOKUP($C162,'[2]2.행정구역별 급수인구'!$C$7:$AD$997,17,FALSE)))</f>
        <v>0</v>
      </c>
      <c r="H162" s="302">
        <f>IF($D162="A",ROUND(VLOOKUP($C162,'[2]2.행정구역별 급수인구'!$C$7:$AD$997,25,FALSE)*$E162,0),IF($D162="B",(ROUND(VLOOKUP($C162,'[2]2.행정구역별 급수인구'!$C$7:$AD$997,25,FALSE)-VLOOKUP($C162,'[2]2.행정구역별 급수인구'!$C$7:$AD$997,25,FALSE)*(1-$E162),0)),VLOOKUP($C162,'[2]2.행정구역별 급수인구'!$C$7:$AD$997,25,FALSE)))</f>
        <v>0</v>
      </c>
      <c r="I162" s="302">
        <f>IF($D162="A",ROUND(VLOOKUP($C162,'[2]2.행정구역별 급수인구'!$C$7:$AD$997,26,FALSE)*$E162,0),IF($D162="B",(ROUND(VLOOKUP($C162,'[2]2.행정구역별 급수인구'!$C$7:$AD$997,26,FALSE)-VLOOKUP($C162,'[2]2.행정구역별 급수인구'!$C$7:$AD$997,26,FALSE)*(1-$E162),0)),VLOOKUP($C162,'[2]2.행정구역별 급수인구'!$C$7:$AD$997,26,FALSE)))</f>
        <v>158</v>
      </c>
      <c r="J162" s="302">
        <f>IF($D162="A",ROUND(VLOOKUP($C162,'[2]2.행정구역별 급수인구'!$C$7:$AD$997,27,FALSE)*$E162,0),IF($D162="B",(ROUND(VLOOKUP($C162,'[2]2.행정구역별 급수인구'!$C$7:$AD$997,27,FALSE)-VLOOKUP($C162,'[2]2.행정구역별 급수인구'!$C$7:$AD$997,27,FALSE)*(1-$E162),0)),VLOOKUP($C162,'[2]2.행정구역별 급수인구'!$C$7:$AD$997,27,FALSE)))</f>
        <v>162</v>
      </c>
      <c r="K162" s="302">
        <f>IF($D162="A",ROUND(VLOOKUP($C162,'[2]2.행정구역별 급수인구'!$C$7:$AD$997,28,FALSE)*$E162,0),IF($D162="B",(ROUND(VLOOKUP($C162,'[2]2.행정구역별 급수인구'!$C$7:$AD$997,28,FALSE)-VLOOKUP($C162,'[2]2.행정구역별 급수인구'!$C$7:$AD$997,28,FALSE)*(1-$E162),0)),VLOOKUP($C162,'[2]2.행정구역별 급수인구'!$C$7:$AD$997,28,FALSE)))</f>
        <v>165</v>
      </c>
      <c r="L162" s="302">
        <f>VLOOKUP($F162,'[3]5.급수원단위'!$B$31:$G$35,2,FALSE)</f>
        <v>272</v>
      </c>
      <c r="M162" s="302">
        <f>VLOOKUP($F162,'[3]5.급수원단위'!$B$31:$G$35,3,FALSE)</f>
        <v>304</v>
      </c>
      <c r="N162" s="302">
        <f>VLOOKUP($F162,'[3]5.급수원단위'!$B$31:$G$35,4,FALSE)</f>
        <v>308</v>
      </c>
      <c r="O162" s="302">
        <f>VLOOKUP($F162,'[3]5.급수원단위'!$B$31:$G$35,5,FALSE)</f>
        <v>310</v>
      </c>
      <c r="P162" s="302">
        <f>VLOOKUP($F162,'[3]5.급수원단위'!$B$31:$G$35,6,FALSE)</f>
        <v>310</v>
      </c>
      <c r="Q162" s="302">
        <f>ROUND(IF(G162=0,0,VLOOKUP(C162,'2013실사용량 정리'!$D$6:$F$381,3,FALSE)),0)</f>
        <v>0</v>
      </c>
      <c r="R162" s="302">
        <f t="shared" si="32"/>
        <v>0</v>
      </c>
      <c r="S162" s="302">
        <f t="shared" si="32"/>
        <v>49</v>
      </c>
      <c r="T162" s="302">
        <f t="shared" si="32"/>
        <v>50</v>
      </c>
      <c r="U162" s="302">
        <f t="shared" si="32"/>
        <v>51</v>
      </c>
      <c r="W162" s="343" t="str">
        <f t="shared" si="12"/>
        <v/>
      </c>
    </row>
    <row r="163" spans="1:23" ht="20.100000000000001" customHeight="1">
      <c r="A163" s="340"/>
      <c r="B163" s="340"/>
      <c r="C163" s="406" t="s">
        <v>1629</v>
      </c>
      <c r="D163" s="330"/>
      <c r="E163" s="527"/>
      <c r="F163" s="527" t="s">
        <v>1317</v>
      </c>
      <c r="G163" s="302">
        <f>IF($D163="A",ROUND(VLOOKUP($C163,'[2]2.행정구역별 급수인구'!$C$7:$AD$997,17,FALSE)*$E163,0),IF($D163="B",(ROUND(VLOOKUP($C163,'[2]2.행정구역별 급수인구'!$C$7:$AD$997,17,FALSE)-VLOOKUP($C163,'[2]2.행정구역별 급수인구'!$C$7:$AD$997,17,FALSE)*(1-$E163),0)),VLOOKUP($C163,'[2]2.행정구역별 급수인구'!$C$7:$AD$997,17,FALSE)))</f>
        <v>0</v>
      </c>
      <c r="H163" s="302">
        <f>IF($D163="A",ROUND(VLOOKUP($C163,'[2]2.행정구역별 급수인구'!$C$7:$AD$997,25,FALSE)*$E163,0),IF($D163="B",(ROUND(VLOOKUP($C163,'[2]2.행정구역별 급수인구'!$C$7:$AD$997,25,FALSE)-VLOOKUP($C163,'[2]2.행정구역별 급수인구'!$C$7:$AD$997,25,FALSE)*(1-$E163),0)),VLOOKUP($C163,'[2]2.행정구역별 급수인구'!$C$7:$AD$997,25,FALSE)))</f>
        <v>0</v>
      </c>
      <c r="I163" s="302">
        <f>IF($D163="A",ROUND(VLOOKUP($C163,'[2]2.행정구역별 급수인구'!$C$7:$AD$997,26,FALSE)*$E163,0),IF($D163="B",(ROUND(VLOOKUP($C163,'[2]2.행정구역별 급수인구'!$C$7:$AD$997,26,FALSE)-VLOOKUP($C163,'[2]2.행정구역별 급수인구'!$C$7:$AD$997,26,FALSE)*(1-$E163),0)),VLOOKUP($C163,'[2]2.행정구역별 급수인구'!$C$7:$AD$997,26,FALSE)))</f>
        <v>102</v>
      </c>
      <c r="J163" s="302">
        <f>IF($D163="A",ROUND(VLOOKUP($C163,'[2]2.행정구역별 급수인구'!$C$7:$AD$997,27,FALSE)*$E163,0),IF($D163="B",(ROUND(VLOOKUP($C163,'[2]2.행정구역별 급수인구'!$C$7:$AD$997,27,FALSE)-VLOOKUP($C163,'[2]2.행정구역별 급수인구'!$C$7:$AD$997,27,FALSE)*(1-$E163),0)),VLOOKUP($C163,'[2]2.행정구역별 급수인구'!$C$7:$AD$997,27,FALSE)))</f>
        <v>105</v>
      </c>
      <c r="K163" s="302">
        <f>IF($D163="A",ROUND(VLOOKUP($C163,'[2]2.행정구역별 급수인구'!$C$7:$AD$997,28,FALSE)*$E163,0),IF($D163="B",(ROUND(VLOOKUP($C163,'[2]2.행정구역별 급수인구'!$C$7:$AD$997,28,FALSE)-VLOOKUP($C163,'[2]2.행정구역별 급수인구'!$C$7:$AD$997,28,FALSE)*(1-$E163),0)),VLOOKUP($C163,'[2]2.행정구역별 급수인구'!$C$7:$AD$997,28,FALSE)))</f>
        <v>107</v>
      </c>
      <c r="L163" s="302">
        <f>VLOOKUP($F163,'[3]5.급수원단위'!$B$31:$G$35,2,FALSE)</f>
        <v>272</v>
      </c>
      <c r="M163" s="302">
        <f>VLOOKUP($F163,'[3]5.급수원단위'!$B$31:$G$35,3,FALSE)</f>
        <v>304</v>
      </c>
      <c r="N163" s="302">
        <f>VLOOKUP($F163,'[3]5.급수원단위'!$B$31:$G$35,4,FALSE)</f>
        <v>308</v>
      </c>
      <c r="O163" s="302">
        <f>VLOOKUP($F163,'[3]5.급수원단위'!$B$31:$G$35,5,FALSE)</f>
        <v>310</v>
      </c>
      <c r="P163" s="302">
        <f>VLOOKUP($F163,'[3]5.급수원단위'!$B$31:$G$35,6,FALSE)</f>
        <v>310</v>
      </c>
      <c r="Q163" s="302">
        <f>ROUND(IF(G163=0,0,VLOOKUP(C163,'2013실사용량 정리'!$D$6:$F$381,3,FALSE)),0)</f>
        <v>0</v>
      </c>
      <c r="R163" s="302">
        <f t="shared" si="32"/>
        <v>0</v>
      </c>
      <c r="S163" s="302">
        <f t="shared" si="32"/>
        <v>31</v>
      </c>
      <c r="T163" s="302">
        <f t="shared" si="32"/>
        <v>33</v>
      </c>
      <c r="U163" s="302">
        <f t="shared" si="32"/>
        <v>33</v>
      </c>
      <c r="W163" s="343" t="str">
        <f t="shared" ref="W163:W220" si="33">IF(ISERROR(U163/Q163),"",U163/Q163)</f>
        <v/>
      </c>
    </row>
    <row r="164" spans="1:23" ht="20.100000000000001" customHeight="1">
      <c r="A164" s="340"/>
      <c r="B164" s="340"/>
      <c r="C164" s="406" t="s">
        <v>1630</v>
      </c>
      <c r="D164" s="330"/>
      <c r="E164" s="527"/>
      <c r="F164" s="527" t="s">
        <v>1317</v>
      </c>
      <c r="G164" s="302">
        <f>IF($D164="A",ROUND(VLOOKUP($C164,'[2]2.행정구역별 급수인구'!$C$7:$AD$997,17,FALSE)*$E164,0),IF($D164="B",(ROUND(VLOOKUP($C164,'[2]2.행정구역별 급수인구'!$C$7:$AD$997,17,FALSE)-VLOOKUP($C164,'[2]2.행정구역별 급수인구'!$C$7:$AD$997,17,FALSE)*(1-$E164),0)),VLOOKUP($C164,'[2]2.행정구역별 급수인구'!$C$7:$AD$997,17,FALSE)))</f>
        <v>0</v>
      </c>
      <c r="H164" s="302">
        <f>IF($D164="A",ROUND(VLOOKUP($C164,'[2]2.행정구역별 급수인구'!$C$7:$AD$997,25,FALSE)*$E164,0),IF($D164="B",(ROUND(VLOOKUP($C164,'[2]2.행정구역별 급수인구'!$C$7:$AD$997,25,FALSE)-VLOOKUP($C164,'[2]2.행정구역별 급수인구'!$C$7:$AD$997,25,FALSE)*(1-$E164),0)),VLOOKUP($C164,'[2]2.행정구역별 급수인구'!$C$7:$AD$997,25,FALSE)))</f>
        <v>0</v>
      </c>
      <c r="I164" s="302">
        <f>IF($D164="A",ROUND(VLOOKUP($C164,'[2]2.행정구역별 급수인구'!$C$7:$AD$997,26,FALSE)*$E164,0),IF($D164="B",(ROUND(VLOOKUP($C164,'[2]2.행정구역별 급수인구'!$C$7:$AD$997,26,FALSE)-VLOOKUP($C164,'[2]2.행정구역별 급수인구'!$C$7:$AD$997,26,FALSE)*(1-$E164),0)),VLOOKUP($C164,'[2]2.행정구역별 급수인구'!$C$7:$AD$997,26,FALSE)))</f>
        <v>50</v>
      </c>
      <c r="J164" s="302">
        <f>IF($D164="A",ROUND(VLOOKUP($C164,'[2]2.행정구역별 급수인구'!$C$7:$AD$997,27,FALSE)*$E164,0),IF($D164="B",(ROUND(VLOOKUP($C164,'[2]2.행정구역별 급수인구'!$C$7:$AD$997,27,FALSE)-VLOOKUP($C164,'[2]2.행정구역별 급수인구'!$C$7:$AD$997,27,FALSE)*(1-$E164),0)),VLOOKUP($C164,'[2]2.행정구역별 급수인구'!$C$7:$AD$997,27,FALSE)))</f>
        <v>51</v>
      </c>
      <c r="K164" s="302">
        <f>IF($D164="A",ROUND(VLOOKUP($C164,'[2]2.행정구역별 급수인구'!$C$7:$AD$997,28,FALSE)*$E164,0),IF($D164="B",(ROUND(VLOOKUP($C164,'[2]2.행정구역별 급수인구'!$C$7:$AD$997,28,FALSE)-VLOOKUP($C164,'[2]2.행정구역별 급수인구'!$C$7:$AD$997,28,FALSE)*(1-$E164),0)),VLOOKUP($C164,'[2]2.행정구역별 급수인구'!$C$7:$AD$997,28,FALSE)))</f>
        <v>52</v>
      </c>
      <c r="L164" s="302">
        <f>VLOOKUP($F164,'[3]5.급수원단위'!$B$31:$G$35,2,FALSE)</f>
        <v>272</v>
      </c>
      <c r="M164" s="302">
        <f>VLOOKUP($F164,'[3]5.급수원단위'!$B$31:$G$35,3,FALSE)</f>
        <v>304</v>
      </c>
      <c r="N164" s="302">
        <f>VLOOKUP($F164,'[3]5.급수원단위'!$B$31:$G$35,4,FALSE)</f>
        <v>308</v>
      </c>
      <c r="O164" s="302">
        <f>VLOOKUP($F164,'[3]5.급수원단위'!$B$31:$G$35,5,FALSE)</f>
        <v>310</v>
      </c>
      <c r="P164" s="302">
        <f>VLOOKUP($F164,'[3]5.급수원단위'!$B$31:$G$35,6,FALSE)</f>
        <v>310</v>
      </c>
      <c r="Q164" s="302">
        <f>ROUND(IF(G164=0,0,VLOOKUP(C164,'2013실사용량 정리'!$D$6:$F$381,3,FALSE)),0)</f>
        <v>0</v>
      </c>
      <c r="R164" s="302">
        <f t="shared" si="32"/>
        <v>0</v>
      </c>
      <c r="S164" s="302">
        <f t="shared" si="32"/>
        <v>15</v>
      </c>
      <c r="T164" s="302">
        <f t="shared" si="32"/>
        <v>16</v>
      </c>
      <c r="U164" s="302">
        <f t="shared" si="32"/>
        <v>16</v>
      </c>
      <c r="W164" s="343" t="str">
        <f t="shared" si="33"/>
        <v/>
      </c>
    </row>
    <row r="165" spans="1:23" ht="20.100000000000001" customHeight="1">
      <c r="A165" s="340"/>
      <c r="B165" s="340"/>
      <c r="C165" s="406" t="s">
        <v>1776</v>
      </c>
      <c r="D165" s="330"/>
      <c r="E165" s="527"/>
      <c r="F165" s="527" t="s">
        <v>756</v>
      </c>
      <c r="G165" s="302">
        <f>IF($D165="A",ROUND(VLOOKUP($C165,'[2]2.행정구역별 급수인구'!$C$7:$AD$997,17,FALSE)*$E165,0),IF($D165="B",(ROUND(VLOOKUP($C165,'[2]2.행정구역별 급수인구'!$C$7:$AD$997,17,FALSE)-VLOOKUP($C165,'[2]2.행정구역별 급수인구'!$C$7:$AD$997,17,FALSE)*(1-$E165),0)),VLOOKUP($C165,'[2]2.행정구역별 급수인구'!$C$7:$AD$997,17,FALSE)))</f>
        <v>0</v>
      </c>
      <c r="H165" s="302">
        <f>IF($D165="A",ROUND(VLOOKUP($C165,'[2]2.행정구역별 급수인구'!$C$7:$AD$997,25,FALSE)*$E165,0),IF($D165="B",(ROUND(VLOOKUP($C165,'[2]2.행정구역별 급수인구'!$C$7:$AD$997,25,FALSE)-VLOOKUP($C165,'[2]2.행정구역별 급수인구'!$C$7:$AD$997,25,FALSE)*(1-$E165),0)),VLOOKUP($C165,'[2]2.행정구역별 급수인구'!$C$7:$AD$997,25,FALSE)))</f>
        <v>0</v>
      </c>
      <c r="I165" s="302">
        <f>IF($D165="A",ROUND(VLOOKUP($C165,'[2]2.행정구역별 급수인구'!$C$7:$AD$997,26,FALSE)*$E165,0),IF($D165="B",(ROUND(VLOOKUP($C165,'[2]2.행정구역별 급수인구'!$C$7:$AD$997,26,FALSE)-VLOOKUP($C165,'[2]2.행정구역별 급수인구'!$C$7:$AD$997,26,FALSE)*(1-$E165),0)),VLOOKUP($C165,'[2]2.행정구역별 급수인구'!$C$7:$AD$997,26,FALSE)))</f>
        <v>141</v>
      </c>
      <c r="J165" s="302">
        <f>IF($D165="A",ROUND(VLOOKUP($C165,'[2]2.행정구역별 급수인구'!$C$7:$AD$997,27,FALSE)*$E165,0),IF($D165="B",(ROUND(VLOOKUP($C165,'[2]2.행정구역별 급수인구'!$C$7:$AD$997,27,FALSE)-VLOOKUP($C165,'[2]2.행정구역별 급수인구'!$C$7:$AD$997,27,FALSE)*(1-$E165),0)),VLOOKUP($C165,'[2]2.행정구역별 급수인구'!$C$7:$AD$997,27,FALSE)))</f>
        <v>144</v>
      </c>
      <c r="K165" s="302">
        <f>IF($D165="A",ROUND(VLOOKUP($C165,'[2]2.행정구역별 급수인구'!$C$7:$AD$997,28,FALSE)*$E165,0),IF($D165="B",(ROUND(VLOOKUP($C165,'[2]2.행정구역별 급수인구'!$C$7:$AD$997,28,FALSE)-VLOOKUP($C165,'[2]2.행정구역별 급수인구'!$C$7:$AD$997,28,FALSE)*(1-$E165),0)),VLOOKUP($C165,'[2]2.행정구역별 급수인구'!$C$7:$AD$997,28,FALSE)))</f>
        <v>146</v>
      </c>
      <c r="L165" s="302">
        <f>VLOOKUP($F165,'[3]5.급수원단위'!$B$31:$G$35,2,FALSE)</f>
        <v>272</v>
      </c>
      <c r="M165" s="302">
        <f>VLOOKUP($F165,'[3]5.급수원단위'!$B$31:$G$35,3,FALSE)</f>
        <v>304</v>
      </c>
      <c r="N165" s="302">
        <f>VLOOKUP($F165,'[3]5.급수원단위'!$B$31:$G$35,4,FALSE)</f>
        <v>308</v>
      </c>
      <c r="O165" s="302">
        <f>VLOOKUP($F165,'[3]5.급수원단위'!$B$31:$G$35,5,FALSE)</f>
        <v>310</v>
      </c>
      <c r="P165" s="302">
        <f>VLOOKUP($F165,'[3]5.급수원단위'!$B$31:$G$35,6,FALSE)</f>
        <v>310</v>
      </c>
      <c r="Q165" s="302">
        <f>ROUND(IF(G165=0,0,VLOOKUP(C165,'2013실사용량 정리'!$D$6:$F$381,3,FALSE)),0)</f>
        <v>0</v>
      </c>
      <c r="R165" s="302">
        <f t="shared" si="32"/>
        <v>0</v>
      </c>
      <c r="S165" s="302">
        <f t="shared" si="32"/>
        <v>43</v>
      </c>
      <c r="T165" s="302">
        <f t="shared" si="32"/>
        <v>45</v>
      </c>
      <c r="U165" s="302">
        <f t="shared" si="32"/>
        <v>45</v>
      </c>
      <c r="W165" s="343" t="str">
        <f t="shared" si="33"/>
        <v/>
      </c>
    </row>
    <row r="166" spans="1:23" ht="20.100000000000001" customHeight="1">
      <c r="A166" s="340"/>
      <c r="B166" s="340"/>
      <c r="C166" s="406" t="s">
        <v>1777</v>
      </c>
      <c r="D166" s="330"/>
      <c r="E166" s="527"/>
      <c r="F166" s="527" t="s">
        <v>756</v>
      </c>
      <c r="G166" s="302">
        <f>IF($D166="A",ROUND(VLOOKUP($C166,'[2]2.행정구역별 급수인구'!$C$7:$AD$997,17,FALSE)*$E166,0),IF($D166="B",(ROUND(VLOOKUP($C166,'[2]2.행정구역별 급수인구'!$C$7:$AD$997,17,FALSE)-VLOOKUP($C166,'[2]2.행정구역별 급수인구'!$C$7:$AD$997,17,FALSE)*(1-$E166),0)),VLOOKUP($C166,'[2]2.행정구역별 급수인구'!$C$7:$AD$997,17,FALSE)))</f>
        <v>0</v>
      </c>
      <c r="H166" s="302">
        <f>IF($D166="A",ROUND(VLOOKUP($C166,'[2]2.행정구역별 급수인구'!$C$7:$AD$997,25,FALSE)*$E166,0),IF($D166="B",(ROUND(VLOOKUP($C166,'[2]2.행정구역별 급수인구'!$C$7:$AD$997,25,FALSE)-VLOOKUP($C166,'[2]2.행정구역별 급수인구'!$C$7:$AD$997,25,FALSE)*(1-$E166),0)),VLOOKUP($C166,'[2]2.행정구역별 급수인구'!$C$7:$AD$997,25,FALSE)))</f>
        <v>0</v>
      </c>
      <c r="I166" s="302">
        <f>IF($D166="A",ROUND(VLOOKUP($C166,'[2]2.행정구역별 급수인구'!$C$7:$AD$997,26,FALSE)*$E166,0),IF($D166="B",(ROUND(VLOOKUP($C166,'[2]2.행정구역별 급수인구'!$C$7:$AD$997,26,FALSE)-VLOOKUP($C166,'[2]2.행정구역별 급수인구'!$C$7:$AD$997,26,FALSE)*(1-$E166),0)),VLOOKUP($C166,'[2]2.행정구역별 급수인구'!$C$7:$AD$997,26,FALSE)))</f>
        <v>96</v>
      </c>
      <c r="J166" s="302">
        <f>IF($D166="A",ROUND(VLOOKUP($C166,'[2]2.행정구역별 급수인구'!$C$7:$AD$997,27,FALSE)*$E166,0),IF($D166="B",(ROUND(VLOOKUP($C166,'[2]2.행정구역별 급수인구'!$C$7:$AD$997,27,FALSE)-VLOOKUP($C166,'[2]2.행정구역별 급수인구'!$C$7:$AD$997,27,FALSE)*(1-$E166),0)),VLOOKUP($C166,'[2]2.행정구역별 급수인구'!$C$7:$AD$997,27,FALSE)))</f>
        <v>98</v>
      </c>
      <c r="K166" s="302">
        <f>IF($D166="A",ROUND(VLOOKUP($C166,'[2]2.행정구역별 급수인구'!$C$7:$AD$997,28,FALSE)*$E166,0),IF($D166="B",(ROUND(VLOOKUP($C166,'[2]2.행정구역별 급수인구'!$C$7:$AD$997,28,FALSE)-VLOOKUP($C166,'[2]2.행정구역별 급수인구'!$C$7:$AD$997,28,FALSE)*(1-$E166),0)),VLOOKUP($C166,'[2]2.행정구역별 급수인구'!$C$7:$AD$997,28,FALSE)))</f>
        <v>100</v>
      </c>
      <c r="L166" s="302">
        <f>VLOOKUP($F166,'[3]5.급수원단위'!$B$31:$G$35,2,FALSE)</f>
        <v>272</v>
      </c>
      <c r="M166" s="302">
        <f>VLOOKUP($F166,'[3]5.급수원단위'!$B$31:$G$35,3,FALSE)</f>
        <v>304</v>
      </c>
      <c r="N166" s="302">
        <f>VLOOKUP($F166,'[3]5.급수원단위'!$B$31:$G$35,4,FALSE)</f>
        <v>308</v>
      </c>
      <c r="O166" s="302">
        <f>VLOOKUP($F166,'[3]5.급수원단위'!$B$31:$G$35,5,FALSE)</f>
        <v>310</v>
      </c>
      <c r="P166" s="302">
        <f>VLOOKUP($F166,'[3]5.급수원단위'!$B$31:$G$35,6,FALSE)</f>
        <v>310</v>
      </c>
      <c r="Q166" s="302">
        <f>ROUND(IF(G166=0,0,VLOOKUP(C166,'2013실사용량 정리'!$D$6:$F$381,3,FALSE)),0)</f>
        <v>0</v>
      </c>
      <c r="R166" s="302">
        <f t="shared" si="32"/>
        <v>0</v>
      </c>
      <c r="S166" s="302">
        <f t="shared" si="32"/>
        <v>30</v>
      </c>
      <c r="T166" s="302">
        <f t="shared" si="32"/>
        <v>30</v>
      </c>
      <c r="U166" s="302">
        <f t="shared" si="32"/>
        <v>31</v>
      </c>
      <c r="W166" s="343" t="str">
        <f t="shared" si="33"/>
        <v/>
      </c>
    </row>
    <row r="167" spans="1:23" ht="20.100000000000001" customHeight="1">
      <c r="A167" s="340"/>
      <c r="B167" s="340"/>
      <c r="C167" s="406" t="s">
        <v>1631</v>
      </c>
      <c r="D167" s="330"/>
      <c r="E167" s="527"/>
      <c r="F167" s="527" t="s">
        <v>1317</v>
      </c>
      <c r="G167" s="302">
        <f>IF($D167="A",ROUND(VLOOKUP($C167,'[2]2.행정구역별 급수인구'!$C$7:$AD$997,17,FALSE)*$E167,0),IF($D167="B",(ROUND(VLOOKUP($C167,'[2]2.행정구역별 급수인구'!$C$7:$AD$997,17,FALSE)-VLOOKUP($C167,'[2]2.행정구역별 급수인구'!$C$7:$AD$997,17,FALSE)*(1-$E167),0)),VLOOKUP($C167,'[2]2.행정구역별 급수인구'!$C$7:$AD$997,17,FALSE)))</f>
        <v>0</v>
      </c>
      <c r="H167" s="302">
        <f>IF($D167="A",ROUND(VLOOKUP($C167,'[2]2.행정구역별 급수인구'!$C$7:$AD$997,25,FALSE)*$E167,0),IF($D167="B",(ROUND(VLOOKUP($C167,'[2]2.행정구역별 급수인구'!$C$7:$AD$997,25,FALSE)-VLOOKUP($C167,'[2]2.행정구역별 급수인구'!$C$7:$AD$997,25,FALSE)*(1-$E167),0)),VLOOKUP($C167,'[2]2.행정구역별 급수인구'!$C$7:$AD$997,25,FALSE)))</f>
        <v>0</v>
      </c>
      <c r="I167" s="302">
        <f>IF($D167="A",ROUND(VLOOKUP($C167,'[2]2.행정구역별 급수인구'!$C$7:$AD$997,26,FALSE)*$E167,0),IF($D167="B",(ROUND(VLOOKUP($C167,'[2]2.행정구역별 급수인구'!$C$7:$AD$997,26,FALSE)-VLOOKUP($C167,'[2]2.행정구역별 급수인구'!$C$7:$AD$997,26,FALSE)*(1-$E167),0)),VLOOKUP($C167,'[2]2.행정구역별 급수인구'!$C$7:$AD$997,26,FALSE)))</f>
        <v>120</v>
      </c>
      <c r="J167" s="302">
        <f>IF($D167="A",ROUND(VLOOKUP($C167,'[2]2.행정구역별 급수인구'!$C$7:$AD$997,27,FALSE)*$E167,0),IF($D167="B",(ROUND(VLOOKUP($C167,'[2]2.행정구역별 급수인구'!$C$7:$AD$997,27,FALSE)-VLOOKUP($C167,'[2]2.행정구역별 급수인구'!$C$7:$AD$997,27,FALSE)*(1-$E167),0)),VLOOKUP($C167,'[2]2.행정구역별 급수인구'!$C$7:$AD$997,27,FALSE)))</f>
        <v>123</v>
      </c>
      <c r="K167" s="302">
        <f>IF($D167="A",ROUND(VLOOKUP($C167,'[2]2.행정구역별 급수인구'!$C$7:$AD$997,28,FALSE)*$E167,0),IF($D167="B",(ROUND(VLOOKUP($C167,'[2]2.행정구역별 급수인구'!$C$7:$AD$997,28,FALSE)-VLOOKUP($C167,'[2]2.행정구역별 급수인구'!$C$7:$AD$997,28,FALSE)*(1-$E167),0)),VLOOKUP($C167,'[2]2.행정구역별 급수인구'!$C$7:$AD$997,28,FALSE)))</f>
        <v>125</v>
      </c>
      <c r="L167" s="302">
        <f>VLOOKUP($F167,'[3]5.급수원단위'!$B$31:$G$35,2,FALSE)</f>
        <v>272</v>
      </c>
      <c r="M167" s="302">
        <f>VLOOKUP($F167,'[3]5.급수원단위'!$B$31:$G$35,3,FALSE)</f>
        <v>304</v>
      </c>
      <c r="N167" s="302">
        <f>VLOOKUP($F167,'[3]5.급수원단위'!$B$31:$G$35,4,FALSE)</f>
        <v>308</v>
      </c>
      <c r="O167" s="302">
        <f>VLOOKUP($F167,'[3]5.급수원단위'!$B$31:$G$35,5,FALSE)</f>
        <v>310</v>
      </c>
      <c r="P167" s="302">
        <f>VLOOKUP($F167,'[3]5.급수원단위'!$B$31:$G$35,6,FALSE)</f>
        <v>310</v>
      </c>
      <c r="Q167" s="302">
        <f>ROUND(IF(G167=0,0,VLOOKUP(C167,'2013실사용량 정리'!$D$6:$F$381,3,FALSE)),0)</f>
        <v>0</v>
      </c>
      <c r="R167" s="302">
        <f t="shared" si="32"/>
        <v>0</v>
      </c>
      <c r="S167" s="302">
        <f t="shared" si="32"/>
        <v>37</v>
      </c>
      <c r="T167" s="302">
        <f t="shared" si="32"/>
        <v>38</v>
      </c>
      <c r="U167" s="302">
        <f t="shared" si="32"/>
        <v>39</v>
      </c>
      <c r="W167" s="343" t="str">
        <f t="shared" si="33"/>
        <v/>
      </c>
    </row>
    <row r="168" spans="1:23" ht="20.100000000000001" customHeight="1">
      <c r="A168" s="340"/>
      <c r="B168" s="340"/>
      <c r="C168" s="406" t="s">
        <v>1632</v>
      </c>
      <c r="D168" s="330"/>
      <c r="E168" s="527"/>
      <c r="F168" s="527" t="s">
        <v>1317</v>
      </c>
      <c r="G168" s="302">
        <f>IF($D168="A",ROUND(VLOOKUP($C168,'[2]2.행정구역별 급수인구'!$C$7:$AD$997,17,FALSE)*$E168,0),IF($D168="B",(ROUND(VLOOKUP($C168,'[2]2.행정구역별 급수인구'!$C$7:$AD$997,17,FALSE)-VLOOKUP($C168,'[2]2.행정구역별 급수인구'!$C$7:$AD$997,17,FALSE)*(1-$E168),0)),VLOOKUP($C168,'[2]2.행정구역별 급수인구'!$C$7:$AD$997,17,FALSE)))</f>
        <v>0</v>
      </c>
      <c r="H168" s="302">
        <f>IF($D168="A",ROUND(VLOOKUP($C168,'[2]2.행정구역별 급수인구'!$C$7:$AD$997,25,FALSE)*$E168,0),IF($D168="B",(ROUND(VLOOKUP($C168,'[2]2.행정구역별 급수인구'!$C$7:$AD$997,25,FALSE)-VLOOKUP($C168,'[2]2.행정구역별 급수인구'!$C$7:$AD$997,25,FALSE)*(1-$E168),0)),VLOOKUP($C168,'[2]2.행정구역별 급수인구'!$C$7:$AD$997,25,FALSE)))</f>
        <v>0</v>
      </c>
      <c r="I168" s="302">
        <f>IF($D168="A",ROUND(VLOOKUP($C168,'[2]2.행정구역별 급수인구'!$C$7:$AD$997,26,FALSE)*$E168,0),IF($D168="B",(ROUND(VLOOKUP($C168,'[2]2.행정구역별 급수인구'!$C$7:$AD$997,26,FALSE)-VLOOKUP($C168,'[2]2.행정구역별 급수인구'!$C$7:$AD$997,26,FALSE)*(1-$E168),0)),VLOOKUP($C168,'[2]2.행정구역별 급수인구'!$C$7:$AD$997,26,FALSE)))</f>
        <v>120</v>
      </c>
      <c r="J168" s="302">
        <f>IF($D168="A",ROUND(VLOOKUP($C168,'[2]2.행정구역별 급수인구'!$C$7:$AD$997,27,FALSE)*$E168,0),IF($D168="B",(ROUND(VLOOKUP($C168,'[2]2.행정구역별 급수인구'!$C$7:$AD$997,27,FALSE)-VLOOKUP($C168,'[2]2.행정구역별 급수인구'!$C$7:$AD$997,27,FALSE)*(1-$E168),0)),VLOOKUP($C168,'[2]2.행정구역별 급수인구'!$C$7:$AD$997,27,FALSE)))</f>
        <v>123</v>
      </c>
      <c r="K168" s="302">
        <f>IF($D168="A",ROUND(VLOOKUP($C168,'[2]2.행정구역별 급수인구'!$C$7:$AD$997,28,FALSE)*$E168,0),IF($D168="B",(ROUND(VLOOKUP($C168,'[2]2.행정구역별 급수인구'!$C$7:$AD$997,28,FALSE)-VLOOKUP($C168,'[2]2.행정구역별 급수인구'!$C$7:$AD$997,28,FALSE)*(1-$E168),0)),VLOOKUP($C168,'[2]2.행정구역별 급수인구'!$C$7:$AD$997,28,FALSE)))</f>
        <v>125</v>
      </c>
      <c r="L168" s="302">
        <f>VLOOKUP($F168,'[3]5.급수원단위'!$B$31:$G$35,2,FALSE)</f>
        <v>272</v>
      </c>
      <c r="M168" s="302">
        <f>VLOOKUP($F168,'[3]5.급수원단위'!$B$31:$G$35,3,FALSE)</f>
        <v>304</v>
      </c>
      <c r="N168" s="302">
        <f>VLOOKUP($F168,'[3]5.급수원단위'!$B$31:$G$35,4,FALSE)</f>
        <v>308</v>
      </c>
      <c r="O168" s="302">
        <f>VLOOKUP($F168,'[3]5.급수원단위'!$B$31:$G$35,5,FALSE)</f>
        <v>310</v>
      </c>
      <c r="P168" s="302">
        <f>VLOOKUP($F168,'[3]5.급수원단위'!$B$31:$G$35,6,FALSE)</f>
        <v>310</v>
      </c>
      <c r="Q168" s="302">
        <f>ROUND(IF(G168=0,0,VLOOKUP(C168,'2013실사용량 정리'!$D$6:$F$381,3,FALSE)),0)</f>
        <v>0</v>
      </c>
      <c r="R168" s="302">
        <f t="shared" si="32"/>
        <v>0</v>
      </c>
      <c r="S168" s="302">
        <f t="shared" si="32"/>
        <v>37</v>
      </c>
      <c r="T168" s="302">
        <f t="shared" si="32"/>
        <v>38</v>
      </c>
      <c r="U168" s="302">
        <f t="shared" si="32"/>
        <v>39</v>
      </c>
      <c r="W168" s="343" t="str">
        <f t="shared" si="33"/>
        <v/>
      </c>
    </row>
    <row r="169" spans="1:23" ht="20.100000000000001" customHeight="1">
      <c r="A169" s="340"/>
      <c r="B169" s="340"/>
      <c r="C169" s="406" t="s">
        <v>1633</v>
      </c>
      <c r="D169" s="330"/>
      <c r="E169" s="527"/>
      <c r="F169" s="527" t="s">
        <v>1317</v>
      </c>
      <c r="G169" s="302">
        <f>IF($D169="A",ROUND(VLOOKUP($C169,'[2]2.행정구역별 급수인구'!$C$7:$AD$997,17,FALSE)*$E169,0),IF($D169="B",(ROUND(VLOOKUP($C169,'[2]2.행정구역별 급수인구'!$C$7:$AD$997,17,FALSE)-VLOOKUP($C169,'[2]2.행정구역별 급수인구'!$C$7:$AD$997,17,FALSE)*(1-$E169),0)),VLOOKUP($C169,'[2]2.행정구역별 급수인구'!$C$7:$AD$997,17,FALSE)))</f>
        <v>0</v>
      </c>
      <c r="H169" s="302">
        <f>IF($D169="A",ROUND(VLOOKUP($C169,'[2]2.행정구역별 급수인구'!$C$7:$AD$997,25,FALSE)*$E169,0),IF($D169="B",(ROUND(VLOOKUP($C169,'[2]2.행정구역별 급수인구'!$C$7:$AD$997,25,FALSE)-VLOOKUP($C169,'[2]2.행정구역별 급수인구'!$C$7:$AD$997,25,FALSE)*(1-$E169),0)),VLOOKUP($C169,'[2]2.행정구역별 급수인구'!$C$7:$AD$997,25,FALSE)))</f>
        <v>0</v>
      </c>
      <c r="I169" s="302">
        <f>IF($D169="A",ROUND(VLOOKUP($C169,'[2]2.행정구역별 급수인구'!$C$7:$AD$997,26,FALSE)*$E169,0),IF($D169="B",(ROUND(VLOOKUP($C169,'[2]2.행정구역별 급수인구'!$C$7:$AD$997,26,FALSE)-VLOOKUP($C169,'[2]2.행정구역별 급수인구'!$C$7:$AD$997,26,FALSE)*(1-$E169),0)),VLOOKUP($C169,'[2]2.행정구역별 급수인구'!$C$7:$AD$997,26,FALSE)))</f>
        <v>102</v>
      </c>
      <c r="J169" s="302">
        <f>IF($D169="A",ROUND(VLOOKUP($C169,'[2]2.행정구역별 급수인구'!$C$7:$AD$997,27,FALSE)*$E169,0),IF($D169="B",(ROUND(VLOOKUP($C169,'[2]2.행정구역별 급수인구'!$C$7:$AD$997,27,FALSE)-VLOOKUP($C169,'[2]2.행정구역별 급수인구'!$C$7:$AD$997,27,FALSE)*(1-$E169),0)),VLOOKUP($C169,'[2]2.행정구역별 급수인구'!$C$7:$AD$997,27,FALSE)))</f>
        <v>104</v>
      </c>
      <c r="K169" s="302">
        <f>IF($D169="A",ROUND(VLOOKUP($C169,'[2]2.행정구역별 급수인구'!$C$7:$AD$997,28,FALSE)*$E169,0),IF($D169="B",(ROUND(VLOOKUP($C169,'[2]2.행정구역별 급수인구'!$C$7:$AD$997,28,FALSE)-VLOOKUP($C169,'[2]2.행정구역별 급수인구'!$C$7:$AD$997,28,FALSE)*(1-$E169),0)),VLOOKUP($C169,'[2]2.행정구역별 급수인구'!$C$7:$AD$997,28,FALSE)))</f>
        <v>106</v>
      </c>
      <c r="L169" s="302">
        <f>VLOOKUP($F169,'[3]5.급수원단위'!$B$31:$G$35,2,FALSE)</f>
        <v>272</v>
      </c>
      <c r="M169" s="302">
        <f>VLOOKUP($F169,'[3]5.급수원단위'!$B$31:$G$35,3,FALSE)</f>
        <v>304</v>
      </c>
      <c r="N169" s="302">
        <f>VLOOKUP($F169,'[3]5.급수원단위'!$B$31:$G$35,4,FALSE)</f>
        <v>308</v>
      </c>
      <c r="O169" s="302">
        <f>VLOOKUP($F169,'[3]5.급수원단위'!$B$31:$G$35,5,FALSE)</f>
        <v>310</v>
      </c>
      <c r="P169" s="302">
        <f>VLOOKUP($F169,'[3]5.급수원단위'!$B$31:$G$35,6,FALSE)</f>
        <v>310</v>
      </c>
      <c r="Q169" s="302">
        <f>ROUND(IF(G169=0,0,VLOOKUP(C169,'2013실사용량 정리'!$D$6:$F$381,3,FALSE)),0)</f>
        <v>0</v>
      </c>
      <c r="R169" s="302">
        <f t="shared" si="32"/>
        <v>0</v>
      </c>
      <c r="S169" s="302">
        <f t="shared" si="32"/>
        <v>31</v>
      </c>
      <c r="T169" s="302">
        <f t="shared" si="32"/>
        <v>32</v>
      </c>
      <c r="U169" s="302">
        <f t="shared" si="32"/>
        <v>33</v>
      </c>
      <c r="W169" s="343" t="str">
        <f t="shared" si="33"/>
        <v/>
      </c>
    </row>
    <row r="170" spans="1:23" ht="20.100000000000001" customHeight="1">
      <c r="A170" s="340"/>
      <c r="B170" s="340"/>
      <c r="C170" s="406" t="s">
        <v>1634</v>
      </c>
      <c r="D170" s="330"/>
      <c r="E170" s="527"/>
      <c r="F170" s="527" t="s">
        <v>1317</v>
      </c>
      <c r="G170" s="302">
        <f>IF($D170="A",ROUND(VLOOKUP($C170,'[2]2.행정구역별 급수인구'!$C$7:$AD$997,17,FALSE)*$E170,0),IF($D170="B",(ROUND(VLOOKUP($C170,'[2]2.행정구역별 급수인구'!$C$7:$AD$997,17,FALSE)-VLOOKUP($C170,'[2]2.행정구역별 급수인구'!$C$7:$AD$997,17,FALSE)*(1-$E170),0)),VLOOKUP($C170,'[2]2.행정구역별 급수인구'!$C$7:$AD$997,17,FALSE)))</f>
        <v>0</v>
      </c>
      <c r="H170" s="302">
        <f>IF($D170="A",ROUND(VLOOKUP($C170,'[2]2.행정구역별 급수인구'!$C$7:$AD$997,25,FALSE)*$E170,0),IF($D170="B",(ROUND(VLOOKUP($C170,'[2]2.행정구역별 급수인구'!$C$7:$AD$997,25,FALSE)-VLOOKUP($C170,'[2]2.행정구역별 급수인구'!$C$7:$AD$997,25,FALSE)*(1-$E170),0)),VLOOKUP($C170,'[2]2.행정구역별 급수인구'!$C$7:$AD$997,25,FALSE)))</f>
        <v>0</v>
      </c>
      <c r="I170" s="302">
        <f>IF($D170="A",ROUND(VLOOKUP($C170,'[2]2.행정구역별 급수인구'!$C$7:$AD$997,26,FALSE)*$E170,0),IF($D170="B",(ROUND(VLOOKUP($C170,'[2]2.행정구역별 급수인구'!$C$7:$AD$997,26,FALSE)-VLOOKUP($C170,'[2]2.행정구역별 급수인구'!$C$7:$AD$997,26,FALSE)*(1-$E170),0)),VLOOKUP($C170,'[2]2.행정구역별 급수인구'!$C$7:$AD$997,26,FALSE)))</f>
        <v>54</v>
      </c>
      <c r="J170" s="302">
        <f>IF($D170="A",ROUND(VLOOKUP($C170,'[2]2.행정구역별 급수인구'!$C$7:$AD$997,27,FALSE)*$E170,0),IF($D170="B",(ROUND(VLOOKUP($C170,'[2]2.행정구역별 급수인구'!$C$7:$AD$997,27,FALSE)-VLOOKUP($C170,'[2]2.행정구역별 급수인구'!$C$7:$AD$997,27,FALSE)*(1-$E170),0)),VLOOKUP($C170,'[2]2.행정구역별 급수인구'!$C$7:$AD$997,27,FALSE)))</f>
        <v>56</v>
      </c>
      <c r="K170" s="302">
        <f>IF($D170="A",ROUND(VLOOKUP($C170,'[2]2.행정구역별 급수인구'!$C$7:$AD$997,28,FALSE)*$E170,0),IF($D170="B",(ROUND(VLOOKUP($C170,'[2]2.행정구역별 급수인구'!$C$7:$AD$997,28,FALSE)-VLOOKUP($C170,'[2]2.행정구역별 급수인구'!$C$7:$AD$997,28,FALSE)*(1-$E170),0)),VLOOKUP($C170,'[2]2.행정구역별 급수인구'!$C$7:$AD$997,28,FALSE)))</f>
        <v>57</v>
      </c>
      <c r="L170" s="302">
        <f>VLOOKUP($F170,'[3]5.급수원단위'!$B$31:$G$35,2,FALSE)</f>
        <v>272</v>
      </c>
      <c r="M170" s="302">
        <f>VLOOKUP($F170,'[3]5.급수원단위'!$B$31:$G$35,3,FALSE)</f>
        <v>304</v>
      </c>
      <c r="N170" s="302">
        <f>VLOOKUP($F170,'[3]5.급수원단위'!$B$31:$G$35,4,FALSE)</f>
        <v>308</v>
      </c>
      <c r="O170" s="302">
        <f>VLOOKUP($F170,'[3]5.급수원단위'!$B$31:$G$35,5,FALSE)</f>
        <v>310</v>
      </c>
      <c r="P170" s="302">
        <f>VLOOKUP($F170,'[3]5.급수원단위'!$B$31:$G$35,6,FALSE)</f>
        <v>310</v>
      </c>
      <c r="Q170" s="302">
        <f>ROUND(IF(G170=0,0,VLOOKUP(C170,'2013실사용량 정리'!$D$6:$F$381,3,FALSE)),0)</f>
        <v>0</v>
      </c>
      <c r="R170" s="302">
        <f t="shared" ref="R170:U176" si="34">ROUND(H170*M170/1000,0)</f>
        <v>0</v>
      </c>
      <c r="S170" s="302">
        <f t="shared" si="34"/>
        <v>17</v>
      </c>
      <c r="T170" s="302">
        <f t="shared" si="34"/>
        <v>17</v>
      </c>
      <c r="U170" s="302">
        <f t="shared" si="34"/>
        <v>18</v>
      </c>
      <c r="W170" s="343" t="str">
        <f t="shared" si="33"/>
        <v/>
      </c>
    </row>
    <row r="171" spans="1:23" ht="20.100000000000001" customHeight="1">
      <c r="A171" s="340"/>
      <c r="B171" s="340"/>
      <c r="C171" s="406" t="s">
        <v>1635</v>
      </c>
      <c r="D171" s="330"/>
      <c r="E171" s="527"/>
      <c r="F171" s="527" t="s">
        <v>1317</v>
      </c>
      <c r="G171" s="302">
        <f>IF($D171="A",ROUND(VLOOKUP($C171,'[2]2.행정구역별 급수인구'!$C$7:$AD$997,17,FALSE)*$E171,0),IF($D171="B",(ROUND(VLOOKUP($C171,'[2]2.행정구역별 급수인구'!$C$7:$AD$997,17,FALSE)-VLOOKUP($C171,'[2]2.행정구역별 급수인구'!$C$7:$AD$997,17,FALSE)*(1-$E171),0)),VLOOKUP($C171,'[2]2.행정구역별 급수인구'!$C$7:$AD$997,17,FALSE)))</f>
        <v>0</v>
      </c>
      <c r="H171" s="302">
        <f>IF($D171="A",ROUND(VLOOKUP($C171,'[2]2.행정구역별 급수인구'!$C$7:$AD$997,25,FALSE)*$E171,0),IF($D171="B",(ROUND(VLOOKUP($C171,'[2]2.행정구역별 급수인구'!$C$7:$AD$997,25,FALSE)-VLOOKUP($C171,'[2]2.행정구역별 급수인구'!$C$7:$AD$997,25,FALSE)*(1-$E171),0)),VLOOKUP($C171,'[2]2.행정구역별 급수인구'!$C$7:$AD$997,25,FALSE)))</f>
        <v>0</v>
      </c>
      <c r="I171" s="302">
        <f>IF($D171="A",ROUND(VLOOKUP($C171,'[2]2.행정구역별 급수인구'!$C$7:$AD$997,26,FALSE)*$E171,0),IF($D171="B",(ROUND(VLOOKUP($C171,'[2]2.행정구역별 급수인구'!$C$7:$AD$997,26,FALSE)-VLOOKUP($C171,'[2]2.행정구역별 급수인구'!$C$7:$AD$997,26,FALSE)*(1-$E171),0)),VLOOKUP($C171,'[2]2.행정구역별 급수인구'!$C$7:$AD$997,26,FALSE)))</f>
        <v>104</v>
      </c>
      <c r="J171" s="302">
        <f>IF($D171="A",ROUND(VLOOKUP($C171,'[2]2.행정구역별 급수인구'!$C$7:$AD$997,27,FALSE)*$E171,0),IF($D171="B",(ROUND(VLOOKUP($C171,'[2]2.행정구역별 급수인구'!$C$7:$AD$997,27,FALSE)-VLOOKUP($C171,'[2]2.행정구역별 급수인구'!$C$7:$AD$997,27,FALSE)*(1-$E171),0)),VLOOKUP($C171,'[2]2.행정구역별 급수인구'!$C$7:$AD$997,27,FALSE)))</f>
        <v>107</v>
      </c>
      <c r="K171" s="302">
        <f>IF($D171="A",ROUND(VLOOKUP($C171,'[2]2.행정구역별 급수인구'!$C$7:$AD$997,28,FALSE)*$E171,0),IF($D171="B",(ROUND(VLOOKUP($C171,'[2]2.행정구역별 급수인구'!$C$7:$AD$997,28,FALSE)-VLOOKUP($C171,'[2]2.행정구역별 급수인구'!$C$7:$AD$997,28,FALSE)*(1-$E171),0)),VLOOKUP($C171,'[2]2.행정구역별 급수인구'!$C$7:$AD$997,28,FALSE)))</f>
        <v>109</v>
      </c>
      <c r="L171" s="302">
        <f>VLOOKUP($F171,'[3]5.급수원단위'!$B$31:$G$35,2,FALSE)</f>
        <v>272</v>
      </c>
      <c r="M171" s="302">
        <f>VLOOKUP($F171,'[3]5.급수원단위'!$B$31:$G$35,3,FALSE)</f>
        <v>304</v>
      </c>
      <c r="N171" s="302">
        <f>VLOOKUP($F171,'[3]5.급수원단위'!$B$31:$G$35,4,FALSE)</f>
        <v>308</v>
      </c>
      <c r="O171" s="302">
        <f>VLOOKUP($F171,'[3]5.급수원단위'!$B$31:$G$35,5,FALSE)</f>
        <v>310</v>
      </c>
      <c r="P171" s="302">
        <f>VLOOKUP($F171,'[3]5.급수원단위'!$B$31:$G$35,6,FALSE)</f>
        <v>310</v>
      </c>
      <c r="Q171" s="302">
        <f>ROUND(IF(G171=0,0,VLOOKUP(C171,'2013실사용량 정리'!$D$6:$F$381,3,FALSE)),0)</f>
        <v>0</v>
      </c>
      <c r="R171" s="302">
        <f t="shared" si="34"/>
        <v>0</v>
      </c>
      <c r="S171" s="302">
        <f t="shared" si="34"/>
        <v>32</v>
      </c>
      <c r="T171" s="302">
        <f t="shared" si="34"/>
        <v>33</v>
      </c>
      <c r="U171" s="302">
        <f t="shared" si="34"/>
        <v>34</v>
      </c>
      <c r="W171" s="343" t="str">
        <f t="shared" si="33"/>
        <v/>
      </c>
    </row>
    <row r="172" spans="1:23" ht="20.100000000000001" customHeight="1">
      <c r="A172" s="340"/>
      <c r="B172" s="340"/>
      <c r="C172" s="406" t="s">
        <v>1636</v>
      </c>
      <c r="D172" s="330"/>
      <c r="E172" s="527"/>
      <c r="F172" s="527" t="s">
        <v>1317</v>
      </c>
      <c r="G172" s="302">
        <f>IF($D172="A",ROUND(VLOOKUP($C172,'[2]2.행정구역별 급수인구'!$C$7:$AD$997,17,FALSE)*$E172,0),IF($D172="B",(ROUND(VLOOKUP($C172,'[2]2.행정구역별 급수인구'!$C$7:$AD$997,17,FALSE)-VLOOKUP($C172,'[2]2.행정구역별 급수인구'!$C$7:$AD$997,17,FALSE)*(1-$E172),0)),VLOOKUP($C172,'[2]2.행정구역별 급수인구'!$C$7:$AD$997,17,FALSE)))</f>
        <v>0</v>
      </c>
      <c r="H172" s="302">
        <f>IF($D172="A",ROUND(VLOOKUP($C172,'[2]2.행정구역별 급수인구'!$C$7:$AD$997,25,FALSE)*$E172,0),IF($D172="B",(ROUND(VLOOKUP($C172,'[2]2.행정구역별 급수인구'!$C$7:$AD$997,25,FALSE)-VLOOKUP($C172,'[2]2.행정구역별 급수인구'!$C$7:$AD$997,25,FALSE)*(1-$E172),0)),VLOOKUP($C172,'[2]2.행정구역별 급수인구'!$C$7:$AD$997,25,FALSE)))</f>
        <v>0</v>
      </c>
      <c r="I172" s="302">
        <f>IF($D172="A",ROUND(VLOOKUP($C172,'[2]2.행정구역별 급수인구'!$C$7:$AD$997,26,FALSE)*$E172,0),IF($D172="B",(ROUND(VLOOKUP($C172,'[2]2.행정구역별 급수인구'!$C$7:$AD$997,26,FALSE)-VLOOKUP($C172,'[2]2.행정구역별 급수인구'!$C$7:$AD$997,26,FALSE)*(1-$E172),0)),VLOOKUP($C172,'[2]2.행정구역별 급수인구'!$C$7:$AD$997,26,FALSE)))</f>
        <v>44</v>
      </c>
      <c r="J172" s="302">
        <f>IF($D172="A",ROUND(VLOOKUP($C172,'[2]2.행정구역별 급수인구'!$C$7:$AD$997,27,FALSE)*$E172,0),IF($D172="B",(ROUND(VLOOKUP($C172,'[2]2.행정구역별 급수인구'!$C$7:$AD$997,27,FALSE)-VLOOKUP($C172,'[2]2.행정구역별 급수인구'!$C$7:$AD$997,27,FALSE)*(1-$E172),0)),VLOOKUP($C172,'[2]2.행정구역별 급수인구'!$C$7:$AD$997,27,FALSE)))</f>
        <v>45</v>
      </c>
      <c r="K172" s="302">
        <f>IF($D172="A",ROUND(VLOOKUP($C172,'[2]2.행정구역별 급수인구'!$C$7:$AD$997,28,FALSE)*$E172,0),IF($D172="B",(ROUND(VLOOKUP($C172,'[2]2.행정구역별 급수인구'!$C$7:$AD$997,28,FALSE)-VLOOKUP($C172,'[2]2.행정구역별 급수인구'!$C$7:$AD$997,28,FALSE)*(1-$E172),0)),VLOOKUP($C172,'[2]2.행정구역별 급수인구'!$C$7:$AD$997,28,FALSE)))</f>
        <v>46</v>
      </c>
      <c r="L172" s="302">
        <f>VLOOKUP($F172,'[3]5.급수원단위'!$B$31:$G$35,2,FALSE)</f>
        <v>272</v>
      </c>
      <c r="M172" s="302">
        <f>VLOOKUP($F172,'[3]5.급수원단위'!$B$31:$G$35,3,FALSE)</f>
        <v>304</v>
      </c>
      <c r="N172" s="302">
        <f>VLOOKUP($F172,'[3]5.급수원단위'!$B$31:$G$35,4,FALSE)</f>
        <v>308</v>
      </c>
      <c r="O172" s="302">
        <f>VLOOKUP($F172,'[3]5.급수원단위'!$B$31:$G$35,5,FALSE)</f>
        <v>310</v>
      </c>
      <c r="P172" s="302">
        <f>VLOOKUP($F172,'[3]5.급수원단위'!$B$31:$G$35,6,FALSE)</f>
        <v>310</v>
      </c>
      <c r="Q172" s="302">
        <f>ROUND(IF(G172=0,0,VLOOKUP(C172,'2013실사용량 정리'!$D$6:$F$381,3,FALSE)),0)</f>
        <v>0</v>
      </c>
      <c r="R172" s="302">
        <f t="shared" si="34"/>
        <v>0</v>
      </c>
      <c r="S172" s="302">
        <f t="shared" si="34"/>
        <v>14</v>
      </c>
      <c r="T172" s="302">
        <f t="shared" si="34"/>
        <v>14</v>
      </c>
      <c r="U172" s="302">
        <f t="shared" si="34"/>
        <v>14</v>
      </c>
      <c r="W172" s="343" t="str">
        <f t="shared" si="33"/>
        <v/>
      </c>
    </row>
    <row r="173" spans="1:23" ht="20.100000000000001" customHeight="1">
      <c r="A173" s="340"/>
      <c r="B173" s="340"/>
      <c r="C173" s="406" t="s">
        <v>1696</v>
      </c>
      <c r="D173" s="330"/>
      <c r="E173" s="527"/>
      <c r="F173" s="527" t="s">
        <v>1317</v>
      </c>
      <c r="G173" s="302">
        <f>IF($D173="A",ROUND(VLOOKUP($C173,'[2]2.행정구역별 급수인구'!$C$7:$AD$997,17,FALSE)*$E173,0),IF($D173="B",(ROUND(VLOOKUP($C173,'[2]2.행정구역별 급수인구'!$C$7:$AD$997,17,FALSE)-VLOOKUP($C173,'[2]2.행정구역별 급수인구'!$C$7:$AD$997,17,FALSE)*(1-$E173),0)),VLOOKUP($C173,'[2]2.행정구역별 급수인구'!$C$7:$AD$997,17,FALSE)))</f>
        <v>0</v>
      </c>
      <c r="H173" s="302">
        <f>IF($D173="A",ROUND(VLOOKUP($C173,'[2]2.행정구역별 급수인구'!$C$7:$AD$997,25,FALSE)*$E173,0),IF($D173="B",(ROUND(VLOOKUP($C173,'[2]2.행정구역별 급수인구'!$C$7:$AD$997,25,FALSE)-VLOOKUP($C173,'[2]2.행정구역별 급수인구'!$C$7:$AD$997,25,FALSE)*(1-$E173),0)),VLOOKUP($C173,'[2]2.행정구역별 급수인구'!$C$7:$AD$997,25,FALSE)))</f>
        <v>0</v>
      </c>
      <c r="I173" s="302">
        <f>IF($D173="A",ROUND(VLOOKUP($C173,'[2]2.행정구역별 급수인구'!$C$7:$AD$997,26,FALSE)*$E173,0),IF($D173="B",(ROUND(VLOOKUP($C173,'[2]2.행정구역별 급수인구'!$C$7:$AD$997,26,FALSE)-VLOOKUP($C173,'[2]2.행정구역별 급수인구'!$C$7:$AD$997,26,FALSE)*(1-$E173),0)),VLOOKUP($C173,'[2]2.행정구역별 급수인구'!$C$7:$AD$997,26,FALSE)))</f>
        <v>82</v>
      </c>
      <c r="J173" s="302">
        <f>IF($D173="A",ROUND(VLOOKUP($C173,'[2]2.행정구역별 급수인구'!$C$7:$AD$997,27,FALSE)*$E173,0),IF($D173="B",(ROUND(VLOOKUP($C173,'[2]2.행정구역별 급수인구'!$C$7:$AD$997,27,FALSE)-VLOOKUP($C173,'[2]2.행정구역별 급수인구'!$C$7:$AD$997,27,FALSE)*(1-$E173),0)),VLOOKUP($C173,'[2]2.행정구역별 급수인구'!$C$7:$AD$997,27,FALSE)))</f>
        <v>85</v>
      </c>
      <c r="K173" s="302">
        <f>IF($D173="A",ROUND(VLOOKUP($C173,'[2]2.행정구역별 급수인구'!$C$7:$AD$997,28,FALSE)*$E173,0),IF($D173="B",(ROUND(VLOOKUP($C173,'[2]2.행정구역별 급수인구'!$C$7:$AD$997,28,FALSE)-VLOOKUP($C173,'[2]2.행정구역별 급수인구'!$C$7:$AD$997,28,FALSE)*(1-$E173),0)),VLOOKUP($C173,'[2]2.행정구역별 급수인구'!$C$7:$AD$997,28,FALSE)))</f>
        <v>86</v>
      </c>
      <c r="L173" s="302">
        <f>VLOOKUP($F173,'[3]5.급수원단위'!$B$31:$G$35,2,FALSE)</f>
        <v>272</v>
      </c>
      <c r="M173" s="302">
        <f>VLOOKUP($F173,'[3]5.급수원단위'!$B$31:$G$35,3,FALSE)</f>
        <v>304</v>
      </c>
      <c r="N173" s="302">
        <f>VLOOKUP($F173,'[3]5.급수원단위'!$B$31:$G$35,4,FALSE)</f>
        <v>308</v>
      </c>
      <c r="O173" s="302">
        <f>VLOOKUP($F173,'[3]5.급수원단위'!$B$31:$G$35,5,FALSE)</f>
        <v>310</v>
      </c>
      <c r="P173" s="302">
        <f>VLOOKUP($F173,'[3]5.급수원단위'!$B$31:$G$35,6,FALSE)</f>
        <v>310</v>
      </c>
      <c r="Q173" s="302">
        <f>ROUND(IF(G173=0,0,VLOOKUP(C173,'2013실사용량 정리'!$D$6:$F$381,3,FALSE)),0)</f>
        <v>0</v>
      </c>
      <c r="R173" s="302">
        <f t="shared" si="34"/>
        <v>0</v>
      </c>
      <c r="S173" s="302">
        <f t="shared" si="34"/>
        <v>25</v>
      </c>
      <c r="T173" s="302">
        <f t="shared" si="34"/>
        <v>26</v>
      </c>
      <c r="U173" s="302">
        <f t="shared" si="34"/>
        <v>27</v>
      </c>
      <c r="W173" s="343" t="str">
        <f t="shared" si="33"/>
        <v/>
      </c>
    </row>
    <row r="174" spans="1:23" ht="20.100000000000001" customHeight="1">
      <c r="A174" s="340"/>
      <c r="B174" s="340"/>
      <c r="C174" s="406" t="s">
        <v>1697</v>
      </c>
      <c r="D174" s="330"/>
      <c r="E174" s="527"/>
      <c r="F174" s="527" t="s">
        <v>1317</v>
      </c>
      <c r="G174" s="302">
        <f>IF($D174="A",ROUND(VLOOKUP($C174,'[2]2.행정구역별 급수인구'!$C$7:$AD$997,17,FALSE)*$E174,0),IF($D174="B",(ROUND(VLOOKUP($C174,'[2]2.행정구역별 급수인구'!$C$7:$AD$997,17,FALSE)-VLOOKUP($C174,'[2]2.행정구역별 급수인구'!$C$7:$AD$997,17,FALSE)*(1-$E174),0)),VLOOKUP($C174,'[2]2.행정구역별 급수인구'!$C$7:$AD$997,17,FALSE)))</f>
        <v>0</v>
      </c>
      <c r="H174" s="302">
        <f>IF($D174="A",ROUND(VLOOKUP($C174,'[2]2.행정구역별 급수인구'!$C$7:$AD$997,25,FALSE)*$E174,0),IF($D174="B",(ROUND(VLOOKUP($C174,'[2]2.행정구역별 급수인구'!$C$7:$AD$997,25,FALSE)-VLOOKUP($C174,'[2]2.행정구역별 급수인구'!$C$7:$AD$997,25,FALSE)*(1-$E174),0)),VLOOKUP($C174,'[2]2.행정구역별 급수인구'!$C$7:$AD$997,25,FALSE)))</f>
        <v>0</v>
      </c>
      <c r="I174" s="302">
        <f>IF($D174="A",ROUND(VLOOKUP($C174,'[2]2.행정구역별 급수인구'!$C$7:$AD$997,26,FALSE)*$E174,0),IF($D174="B",(ROUND(VLOOKUP($C174,'[2]2.행정구역별 급수인구'!$C$7:$AD$997,26,FALSE)-VLOOKUP($C174,'[2]2.행정구역별 급수인구'!$C$7:$AD$997,26,FALSE)*(1-$E174),0)),VLOOKUP($C174,'[2]2.행정구역별 급수인구'!$C$7:$AD$997,26,FALSE)))</f>
        <v>89</v>
      </c>
      <c r="J174" s="302">
        <f>IF($D174="A",ROUND(VLOOKUP($C174,'[2]2.행정구역별 급수인구'!$C$7:$AD$997,27,FALSE)*$E174,0),IF($D174="B",(ROUND(VLOOKUP($C174,'[2]2.행정구역별 급수인구'!$C$7:$AD$997,27,FALSE)-VLOOKUP($C174,'[2]2.행정구역별 급수인구'!$C$7:$AD$997,27,FALSE)*(1-$E174),0)),VLOOKUP($C174,'[2]2.행정구역별 급수인구'!$C$7:$AD$997,27,FALSE)))</f>
        <v>90</v>
      </c>
      <c r="K174" s="302">
        <f>IF($D174="A",ROUND(VLOOKUP($C174,'[2]2.행정구역별 급수인구'!$C$7:$AD$997,28,FALSE)*$E174,0),IF($D174="B",(ROUND(VLOOKUP($C174,'[2]2.행정구역별 급수인구'!$C$7:$AD$997,28,FALSE)-VLOOKUP($C174,'[2]2.행정구역별 급수인구'!$C$7:$AD$997,28,FALSE)*(1-$E174),0)),VLOOKUP($C174,'[2]2.행정구역별 급수인구'!$C$7:$AD$997,28,FALSE)))</f>
        <v>92</v>
      </c>
      <c r="L174" s="302">
        <f>VLOOKUP($F174,'[3]5.급수원단위'!$B$31:$G$35,2,FALSE)</f>
        <v>272</v>
      </c>
      <c r="M174" s="302">
        <f>VLOOKUP($F174,'[3]5.급수원단위'!$B$31:$G$35,3,FALSE)</f>
        <v>304</v>
      </c>
      <c r="N174" s="302">
        <f>VLOOKUP($F174,'[3]5.급수원단위'!$B$31:$G$35,4,FALSE)</f>
        <v>308</v>
      </c>
      <c r="O174" s="302">
        <f>VLOOKUP($F174,'[3]5.급수원단위'!$B$31:$G$35,5,FALSE)</f>
        <v>310</v>
      </c>
      <c r="P174" s="302">
        <f>VLOOKUP($F174,'[3]5.급수원단위'!$B$31:$G$35,6,FALSE)</f>
        <v>310</v>
      </c>
      <c r="Q174" s="302">
        <f>ROUND(IF(G174=0,0,VLOOKUP(C174,'2013실사용량 정리'!$D$6:$F$381,3,FALSE)),0)</f>
        <v>0</v>
      </c>
      <c r="R174" s="302">
        <f t="shared" si="34"/>
        <v>0</v>
      </c>
      <c r="S174" s="302">
        <f t="shared" si="34"/>
        <v>27</v>
      </c>
      <c r="T174" s="302">
        <f t="shared" si="34"/>
        <v>28</v>
      </c>
      <c r="U174" s="302">
        <f t="shared" si="34"/>
        <v>29</v>
      </c>
      <c r="W174" s="343" t="str">
        <f t="shared" si="33"/>
        <v/>
      </c>
    </row>
    <row r="175" spans="1:23" ht="20.100000000000001" customHeight="1">
      <c r="A175" s="340"/>
      <c r="B175" s="340"/>
      <c r="C175" s="406" t="s">
        <v>1637</v>
      </c>
      <c r="D175" s="330"/>
      <c r="E175" s="527"/>
      <c r="F175" s="527" t="s">
        <v>1317</v>
      </c>
      <c r="G175" s="302">
        <f>IF($D175="A",ROUND(VLOOKUP($C175,'[2]2.행정구역별 급수인구'!$C$7:$AD$997,17,FALSE)*$E175,0),IF($D175="B",(ROUND(VLOOKUP($C175,'[2]2.행정구역별 급수인구'!$C$7:$AD$997,17,FALSE)-VLOOKUP($C175,'[2]2.행정구역별 급수인구'!$C$7:$AD$997,17,FALSE)*(1-$E175),0)),VLOOKUP($C175,'[2]2.행정구역별 급수인구'!$C$7:$AD$997,17,FALSE)))</f>
        <v>0</v>
      </c>
      <c r="H175" s="302">
        <f>IF($D175="A",ROUND(VLOOKUP($C175,'[2]2.행정구역별 급수인구'!$C$7:$AD$997,25,FALSE)*$E175,0),IF($D175="B",(ROUND(VLOOKUP($C175,'[2]2.행정구역별 급수인구'!$C$7:$AD$997,25,FALSE)-VLOOKUP($C175,'[2]2.행정구역별 급수인구'!$C$7:$AD$997,25,FALSE)*(1-$E175),0)),VLOOKUP($C175,'[2]2.행정구역별 급수인구'!$C$7:$AD$997,25,FALSE)))</f>
        <v>0</v>
      </c>
      <c r="I175" s="302">
        <f>IF($D175="A",ROUND(VLOOKUP($C175,'[2]2.행정구역별 급수인구'!$C$7:$AD$997,26,FALSE)*$E175,0),IF($D175="B",(ROUND(VLOOKUP($C175,'[2]2.행정구역별 급수인구'!$C$7:$AD$997,26,FALSE)-VLOOKUP($C175,'[2]2.행정구역별 급수인구'!$C$7:$AD$997,26,FALSE)*(1-$E175),0)),VLOOKUP($C175,'[2]2.행정구역별 급수인구'!$C$7:$AD$997,26,FALSE)))</f>
        <v>69</v>
      </c>
      <c r="J175" s="302">
        <f>IF($D175="A",ROUND(VLOOKUP($C175,'[2]2.행정구역별 급수인구'!$C$7:$AD$997,27,FALSE)*$E175,0),IF($D175="B",(ROUND(VLOOKUP($C175,'[2]2.행정구역별 급수인구'!$C$7:$AD$997,27,FALSE)-VLOOKUP($C175,'[2]2.행정구역별 급수인구'!$C$7:$AD$997,27,FALSE)*(1-$E175),0)),VLOOKUP($C175,'[2]2.행정구역별 급수인구'!$C$7:$AD$997,27,FALSE)))</f>
        <v>70</v>
      </c>
      <c r="K175" s="302">
        <f>IF($D175="A",ROUND(VLOOKUP($C175,'[2]2.행정구역별 급수인구'!$C$7:$AD$997,28,FALSE)*$E175,0),IF($D175="B",(ROUND(VLOOKUP($C175,'[2]2.행정구역별 급수인구'!$C$7:$AD$997,28,FALSE)-VLOOKUP($C175,'[2]2.행정구역별 급수인구'!$C$7:$AD$997,28,FALSE)*(1-$E175),0)),VLOOKUP($C175,'[2]2.행정구역별 급수인구'!$C$7:$AD$997,28,FALSE)))</f>
        <v>72</v>
      </c>
      <c r="L175" s="302">
        <f>VLOOKUP($F175,'[3]5.급수원단위'!$B$31:$G$35,2,FALSE)</f>
        <v>272</v>
      </c>
      <c r="M175" s="302">
        <f>VLOOKUP($F175,'[3]5.급수원단위'!$B$31:$G$35,3,FALSE)</f>
        <v>304</v>
      </c>
      <c r="N175" s="302">
        <f>VLOOKUP($F175,'[3]5.급수원단위'!$B$31:$G$35,4,FALSE)</f>
        <v>308</v>
      </c>
      <c r="O175" s="302">
        <f>VLOOKUP($F175,'[3]5.급수원단위'!$B$31:$G$35,5,FALSE)</f>
        <v>310</v>
      </c>
      <c r="P175" s="302">
        <f>VLOOKUP($F175,'[3]5.급수원단위'!$B$31:$G$35,6,FALSE)</f>
        <v>310</v>
      </c>
      <c r="Q175" s="302">
        <f>ROUND(IF(G175=0,0,VLOOKUP(C175,'2013실사용량 정리'!$D$6:$F$381,3,FALSE)),0)</f>
        <v>0</v>
      </c>
      <c r="R175" s="302">
        <f t="shared" si="34"/>
        <v>0</v>
      </c>
      <c r="S175" s="302">
        <f t="shared" si="34"/>
        <v>21</v>
      </c>
      <c r="T175" s="302">
        <f t="shared" si="34"/>
        <v>22</v>
      </c>
      <c r="U175" s="302">
        <f t="shared" si="34"/>
        <v>22</v>
      </c>
      <c r="W175" s="343" t="str">
        <f t="shared" si="33"/>
        <v/>
      </c>
    </row>
    <row r="176" spans="1:23" ht="20.100000000000001" customHeight="1">
      <c r="A176" s="340"/>
      <c r="B176" s="386"/>
      <c r="C176" s="406" t="s">
        <v>1638</v>
      </c>
      <c r="D176" s="330"/>
      <c r="E176" s="527"/>
      <c r="F176" s="527" t="s">
        <v>1317</v>
      </c>
      <c r="G176" s="302">
        <f>IF($D176="A",ROUND(VLOOKUP($C176,'[2]2.행정구역별 급수인구'!$C$7:$AD$997,17,FALSE)*$E176,0),IF($D176="B",(ROUND(VLOOKUP($C176,'[2]2.행정구역별 급수인구'!$C$7:$AD$997,17,FALSE)-VLOOKUP($C176,'[2]2.행정구역별 급수인구'!$C$7:$AD$997,17,FALSE)*(1-$E176),0)),VLOOKUP($C176,'[2]2.행정구역별 급수인구'!$C$7:$AD$997,17,FALSE)))</f>
        <v>0</v>
      </c>
      <c r="H176" s="302">
        <f>IF($D176="A",ROUND(VLOOKUP($C176,'[2]2.행정구역별 급수인구'!$C$7:$AD$997,25,FALSE)*$E176,0),IF($D176="B",(ROUND(VLOOKUP($C176,'[2]2.행정구역별 급수인구'!$C$7:$AD$997,25,FALSE)-VLOOKUP($C176,'[2]2.행정구역별 급수인구'!$C$7:$AD$997,25,FALSE)*(1-$E176),0)),VLOOKUP($C176,'[2]2.행정구역별 급수인구'!$C$7:$AD$997,25,FALSE)))</f>
        <v>0</v>
      </c>
      <c r="I176" s="302">
        <f>IF($D176="A",ROUND(VLOOKUP($C176,'[2]2.행정구역별 급수인구'!$C$7:$AD$997,26,FALSE)*$E176,0),IF($D176="B",(ROUND(VLOOKUP($C176,'[2]2.행정구역별 급수인구'!$C$7:$AD$997,26,FALSE)-VLOOKUP($C176,'[2]2.행정구역별 급수인구'!$C$7:$AD$997,26,FALSE)*(1-$E176),0)),VLOOKUP($C176,'[2]2.행정구역별 급수인구'!$C$7:$AD$997,26,FALSE)))</f>
        <v>103</v>
      </c>
      <c r="J176" s="302">
        <f>IF($D176="A",ROUND(VLOOKUP($C176,'[2]2.행정구역별 급수인구'!$C$7:$AD$997,27,FALSE)*$E176,0),IF($D176="B",(ROUND(VLOOKUP($C176,'[2]2.행정구역별 급수인구'!$C$7:$AD$997,27,FALSE)-VLOOKUP($C176,'[2]2.행정구역별 급수인구'!$C$7:$AD$997,27,FALSE)*(1-$E176),0)),VLOOKUP($C176,'[2]2.행정구역별 급수인구'!$C$7:$AD$997,27,FALSE)))</f>
        <v>106</v>
      </c>
      <c r="K176" s="302">
        <f>IF($D176="A",ROUND(VLOOKUP($C176,'[2]2.행정구역별 급수인구'!$C$7:$AD$997,28,FALSE)*$E176,0),IF($D176="B",(ROUND(VLOOKUP($C176,'[2]2.행정구역별 급수인구'!$C$7:$AD$997,28,FALSE)-VLOOKUP($C176,'[2]2.행정구역별 급수인구'!$C$7:$AD$997,28,FALSE)*(1-$E176),0)),VLOOKUP($C176,'[2]2.행정구역별 급수인구'!$C$7:$AD$997,28,FALSE)))</f>
        <v>108</v>
      </c>
      <c r="L176" s="302">
        <f>VLOOKUP($F176,'[3]5.급수원단위'!$B$31:$G$35,2,FALSE)</f>
        <v>272</v>
      </c>
      <c r="M176" s="302">
        <f>VLOOKUP($F176,'[3]5.급수원단위'!$B$31:$G$35,3,FALSE)</f>
        <v>304</v>
      </c>
      <c r="N176" s="302">
        <f>VLOOKUP($F176,'[3]5.급수원단위'!$B$31:$G$35,4,FALSE)</f>
        <v>308</v>
      </c>
      <c r="O176" s="302">
        <f>VLOOKUP($F176,'[3]5.급수원단위'!$B$31:$G$35,5,FALSE)</f>
        <v>310</v>
      </c>
      <c r="P176" s="302">
        <f>VLOOKUP($F176,'[3]5.급수원단위'!$B$31:$G$35,6,FALSE)</f>
        <v>310</v>
      </c>
      <c r="Q176" s="302">
        <f>ROUND(IF(G176=0,0,VLOOKUP(C176,'2013실사용량 정리'!$D$6:$F$381,3,FALSE)),0)</f>
        <v>0</v>
      </c>
      <c r="R176" s="302">
        <f t="shared" si="34"/>
        <v>0</v>
      </c>
      <c r="S176" s="302">
        <f t="shared" si="34"/>
        <v>32</v>
      </c>
      <c r="T176" s="302">
        <f t="shared" si="34"/>
        <v>33</v>
      </c>
      <c r="U176" s="302">
        <f t="shared" si="34"/>
        <v>33</v>
      </c>
      <c r="W176" s="343" t="str">
        <f t="shared" si="33"/>
        <v/>
      </c>
    </row>
    <row r="177" spans="1:23" ht="20.100000000000001" customHeight="1">
      <c r="A177" s="340"/>
      <c r="B177" s="694" t="s">
        <v>708</v>
      </c>
      <c r="C177" s="694"/>
      <c r="D177" s="694"/>
      <c r="E177" s="331"/>
      <c r="F177" s="331"/>
      <c r="G177" s="336">
        <f>SUM(G178:G220)</f>
        <v>0</v>
      </c>
      <c r="H177" s="336">
        <f t="shared" ref="H177:K177" si="35">SUM(H178:H220)</f>
        <v>0</v>
      </c>
      <c r="I177" s="336">
        <f t="shared" si="35"/>
        <v>171</v>
      </c>
      <c r="J177" s="336">
        <f t="shared" si="35"/>
        <v>176</v>
      </c>
      <c r="K177" s="336">
        <f t="shared" si="35"/>
        <v>180</v>
      </c>
      <c r="L177" s="336"/>
      <c r="M177" s="336"/>
      <c r="N177" s="336"/>
      <c r="O177" s="336"/>
      <c r="P177" s="336"/>
      <c r="Q177" s="336">
        <f t="shared" ref="Q177:U177" si="36">SUM(Q178:Q220)</f>
        <v>0</v>
      </c>
      <c r="R177" s="336">
        <f t="shared" si="36"/>
        <v>0</v>
      </c>
      <c r="S177" s="336">
        <f t="shared" si="36"/>
        <v>53</v>
      </c>
      <c r="T177" s="336">
        <f t="shared" si="36"/>
        <v>55</v>
      </c>
      <c r="U177" s="336">
        <f t="shared" si="36"/>
        <v>56</v>
      </c>
      <c r="V177" s="343">
        <f>VLOOKUP(B177,'2013년도 용수량 비율'!$A$5:$F$20,6,FALSE)</f>
        <v>1.62</v>
      </c>
      <c r="W177" s="343" t="str">
        <f t="shared" si="33"/>
        <v/>
      </c>
    </row>
    <row r="178" spans="1:23" ht="20.100000000000001" customHeight="1">
      <c r="A178" s="340"/>
      <c r="B178" s="339"/>
      <c r="C178" s="406" t="s">
        <v>1573</v>
      </c>
      <c r="D178" s="330" t="s">
        <v>1869</v>
      </c>
      <c r="E178" s="527">
        <f>1-E105</f>
        <v>0</v>
      </c>
      <c r="F178" s="527" t="s">
        <v>756</v>
      </c>
      <c r="G178" s="302">
        <f>IF($D178="A",ROUND(VLOOKUP($C178,'[2]2.행정구역별 급수인구'!$C$7:$AD$997,17,FALSE)*$E178,0),IF($D178="B",(ROUND(VLOOKUP($C178,'[2]2.행정구역별 급수인구'!$C$7:$AD$997,17,FALSE)-VLOOKUP($C178,'[2]2.행정구역별 급수인구'!$C$7:$AD$997,17,FALSE)*(1-$E178),0)),VLOOKUP($C178,'[2]2.행정구역별 급수인구'!$C$7:$AD$997,17,FALSE)))</f>
        <v>0</v>
      </c>
      <c r="H178" s="302">
        <f>IF($D178="A",ROUND(VLOOKUP($C178,'[2]2.행정구역별 급수인구'!$C$7:$AD$997,25,FALSE)*$E178,0),IF($D178="B",(ROUND(VLOOKUP($C178,'[2]2.행정구역별 급수인구'!$C$7:$AD$997,25,FALSE)-VLOOKUP($C178,'[2]2.행정구역별 급수인구'!$C$7:$AD$997,25,FALSE)*(1-$E178),0)),VLOOKUP($C178,'[2]2.행정구역별 급수인구'!$C$7:$AD$997,25,FALSE)))</f>
        <v>0</v>
      </c>
      <c r="I178" s="302">
        <f>IF($D178="A",ROUND(VLOOKUP($C178,'[2]2.행정구역별 급수인구'!$C$7:$AD$997,26,FALSE)*$E178,0),IF($D178="B",(ROUND(VLOOKUP($C178,'[2]2.행정구역별 급수인구'!$C$7:$AD$997,26,FALSE)-VLOOKUP($C178,'[2]2.행정구역별 급수인구'!$C$7:$AD$997,26,FALSE)*(1-$E178),0)),VLOOKUP($C178,'[2]2.행정구역별 급수인구'!$C$7:$AD$997,26,FALSE)))</f>
        <v>0</v>
      </c>
      <c r="J178" s="302">
        <f>IF($D178="A",ROUND(VLOOKUP($C178,'[2]2.행정구역별 급수인구'!$C$7:$AD$997,27,FALSE)*$E178,0),IF($D178="B",(ROUND(VLOOKUP($C178,'[2]2.행정구역별 급수인구'!$C$7:$AD$997,27,FALSE)-VLOOKUP($C178,'[2]2.행정구역별 급수인구'!$C$7:$AD$997,27,FALSE)*(1-$E178),0)),VLOOKUP($C178,'[2]2.행정구역별 급수인구'!$C$7:$AD$997,27,FALSE)))</f>
        <v>0</v>
      </c>
      <c r="K178" s="302">
        <f>IF($D178="A",ROUND(VLOOKUP($C178,'[2]2.행정구역별 급수인구'!$C$7:$AD$997,28,FALSE)*$E178,0),IF($D178="B",(ROUND(VLOOKUP($C178,'[2]2.행정구역별 급수인구'!$C$7:$AD$997,28,FALSE)-VLOOKUP($C178,'[2]2.행정구역별 급수인구'!$C$7:$AD$997,28,FALSE)*(1-$E178),0)),VLOOKUP($C178,'[2]2.행정구역별 급수인구'!$C$7:$AD$997,28,FALSE)))</f>
        <v>0</v>
      </c>
      <c r="L178" s="302">
        <f>VLOOKUP($F178,'[3]5.급수원단위'!$B$31:$G$35,2,FALSE)</f>
        <v>272</v>
      </c>
      <c r="M178" s="302">
        <f>VLOOKUP($F178,'[3]5.급수원단위'!$B$31:$G$35,3,FALSE)</f>
        <v>304</v>
      </c>
      <c r="N178" s="302">
        <f>VLOOKUP($F178,'[3]5.급수원단위'!$B$31:$G$35,4,FALSE)</f>
        <v>308</v>
      </c>
      <c r="O178" s="302">
        <f>VLOOKUP($F178,'[3]5.급수원단위'!$B$31:$G$35,5,FALSE)</f>
        <v>310</v>
      </c>
      <c r="P178" s="302">
        <f>VLOOKUP($F178,'[3]5.급수원단위'!$B$31:$G$35,6,FALSE)</f>
        <v>310</v>
      </c>
      <c r="Q178" s="302">
        <f>ROUND(IF(G178=0,0,VLOOKUP(C178,'2013실사용량 정리'!$D$6:$F$381,3,FALSE)),0)</f>
        <v>0</v>
      </c>
      <c r="R178" s="302">
        <f t="shared" ref="R178:R220" si="37">ROUND(H178*M178/1000,0)</f>
        <v>0</v>
      </c>
      <c r="S178" s="302">
        <f t="shared" ref="S178:S220" si="38">ROUND(I178*N178/1000,0)</f>
        <v>0</v>
      </c>
      <c r="T178" s="302">
        <f t="shared" ref="T178:T220" si="39">ROUND(J178*O178/1000,0)</f>
        <v>0</v>
      </c>
      <c r="U178" s="302">
        <f t="shared" ref="U178:U220" si="40">ROUND(K178*P178/1000,0)</f>
        <v>0</v>
      </c>
      <c r="W178" s="343" t="str">
        <f t="shared" si="33"/>
        <v/>
      </c>
    </row>
    <row r="179" spans="1:23" ht="20.100000000000001" customHeight="1">
      <c r="A179" s="386"/>
      <c r="B179" s="386"/>
      <c r="C179" s="406" t="s">
        <v>1574</v>
      </c>
      <c r="D179" s="330" t="s">
        <v>1869</v>
      </c>
      <c r="E179" s="527">
        <f t="shared" ref="E179:E220" si="41">1-E106</f>
        <v>0</v>
      </c>
      <c r="F179" s="527" t="s">
        <v>756</v>
      </c>
      <c r="G179" s="302">
        <f>IF($D179="A",ROUND(VLOOKUP($C179,'[2]2.행정구역별 급수인구'!$C$7:$AD$997,17,FALSE)*$E179,0),IF($D179="B",(ROUND(VLOOKUP($C179,'[2]2.행정구역별 급수인구'!$C$7:$AD$997,17,FALSE)-VLOOKUP($C179,'[2]2.행정구역별 급수인구'!$C$7:$AD$997,17,FALSE)*(1-$E179),0)),VLOOKUP($C179,'[2]2.행정구역별 급수인구'!$C$7:$AD$997,17,FALSE)))</f>
        <v>0</v>
      </c>
      <c r="H179" s="302">
        <f>IF($D179="A",ROUND(VLOOKUP($C179,'[2]2.행정구역별 급수인구'!$C$7:$AD$997,25,FALSE)*$E179,0),IF($D179="B",(ROUND(VLOOKUP($C179,'[2]2.행정구역별 급수인구'!$C$7:$AD$997,25,FALSE)-VLOOKUP($C179,'[2]2.행정구역별 급수인구'!$C$7:$AD$997,25,FALSE)*(1-$E179),0)),VLOOKUP($C179,'[2]2.행정구역별 급수인구'!$C$7:$AD$997,25,FALSE)))</f>
        <v>0</v>
      </c>
      <c r="I179" s="302">
        <f>IF($D179="A",ROUND(VLOOKUP($C179,'[2]2.행정구역별 급수인구'!$C$7:$AD$997,26,FALSE)*$E179,0),IF($D179="B",(ROUND(VLOOKUP($C179,'[2]2.행정구역별 급수인구'!$C$7:$AD$997,26,FALSE)-VLOOKUP($C179,'[2]2.행정구역별 급수인구'!$C$7:$AD$997,26,FALSE)*(1-$E179),0)),VLOOKUP($C179,'[2]2.행정구역별 급수인구'!$C$7:$AD$997,26,FALSE)))</f>
        <v>0</v>
      </c>
      <c r="J179" s="302">
        <f>IF($D179="A",ROUND(VLOOKUP($C179,'[2]2.행정구역별 급수인구'!$C$7:$AD$997,27,FALSE)*$E179,0),IF($D179="B",(ROUND(VLOOKUP($C179,'[2]2.행정구역별 급수인구'!$C$7:$AD$997,27,FALSE)-VLOOKUP($C179,'[2]2.행정구역별 급수인구'!$C$7:$AD$997,27,FALSE)*(1-$E179),0)),VLOOKUP($C179,'[2]2.행정구역별 급수인구'!$C$7:$AD$997,27,FALSE)))</f>
        <v>0</v>
      </c>
      <c r="K179" s="302">
        <f>IF($D179="A",ROUND(VLOOKUP($C179,'[2]2.행정구역별 급수인구'!$C$7:$AD$997,28,FALSE)*$E179,0),IF($D179="B",(ROUND(VLOOKUP($C179,'[2]2.행정구역별 급수인구'!$C$7:$AD$997,28,FALSE)-VLOOKUP($C179,'[2]2.행정구역별 급수인구'!$C$7:$AD$997,28,FALSE)*(1-$E179),0)),VLOOKUP($C179,'[2]2.행정구역별 급수인구'!$C$7:$AD$997,28,FALSE)))</f>
        <v>0</v>
      </c>
      <c r="L179" s="302">
        <f>VLOOKUP($F179,'[3]5.급수원단위'!$B$31:$G$35,2,FALSE)</f>
        <v>272</v>
      </c>
      <c r="M179" s="302">
        <f>VLOOKUP($F179,'[3]5.급수원단위'!$B$31:$G$35,3,FALSE)</f>
        <v>304</v>
      </c>
      <c r="N179" s="302">
        <f>VLOOKUP($F179,'[3]5.급수원단위'!$B$31:$G$35,4,FALSE)</f>
        <v>308</v>
      </c>
      <c r="O179" s="302">
        <f>VLOOKUP($F179,'[3]5.급수원단위'!$B$31:$G$35,5,FALSE)</f>
        <v>310</v>
      </c>
      <c r="P179" s="302">
        <f>VLOOKUP($F179,'[3]5.급수원단위'!$B$31:$G$35,6,FALSE)</f>
        <v>310</v>
      </c>
      <c r="Q179" s="302">
        <f>ROUND(IF(G179=0,0,VLOOKUP(C179,'2013실사용량 정리'!$D$6:$F$381,3,FALSE)),0)</f>
        <v>0</v>
      </c>
      <c r="R179" s="302">
        <f t="shared" si="37"/>
        <v>0</v>
      </c>
      <c r="S179" s="302">
        <f t="shared" si="38"/>
        <v>0</v>
      </c>
      <c r="T179" s="302">
        <f t="shared" si="39"/>
        <v>0</v>
      </c>
      <c r="U179" s="302">
        <f t="shared" si="40"/>
        <v>0</v>
      </c>
      <c r="W179" s="343" t="str">
        <f t="shared" si="33"/>
        <v/>
      </c>
    </row>
    <row r="180" spans="1:23" ht="20.100000000000001" customHeight="1">
      <c r="A180" s="339"/>
      <c r="B180" s="339"/>
      <c r="C180" s="406" t="s">
        <v>1575</v>
      </c>
      <c r="D180" s="330" t="s">
        <v>1869</v>
      </c>
      <c r="E180" s="527">
        <f t="shared" si="41"/>
        <v>0</v>
      </c>
      <c r="F180" s="527" t="s">
        <v>756</v>
      </c>
      <c r="G180" s="302">
        <f>IF($D180="A",ROUND(VLOOKUP($C180,'[2]2.행정구역별 급수인구'!$C$7:$AD$997,17,FALSE)*$E180,0),IF($D180="B",(ROUND(VLOOKUP($C180,'[2]2.행정구역별 급수인구'!$C$7:$AD$997,17,FALSE)-VLOOKUP($C180,'[2]2.행정구역별 급수인구'!$C$7:$AD$997,17,FALSE)*(1-$E180),0)),VLOOKUP($C180,'[2]2.행정구역별 급수인구'!$C$7:$AD$997,17,FALSE)))</f>
        <v>0</v>
      </c>
      <c r="H180" s="302">
        <f>IF($D180="A",ROUND(VLOOKUP($C180,'[2]2.행정구역별 급수인구'!$C$7:$AD$997,25,FALSE)*$E180,0),IF($D180="B",(ROUND(VLOOKUP($C180,'[2]2.행정구역별 급수인구'!$C$7:$AD$997,25,FALSE)-VLOOKUP($C180,'[2]2.행정구역별 급수인구'!$C$7:$AD$997,25,FALSE)*(1-$E180),0)),VLOOKUP($C180,'[2]2.행정구역별 급수인구'!$C$7:$AD$997,25,FALSE)))</f>
        <v>0</v>
      </c>
      <c r="I180" s="302">
        <f>IF($D180="A",ROUND(VLOOKUP($C180,'[2]2.행정구역별 급수인구'!$C$7:$AD$997,26,FALSE)*$E180,0),IF($D180="B",(ROUND(VLOOKUP($C180,'[2]2.행정구역별 급수인구'!$C$7:$AD$997,26,FALSE)-VLOOKUP($C180,'[2]2.행정구역별 급수인구'!$C$7:$AD$997,26,FALSE)*(1-$E180),0)),VLOOKUP($C180,'[2]2.행정구역별 급수인구'!$C$7:$AD$997,26,FALSE)))</f>
        <v>0</v>
      </c>
      <c r="J180" s="302">
        <f>IF($D180="A",ROUND(VLOOKUP($C180,'[2]2.행정구역별 급수인구'!$C$7:$AD$997,27,FALSE)*$E180,0),IF($D180="B",(ROUND(VLOOKUP($C180,'[2]2.행정구역별 급수인구'!$C$7:$AD$997,27,FALSE)-VLOOKUP($C180,'[2]2.행정구역별 급수인구'!$C$7:$AD$997,27,FALSE)*(1-$E180),0)),VLOOKUP($C180,'[2]2.행정구역별 급수인구'!$C$7:$AD$997,27,FALSE)))</f>
        <v>0</v>
      </c>
      <c r="K180" s="302">
        <f>IF($D180="A",ROUND(VLOOKUP($C180,'[2]2.행정구역별 급수인구'!$C$7:$AD$997,28,FALSE)*$E180,0),IF($D180="B",(ROUND(VLOOKUP($C180,'[2]2.행정구역별 급수인구'!$C$7:$AD$997,28,FALSE)-VLOOKUP($C180,'[2]2.행정구역별 급수인구'!$C$7:$AD$997,28,FALSE)*(1-$E180),0)),VLOOKUP($C180,'[2]2.행정구역별 급수인구'!$C$7:$AD$997,28,FALSE)))</f>
        <v>0</v>
      </c>
      <c r="L180" s="302">
        <f>VLOOKUP($F180,'[3]5.급수원단위'!$B$31:$G$35,2,FALSE)</f>
        <v>272</v>
      </c>
      <c r="M180" s="302">
        <f>VLOOKUP($F180,'[3]5.급수원단위'!$B$31:$G$35,3,FALSE)</f>
        <v>304</v>
      </c>
      <c r="N180" s="302">
        <f>VLOOKUP($F180,'[3]5.급수원단위'!$B$31:$G$35,4,FALSE)</f>
        <v>308</v>
      </c>
      <c r="O180" s="302">
        <f>VLOOKUP($F180,'[3]5.급수원단위'!$B$31:$G$35,5,FALSE)</f>
        <v>310</v>
      </c>
      <c r="P180" s="302">
        <f>VLOOKUP($F180,'[3]5.급수원단위'!$B$31:$G$35,6,FALSE)</f>
        <v>310</v>
      </c>
      <c r="Q180" s="302">
        <f>ROUND(IF(G180=0,0,VLOOKUP(C180,'2013실사용량 정리'!$D$6:$F$381,3,FALSE)),0)</f>
        <v>0</v>
      </c>
      <c r="R180" s="302">
        <f t="shared" si="37"/>
        <v>0</v>
      </c>
      <c r="S180" s="302">
        <f t="shared" si="38"/>
        <v>0</v>
      </c>
      <c r="T180" s="302">
        <f t="shared" si="39"/>
        <v>0</v>
      </c>
      <c r="U180" s="302">
        <f t="shared" si="40"/>
        <v>0</v>
      </c>
      <c r="W180" s="343" t="str">
        <f t="shared" si="33"/>
        <v/>
      </c>
    </row>
    <row r="181" spans="1:23" ht="20.100000000000001" customHeight="1">
      <c r="A181" s="340"/>
      <c r="B181" s="340"/>
      <c r="C181" s="406" t="s">
        <v>1576</v>
      </c>
      <c r="D181" s="330" t="s">
        <v>1869</v>
      </c>
      <c r="E181" s="527">
        <f t="shared" si="41"/>
        <v>0</v>
      </c>
      <c r="F181" s="527" t="s">
        <v>756</v>
      </c>
      <c r="G181" s="302">
        <f>IF($D181="A",ROUND(VLOOKUP($C181,'[2]2.행정구역별 급수인구'!$C$7:$AD$997,17,FALSE)*$E181,0),IF($D181="B",(ROUND(VLOOKUP($C181,'[2]2.행정구역별 급수인구'!$C$7:$AD$997,17,FALSE)-VLOOKUP($C181,'[2]2.행정구역별 급수인구'!$C$7:$AD$997,17,FALSE)*(1-$E181),0)),VLOOKUP($C181,'[2]2.행정구역별 급수인구'!$C$7:$AD$997,17,FALSE)))</f>
        <v>0</v>
      </c>
      <c r="H181" s="302">
        <f>IF($D181="A",ROUND(VLOOKUP($C181,'[2]2.행정구역별 급수인구'!$C$7:$AD$997,25,FALSE)*$E181,0),IF($D181="B",(ROUND(VLOOKUP($C181,'[2]2.행정구역별 급수인구'!$C$7:$AD$997,25,FALSE)-VLOOKUP($C181,'[2]2.행정구역별 급수인구'!$C$7:$AD$997,25,FALSE)*(1-$E181),0)),VLOOKUP($C181,'[2]2.행정구역별 급수인구'!$C$7:$AD$997,25,FALSE)))</f>
        <v>0</v>
      </c>
      <c r="I181" s="302">
        <f>IF($D181="A",ROUND(VLOOKUP($C181,'[2]2.행정구역별 급수인구'!$C$7:$AD$997,26,FALSE)*$E181,0),IF($D181="B",(ROUND(VLOOKUP($C181,'[2]2.행정구역별 급수인구'!$C$7:$AD$997,26,FALSE)-VLOOKUP($C181,'[2]2.행정구역별 급수인구'!$C$7:$AD$997,26,FALSE)*(1-$E181),0)),VLOOKUP($C181,'[2]2.행정구역별 급수인구'!$C$7:$AD$997,26,FALSE)))</f>
        <v>0</v>
      </c>
      <c r="J181" s="302">
        <f>IF($D181="A",ROUND(VLOOKUP($C181,'[2]2.행정구역별 급수인구'!$C$7:$AD$997,27,FALSE)*$E181,0),IF($D181="B",(ROUND(VLOOKUP($C181,'[2]2.행정구역별 급수인구'!$C$7:$AD$997,27,FALSE)-VLOOKUP($C181,'[2]2.행정구역별 급수인구'!$C$7:$AD$997,27,FALSE)*(1-$E181),0)),VLOOKUP($C181,'[2]2.행정구역별 급수인구'!$C$7:$AD$997,27,FALSE)))</f>
        <v>0</v>
      </c>
      <c r="K181" s="302">
        <f>IF($D181="A",ROUND(VLOOKUP($C181,'[2]2.행정구역별 급수인구'!$C$7:$AD$997,28,FALSE)*$E181,0),IF($D181="B",(ROUND(VLOOKUP($C181,'[2]2.행정구역별 급수인구'!$C$7:$AD$997,28,FALSE)-VLOOKUP($C181,'[2]2.행정구역별 급수인구'!$C$7:$AD$997,28,FALSE)*(1-$E181),0)),VLOOKUP($C181,'[2]2.행정구역별 급수인구'!$C$7:$AD$997,28,FALSE)))</f>
        <v>0</v>
      </c>
      <c r="L181" s="302">
        <f>VLOOKUP($F181,'[3]5.급수원단위'!$B$31:$G$35,2,FALSE)</f>
        <v>272</v>
      </c>
      <c r="M181" s="302">
        <f>VLOOKUP($F181,'[3]5.급수원단위'!$B$31:$G$35,3,FALSE)</f>
        <v>304</v>
      </c>
      <c r="N181" s="302">
        <f>VLOOKUP($F181,'[3]5.급수원단위'!$B$31:$G$35,4,FALSE)</f>
        <v>308</v>
      </c>
      <c r="O181" s="302">
        <f>VLOOKUP($F181,'[3]5.급수원단위'!$B$31:$G$35,5,FALSE)</f>
        <v>310</v>
      </c>
      <c r="P181" s="302">
        <f>VLOOKUP($F181,'[3]5.급수원단위'!$B$31:$G$35,6,FALSE)</f>
        <v>310</v>
      </c>
      <c r="Q181" s="302">
        <f>ROUND(IF(G181=0,0,VLOOKUP(C181,'2013실사용량 정리'!$D$6:$F$381,3,FALSE)),0)</f>
        <v>0</v>
      </c>
      <c r="R181" s="302">
        <f t="shared" si="37"/>
        <v>0</v>
      </c>
      <c r="S181" s="302">
        <f t="shared" si="38"/>
        <v>0</v>
      </c>
      <c r="T181" s="302">
        <f t="shared" si="39"/>
        <v>0</v>
      </c>
      <c r="U181" s="302">
        <f t="shared" si="40"/>
        <v>0</v>
      </c>
      <c r="W181" s="343" t="str">
        <f t="shared" si="33"/>
        <v/>
      </c>
    </row>
    <row r="182" spans="1:23" ht="20.100000000000001" customHeight="1">
      <c r="A182" s="340"/>
      <c r="B182" s="340"/>
      <c r="C182" s="406" t="s">
        <v>1577</v>
      </c>
      <c r="D182" s="330" t="s">
        <v>1869</v>
      </c>
      <c r="E182" s="527">
        <f t="shared" si="41"/>
        <v>0</v>
      </c>
      <c r="F182" s="527" t="s">
        <v>756</v>
      </c>
      <c r="G182" s="302">
        <f>IF($D182="A",ROUND(VLOOKUP($C182,'[2]2.행정구역별 급수인구'!$C$7:$AD$997,17,FALSE)*$E182,0),IF($D182="B",(ROUND(VLOOKUP($C182,'[2]2.행정구역별 급수인구'!$C$7:$AD$997,17,FALSE)-VLOOKUP($C182,'[2]2.행정구역별 급수인구'!$C$7:$AD$997,17,FALSE)*(1-$E182),0)),VLOOKUP($C182,'[2]2.행정구역별 급수인구'!$C$7:$AD$997,17,FALSE)))</f>
        <v>0</v>
      </c>
      <c r="H182" s="302">
        <f>IF($D182="A",ROUND(VLOOKUP($C182,'[2]2.행정구역별 급수인구'!$C$7:$AD$997,25,FALSE)*$E182,0),IF($D182="B",(ROUND(VLOOKUP($C182,'[2]2.행정구역별 급수인구'!$C$7:$AD$997,25,FALSE)-VLOOKUP($C182,'[2]2.행정구역별 급수인구'!$C$7:$AD$997,25,FALSE)*(1-$E182),0)),VLOOKUP($C182,'[2]2.행정구역별 급수인구'!$C$7:$AD$997,25,FALSE)))</f>
        <v>0</v>
      </c>
      <c r="I182" s="302">
        <f>IF($D182="A",ROUND(VLOOKUP($C182,'[2]2.행정구역별 급수인구'!$C$7:$AD$997,26,FALSE)*$E182,0),IF($D182="B",(ROUND(VLOOKUP($C182,'[2]2.행정구역별 급수인구'!$C$7:$AD$997,26,FALSE)-VLOOKUP($C182,'[2]2.행정구역별 급수인구'!$C$7:$AD$997,26,FALSE)*(1-$E182),0)),VLOOKUP($C182,'[2]2.행정구역별 급수인구'!$C$7:$AD$997,26,FALSE)))</f>
        <v>0</v>
      </c>
      <c r="J182" s="302">
        <f>IF($D182="A",ROUND(VLOOKUP($C182,'[2]2.행정구역별 급수인구'!$C$7:$AD$997,27,FALSE)*$E182,0),IF($D182="B",(ROUND(VLOOKUP($C182,'[2]2.행정구역별 급수인구'!$C$7:$AD$997,27,FALSE)-VLOOKUP($C182,'[2]2.행정구역별 급수인구'!$C$7:$AD$997,27,FALSE)*(1-$E182),0)),VLOOKUP($C182,'[2]2.행정구역별 급수인구'!$C$7:$AD$997,27,FALSE)))</f>
        <v>0</v>
      </c>
      <c r="K182" s="302">
        <f>IF($D182="A",ROUND(VLOOKUP($C182,'[2]2.행정구역별 급수인구'!$C$7:$AD$997,28,FALSE)*$E182,0),IF($D182="B",(ROUND(VLOOKUP($C182,'[2]2.행정구역별 급수인구'!$C$7:$AD$997,28,FALSE)-VLOOKUP($C182,'[2]2.행정구역별 급수인구'!$C$7:$AD$997,28,FALSE)*(1-$E182),0)),VLOOKUP($C182,'[2]2.행정구역별 급수인구'!$C$7:$AD$997,28,FALSE)))</f>
        <v>0</v>
      </c>
      <c r="L182" s="302">
        <f>VLOOKUP($F182,'[3]5.급수원단위'!$B$31:$G$35,2,FALSE)</f>
        <v>272</v>
      </c>
      <c r="M182" s="302">
        <f>VLOOKUP($F182,'[3]5.급수원단위'!$B$31:$G$35,3,FALSE)</f>
        <v>304</v>
      </c>
      <c r="N182" s="302">
        <f>VLOOKUP($F182,'[3]5.급수원단위'!$B$31:$G$35,4,FALSE)</f>
        <v>308</v>
      </c>
      <c r="O182" s="302">
        <f>VLOOKUP($F182,'[3]5.급수원단위'!$B$31:$G$35,5,FALSE)</f>
        <v>310</v>
      </c>
      <c r="P182" s="302">
        <f>VLOOKUP($F182,'[3]5.급수원단위'!$B$31:$G$35,6,FALSE)</f>
        <v>310</v>
      </c>
      <c r="Q182" s="302">
        <f>ROUND(IF(G182=0,0,VLOOKUP(C182,'2013실사용량 정리'!$D$6:$F$381,3,FALSE)),0)</f>
        <v>0</v>
      </c>
      <c r="R182" s="302">
        <f t="shared" si="37"/>
        <v>0</v>
      </c>
      <c r="S182" s="302">
        <f t="shared" si="38"/>
        <v>0</v>
      </c>
      <c r="T182" s="302">
        <f t="shared" si="39"/>
        <v>0</v>
      </c>
      <c r="U182" s="302">
        <f t="shared" si="40"/>
        <v>0</v>
      </c>
      <c r="W182" s="343" t="str">
        <f t="shared" si="33"/>
        <v/>
      </c>
    </row>
    <row r="183" spans="1:23" ht="20.100000000000001" customHeight="1">
      <c r="A183" s="340"/>
      <c r="B183" s="340"/>
      <c r="C183" s="406" t="s">
        <v>1578</v>
      </c>
      <c r="D183" s="330" t="s">
        <v>1869</v>
      </c>
      <c r="E183" s="527">
        <f t="shared" si="41"/>
        <v>0</v>
      </c>
      <c r="F183" s="527" t="s">
        <v>756</v>
      </c>
      <c r="G183" s="302">
        <f>IF($D183="A",ROUND(VLOOKUP($C183,'[2]2.행정구역별 급수인구'!$C$7:$AD$997,17,FALSE)*$E183,0),IF($D183="B",(ROUND(VLOOKUP($C183,'[2]2.행정구역별 급수인구'!$C$7:$AD$997,17,FALSE)-VLOOKUP($C183,'[2]2.행정구역별 급수인구'!$C$7:$AD$997,17,FALSE)*(1-$E183),0)),VLOOKUP($C183,'[2]2.행정구역별 급수인구'!$C$7:$AD$997,17,FALSE)))</f>
        <v>0</v>
      </c>
      <c r="H183" s="302">
        <f>IF($D183="A",ROUND(VLOOKUP($C183,'[2]2.행정구역별 급수인구'!$C$7:$AD$997,25,FALSE)*$E183,0),IF($D183="B",(ROUND(VLOOKUP($C183,'[2]2.행정구역별 급수인구'!$C$7:$AD$997,25,FALSE)-VLOOKUP($C183,'[2]2.행정구역별 급수인구'!$C$7:$AD$997,25,FALSE)*(1-$E183),0)),VLOOKUP($C183,'[2]2.행정구역별 급수인구'!$C$7:$AD$997,25,FALSE)))</f>
        <v>0</v>
      </c>
      <c r="I183" s="302">
        <f>IF($D183="A",ROUND(VLOOKUP($C183,'[2]2.행정구역별 급수인구'!$C$7:$AD$997,26,FALSE)*$E183,0),IF($D183="B",(ROUND(VLOOKUP($C183,'[2]2.행정구역별 급수인구'!$C$7:$AD$997,26,FALSE)-VLOOKUP($C183,'[2]2.행정구역별 급수인구'!$C$7:$AD$997,26,FALSE)*(1-$E183),0)),VLOOKUP($C183,'[2]2.행정구역별 급수인구'!$C$7:$AD$997,26,FALSE)))</f>
        <v>0</v>
      </c>
      <c r="J183" s="302">
        <f>IF($D183="A",ROUND(VLOOKUP($C183,'[2]2.행정구역별 급수인구'!$C$7:$AD$997,27,FALSE)*$E183,0),IF($D183="B",(ROUND(VLOOKUP($C183,'[2]2.행정구역별 급수인구'!$C$7:$AD$997,27,FALSE)-VLOOKUP($C183,'[2]2.행정구역별 급수인구'!$C$7:$AD$997,27,FALSE)*(1-$E183),0)),VLOOKUP($C183,'[2]2.행정구역별 급수인구'!$C$7:$AD$997,27,FALSE)))</f>
        <v>0</v>
      </c>
      <c r="K183" s="302">
        <f>IF($D183="A",ROUND(VLOOKUP($C183,'[2]2.행정구역별 급수인구'!$C$7:$AD$997,28,FALSE)*$E183,0),IF($D183="B",(ROUND(VLOOKUP($C183,'[2]2.행정구역별 급수인구'!$C$7:$AD$997,28,FALSE)-VLOOKUP($C183,'[2]2.행정구역별 급수인구'!$C$7:$AD$997,28,FALSE)*(1-$E183),0)),VLOOKUP($C183,'[2]2.행정구역별 급수인구'!$C$7:$AD$997,28,FALSE)))</f>
        <v>0</v>
      </c>
      <c r="L183" s="302">
        <f>VLOOKUP($F183,'[3]5.급수원단위'!$B$31:$G$35,2,FALSE)</f>
        <v>272</v>
      </c>
      <c r="M183" s="302">
        <f>VLOOKUP($F183,'[3]5.급수원단위'!$B$31:$G$35,3,FALSE)</f>
        <v>304</v>
      </c>
      <c r="N183" s="302">
        <f>VLOOKUP($F183,'[3]5.급수원단위'!$B$31:$G$35,4,FALSE)</f>
        <v>308</v>
      </c>
      <c r="O183" s="302">
        <f>VLOOKUP($F183,'[3]5.급수원단위'!$B$31:$G$35,5,FALSE)</f>
        <v>310</v>
      </c>
      <c r="P183" s="302">
        <f>VLOOKUP($F183,'[3]5.급수원단위'!$B$31:$G$35,6,FALSE)</f>
        <v>310</v>
      </c>
      <c r="Q183" s="302">
        <f>ROUND(IF(G183=0,0,VLOOKUP(C183,'2013실사용량 정리'!$D$6:$F$381,3,FALSE)),0)</f>
        <v>0</v>
      </c>
      <c r="R183" s="302">
        <f t="shared" si="37"/>
        <v>0</v>
      </c>
      <c r="S183" s="302">
        <f t="shared" si="38"/>
        <v>0</v>
      </c>
      <c r="T183" s="302">
        <f t="shared" si="39"/>
        <v>0</v>
      </c>
      <c r="U183" s="302">
        <f t="shared" si="40"/>
        <v>0</v>
      </c>
      <c r="W183" s="343" t="str">
        <f t="shared" si="33"/>
        <v/>
      </c>
    </row>
    <row r="184" spans="1:23" ht="20.100000000000001" customHeight="1">
      <c r="A184" s="340"/>
      <c r="B184" s="340"/>
      <c r="C184" s="406" t="s">
        <v>1579</v>
      </c>
      <c r="D184" s="330" t="s">
        <v>1869</v>
      </c>
      <c r="E184" s="527">
        <f t="shared" si="41"/>
        <v>0</v>
      </c>
      <c r="F184" s="527" t="s">
        <v>756</v>
      </c>
      <c r="G184" s="302">
        <f>IF($D184="A",ROUND(VLOOKUP($C184,'[2]2.행정구역별 급수인구'!$C$7:$AD$997,17,FALSE)*$E184,0),IF($D184="B",(ROUND(VLOOKUP($C184,'[2]2.행정구역별 급수인구'!$C$7:$AD$997,17,FALSE)-VLOOKUP($C184,'[2]2.행정구역별 급수인구'!$C$7:$AD$997,17,FALSE)*(1-$E184),0)),VLOOKUP($C184,'[2]2.행정구역별 급수인구'!$C$7:$AD$997,17,FALSE)))</f>
        <v>0</v>
      </c>
      <c r="H184" s="302">
        <f>IF($D184="A",ROUND(VLOOKUP($C184,'[2]2.행정구역별 급수인구'!$C$7:$AD$997,25,FALSE)*$E184,0),IF($D184="B",(ROUND(VLOOKUP($C184,'[2]2.행정구역별 급수인구'!$C$7:$AD$997,25,FALSE)-VLOOKUP($C184,'[2]2.행정구역별 급수인구'!$C$7:$AD$997,25,FALSE)*(1-$E184),0)),VLOOKUP($C184,'[2]2.행정구역별 급수인구'!$C$7:$AD$997,25,FALSE)))</f>
        <v>0</v>
      </c>
      <c r="I184" s="302">
        <f>IF($D184="A",ROUND(VLOOKUP($C184,'[2]2.행정구역별 급수인구'!$C$7:$AD$997,26,FALSE)*$E184,0),IF($D184="B",(ROUND(VLOOKUP($C184,'[2]2.행정구역별 급수인구'!$C$7:$AD$997,26,FALSE)-VLOOKUP($C184,'[2]2.행정구역별 급수인구'!$C$7:$AD$997,26,FALSE)*(1-$E184),0)),VLOOKUP($C184,'[2]2.행정구역별 급수인구'!$C$7:$AD$997,26,FALSE)))</f>
        <v>0</v>
      </c>
      <c r="J184" s="302">
        <f>IF($D184="A",ROUND(VLOOKUP($C184,'[2]2.행정구역별 급수인구'!$C$7:$AD$997,27,FALSE)*$E184,0),IF($D184="B",(ROUND(VLOOKUP($C184,'[2]2.행정구역별 급수인구'!$C$7:$AD$997,27,FALSE)-VLOOKUP($C184,'[2]2.행정구역별 급수인구'!$C$7:$AD$997,27,FALSE)*(1-$E184),0)),VLOOKUP($C184,'[2]2.행정구역별 급수인구'!$C$7:$AD$997,27,FALSE)))</f>
        <v>0</v>
      </c>
      <c r="K184" s="302">
        <f>IF($D184="A",ROUND(VLOOKUP($C184,'[2]2.행정구역별 급수인구'!$C$7:$AD$997,28,FALSE)*$E184,0),IF($D184="B",(ROUND(VLOOKUP($C184,'[2]2.행정구역별 급수인구'!$C$7:$AD$997,28,FALSE)-VLOOKUP($C184,'[2]2.행정구역별 급수인구'!$C$7:$AD$997,28,FALSE)*(1-$E184),0)),VLOOKUP($C184,'[2]2.행정구역별 급수인구'!$C$7:$AD$997,28,FALSE)))</f>
        <v>0</v>
      </c>
      <c r="L184" s="302">
        <f>VLOOKUP($F184,'[3]5.급수원단위'!$B$31:$G$35,2,FALSE)</f>
        <v>272</v>
      </c>
      <c r="M184" s="302">
        <f>VLOOKUP($F184,'[3]5.급수원단위'!$B$31:$G$35,3,FALSE)</f>
        <v>304</v>
      </c>
      <c r="N184" s="302">
        <f>VLOOKUP($F184,'[3]5.급수원단위'!$B$31:$G$35,4,FALSE)</f>
        <v>308</v>
      </c>
      <c r="O184" s="302">
        <f>VLOOKUP($F184,'[3]5.급수원단위'!$B$31:$G$35,5,FALSE)</f>
        <v>310</v>
      </c>
      <c r="P184" s="302">
        <f>VLOOKUP($F184,'[3]5.급수원단위'!$B$31:$G$35,6,FALSE)</f>
        <v>310</v>
      </c>
      <c r="Q184" s="302">
        <f>ROUND(IF(G184=0,0,VLOOKUP(C184,'2013실사용량 정리'!$D$6:$F$381,3,FALSE)),0)</f>
        <v>0</v>
      </c>
      <c r="R184" s="302">
        <f t="shared" si="37"/>
        <v>0</v>
      </c>
      <c r="S184" s="302">
        <f t="shared" si="38"/>
        <v>0</v>
      </c>
      <c r="T184" s="302">
        <f t="shared" si="39"/>
        <v>0</v>
      </c>
      <c r="U184" s="302">
        <f t="shared" si="40"/>
        <v>0</v>
      </c>
      <c r="W184" s="343" t="str">
        <f t="shared" si="33"/>
        <v/>
      </c>
    </row>
    <row r="185" spans="1:23" ht="20.100000000000001" customHeight="1">
      <c r="A185" s="340"/>
      <c r="B185" s="340"/>
      <c r="C185" s="406" t="s">
        <v>1580</v>
      </c>
      <c r="D185" s="330" t="s">
        <v>1869</v>
      </c>
      <c r="E185" s="527">
        <f t="shared" si="41"/>
        <v>0</v>
      </c>
      <c r="F185" s="527" t="s">
        <v>756</v>
      </c>
      <c r="G185" s="302">
        <f>IF($D185="A",ROUND(VLOOKUP($C185,'[2]2.행정구역별 급수인구'!$C$7:$AD$997,17,FALSE)*$E185,0),IF($D185="B",(ROUND(VLOOKUP($C185,'[2]2.행정구역별 급수인구'!$C$7:$AD$997,17,FALSE)-VLOOKUP($C185,'[2]2.행정구역별 급수인구'!$C$7:$AD$997,17,FALSE)*(1-$E185),0)),VLOOKUP($C185,'[2]2.행정구역별 급수인구'!$C$7:$AD$997,17,FALSE)))</f>
        <v>0</v>
      </c>
      <c r="H185" s="302">
        <f>IF($D185="A",ROUND(VLOOKUP($C185,'[2]2.행정구역별 급수인구'!$C$7:$AD$997,25,FALSE)*$E185,0),IF($D185="B",(ROUND(VLOOKUP($C185,'[2]2.행정구역별 급수인구'!$C$7:$AD$997,25,FALSE)-VLOOKUP($C185,'[2]2.행정구역별 급수인구'!$C$7:$AD$997,25,FALSE)*(1-$E185),0)),VLOOKUP($C185,'[2]2.행정구역별 급수인구'!$C$7:$AD$997,25,FALSE)))</f>
        <v>0</v>
      </c>
      <c r="I185" s="302">
        <f>IF($D185="A",ROUND(VLOOKUP($C185,'[2]2.행정구역별 급수인구'!$C$7:$AD$997,26,FALSE)*$E185,0),IF($D185="B",(ROUND(VLOOKUP($C185,'[2]2.행정구역별 급수인구'!$C$7:$AD$997,26,FALSE)-VLOOKUP($C185,'[2]2.행정구역별 급수인구'!$C$7:$AD$997,26,FALSE)*(1-$E185),0)),VLOOKUP($C185,'[2]2.행정구역별 급수인구'!$C$7:$AD$997,26,FALSE)))</f>
        <v>0</v>
      </c>
      <c r="J185" s="302">
        <f>IF($D185="A",ROUND(VLOOKUP($C185,'[2]2.행정구역별 급수인구'!$C$7:$AD$997,27,FALSE)*$E185,0),IF($D185="B",(ROUND(VLOOKUP($C185,'[2]2.행정구역별 급수인구'!$C$7:$AD$997,27,FALSE)-VLOOKUP($C185,'[2]2.행정구역별 급수인구'!$C$7:$AD$997,27,FALSE)*(1-$E185),0)),VLOOKUP($C185,'[2]2.행정구역별 급수인구'!$C$7:$AD$997,27,FALSE)))</f>
        <v>0</v>
      </c>
      <c r="K185" s="302">
        <f>IF($D185="A",ROUND(VLOOKUP($C185,'[2]2.행정구역별 급수인구'!$C$7:$AD$997,28,FALSE)*$E185,0),IF($D185="B",(ROUND(VLOOKUP($C185,'[2]2.행정구역별 급수인구'!$C$7:$AD$997,28,FALSE)-VLOOKUP($C185,'[2]2.행정구역별 급수인구'!$C$7:$AD$997,28,FALSE)*(1-$E185),0)),VLOOKUP($C185,'[2]2.행정구역별 급수인구'!$C$7:$AD$997,28,FALSE)))</f>
        <v>0</v>
      </c>
      <c r="L185" s="302">
        <f>VLOOKUP($F185,'[3]5.급수원단위'!$B$31:$G$35,2,FALSE)</f>
        <v>272</v>
      </c>
      <c r="M185" s="302">
        <f>VLOOKUP($F185,'[3]5.급수원단위'!$B$31:$G$35,3,FALSE)</f>
        <v>304</v>
      </c>
      <c r="N185" s="302">
        <f>VLOOKUP($F185,'[3]5.급수원단위'!$B$31:$G$35,4,FALSE)</f>
        <v>308</v>
      </c>
      <c r="O185" s="302">
        <f>VLOOKUP($F185,'[3]5.급수원단위'!$B$31:$G$35,5,FALSE)</f>
        <v>310</v>
      </c>
      <c r="P185" s="302">
        <f>VLOOKUP($F185,'[3]5.급수원단위'!$B$31:$G$35,6,FALSE)</f>
        <v>310</v>
      </c>
      <c r="Q185" s="302">
        <f>ROUND(IF(G185=0,0,VLOOKUP(C185,'2013실사용량 정리'!$D$6:$F$381,3,FALSE)),0)</f>
        <v>0</v>
      </c>
      <c r="R185" s="302">
        <f t="shared" si="37"/>
        <v>0</v>
      </c>
      <c r="S185" s="302">
        <f t="shared" si="38"/>
        <v>0</v>
      </c>
      <c r="T185" s="302">
        <f t="shared" si="39"/>
        <v>0</v>
      </c>
      <c r="U185" s="302">
        <f t="shared" si="40"/>
        <v>0</v>
      </c>
      <c r="W185" s="343" t="str">
        <f t="shared" si="33"/>
        <v/>
      </c>
    </row>
    <row r="186" spans="1:23" ht="20.100000000000001" customHeight="1">
      <c r="A186" s="340"/>
      <c r="B186" s="340"/>
      <c r="C186" s="406" t="s">
        <v>1581</v>
      </c>
      <c r="D186" s="330" t="s">
        <v>1869</v>
      </c>
      <c r="E186" s="527">
        <f t="shared" si="41"/>
        <v>0</v>
      </c>
      <c r="F186" s="527" t="s">
        <v>756</v>
      </c>
      <c r="G186" s="302">
        <f>IF($D186="A",ROUND(VLOOKUP($C186,'[2]2.행정구역별 급수인구'!$C$7:$AD$997,17,FALSE)*$E186,0),IF($D186="B",(ROUND(VLOOKUP($C186,'[2]2.행정구역별 급수인구'!$C$7:$AD$997,17,FALSE)-VLOOKUP($C186,'[2]2.행정구역별 급수인구'!$C$7:$AD$997,17,FALSE)*(1-$E186),0)),VLOOKUP($C186,'[2]2.행정구역별 급수인구'!$C$7:$AD$997,17,FALSE)))</f>
        <v>0</v>
      </c>
      <c r="H186" s="302">
        <f>IF($D186="A",ROUND(VLOOKUP($C186,'[2]2.행정구역별 급수인구'!$C$7:$AD$997,25,FALSE)*$E186,0),IF($D186="B",(ROUND(VLOOKUP($C186,'[2]2.행정구역별 급수인구'!$C$7:$AD$997,25,FALSE)-VLOOKUP($C186,'[2]2.행정구역별 급수인구'!$C$7:$AD$997,25,FALSE)*(1-$E186),0)),VLOOKUP($C186,'[2]2.행정구역별 급수인구'!$C$7:$AD$997,25,FALSE)))</f>
        <v>0</v>
      </c>
      <c r="I186" s="302">
        <f>IF($D186="A",ROUND(VLOOKUP($C186,'[2]2.행정구역별 급수인구'!$C$7:$AD$997,26,FALSE)*$E186,0),IF($D186="B",(ROUND(VLOOKUP($C186,'[2]2.행정구역별 급수인구'!$C$7:$AD$997,26,FALSE)-VLOOKUP($C186,'[2]2.행정구역별 급수인구'!$C$7:$AD$997,26,FALSE)*(1-$E186),0)),VLOOKUP($C186,'[2]2.행정구역별 급수인구'!$C$7:$AD$997,26,FALSE)))</f>
        <v>0</v>
      </c>
      <c r="J186" s="302">
        <f>IF($D186="A",ROUND(VLOOKUP($C186,'[2]2.행정구역별 급수인구'!$C$7:$AD$997,27,FALSE)*$E186,0),IF($D186="B",(ROUND(VLOOKUP($C186,'[2]2.행정구역별 급수인구'!$C$7:$AD$997,27,FALSE)-VLOOKUP($C186,'[2]2.행정구역별 급수인구'!$C$7:$AD$997,27,FALSE)*(1-$E186),0)),VLOOKUP($C186,'[2]2.행정구역별 급수인구'!$C$7:$AD$997,27,FALSE)))</f>
        <v>0</v>
      </c>
      <c r="K186" s="302">
        <f>IF($D186="A",ROUND(VLOOKUP($C186,'[2]2.행정구역별 급수인구'!$C$7:$AD$997,28,FALSE)*$E186,0),IF($D186="B",(ROUND(VLOOKUP($C186,'[2]2.행정구역별 급수인구'!$C$7:$AD$997,28,FALSE)-VLOOKUP($C186,'[2]2.행정구역별 급수인구'!$C$7:$AD$997,28,FALSE)*(1-$E186),0)),VLOOKUP($C186,'[2]2.행정구역별 급수인구'!$C$7:$AD$997,28,FALSE)))</f>
        <v>0</v>
      </c>
      <c r="L186" s="302">
        <f>VLOOKUP($F186,'[3]5.급수원단위'!$B$31:$G$35,2,FALSE)</f>
        <v>272</v>
      </c>
      <c r="M186" s="302">
        <f>VLOOKUP($F186,'[3]5.급수원단위'!$B$31:$G$35,3,FALSE)</f>
        <v>304</v>
      </c>
      <c r="N186" s="302">
        <f>VLOOKUP($F186,'[3]5.급수원단위'!$B$31:$G$35,4,FALSE)</f>
        <v>308</v>
      </c>
      <c r="O186" s="302">
        <f>VLOOKUP($F186,'[3]5.급수원단위'!$B$31:$G$35,5,FALSE)</f>
        <v>310</v>
      </c>
      <c r="P186" s="302">
        <f>VLOOKUP($F186,'[3]5.급수원단위'!$B$31:$G$35,6,FALSE)</f>
        <v>310</v>
      </c>
      <c r="Q186" s="302">
        <f>ROUND(IF(G186=0,0,VLOOKUP(C186,'2013실사용량 정리'!$D$6:$F$381,3,FALSE)),0)</f>
        <v>0</v>
      </c>
      <c r="R186" s="302">
        <f t="shared" si="37"/>
        <v>0</v>
      </c>
      <c r="S186" s="302">
        <f t="shared" si="38"/>
        <v>0</v>
      </c>
      <c r="T186" s="302">
        <f t="shared" si="39"/>
        <v>0</v>
      </c>
      <c r="U186" s="302">
        <f t="shared" si="40"/>
        <v>0</v>
      </c>
      <c r="W186" s="343" t="str">
        <f t="shared" si="33"/>
        <v/>
      </c>
    </row>
    <row r="187" spans="1:23" ht="20.100000000000001" customHeight="1">
      <c r="A187" s="340"/>
      <c r="B187" s="340"/>
      <c r="C187" s="406" t="s">
        <v>1582</v>
      </c>
      <c r="D187" s="330" t="s">
        <v>1869</v>
      </c>
      <c r="E187" s="527">
        <f t="shared" si="41"/>
        <v>0</v>
      </c>
      <c r="F187" s="527" t="s">
        <v>756</v>
      </c>
      <c r="G187" s="302">
        <f>IF($D187="A",ROUND(VLOOKUP($C187,'[2]2.행정구역별 급수인구'!$C$7:$AD$997,17,FALSE)*$E187,0),IF($D187="B",(ROUND(VLOOKUP($C187,'[2]2.행정구역별 급수인구'!$C$7:$AD$997,17,FALSE)-VLOOKUP($C187,'[2]2.행정구역별 급수인구'!$C$7:$AD$997,17,FALSE)*(1-$E187),0)),VLOOKUP($C187,'[2]2.행정구역별 급수인구'!$C$7:$AD$997,17,FALSE)))</f>
        <v>0</v>
      </c>
      <c r="H187" s="302">
        <f>IF($D187="A",ROUND(VLOOKUP($C187,'[2]2.행정구역별 급수인구'!$C$7:$AD$997,25,FALSE)*$E187,0),IF($D187="B",(ROUND(VLOOKUP($C187,'[2]2.행정구역별 급수인구'!$C$7:$AD$997,25,FALSE)-VLOOKUP($C187,'[2]2.행정구역별 급수인구'!$C$7:$AD$997,25,FALSE)*(1-$E187),0)),VLOOKUP($C187,'[2]2.행정구역별 급수인구'!$C$7:$AD$997,25,FALSE)))</f>
        <v>0</v>
      </c>
      <c r="I187" s="302">
        <f>IF($D187="A",ROUND(VLOOKUP($C187,'[2]2.행정구역별 급수인구'!$C$7:$AD$997,26,FALSE)*$E187,0),IF($D187="B",(ROUND(VLOOKUP($C187,'[2]2.행정구역별 급수인구'!$C$7:$AD$997,26,FALSE)-VLOOKUP($C187,'[2]2.행정구역별 급수인구'!$C$7:$AD$997,26,FALSE)*(1-$E187),0)),VLOOKUP($C187,'[2]2.행정구역별 급수인구'!$C$7:$AD$997,26,FALSE)))</f>
        <v>0</v>
      </c>
      <c r="J187" s="302">
        <f>IF($D187="A",ROUND(VLOOKUP($C187,'[2]2.행정구역별 급수인구'!$C$7:$AD$997,27,FALSE)*$E187,0),IF($D187="B",(ROUND(VLOOKUP($C187,'[2]2.행정구역별 급수인구'!$C$7:$AD$997,27,FALSE)-VLOOKUP($C187,'[2]2.행정구역별 급수인구'!$C$7:$AD$997,27,FALSE)*(1-$E187),0)),VLOOKUP($C187,'[2]2.행정구역별 급수인구'!$C$7:$AD$997,27,FALSE)))</f>
        <v>0</v>
      </c>
      <c r="K187" s="302">
        <f>IF($D187="A",ROUND(VLOOKUP($C187,'[2]2.행정구역별 급수인구'!$C$7:$AD$997,28,FALSE)*$E187,0),IF($D187="B",(ROUND(VLOOKUP($C187,'[2]2.행정구역별 급수인구'!$C$7:$AD$997,28,FALSE)-VLOOKUP($C187,'[2]2.행정구역별 급수인구'!$C$7:$AD$997,28,FALSE)*(1-$E187),0)),VLOOKUP($C187,'[2]2.행정구역별 급수인구'!$C$7:$AD$997,28,FALSE)))</f>
        <v>0</v>
      </c>
      <c r="L187" s="302">
        <f>VLOOKUP($F187,'[3]5.급수원단위'!$B$31:$G$35,2,FALSE)</f>
        <v>272</v>
      </c>
      <c r="M187" s="302">
        <f>VLOOKUP($F187,'[3]5.급수원단위'!$B$31:$G$35,3,FALSE)</f>
        <v>304</v>
      </c>
      <c r="N187" s="302">
        <f>VLOOKUP($F187,'[3]5.급수원단위'!$B$31:$G$35,4,FALSE)</f>
        <v>308</v>
      </c>
      <c r="O187" s="302">
        <f>VLOOKUP($F187,'[3]5.급수원단위'!$B$31:$G$35,5,FALSE)</f>
        <v>310</v>
      </c>
      <c r="P187" s="302">
        <f>VLOOKUP($F187,'[3]5.급수원단위'!$B$31:$G$35,6,FALSE)</f>
        <v>310</v>
      </c>
      <c r="Q187" s="302">
        <f>ROUND(IF(G187=0,0,VLOOKUP(C187,'2013실사용량 정리'!$D$6:$F$381,3,FALSE)),0)</f>
        <v>0</v>
      </c>
      <c r="R187" s="302">
        <f t="shared" si="37"/>
        <v>0</v>
      </c>
      <c r="S187" s="302">
        <f t="shared" si="38"/>
        <v>0</v>
      </c>
      <c r="T187" s="302">
        <f t="shared" si="39"/>
        <v>0</v>
      </c>
      <c r="U187" s="302">
        <f t="shared" si="40"/>
        <v>0</v>
      </c>
      <c r="W187" s="343" t="str">
        <f t="shared" si="33"/>
        <v/>
      </c>
    </row>
    <row r="188" spans="1:23" ht="20.100000000000001" customHeight="1">
      <c r="A188" s="340"/>
      <c r="B188" s="340"/>
      <c r="C188" s="406" t="s">
        <v>1583</v>
      </c>
      <c r="D188" s="330" t="s">
        <v>1869</v>
      </c>
      <c r="E188" s="527">
        <f t="shared" si="41"/>
        <v>0</v>
      </c>
      <c r="F188" s="527" t="s">
        <v>756</v>
      </c>
      <c r="G188" s="302">
        <f>IF($D188="A",ROUND(VLOOKUP($C188,'[2]2.행정구역별 급수인구'!$C$7:$AD$997,17,FALSE)*$E188,0),IF($D188="B",(ROUND(VLOOKUP($C188,'[2]2.행정구역별 급수인구'!$C$7:$AD$997,17,FALSE)-VLOOKUP($C188,'[2]2.행정구역별 급수인구'!$C$7:$AD$997,17,FALSE)*(1-$E188),0)),VLOOKUP($C188,'[2]2.행정구역별 급수인구'!$C$7:$AD$997,17,FALSE)))</f>
        <v>0</v>
      </c>
      <c r="H188" s="302">
        <f>IF($D188="A",ROUND(VLOOKUP($C188,'[2]2.행정구역별 급수인구'!$C$7:$AD$997,25,FALSE)*$E188,0),IF($D188="B",(ROUND(VLOOKUP($C188,'[2]2.행정구역별 급수인구'!$C$7:$AD$997,25,FALSE)-VLOOKUP($C188,'[2]2.행정구역별 급수인구'!$C$7:$AD$997,25,FALSE)*(1-$E188),0)),VLOOKUP($C188,'[2]2.행정구역별 급수인구'!$C$7:$AD$997,25,FALSE)))</f>
        <v>0</v>
      </c>
      <c r="I188" s="302">
        <f>IF($D188="A",ROUND(VLOOKUP($C188,'[2]2.행정구역별 급수인구'!$C$7:$AD$997,26,FALSE)*$E188,0),IF($D188="B",(ROUND(VLOOKUP($C188,'[2]2.행정구역별 급수인구'!$C$7:$AD$997,26,FALSE)-VLOOKUP($C188,'[2]2.행정구역별 급수인구'!$C$7:$AD$997,26,FALSE)*(1-$E188),0)),VLOOKUP($C188,'[2]2.행정구역별 급수인구'!$C$7:$AD$997,26,FALSE)))</f>
        <v>0</v>
      </c>
      <c r="J188" s="302">
        <f>IF($D188="A",ROUND(VLOOKUP($C188,'[2]2.행정구역별 급수인구'!$C$7:$AD$997,27,FALSE)*$E188,0),IF($D188="B",(ROUND(VLOOKUP($C188,'[2]2.행정구역별 급수인구'!$C$7:$AD$997,27,FALSE)-VLOOKUP($C188,'[2]2.행정구역별 급수인구'!$C$7:$AD$997,27,FALSE)*(1-$E188),0)),VLOOKUP($C188,'[2]2.행정구역별 급수인구'!$C$7:$AD$997,27,FALSE)))</f>
        <v>0</v>
      </c>
      <c r="K188" s="302">
        <f>IF($D188="A",ROUND(VLOOKUP($C188,'[2]2.행정구역별 급수인구'!$C$7:$AD$997,28,FALSE)*$E188,0),IF($D188="B",(ROUND(VLOOKUP($C188,'[2]2.행정구역별 급수인구'!$C$7:$AD$997,28,FALSE)-VLOOKUP($C188,'[2]2.행정구역별 급수인구'!$C$7:$AD$997,28,FALSE)*(1-$E188),0)),VLOOKUP($C188,'[2]2.행정구역별 급수인구'!$C$7:$AD$997,28,FALSE)))</f>
        <v>0</v>
      </c>
      <c r="L188" s="302">
        <f>VLOOKUP($F188,'[3]5.급수원단위'!$B$31:$G$35,2,FALSE)</f>
        <v>272</v>
      </c>
      <c r="M188" s="302">
        <f>VLOOKUP($F188,'[3]5.급수원단위'!$B$31:$G$35,3,FALSE)</f>
        <v>304</v>
      </c>
      <c r="N188" s="302">
        <f>VLOOKUP($F188,'[3]5.급수원단위'!$B$31:$G$35,4,FALSE)</f>
        <v>308</v>
      </c>
      <c r="O188" s="302">
        <f>VLOOKUP($F188,'[3]5.급수원단위'!$B$31:$G$35,5,FALSE)</f>
        <v>310</v>
      </c>
      <c r="P188" s="302">
        <f>VLOOKUP($F188,'[3]5.급수원단위'!$B$31:$G$35,6,FALSE)</f>
        <v>310</v>
      </c>
      <c r="Q188" s="302">
        <f>ROUND(IF(G188=0,0,VLOOKUP(C188,'2013실사용량 정리'!$D$6:$F$381,3,FALSE)),0)</f>
        <v>0</v>
      </c>
      <c r="R188" s="302">
        <f t="shared" si="37"/>
        <v>0</v>
      </c>
      <c r="S188" s="302">
        <f t="shared" si="38"/>
        <v>0</v>
      </c>
      <c r="T188" s="302">
        <f t="shared" si="39"/>
        <v>0</v>
      </c>
      <c r="U188" s="302">
        <f t="shared" si="40"/>
        <v>0</v>
      </c>
      <c r="W188" s="343" t="str">
        <f t="shared" si="33"/>
        <v/>
      </c>
    </row>
    <row r="189" spans="1:23" ht="20.100000000000001" customHeight="1">
      <c r="A189" s="340"/>
      <c r="B189" s="340"/>
      <c r="C189" s="406" t="s">
        <v>1584</v>
      </c>
      <c r="D189" s="330" t="s">
        <v>1869</v>
      </c>
      <c r="E189" s="527">
        <f t="shared" si="41"/>
        <v>0</v>
      </c>
      <c r="F189" s="527" t="s">
        <v>756</v>
      </c>
      <c r="G189" s="302">
        <f>IF($D189="A",ROUND(VLOOKUP($C189,'[2]2.행정구역별 급수인구'!$C$7:$AD$997,17,FALSE)*$E189,0),IF($D189="B",(ROUND(VLOOKUP($C189,'[2]2.행정구역별 급수인구'!$C$7:$AD$997,17,FALSE)-VLOOKUP($C189,'[2]2.행정구역별 급수인구'!$C$7:$AD$997,17,FALSE)*(1-$E189),0)),VLOOKUP($C189,'[2]2.행정구역별 급수인구'!$C$7:$AD$997,17,FALSE)))</f>
        <v>0</v>
      </c>
      <c r="H189" s="302">
        <f>IF($D189="A",ROUND(VLOOKUP($C189,'[2]2.행정구역별 급수인구'!$C$7:$AD$997,25,FALSE)*$E189,0),IF($D189="B",(ROUND(VLOOKUP($C189,'[2]2.행정구역별 급수인구'!$C$7:$AD$997,25,FALSE)-VLOOKUP($C189,'[2]2.행정구역별 급수인구'!$C$7:$AD$997,25,FALSE)*(1-$E189),0)),VLOOKUP($C189,'[2]2.행정구역별 급수인구'!$C$7:$AD$997,25,FALSE)))</f>
        <v>0</v>
      </c>
      <c r="I189" s="302">
        <f>IF($D189="A",ROUND(VLOOKUP($C189,'[2]2.행정구역별 급수인구'!$C$7:$AD$997,26,FALSE)*$E189,0),IF($D189="B",(ROUND(VLOOKUP($C189,'[2]2.행정구역별 급수인구'!$C$7:$AD$997,26,FALSE)-VLOOKUP($C189,'[2]2.행정구역별 급수인구'!$C$7:$AD$997,26,FALSE)*(1-$E189),0)),VLOOKUP($C189,'[2]2.행정구역별 급수인구'!$C$7:$AD$997,26,FALSE)))</f>
        <v>0</v>
      </c>
      <c r="J189" s="302">
        <f>IF($D189="A",ROUND(VLOOKUP($C189,'[2]2.행정구역별 급수인구'!$C$7:$AD$997,27,FALSE)*$E189,0),IF($D189="B",(ROUND(VLOOKUP($C189,'[2]2.행정구역별 급수인구'!$C$7:$AD$997,27,FALSE)-VLOOKUP($C189,'[2]2.행정구역별 급수인구'!$C$7:$AD$997,27,FALSE)*(1-$E189),0)),VLOOKUP($C189,'[2]2.행정구역별 급수인구'!$C$7:$AD$997,27,FALSE)))</f>
        <v>0</v>
      </c>
      <c r="K189" s="302">
        <f>IF($D189="A",ROUND(VLOOKUP($C189,'[2]2.행정구역별 급수인구'!$C$7:$AD$997,28,FALSE)*$E189,0),IF($D189="B",(ROUND(VLOOKUP($C189,'[2]2.행정구역별 급수인구'!$C$7:$AD$997,28,FALSE)-VLOOKUP($C189,'[2]2.행정구역별 급수인구'!$C$7:$AD$997,28,FALSE)*(1-$E189),0)),VLOOKUP($C189,'[2]2.행정구역별 급수인구'!$C$7:$AD$997,28,FALSE)))</f>
        <v>0</v>
      </c>
      <c r="L189" s="302">
        <f>VLOOKUP($F189,'[3]5.급수원단위'!$B$31:$G$35,2,FALSE)</f>
        <v>272</v>
      </c>
      <c r="M189" s="302">
        <f>VLOOKUP($F189,'[3]5.급수원단위'!$B$31:$G$35,3,FALSE)</f>
        <v>304</v>
      </c>
      <c r="N189" s="302">
        <f>VLOOKUP($F189,'[3]5.급수원단위'!$B$31:$G$35,4,FALSE)</f>
        <v>308</v>
      </c>
      <c r="O189" s="302">
        <f>VLOOKUP($F189,'[3]5.급수원단위'!$B$31:$G$35,5,FALSE)</f>
        <v>310</v>
      </c>
      <c r="P189" s="302">
        <f>VLOOKUP($F189,'[3]5.급수원단위'!$B$31:$G$35,6,FALSE)</f>
        <v>310</v>
      </c>
      <c r="Q189" s="302">
        <f>ROUND(IF(G189=0,0,VLOOKUP(C189,'2013실사용량 정리'!$D$6:$F$381,3,FALSE)),0)</f>
        <v>0</v>
      </c>
      <c r="R189" s="302">
        <f t="shared" si="37"/>
        <v>0</v>
      </c>
      <c r="S189" s="302">
        <f t="shared" si="38"/>
        <v>0</v>
      </c>
      <c r="T189" s="302">
        <f t="shared" si="39"/>
        <v>0</v>
      </c>
      <c r="U189" s="302">
        <f t="shared" si="40"/>
        <v>0</v>
      </c>
      <c r="W189" s="343" t="str">
        <f t="shared" si="33"/>
        <v/>
      </c>
    </row>
    <row r="190" spans="1:23" ht="20.100000000000001" customHeight="1">
      <c r="A190" s="340"/>
      <c r="B190" s="340"/>
      <c r="C190" s="406" t="s">
        <v>1585</v>
      </c>
      <c r="D190" s="330" t="s">
        <v>1869</v>
      </c>
      <c r="E190" s="527">
        <f t="shared" si="41"/>
        <v>0</v>
      </c>
      <c r="F190" s="527" t="s">
        <v>756</v>
      </c>
      <c r="G190" s="302">
        <f>IF($D190="A",ROUND(VLOOKUP($C190,'[2]2.행정구역별 급수인구'!$C$7:$AD$997,17,FALSE)*$E190,0),IF($D190="B",(ROUND(VLOOKUP($C190,'[2]2.행정구역별 급수인구'!$C$7:$AD$997,17,FALSE)-VLOOKUP($C190,'[2]2.행정구역별 급수인구'!$C$7:$AD$997,17,FALSE)*(1-$E190),0)),VLOOKUP($C190,'[2]2.행정구역별 급수인구'!$C$7:$AD$997,17,FALSE)))</f>
        <v>0</v>
      </c>
      <c r="H190" s="302">
        <f>IF($D190="A",ROUND(VLOOKUP($C190,'[2]2.행정구역별 급수인구'!$C$7:$AD$997,25,FALSE)*$E190,0),IF($D190="B",(ROUND(VLOOKUP($C190,'[2]2.행정구역별 급수인구'!$C$7:$AD$997,25,FALSE)-VLOOKUP($C190,'[2]2.행정구역별 급수인구'!$C$7:$AD$997,25,FALSE)*(1-$E190),0)),VLOOKUP($C190,'[2]2.행정구역별 급수인구'!$C$7:$AD$997,25,FALSE)))</f>
        <v>0</v>
      </c>
      <c r="I190" s="302">
        <f>IF($D190="A",ROUND(VLOOKUP($C190,'[2]2.행정구역별 급수인구'!$C$7:$AD$997,26,FALSE)*$E190,0),IF($D190="B",(ROUND(VLOOKUP($C190,'[2]2.행정구역별 급수인구'!$C$7:$AD$997,26,FALSE)-VLOOKUP($C190,'[2]2.행정구역별 급수인구'!$C$7:$AD$997,26,FALSE)*(1-$E190),0)),VLOOKUP($C190,'[2]2.행정구역별 급수인구'!$C$7:$AD$997,26,FALSE)))</f>
        <v>0</v>
      </c>
      <c r="J190" s="302">
        <f>IF($D190="A",ROUND(VLOOKUP($C190,'[2]2.행정구역별 급수인구'!$C$7:$AD$997,27,FALSE)*$E190,0),IF($D190="B",(ROUND(VLOOKUP($C190,'[2]2.행정구역별 급수인구'!$C$7:$AD$997,27,FALSE)-VLOOKUP($C190,'[2]2.행정구역별 급수인구'!$C$7:$AD$997,27,FALSE)*(1-$E190),0)),VLOOKUP($C190,'[2]2.행정구역별 급수인구'!$C$7:$AD$997,27,FALSE)))</f>
        <v>0</v>
      </c>
      <c r="K190" s="302">
        <f>IF($D190="A",ROUND(VLOOKUP($C190,'[2]2.행정구역별 급수인구'!$C$7:$AD$997,28,FALSE)*$E190,0),IF($D190="B",(ROUND(VLOOKUP($C190,'[2]2.행정구역별 급수인구'!$C$7:$AD$997,28,FALSE)-VLOOKUP($C190,'[2]2.행정구역별 급수인구'!$C$7:$AD$997,28,FALSE)*(1-$E190),0)),VLOOKUP($C190,'[2]2.행정구역별 급수인구'!$C$7:$AD$997,28,FALSE)))</f>
        <v>0</v>
      </c>
      <c r="L190" s="302">
        <f>VLOOKUP($F190,'[3]5.급수원단위'!$B$31:$G$35,2,FALSE)</f>
        <v>272</v>
      </c>
      <c r="M190" s="302">
        <f>VLOOKUP($F190,'[3]5.급수원단위'!$B$31:$G$35,3,FALSE)</f>
        <v>304</v>
      </c>
      <c r="N190" s="302">
        <f>VLOOKUP($F190,'[3]5.급수원단위'!$B$31:$G$35,4,FALSE)</f>
        <v>308</v>
      </c>
      <c r="O190" s="302">
        <f>VLOOKUP($F190,'[3]5.급수원단위'!$B$31:$G$35,5,FALSE)</f>
        <v>310</v>
      </c>
      <c r="P190" s="302">
        <f>VLOOKUP($F190,'[3]5.급수원단위'!$B$31:$G$35,6,FALSE)</f>
        <v>310</v>
      </c>
      <c r="Q190" s="302">
        <f>ROUND(IF(G190=0,0,VLOOKUP(C190,'2013실사용량 정리'!$D$6:$F$381,3,FALSE)),0)</f>
        <v>0</v>
      </c>
      <c r="R190" s="302">
        <f t="shared" si="37"/>
        <v>0</v>
      </c>
      <c r="S190" s="302">
        <f t="shared" si="38"/>
        <v>0</v>
      </c>
      <c r="T190" s="302">
        <f t="shared" si="39"/>
        <v>0</v>
      </c>
      <c r="U190" s="302">
        <f t="shared" si="40"/>
        <v>0</v>
      </c>
      <c r="W190" s="343" t="str">
        <f t="shared" si="33"/>
        <v/>
      </c>
    </row>
    <row r="191" spans="1:23" ht="20.100000000000001" customHeight="1">
      <c r="A191" s="340"/>
      <c r="B191" s="340"/>
      <c r="C191" s="406" t="s">
        <v>1586</v>
      </c>
      <c r="D191" s="330" t="s">
        <v>1869</v>
      </c>
      <c r="E191" s="527">
        <f t="shared" si="41"/>
        <v>0</v>
      </c>
      <c r="F191" s="527" t="s">
        <v>756</v>
      </c>
      <c r="G191" s="302">
        <f>IF($D191="A",ROUND(VLOOKUP($C191,'[2]2.행정구역별 급수인구'!$C$7:$AD$997,17,FALSE)*$E191,0),IF($D191="B",(ROUND(VLOOKUP($C191,'[2]2.행정구역별 급수인구'!$C$7:$AD$997,17,FALSE)-VLOOKUP($C191,'[2]2.행정구역별 급수인구'!$C$7:$AD$997,17,FALSE)*(1-$E191),0)),VLOOKUP($C191,'[2]2.행정구역별 급수인구'!$C$7:$AD$997,17,FALSE)))</f>
        <v>0</v>
      </c>
      <c r="H191" s="302">
        <f>IF($D191="A",ROUND(VLOOKUP($C191,'[2]2.행정구역별 급수인구'!$C$7:$AD$997,25,FALSE)*$E191,0),IF($D191="B",(ROUND(VLOOKUP($C191,'[2]2.행정구역별 급수인구'!$C$7:$AD$997,25,FALSE)-VLOOKUP($C191,'[2]2.행정구역별 급수인구'!$C$7:$AD$997,25,FALSE)*(1-$E191),0)),VLOOKUP($C191,'[2]2.행정구역별 급수인구'!$C$7:$AD$997,25,FALSE)))</f>
        <v>0</v>
      </c>
      <c r="I191" s="302">
        <f>IF($D191="A",ROUND(VLOOKUP($C191,'[2]2.행정구역별 급수인구'!$C$7:$AD$997,26,FALSE)*$E191,0),IF($D191="B",(ROUND(VLOOKUP($C191,'[2]2.행정구역별 급수인구'!$C$7:$AD$997,26,FALSE)-VLOOKUP($C191,'[2]2.행정구역별 급수인구'!$C$7:$AD$997,26,FALSE)*(1-$E191),0)),VLOOKUP($C191,'[2]2.행정구역별 급수인구'!$C$7:$AD$997,26,FALSE)))</f>
        <v>0</v>
      </c>
      <c r="J191" s="302">
        <f>IF($D191="A",ROUND(VLOOKUP($C191,'[2]2.행정구역별 급수인구'!$C$7:$AD$997,27,FALSE)*$E191,0),IF($D191="B",(ROUND(VLOOKUP($C191,'[2]2.행정구역별 급수인구'!$C$7:$AD$997,27,FALSE)-VLOOKUP($C191,'[2]2.행정구역별 급수인구'!$C$7:$AD$997,27,FALSE)*(1-$E191),0)),VLOOKUP($C191,'[2]2.행정구역별 급수인구'!$C$7:$AD$997,27,FALSE)))</f>
        <v>0</v>
      </c>
      <c r="K191" s="302">
        <f>IF($D191="A",ROUND(VLOOKUP($C191,'[2]2.행정구역별 급수인구'!$C$7:$AD$997,28,FALSE)*$E191,0),IF($D191="B",(ROUND(VLOOKUP($C191,'[2]2.행정구역별 급수인구'!$C$7:$AD$997,28,FALSE)-VLOOKUP($C191,'[2]2.행정구역별 급수인구'!$C$7:$AD$997,28,FALSE)*(1-$E191),0)),VLOOKUP($C191,'[2]2.행정구역별 급수인구'!$C$7:$AD$997,28,FALSE)))</f>
        <v>0</v>
      </c>
      <c r="L191" s="302">
        <f>VLOOKUP($F191,'[3]5.급수원단위'!$B$31:$G$35,2,FALSE)</f>
        <v>272</v>
      </c>
      <c r="M191" s="302">
        <f>VLOOKUP($F191,'[3]5.급수원단위'!$B$31:$G$35,3,FALSE)</f>
        <v>304</v>
      </c>
      <c r="N191" s="302">
        <f>VLOOKUP($F191,'[3]5.급수원단위'!$B$31:$G$35,4,FALSE)</f>
        <v>308</v>
      </c>
      <c r="O191" s="302">
        <f>VLOOKUP($F191,'[3]5.급수원단위'!$B$31:$G$35,5,FALSE)</f>
        <v>310</v>
      </c>
      <c r="P191" s="302">
        <f>VLOOKUP($F191,'[3]5.급수원단위'!$B$31:$G$35,6,FALSE)</f>
        <v>310</v>
      </c>
      <c r="Q191" s="302">
        <f>ROUND(IF(G191=0,0,VLOOKUP(C191,'2013실사용량 정리'!$D$6:$F$381,3,FALSE)),0)</f>
        <v>0</v>
      </c>
      <c r="R191" s="302">
        <f t="shared" si="37"/>
        <v>0</v>
      </c>
      <c r="S191" s="302">
        <f t="shared" si="38"/>
        <v>0</v>
      </c>
      <c r="T191" s="302">
        <f t="shared" si="39"/>
        <v>0</v>
      </c>
      <c r="U191" s="302">
        <f t="shared" si="40"/>
        <v>0</v>
      </c>
      <c r="W191" s="343" t="str">
        <f t="shared" si="33"/>
        <v/>
      </c>
    </row>
    <row r="192" spans="1:23" ht="20.100000000000001" customHeight="1">
      <c r="A192" s="340"/>
      <c r="B192" s="340"/>
      <c r="C192" s="406" t="s">
        <v>1587</v>
      </c>
      <c r="D192" s="330" t="s">
        <v>1869</v>
      </c>
      <c r="E192" s="527">
        <f t="shared" si="41"/>
        <v>0</v>
      </c>
      <c r="F192" s="527" t="s">
        <v>756</v>
      </c>
      <c r="G192" s="302">
        <f>IF($D192="A",ROUND(VLOOKUP($C192,'[2]2.행정구역별 급수인구'!$C$7:$AD$997,17,FALSE)*$E192,0),IF($D192="B",(ROUND(VLOOKUP($C192,'[2]2.행정구역별 급수인구'!$C$7:$AD$997,17,FALSE)-VLOOKUP($C192,'[2]2.행정구역별 급수인구'!$C$7:$AD$997,17,FALSE)*(1-$E192),0)),VLOOKUP($C192,'[2]2.행정구역별 급수인구'!$C$7:$AD$997,17,FALSE)))</f>
        <v>0</v>
      </c>
      <c r="H192" s="302">
        <f>IF($D192="A",ROUND(VLOOKUP($C192,'[2]2.행정구역별 급수인구'!$C$7:$AD$997,25,FALSE)*$E192,0),IF($D192="B",(ROUND(VLOOKUP($C192,'[2]2.행정구역별 급수인구'!$C$7:$AD$997,25,FALSE)-VLOOKUP($C192,'[2]2.행정구역별 급수인구'!$C$7:$AD$997,25,FALSE)*(1-$E192),0)),VLOOKUP($C192,'[2]2.행정구역별 급수인구'!$C$7:$AD$997,25,FALSE)))</f>
        <v>0</v>
      </c>
      <c r="I192" s="302">
        <f>IF($D192="A",ROUND(VLOOKUP($C192,'[2]2.행정구역별 급수인구'!$C$7:$AD$997,26,FALSE)*$E192,0),IF($D192="B",(ROUND(VLOOKUP($C192,'[2]2.행정구역별 급수인구'!$C$7:$AD$997,26,FALSE)-VLOOKUP($C192,'[2]2.행정구역별 급수인구'!$C$7:$AD$997,26,FALSE)*(1-$E192),0)),VLOOKUP($C192,'[2]2.행정구역별 급수인구'!$C$7:$AD$997,26,FALSE)))</f>
        <v>0</v>
      </c>
      <c r="J192" s="302">
        <f>IF($D192="A",ROUND(VLOOKUP($C192,'[2]2.행정구역별 급수인구'!$C$7:$AD$997,27,FALSE)*$E192,0),IF($D192="B",(ROUND(VLOOKUP($C192,'[2]2.행정구역별 급수인구'!$C$7:$AD$997,27,FALSE)-VLOOKUP($C192,'[2]2.행정구역별 급수인구'!$C$7:$AD$997,27,FALSE)*(1-$E192),0)),VLOOKUP($C192,'[2]2.행정구역별 급수인구'!$C$7:$AD$997,27,FALSE)))</f>
        <v>0</v>
      </c>
      <c r="K192" s="302">
        <f>IF($D192="A",ROUND(VLOOKUP($C192,'[2]2.행정구역별 급수인구'!$C$7:$AD$997,28,FALSE)*$E192,0),IF($D192="B",(ROUND(VLOOKUP($C192,'[2]2.행정구역별 급수인구'!$C$7:$AD$997,28,FALSE)-VLOOKUP($C192,'[2]2.행정구역별 급수인구'!$C$7:$AD$997,28,FALSE)*(1-$E192),0)),VLOOKUP($C192,'[2]2.행정구역별 급수인구'!$C$7:$AD$997,28,FALSE)))</f>
        <v>0</v>
      </c>
      <c r="L192" s="302">
        <f>VLOOKUP($F192,'[3]5.급수원단위'!$B$31:$G$35,2,FALSE)</f>
        <v>272</v>
      </c>
      <c r="M192" s="302">
        <f>VLOOKUP($F192,'[3]5.급수원단위'!$B$31:$G$35,3,FALSE)</f>
        <v>304</v>
      </c>
      <c r="N192" s="302">
        <f>VLOOKUP($F192,'[3]5.급수원단위'!$B$31:$G$35,4,FALSE)</f>
        <v>308</v>
      </c>
      <c r="O192" s="302">
        <f>VLOOKUP($F192,'[3]5.급수원단위'!$B$31:$G$35,5,FALSE)</f>
        <v>310</v>
      </c>
      <c r="P192" s="302">
        <f>VLOOKUP($F192,'[3]5.급수원단위'!$B$31:$G$35,6,FALSE)</f>
        <v>310</v>
      </c>
      <c r="Q192" s="302">
        <f>ROUND(IF(G192=0,0,VLOOKUP(C192,'2013실사용량 정리'!$D$6:$F$381,3,FALSE)),0)</f>
        <v>0</v>
      </c>
      <c r="R192" s="302">
        <f t="shared" si="37"/>
        <v>0</v>
      </c>
      <c r="S192" s="302">
        <f t="shared" si="38"/>
        <v>0</v>
      </c>
      <c r="T192" s="302">
        <f t="shared" si="39"/>
        <v>0</v>
      </c>
      <c r="U192" s="302">
        <f t="shared" si="40"/>
        <v>0</v>
      </c>
      <c r="W192" s="343" t="str">
        <f t="shared" si="33"/>
        <v/>
      </c>
    </row>
    <row r="193" spans="1:23" ht="20.100000000000001" customHeight="1">
      <c r="A193" s="340"/>
      <c r="B193" s="340"/>
      <c r="C193" s="406" t="s">
        <v>1588</v>
      </c>
      <c r="D193" s="330" t="s">
        <v>1869</v>
      </c>
      <c r="E193" s="527">
        <f t="shared" si="41"/>
        <v>0</v>
      </c>
      <c r="F193" s="527" t="s">
        <v>756</v>
      </c>
      <c r="G193" s="302">
        <f>IF($D193="A",ROUND(VLOOKUP($C193,'[2]2.행정구역별 급수인구'!$C$7:$AD$997,17,FALSE)*$E193,0),IF($D193="B",(ROUND(VLOOKUP($C193,'[2]2.행정구역별 급수인구'!$C$7:$AD$997,17,FALSE)-VLOOKUP($C193,'[2]2.행정구역별 급수인구'!$C$7:$AD$997,17,FALSE)*(1-$E193),0)),VLOOKUP($C193,'[2]2.행정구역별 급수인구'!$C$7:$AD$997,17,FALSE)))</f>
        <v>0</v>
      </c>
      <c r="H193" s="302">
        <f>IF($D193="A",ROUND(VLOOKUP($C193,'[2]2.행정구역별 급수인구'!$C$7:$AD$997,25,FALSE)*$E193,0),IF($D193="B",(ROUND(VLOOKUP($C193,'[2]2.행정구역별 급수인구'!$C$7:$AD$997,25,FALSE)-VLOOKUP($C193,'[2]2.행정구역별 급수인구'!$C$7:$AD$997,25,FALSE)*(1-$E193),0)),VLOOKUP($C193,'[2]2.행정구역별 급수인구'!$C$7:$AD$997,25,FALSE)))</f>
        <v>0</v>
      </c>
      <c r="I193" s="302">
        <f>IF($D193="A",ROUND(VLOOKUP($C193,'[2]2.행정구역별 급수인구'!$C$7:$AD$997,26,FALSE)*$E193,0),IF($D193="B",(ROUND(VLOOKUP($C193,'[2]2.행정구역별 급수인구'!$C$7:$AD$997,26,FALSE)-VLOOKUP($C193,'[2]2.행정구역별 급수인구'!$C$7:$AD$997,26,FALSE)*(1-$E193),0)),VLOOKUP($C193,'[2]2.행정구역별 급수인구'!$C$7:$AD$997,26,FALSE)))</f>
        <v>0</v>
      </c>
      <c r="J193" s="302">
        <f>IF($D193="A",ROUND(VLOOKUP($C193,'[2]2.행정구역별 급수인구'!$C$7:$AD$997,27,FALSE)*$E193,0),IF($D193="B",(ROUND(VLOOKUP($C193,'[2]2.행정구역별 급수인구'!$C$7:$AD$997,27,FALSE)-VLOOKUP($C193,'[2]2.행정구역별 급수인구'!$C$7:$AD$997,27,FALSE)*(1-$E193),0)),VLOOKUP($C193,'[2]2.행정구역별 급수인구'!$C$7:$AD$997,27,FALSE)))</f>
        <v>0</v>
      </c>
      <c r="K193" s="302">
        <f>IF($D193="A",ROUND(VLOOKUP($C193,'[2]2.행정구역별 급수인구'!$C$7:$AD$997,28,FALSE)*$E193,0),IF($D193="B",(ROUND(VLOOKUP($C193,'[2]2.행정구역별 급수인구'!$C$7:$AD$997,28,FALSE)-VLOOKUP($C193,'[2]2.행정구역별 급수인구'!$C$7:$AD$997,28,FALSE)*(1-$E193),0)),VLOOKUP($C193,'[2]2.행정구역별 급수인구'!$C$7:$AD$997,28,FALSE)))</f>
        <v>0</v>
      </c>
      <c r="L193" s="302">
        <f>VLOOKUP($F193,'[3]5.급수원단위'!$B$31:$G$35,2,FALSE)</f>
        <v>272</v>
      </c>
      <c r="M193" s="302">
        <f>VLOOKUP($F193,'[3]5.급수원단위'!$B$31:$G$35,3,FALSE)</f>
        <v>304</v>
      </c>
      <c r="N193" s="302">
        <f>VLOOKUP($F193,'[3]5.급수원단위'!$B$31:$G$35,4,FALSE)</f>
        <v>308</v>
      </c>
      <c r="O193" s="302">
        <f>VLOOKUP($F193,'[3]5.급수원단위'!$B$31:$G$35,5,FALSE)</f>
        <v>310</v>
      </c>
      <c r="P193" s="302">
        <f>VLOOKUP($F193,'[3]5.급수원단위'!$B$31:$G$35,6,FALSE)</f>
        <v>310</v>
      </c>
      <c r="Q193" s="302">
        <f>ROUND(IF(G193=0,0,VLOOKUP(C193,'2013실사용량 정리'!$D$6:$F$381,3,FALSE)),0)</f>
        <v>0</v>
      </c>
      <c r="R193" s="302">
        <f t="shared" si="37"/>
        <v>0</v>
      </c>
      <c r="S193" s="302">
        <f t="shared" si="38"/>
        <v>0</v>
      </c>
      <c r="T193" s="302">
        <f t="shared" si="39"/>
        <v>0</v>
      </c>
      <c r="U193" s="302">
        <f t="shared" si="40"/>
        <v>0</v>
      </c>
      <c r="W193" s="343" t="str">
        <f t="shared" si="33"/>
        <v/>
      </c>
    </row>
    <row r="194" spans="1:23" ht="20.100000000000001" customHeight="1">
      <c r="A194" s="340"/>
      <c r="B194" s="340"/>
      <c r="C194" s="406" t="s">
        <v>1589</v>
      </c>
      <c r="D194" s="330" t="s">
        <v>1869</v>
      </c>
      <c r="E194" s="527">
        <f t="shared" si="41"/>
        <v>0</v>
      </c>
      <c r="F194" s="527" t="s">
        <v>756</v>
      </c>
      <c r="G194" s="302">
        <f>IF($D194="A",ROUND(VLOOKUP($C194,'[2]2.행정구역별 급수인구'!$C$7:$AD$997,17,FALSE)*$E194,0),IF($D194="B",(ROUND(VLOOKUP($C194,'[2]2.행정구역별 급수인구'!$C$7:$AD$997,17,FALSE)-VLOOKUP($C194,'[2]2.행정구역별 급수인구'!$C$7:$AD$997,17,FALSE)*(1-$E194),0)),VLOOKUP($C194,'[2]2.행정구역별 급수인구'!$C$7:$AD$997,17,FALSE)))</f>
        <v>0</v>
      </c>
      <c r="H194" s="302">
        <f>IF($D194="A",ROUND(VLOOKUP($C194,'[2]2.행정구역별 급수인구'!$C$7:$AD$997,25,FALSE)*$E194,0),IF($D194="B",(ROUND(VLOOKUP($C194,'[2]2.행정구역별 급수인구'!$C$7:$AD$997,25,FALSE)-VLOOKUP($C194,'[2]2.행정구역별 급수인구'!$C$7:$AD$997,25,FALSE)*(1-$E194),0)),VLOOKUP($C194,'[2]2.행정구역별 급수인구'!$C$7:$AD$997,25,FALSE)))</f>
        <v>0</v>
      </c>
      <c r="I194" s="302">
        <f>IF($D194="A",ROUND(VLOOKUP($C194,'[2]2.행정구역별 급수인구'!$C$7:$AD$997,26,FALSE)*$E194,0),IF($D194="B",(ROUND(VLOOKUP($C194,'[2]2.행정구역별 급수인구'!$C$7:$AD$997,26,FALSE)-VLOOKUP($C194,'[2]2.행정구역별 급수인구'!$C$7:$AD$997,26,FALSE)*(1-$E194),0)),VLOOKUP($C194,'[2]2.행정구역별 급수인구'!$C$7:$AD$997,26,FALSE)))</f>
        <v>0</v>
      </c>
      <c r="J194" s="302">
        <f>IF($D194="A",ROUND(VLOOKUP($C194,'[2]2.행정구역별 급수인구'!$C$7:$AD$997,27,FALSE)*$E194,0),IF($D194="B",(ROUND(VLOOKUP($C194,'[2]2.행정구역별 급수인구'!$C$7:$AD$997,27,FALSE)-VLOOKUP($C194,'[2]2.행정구역별 급수인구'!$C$7:$AD$997,27,FALSE)*(1-$E194),0)),VLOOKUP($C194,'[2]2.행정구역별 급수인구'!$C$7:$AD$997,27,FALSE)))</f>
        <v>0</v>
      </c>
      <c r="K194" s="302">
        <f>IF($D194="A",ROUND(VLOOKUP($C194,'[2]2.행정구역별 급수인구'!$C$7:$AD$997,28,FALSE)*$E194,0),IF($D194="B",(ROUND(VLOOKUP($C194,'[2]2.행정구역별 급수인구'!$C$7:$AD$997,28,FALSE)-VLOOKUP($C194,'[2]2.행정구역별 급수인구'!$C$7:$AD$997,28,FALSE)*(1-$E194),0)),VLOOKUP($C194,'[2]2.행정구역별 급수인구'!$C$7:$AD$997,28,FALSE)))</f>
        <v>0</v>
      </c>
      <c r="L194" s="302">
        <f>VLOOKUP($F194,'[3]5.급수원단위'!$B$31:$G$35,2,FALSE)</f>
        <v>272</v>
      </c>
      <c r="M194" s="302">
        <f>VLOOKUP($F194,'[3]5.급수원단위'!$B$31:$G$35,3,FALSE)</f>
        <v>304</v>
      </c>
      <c r="N194" s="302">
        <f>VLOOKUP($F194,'[3]5.급수원단위'!$B$31:$G$35,4,FALSE)</f>
        <v>308</v>
      </c>
      <c r="O194" s="302">
        <f>VLOOKUP($F194,'[3]5.급수원단위'!$B$31:$G$35,5,FALSE)</f>
        <v>310</v>
      </c>
      <c r="P194" s="302">
        <f>VLOOKUP($F194,'[3]5.급수원단위'!$B$31:$G$35,6,FALSE)</f>
        <v>310</v>
      </c>
      <c r="Q194" s="302">
        <f>ROUND(IF(G194=0,0,VLOOKUP(C194,'2013실사용량 정리'!$D$6:$F$381,3,FALSE)),0)</f>
        <v>0</v>
      </c>
      <c r="R194" s="302">
        <f t="shared" si="37"/>
        <v>0</v>
      </c>
      <c r="S194" s="302">
        <f t="shared" si="38"/>
        <v>0</v>
      </c>
      <c r="T194" s="302">
        <f t="shared" si="39"/>
        <v>0</v>
      </c>
      <c r="U194" s="302">
        <f t="shared" si="40"/>
        <v>0</v>
      </c>
      <c r="W194" s="343" t="str">
        <f t="shared" si="33"/>
        <v/>
      </c>
    </row>
    <row r="195" spans="1:23" ht="20.100000000000001" customHeight="1">
      <c r="A195" s="340"/>
      <c r="B195" s="340"/>
      <c r="C195" s="406" t="s">
        <v>1590</v>
      </c>
      <c r="D195" s="330" t="s">
        <v>1869</v>
      </c>
      <c r="E195" s="527">
        <f t="shared" si="41"/>
        <v>0</v>
      </c>
      <c r="F195" s="527" t="s">
        <v>756</v>
      </c>
      <c r="G195" s="302">
        <f>IF($D195="A",ROUND(VLOOKUP($C195,'[2]2.행정구역별 급수인구'!$C$7:$AD$997,17,FALSE)*$E195,0),IF($D195="B",(ROUND(VLOOKUP($C195,'[2]2.행정구역별 급수인구'!$C$7:$AD$997,17,FALSE)-VLOOKUP($C195,'[2]2.행정구역별 급수인구'!$C$7:$AD$997,17,FALSE)*(1-$E195),0)),VLOOKUP($C195,'[2]2.행정구역별 급수인구'!$C$7:$AD$997,17,FALSE)))</f>
        <v>0</v>
      </c>
      <c r="H195" s="302">
        <f>IF($D195="A",ROUND(VLOOKUP($C195,'[2]2.행정구역별 급수인구'!$C$7:$AD$997,25,FALSE)*$E195,0),IF($D195="B",(ROUND(VLOOKUP($C195,'[2]2.행정구역별 급수인구'!$C$7:$AD$997,25,FALSE)-VLOOKUP($C195,'[2]2.행정구역별 급수인구'!$C$7:$AD$997,25,FALSE)*(1-$E195),0)),VLOOKUP($C195,'[2]2.행정구역별 급수인구'!$C$7:$AD$997,25,FALSE)))</f>
        <v>0</v>
      </c>
      <c r="I195" s="302">
        <f>IF($D195="A",ROUND(VLOOKUP($C195,'[2]2.행정구역별 급수인구'!$C$7:$AD$997,26,FALSE)*$E195,0),IF($D195="B",(ROUND(VLOOKUP($C195,'[2]2.행정구역별 급수인구'!$C$7:$AD$997,26,FALSE)-VLOOKUP($C195,'[2]2.행정구역별 급수인구'!$C$7:$AD$997,26,FALSE)*(1-$E195),0)),VLOOKUP($C195,'[2]2.행정구역별 급수인구'!$C$7:$AD$997,26,FALSE)))</f>
        <v>0</v>
      </c>
      <c r="J195" s="302">
        <f>IF($D195="A",ROUND(VLOOKUP($C195,'[2]2.행정구역별 급수인구'!$C$7:$AD$997,27,FALSE)*$E195,0),IF($D195="B",(ROUND(VLOOKUP($C195,'[2]2.행정구역별 급수인구'!$C$7:$AD$997,27,FALSE)-VLOOKUP($C195,'[2]2.행정구역별 급수인구'!$C$7:$AD$997,27,FALSE)*(1-$E195),0)),VLOOKUP($C195,'[2]2.행정구역별 급수인구'!$C$7:$AD$997,27,FALSE)))</f>
        <v>0</v>
      </c>
      <c r="K195" s="302">
        <f>IF($D195="A",ROUND(VLOOKUP($C195,'[2]2.행정구역별 급수인구'!$C$7:$AD$997,28,FALSE)*$E195,0),IF($D195="B",(ROUND(VLOOKUP($C195,'[2]2.행정구역별 급수인구'!$C$7:$AD$997,28,FALSE)-VLOOKUP($C195,'[2]2.행정구역별 급수인구'!$C$7:$AD$997,28,FALSE)*(1-$E195),0)),VLOOKUP($C195,'[2]2.행정구역별 급수인구'!$C$7:$AD$997,28,FALSE)))</f>
        <v>0</v>
      </c>
      <c r="L195" s="302">
        <f>VLOOKUP($F195,'[3]5.급수원단위'!$B$31:$G$35,2,FALSE)</f>
        <v>272</v>
      </c>
      <c r="M195" s="302">
        <f>VLOOKUP($F195,'[3]5.급수원단위'!$B$31:$G$35,3,FALSE)</f>
        <v>304</v>
      </c>
      <c r="N195" s="302">
        <f>VLOOKUP($F195,'[3]5.급수원단위'!$B$31:$G$35,4,FALSE)</f>
        <v>308</v>
      </c>
      <c r="O195" s="302">
        <f>VLOOKUP($F195,'[3]5.급수원단위'!$B$31:$G$35,5,FALSE)</f>
        <v>310</v>
      </c>
      <c r="P195" s="302">
        <f>VLOOKUP($F195,'[3]5.급수원단위'!$B$31:$G$35,6,FALSE)</f>
        <v>310</v>
      </c>
      <c r="Q195" s="302">
        <f>ROUND(IF(G195=0,0,VLOOKUP(C195,'2013실사용량 정리'!$D$6:$F$381,3,FALSE)),0)</f>
        <v>0</v>
      </c>
      <c r="R195" s="302">
        <f t="shared" si="37"/>
        <v>0</v>
      </c>
      <c r="S195" s="302">
        <f t="shared" si="38"/>
        <v>0</v>
      </c>
      <c r="T195" s="302">
        <f t="shared" si="39"/>
        <v>0</v>
      </c>
      <c r="U195" s="302">
        <f t="shared" si="40"/>
        <v>0</v>
      </c>
      <c r="W195" s="343" t="str">
        <f t="shared" si="33"/>
        <v/>
      </c>
    </row>
    <row r="196" spans="1:23" ht="20.100000000000001" customHeight="1">
      <c r="A196" s="340"/>
      <c r="B196" s="340"/>
      <c r="C196" s="406" t="s">
        <v>1591</v>
      </c>
      <c r="D196" s="330" t="s">
        <v>1869</v>
      </c>
      <c r="E196" s="527">
        <f t="shared" si="41"/>
        <v>0</v>
      </c>
      <c r="F196" s="527" t="s">
        <v>756</v>
      </c>
      <c r="G196" s="302">
        <f>IF($D196="A",ROUND(VLOOKUP($C196,'[2]2.행정구역별 급수인구'!$C$7:$AD$997,17,FALSE)*$E196,0),IF($D196="B",(ROUND(VLOOKUP($C196,'[2]2.행정구역별 급수인구'!$C$7:$AD$997,17,FALSE)-VLOOKUP($C196,'[2]2.행정구역별 급수인구'!$C$7:$AD$997,17,FALSE)*(1-$E196),0)),VLOOKUP($C196,'[2]2.행정구역별 급수인구'!$C$7:$AD$997,17,FALSE)))</f>
        <v>0</v>
      </c>
      <c r="H196" s="302">
        <f>IF($D196="A",ROUND(VLOOKUP($C196,'[2]2.행정구역별 급수인구'!$C$7:$AD$997,25,FALSE)*$E196,0),IF($D196="B",(ROUND(VLOOKUP($C196,'[2]2.행정구역별 급수인구'!$C$7:$AD$997,25,FALSE)-VLOOKUP($C196,'[2]2.행정구역별 급수인구'!$C$7:$AD$997,25,FALSE)*(1-$E196),0)),VLOOKUP($C196,'[2]2.행정구역별 급수인구'!$C$7:$AD$997,25,FALSE)))</f>
        <v>0</v>
      </c>
      <c r="I196" s="302">
        <f>IF($D196="A",ROUND(VLOOKUP($C196,'[2]2.행정구역별 급수인구'!$C$7:$AD$997,26,FALSE)*$E196,0),IF($D196="B",(ROUND(VLOOKUP($C196,'[2]2.행정구역별 급수인구'!$C$7:$AD$997,26,FALSE)-VLOOKUP($C196,'[2]2.행정구역별 급수인구'!$C$7:$AD$997,26,FALSE)*(1-$E196),0)),VLOOKUP($C196,'[2]2.행정구역별 급수인구'!$C$7:$AD$997,26,FALSE)))</f>
        <v>0</v>
      </c>
      <c r="J196" s="302">
        <f>IF($D196="A",ROUND(VLOOKUP($C196,'[2]2.행정구역별 급수인구'!$C$7:$AD$997,27,FALSE)*$E196,0),IF($D196="B",(ROUND(VLOOKUP($C196,'[2]2.행정구역별 급수인구'!$C$7:$AD$997,27,FALSE)-VLOOKUP($C196,'[2]2.행정구역별 급수인구'!$C$7:$AD$997,27,FALSE)*(1-$E196),0)),VLOOKUP($C196,'[2]2.행정구역별 급수인구'!$C$7:$AD$997,27,FALSE)))</f>
        <v>0</v>
      </c>
      <c r="K196" s="302">
        <f>IF($D196="A",ROUND(VLOOKUP($C196,'[2]2.행정구역별 급수인구'!$C$7:$AD$997,28,FALSE)*$E196,0),IF($D196="B",(ROUND(VLOOKUP($C196,'[2]2.행정구역별 급수인구'!$C$7:$AD$997,28,FALSE)-VLOOKUP($C196,'[2]2.행정구역별 급수인구'!$C$7:$AD$997,28,FALSE)*(1-$E196),0)),VLOOKUP($C196,'[2]2.행정구역별 급수인구'!$C$7:$AD$997,28,FALSE)))</f>
        <v>0</v>
      </c>
      <c r="L196" s="302">
        <f>VLOOKUP($F196,'[3]5.급수원단위'!$B$31:$G$35,2,FALSE)</f>
        <v>272</v>
      </c>
      <c r="M196" s="302">
        <f>VLOOKUP($F196,'[3]5.급수원단위'!$B$31:$G$35,3,FALSE)</f>
        <v>304</v>
      </c>
      <c r="N196" s="302">
        <f>VLOOKUP($F196,'[3]5.급수원단위'!$B$31:$G$35,4,FALSE)</f>
        <v>308</v>
      </c>
      <c r="O196" s="302">
        <f>VLOOKUP($F196,'[3]5.급수원단위'!$B$31:$G$35,5,FALSE)</f>
        <v>310</v>
      </c>
      <c r="P196" s="302">
        <f>VLOOKUP($F196,'[3]5.급수원단위'!$B$31:$G$35,6,FALSE)</f>
        <v>310</v>
      </c>
      <c r="Q196" s="302">
        <f>ROUND(IF(G196=0,0,VLOOKUP(C196,'2013실사용량 정리'!$D$6:$F$381,3,FALSE)),0)</f>
        <v>0</v>
      </c>
      <c r="R196" s="302">
        <f t="shared" si="37"/>
        <v>0</v>
      </c>
      <c r="S196" s="302">
        <f t="shared" si="38"/>
        <v>0</v>
      </c>
      <c r="T196" s="302">
        <f t="shared" si="39"/>
        <v>0</v>
      </c>
      <c r="U196" s="302">
        <f t="shared" si="40"/>
        <v>0</v>
      </c>
      <c r="W196" s="343" t="str">
        <f t="shared" si="33"/>
        <v/>
      </c>
    </row>
    <row r="197" spans="1:23" ht="20.100000000000001" customHeight="1">
      <c r="A197" s="340"/>
      <c r="B197" s="340"/>
      <c r="C197" s="346" t="s">
        <v>1592</v>
      </c>
      <c r="D197" s="330" t="s">
        <v>1869</v>
      </c>
      <c r="E197" s="527">
        <f t="shared" si="41"/>
        <v>0</v>
      </c>
      <c r="F197" s="527" t="s">
        <v>756</v>
      </c>
      <c r="G197" s="302">
        <f>IF($D197="A",ROUND(VLOOKUP($C197,'[2]2.행정구역별 급수인구'!$C$7:$AD$997,17,FALSE)*$E197,0),IF($D197="B",(ROUND(VLOOKUP($C197,'[2]2.행정구역별 급수인구'!$C$7:$AD$997,17,FALSE)-VLOOKUP($C197,'[2]2.행정구역별 급수인구'!$C$7:$AD$997,17,FALSE)*(1-$E197),0)),VLOOKUP($C197,'[2]2.행정구역별 급수인구'!$C$7:$AD$997,17,FALSE)))</f>
        <v>0</v>
      </c>
      <c r="H197" s="302">
        <f>IF($D197="A",ROUND(VLOOKUP($C197,'[2]2.행정구역별 급수인구'!$C$7:$AD$997,25,FALSE)*$E197,0),IF($D197="B",(ROUND(VLOOKUP($C197,'[2]2.행정구역별 급수인구'!$C$7:$AD$997,25,FALSE)-VLOOKUP($C197,'[2]2.행정구역별 급수인구'!$C$7:$AD$997,25,FALSE)*(1-$E197),0)),VLOOKUP($C197,'[2]2.행정구역별 급수인구'!$C$7:$AD$997,25,FALSE)))</f>
        <v>0</v>
      </c>
      <c r="I197" s="302">
        <f>IF($D197="A",ROUND(VLOOKUP($C197,'[2]2.행정구역별 급수인구'!$C$7:$AD$997,26,FALSE)*$E197,0),IF($D197="B",(ROUND(VLOOKUP($C197,'[2]2.행정구역별 급수인구'!$C$7:$AD$997,26,FALSE)-VLOOKUP($C197,'[2]2.행정구역별 급수인구'!$C$7:$AD$997,26,FALSE)*(1-$E197),0)),VLOOKUP($C197,'[2]2.행정구역별 급수인구'!$C$7:$AD$997,26,FALSE)))</f>
        <v>0</v>
      </c>
      <c r="J197" s="302">
        <f>IF($D197="A",ROUND(VLOOKUP($C197,'[2]2.행정구역별 급수인구'!$C$7:$AD$997,27,FALSE)*$E197,0),IF($D197="B",(ROUND(VLOOKUP($C197,'[2]2.행정구역별 급수인구'!$C$7:$AD$997,27,FALSE)-VLOOKUP($C197,'[2]2.행정구역별 급수인구'!$C$7:$AD$997,27,FALSE)*(1-$E197),0)),VLOOKUP($C197,'[2]2.행정구역별 급수인구'!$C$7:$AD$997,27,FALSE)))</f>
        <v>0</v>
      </c>
      <c r="K197" s="302">
        <f>IF($D197="A",ROUND(VLOOKUP($C197,'[2]2.행정구역별 급수인구'!$C$7:$AD$997,28,FALSE)*$E197,0),IF($D197="B",(ROUND(VLOOKUP($C197,'[2]2.행정구역별 급수인구'!$C$7:$AD$997,28,FALSE)-VLOOKUP($C197,'[2]2.행정구역별 급수인구'!$C$7:$AD$997,28,FALSE)*(1-$E197),0)),VLOOKUP($C197,'[2]2.행정구역별 급수인구'!$C$7:$AD$997,28,FALSE)))</f>
        <v>0</v>
      </c>
      <c r="L197" s="302">
        <f>VLOOKUP($F197,'[3]5.급수원단위'!$B$31:$G$35,2,FALSE)</f>
        <v>272</v>
      </c>
      <c r="M197" s="302">
        <f>VLOOKUP($F197,'[3]5.급수원단위'!$B$31:$G$35,3,FALSE)</f>
        <v>304</v>
      </c>
      <c r="N197" s="302">
        <f>VLOOKUP($F197,'[3]5.급수원단위'!$B$31:$G$35,4,FALSE)</f>
        <v>308</v>
      </c>
      <c r="O197" s="302">
        <f>VLOOKUP($F197,'[3]5.급수원단위'!$B$31:$G$35,5,FALSE)</f>
        <v>310</v>
      </c>
      <c r="P197" s="302">
        <f>VLOOKUP($F197,'[3]5.급수원단위'!$B$31:$G$35,6,FALSE)</f>
        <v>310</v>
      </c>
      <c r="Q197" s="302">
        <f>ROUND(IF(G197=0,0,VLOOKUP(C197,'2013실사용량 정리'!$D$6:$F$381,3,FALSE)),0)</f>
        <v>0</v>
      </c>
      <c r="R197" s="302">
        <f t="shared" si="37"/>
        <v>0</v>
      </c>
      <c r="S197" s="302">
        <f t="shared" si="38"/>
        <v>0</v>
      </c>
      <c r="T197" s="302">
        <f t="shared" si="39"/>
        <v>0</v>
      </c>
      <c r="U197" s="302">
        <f t="shared" si="40"/>
        <v>0</v>
      </c>
      <c r="W197" s="343" t="str">
        <f t="shared" si="33"/>
        <v/>
      </c>
    </row>
    <row r="198" spans="1:23" ht="20.100000000000001" customHeight="1">
      <c r="A198" s="340"/>
      <c r="B198" s="340"/>
      <c r="C198" s="346" t="s">
        <v>1593</v>
      </c>
      <c r="D198" s="330" t="s">
        <v>1869</v>
      </c>
      <c r="E198" s="527">
        <f t="shared" si="41"/>
        <v>0</v>
      </c>
      <c r="F198" s="527" t="s">
        <v>756</v>
      </c>
      <c r="G198" s="302">
        <f>IF($D198="A",ROUND(VLOOKUP($C198,'[2]2.행정구역별 급수인구'!$C$7:$AD$997,17,FALSE)*$E198,0),IF($D198="B",(ROUND(VLOOKUP($C198,'[2]2.행정구역별 급수인구'!$C$7:$AD$997,17,FALSE)-VLOOKUP($C198,'[2]2.행정구역별 급수인구'!$C$7:$AD$997,17,FALSE)*(1-$E198),0)),VLOOKUP($C198,'[2]2.행정구역별 급수인구'!$C$7:$AD$997,17,FALSE)))</f>
        <v>0</v>
      </c>
      <c r="H198" s="302">
        <f>IF($D198="A",ROUND(VLOOKUP($C198,'[2]2.행정구역별 급수인구'!$C$7:$AD$997,25,FALSE)*$E198,0),IF($D198="B",(ROUND(VLOOKUP($C198,'[2]2.행정구역별 급수인구'!$C$7:$AD$997,25,FALSE)-VLOOKUP($C198,'[2]2.행정구역별 급수인구'!$C$7:$AD$997,25,FALSE)*(1-$E198),0)),VLOOKUP($C198,'[2]2.행정구역별 급수인구'!$C$7:$AD$997,25,FALSE)))</f>
        <v>0</v>
      </c>
      <c r="I198" s="302">
        <f>IF($D198="A",ROUND(VLOOKUP($C198,'[2]2.행정구역별 급수인구'!$C$7:$AD$997,26,FALSE)*$E198,0),IF($D198="B",(ROUND(VLOOKUP($C198,'[2]2.행정구역별 급수인구'!$C$7:$AD$997,26,FALSE)-VLOOKUP($C198,'[2]2.행정구역별 급수인구'!$C$7:$AD$997,26,FALSE)*(1-$E198),0)),VLOOKUP($C198,'[2]2.행정구역별 급수인구'!$C$7:$AD$997,26,FALSE)))</f>
        <v>0</v>
      </c>
      <c r="J198" s="302">
        <f>IF($D198="A",ROUND(VLOOKUP($C198,'[2]2.행정구역별 급수인구'!$C$7:$AD$997,27,FALSE)*$E198,0),IF($D198="B",(ROUND(VLOOKUP($C198,'[2]2.행정구역별 급수인구'!$C$7:$AD$997,27,FALSE)-VLOOKUP($C198,'[2]2.행정구역별 급수인구'!$C$7:$AD$997,27,FALSE)*(1-$E198),0)),VLOOKUP($C198,'[2]2.행정구역별 급수인구'!$C$7:$AD$997,27,FALSE)))</f>
        <v>0</v>
      </c>
      <c r="K198" s="302">
        <f>IF($D198="A",ROUND(VLOOKUP($C198,'[2]2.행정구역별 급수인구'!$C$7:$AD$997,28,FALSE)*$E198,0),IF($D198="B",(ROUND(VLOOKUP($C198,'[2]2.행정구역별 급수인구'!$C$7:$AD$997,28,FALSE)-VLOOKUP($C198,'[2]2.행정구역별 급수인구'!$C$7:$AD$997,28,FALSE)*(1-$E198),0)),VLOOKUP($C198,'[2]2.행정구역별 급수인구'!$C$7:$AD$997,28,FALSE)))</f>
        <v>0</v>
      </c>
      <c r="L198" s="302">
        <f>VLOOKUP($F198,'[3]5.급수원단위'!$B$31:$G$35,2,FALSE)</f>
        <v>272</v>
      </c>
      <c r="M198" s="302">
        <f>VLOOKUP($F198,'[3]5.급수원단위'!$B$31:$G$35,3,FALSE)</f>
        <v>304</v>
      </c>
      <c r="N198" s="302">
        <f>VLOOKUP($F198,'[3]5.급수원단위'!$B$31:$G$35,4,FALSE)</f>
        <v>308</v>
      </c>
      <c r="O198" s="302">
        <f>VLOOKUP($F198,'[3]5.급수원단위'!$B$31:$G$35,5,FALSE)</f>
        <v>310</v>
      </c>
      <c r="P198" s="302">
        <f>VLOOKUP($F198,'[3]5.급수원단위'!$B$31:$G$35,6,FALSE)</f>
        <v>310</v>
      </c>
      <c r="Q198" s="302">
        <f>ROUND(IF(G198=0,0,VLOOKUP(C198,'2013실사용량 정리'!$D$6:$F$381,3,FALSE)),0)</f>
        <v>0</v>
      </c>
      <c r="R198" s="302">
        <f t="shared" si="37"/>
        <v>0</v>
      </c>
      <c r="S198" s="302">
        <f t="shared" si="38"/>
        <v>0</v>
      </c>
      <c r="T198" s="302">
        <f t="shared" si="39"/>
        <v>0</v>
      </c>
      <c r="U198" s="302">
        <f t="shared" si="40"/>
        <v>0</v>
      </c>
      <c r="W198" s="343" t="str">
        <f t="shared" si="33"/>
        <v/>
      </c>
    </row>
    <row r="199" spans="1:23" ht="20.100000000000001" customHeight="1">
      <c r="A199" s="340"/>
      <c r="B199" s="340"/>
      <c r="C199" s="406" t="s">
        <v>1594</v>
      </c>
      <c r="D199" s="330" t="s">
        <v>1869</v>
      </c>
      <c r="E199" s="527">
        <f t="shared" si="41"/>
        <v>0</v>
      </c>
      <c r="F199" s="527" t="s">
        <v>756</v>
      </c>
      <c r="G199" s="302">
        <f>IF($D199="A",ROUND(VLOOKUP($C199,'[2]2.행정구역별 급수인구'!$C$7:$AD$997,17,FALSE)*$E199,0),IF($D199="B",(ROUND(VLOOKUP($C199,'[2]2.행정구역별 급수인구'!$C$7:$AD$997,17,FALSE)-VLOOKUP($C199,'[2]2.행정구역별 급수인구'!$C$7:$AD$997,17,FALSE)*(1-$E199),0)),VLOOKUP($C199,'[2]2.행정구역별 급수인구'!$C$7:$AD$997,17,FALSE)))</f>
        <v>0</v>
      </c>
      <c r="H199" s="302">
        <f>IF($D199="A",ROUND(VLOOKUP($C199,'[2]2.행정구역별 급수인구'!$C$7:$AD$997,25,FALSE)*$E199,0),IF($D199="B",(ROUND(VLOOKUP($C199,'[2]2.행정구역별 급수인구'!$C$7:$AD$997,25,FALSE)-VLOOKUP($C199,'[2]2.행정구역별 급수인구'!$C$7:$AD$997,25,FALSE)*(1-$E199),0)),VLOOKUP($C199,'[2]2.행정구역별 급수인구'!$C$7:$AD$997,25,FALSE)))</f>
        <v>0</v>
      </c>
      <c r="I199" s="302">
        <f>IF($D199="A",ROUND(VLOOKUP($C199,'[2]2.행정구역별 급수인구'!$C$7:$AD$997,26,FALSE)*$E199,0),IF($D199="B",(ROUND(VLOOKUP($C199,'[2]2.행정구역별 급수인구'!$C$7:$AD$997,26,FALSE)-VLOOKUP($C199,'[2]2.행정구역별 급수인구'!$C$7:$AD$997,26,FALSE)*(1-$E199),0)),VLOOKUP($C199,'[2]2.행정구역별 급수인구'!$C$7:$AD$997,26,FALSE)))</f>
        <v>0</v>
      </c>
      <c r="J199" s="302">
        <f>IF($D199="A",ROUND(VLOOKUP($C199,'[2]2.행정구역별 급수인구'!$C$7:$AD$997,27,FALSE)*$E199,0),IF($D199="B",(ROUND(VLOOKUP($C199,'[2]2.행정구역별 급수인구'!$C$7:$AD$997,27,FALSE)-VLOOKUP($C199,'[2]2.행정구역별 급수인구'!$C$7:$AD$997,27,FALSE)*(1-$E199),0)),VLOOKUP($C199,'[2]2.행정구역별 급수인구'!$C$7:$AD$997,27,FALSE)))</f>
        <v>0</v>
      </c>
      <c r="K199" s="302">
        <f>IF($D199="A",ROUND(VLOOKUP($C199,'[2]2.행정구역별 급수인구'!$C$7:$AD$997,28,FALSE)*$E199,0),IF($D199="B",(ROUND(VLOOKUP($C199,'[2]2.행정구역별 급수인구'!$C$7:$AD$997,28,FALSE)-VLOOKUP($C199,'[2]2.행정구역별 급수인구'!$C$7:$AD$997,28,FALSE)*(1-$E199),0)),VLOOKUP($C199,'[2]2.행정구역별 급수인구'!$C$7:$AD$997,28,FALSE)))</f>
        <v>0</v>
      </c>
      <c r="L199" s="302">
        <f>VLOOKUP($F199,'[3]5.급수원단위'!$B$31:$G$35,2,FALSE)</f>
        <v>272</v>
      </c>
      <c r="M199" s="302">
        <f>VLOOKUP($F199,'[3]5.급수원단위'!$B$31:$G$35,3,FALSE)</f>
        <v>304</v>
      </c>
      <c r="N199" s="302">
        <f>VLOOKUP($F199,'[3]5.급수원단위'!$B$31:$G$35,4,FALSE)</f>
        <v>308</v>
      </c>
      <c r="O199" s="302">
        <f>VLOOKUP($F199,'[3]5.급수원단위'!$B$31:$G$35,5,FALSE)</f>
        <v>310</v>
      </c>
      <c r="P199" s="302">
        <f>VLOOKUP($F199,'[3]5.급수원단위'!$B$31:$G$35,6,FALSE)</f>
        <v>310</v>
      </c>
      <c r="Q199" s="302">
        <f>ROUND(IF(G199=0,0,VLOOKUP(C199,'2013실사용량 정리'!$D$6:$F$381,3,FALSE)),0)</f>
        <v>0</v>
      </c>
      <c r="R199" s="302">
        <f t="shared" si="37"/>
        <v>0</v>
      </c>
      <c r="S199" s="302">
        <f t="shared" si="38"/>
        <v>0</v>
      </c>
      <c r="T199" s="302">
        <f t="shared" si="39"/>
        <v>0</v>
      </c>
      <c r="U199" s="302">
        <f t="shared" si="40"/>
        <v>0</v>
      </c>
      <c r="W199" s="343" t="str">
        <f t="shared" si="33"/>
        <v/>
      </c>
    </row>
    <row r="200" spans="1:23" ht="20.100000000000001" customHeight="1">
      <c r="A200" s="340"/>
      <c r="B200" s="340"/>
      <c r="C200" s="406" t="s">
        <v>1595</v>
      </c>
      <c r="D200" s="330" t="s">
        <v>1869</v>
      </c>
      <c r="E200" s="527">
        <f t="shared" si="41"/>
        <v>0</v>
      </c>
      <c r="F200" s="527" t="s">
        <v>756</v>
      </c>
      <c r="G200" s="302">
        <f>IF($D200="A",ROUND(VLOOKUP($C200,'[2]2.행정구역별 급수인구'!$C$7:$AD$997,17,FALSE)*$E200,0),IF($D200="B",(ROUND(VLOOKUP($C200,'[2]2.행정구역별 급수인구'!$C$7:$AD$997,17,FALSE)-VLOOKUP($C200,'[2]2.행정구역별 급수인구'!$C$7:$AD$997,17,FALSE)*(1-$E200),0)),VLOOKUP($C200,'[2]2.행정구역별 급수인구'!$C$7:$AD$997,17,FALSE)))</f>
        <v>0</v>
      </c>
      <c r="H200" s="302">
        <f>IF($D200="A",ROUND(VLOOKUP($C200,'[2]2.행정구역별 급수인구'!$C$7:$AD$997,25,FALSE)*$E200,0),IF($D200="B",(ROUND(VLOOKUP($C200,'[2]2.행정구역별 급수인구'!$C$7:$AD$997,25,FALSE)-VLOOKUP($C200,'[2]2.행정구역별 급수인구'!$C$7:$AD$997,25,FALSE)*(1-$E200),0)),VLOOKUP($C200,'[2]2.행정구역별 급수인구'!$C$7:$AD$997,25,FALSE)))</f>
        <v>0</v>
      </c>
      <c r="I200" s="302">
        <f>IF($D200="A",ROUND(VLOOKUP($C200,'[2]2.행정구역별 급수인구'!$C$7:$AD$997,26,FALSE)*$E200,0),IF($D200="B",(ROUND(VLOOKUP($C200,'[2]2.행정구역별 급수인구'!$C$7:$AD$997,26,FALSE)-VLOOKUP($C200,'[2]2.행정구역별 급수인구'!$C$7:$AD$997,26,FALSE)*(1-$E200),0)),VLOOKUP($C200,'[2]2.행정구역별 급수인구'!$C$7:$AD$997,26,FALSE)))</f>
        <v>0</v>
      </c>
      <c r="J200" s="302">
        <f>IF($D200="A",ROUND(VLOOKUP($C200,'[2]2.행정구역별 급수인구'!$C$7:$AD$997,27,FALSE)*$E200,0),IF($D200="B",(ROUND(VLOOKUP($C200,'[2]2.행정구역별 급수인구'!$C$7:$AD$997,27,FALSE)-VLOOKUP($C200,'[2]2.행정구역별 급수인구'!$C$7:$AD$997,27,FALSE)*(1-$E200),0)),VLOOKUP($C200,'[2]2.행정구역별 급수인구'!$C$7:$AD$997,27,FALSE)))</f>
        <v>0</v>
      </c>
      <c r="K200" s="302">
        <f>IF($D200="A",ROUND(VLOOKUP($C200,'[2]2.행정구역별 급수인구'!$C$7:$AD$997,28,FALSE)*$E200,0),IF($D200="B",(ROUND(VLOOKUP($C200,'[2]2.행정구역별 급수인구'!$C$7:$AD$997,28,FALSE)-VLOOKUP($C200,'[2]2.행정구역별 급수인구'!$C$7:$AD$997,28,FALSE)*(1-$E200),0)),VLOOKUP($C200,'[2]2.행정구역별 급수인구'!$C$7:$AD$997,28,FALSE)))</f>
        <v>0</v>
      </c>
      <c r="L200" s="302">
        <f>VLOOKUP($F200,'[3]5.급수원단위'!$B$31:$G$35,2,FALSE)</f>
        <v>272</v>
      </c>
      <c r="M200" s="302">
        <f>VLOOKUP($F200,'[3]5.급수원단위'!$B$31:$G$35,3,FALSE)</f>
        <v>304</v>
      </c>
      <c r="N200" s="302">
        <f>VLOOKUP($F200,'[3]5.급수원단위'!$B$31:$G$35,4,FALSE)</f>
        <v>308</v>
      </c>
      <c r="O200" s="302">
        <f>VLOOKUP($F200,'[3]5.급수원단위'!$B$31:$G$35,5,FALSE)</f>
        <v>310</v>
      </c>
      <c r="P200" s="302">
        <f>VLOOKUP($F200,'[3]5.급수원단위'!$B$31:$G$35,6,FALSE)</f>
        <v>310</v>
      </c>
      <c r="Q200" s="302">
        <f>ROUND(IF(G200=0,0,VLOOKUP(C200,'2013실사용량 정리'!$D$6:$F$381,3,FALSE)),0)</f>
        <v>0</v>
      </c>
      <c r="R200" s="302">
        <f t="shared" si="37"/>
        <v>0</v>
      </c>
      <c r="S200" s="302">
        <f t="shared" si="38"/>
        <v>0</v>
      </c>
      <c r="T200" s="302">
        <f t="shared" si="39"/>
        <v>0</v>
      </c>
      <c r="U200" s="302">
        <f t="shared" si="40"/>
        <v>0</v>
      </c>
      <c r="W200" s="343" t="str">
        <f t="shared" si="33"/>
        <v/>
      </c>
    </row>
    <row r="201" spans="1:23" ht="20.100000000000001" customHeight="1">
      <c r="A201" s="340"/>
      <c r="B201" s="340"/>
      <c r="C201" s="406" t="s">
        <v>1596</v>
      </c>
      <c r="D201" s="330" t="s">
        <v>1869</v>
      </c>
      <c r="E201" s="527">
        <f t="shared" si="41"/>
        <v>1</v>
      </c>
      <c r="F201" s="527" t="s">
        <v>756</v>
      </c>
      <c r="G201" s="302">
        <f>IF($D201="A",ROUND(VLOOKUP($C201,'[2]2.행정구역별 급수인구'!$C$7:$AD$997,17,FALSE)*$E201,0),IF($D201="B",(ROUND(VLOOKUP($C201,'[2]2.행정구역별 급수인구'!$C$7:$AD$997,17,FALSE)-VLOOKUP($C201,'[2]2.행정구역별 급수인구'!$C$7:$AD$997,17,FALSE)*(1-$E201),0)),VLOOKUP($C201,'[2]2.행정구역별 급수인구'!$C$7:$AD$997,17,FALSE)))</f>
        <v>0</v>
      </c>
      <c r="H201" s="302">
        <f>IF($D201="A",ROUND(VLOOKUP($C201,'[2]2.행정구역별 급수인구'!$C$7:$AD$997,25,FALSE)*$E201,0),IF($D201="B",(ROUND(VLOOKUP($C201,'[2]2.행정구역별 급수인구'!$C$7:$AD$997,25,FALSE)-VLOOKUP($C201,'[2]2.행정구역별 급수인구'!$C$7:$AD$997,25,FALSE)*(1-$E201),0)),VLOOKUP($C201,'[2]2.행정구역별 급수인구'!$C$7:$AD$997,25,FALSE)))</f>
        <v>0</v>
      </c>
      <c r="I201" s="302">
        <f>IF($D201="A",ROUND(VLOOKUP($C201,'[2]2.행정구역별 급수인구'!$C$7:$AD$997,26,FALSE)*$E201,0),IF($D201="B",(ROUND(VLOOKUP($C201,'[2]2.행정구역별 급수인구'!$C$7:$AD$997,26,FALSE)-VLOOKUP($C201,'[2]2.행정구역별 급수인구'!$C$7:$AD$997,26,FALSE)*(1-$E201),0)),VLOOKUP($C201,'[2]2.행정구역별 급수인구'!$C$7:$AD$997,26,FALSE)))</f>
        <v>74</v>
      </c>
      <c r="J201" s="302">
        <f>IF($D201="A",ROUND(VLOOKUP($C201,'[2]2.행정구역별 급수인구'!$C$7:$AD$997,27,FALSE)*$E201,0),IF($D201="B",(ROUND(VLOOKUP($C201,'[2]2.행정구역별 급수인구'!$C$7:$AD$997,27,FALSE)-VLOOKUP($C201,'[2]2.행정구역별 급수인구'!$C$7:$AD$997,27,FALSE)*(1-$E201),0)),VLOOKUP($C201,'[2]2.행정구역별 급수인구'!$C$7:$AD$997,27,FALSE)))</f>
        <v>76</v>
      </c>
      <c r="K201" s="302">
        <f>IF($D201="A",ROUND(VLOOKUP($C201,'[2]2.행정구역별 급수인구'!$C$7:$AD$997,28,FALSE)*$E201,0),IF($D201="B",(ROUND(VLOOKUP($C201,'[2]2.행정구역별 급수인구'!$C$7:$AD$997,28,FALSE)-VLOOKUP($C201,'[2]2.행정구역별 급수인구'!$C$7:$AD$997,28,FALSE)*(1-$E201),0)),VLOOKUP($C201,'[2]2.행정구역별 급수인구'!$C$7:$AD$997,28,FALSE)))</f>
        <v>78</v>
      </c>
      <c r="L201" s="302">
        <f>VLOOKUP($F201,'[3]5.급수원단위'!$B$31:$G$35,2,FALSE)</f>
        <v>272</v>
      </c>
      <c r="M201" s="302">
        <f>VLOOKUP($F201,'[3]5.급수원단위'!$B$31:$G$35,3,FALSE)</f>
        <v>304</v>
      </c>
      <c r="N201" s="302">
        <f>VLOOKUP($F201,'[3]5.급수원단위'!$B$31:$G$35,4,FALSE)</f>
        <v>308</v>
      </c>
      <c r="O201" s="302">
        <f>VLOOKUP($F201,'[3]5.급수원단위'!$B$31:$G$35,5,FALSE)</f>
        <v>310</v>
      </c>
      <c r="P201" s="302">
        <f>VLOOKUP($F201,'[3]5.급수원단위'!$B$31:$G$35,6,FALSE)</f>
        <v>310</v>
      </c>
      <c r="Q201" s="302">
        <f>ROUND(IF(G201=0,0,VLOOKUP(C201,'2013실사용량 정리'!$D$6:$F$381,3,FALSE)),0)</f>
        <v>0</v>
      </c>
      <c r="R201" s="302">
        <f t="shared" si="37"/>
        <v>0</v>
      </c>
      <c r="S201" s="302">
        <f t="shared" si="38"/>
        <v>23</v>
      </c>
      <c r="T201" s="302">
        <f t="shared" si="39"/>
        <v>24</v>
      </c>
      <c r="U201" s="302">
        <f t="shared" si="40"/>
        <v>24</v>
      </c>
      <c r="W201" s="343" t="str">
        <f t="shared" si="33"/>
        <v/>
      </c>
    </row>
    <row r="202" spans="1:23" ht="20.100000000000001" customHeight="1">
      <c r="A202" s="340"/>
      <c r="B202" s="340"/>
      <c r="C202" s="406" t="s">
        <v>1597</v>
      </c>
      <c r="D202" s="330" t="s">
        <v>1869</v>
      </c>
      <c r="E202" s="527">
        <f t="shared" si="41"/>
        <v>1</v>
      </c>
      <c r="F202" s="527" t="s">
        <v>756</v>
      </c>
      <c r="G202" s="302">
        <f>IF($D202="A",ROUND(VLOOKUP($C202,'[2]2.행정구역별 급수인구'!$C$7:$AD$997,17,FALSE)*$E202,0),IF($D202="B",(ROUND(VLOOKUP($C202,'[2]2.행정구역별 급수인구'!$C$7:$AD$997,17,FALSE)-VLOOKUP($C202,'[2]2.행정구역별 급수인구'!$C$7:$AD$997,17,FALSE)*(1-$E202),0)),VLOOKUP($C202,'[2]2.행정구역별 급수인구'!$C$7:$AD$997,17,FALSE)))</f>
        <v>0</v>
      </c>
      <c r="H202" s="302">
        <f>IF($D202="A",ROUND(VLOOKUP($C202,'[2]2.행정구역별 급수인구'!$C$7:$AD$997,25,FALSE)*$E202,0),IF($D202="B",(ROUND(VLOOKUP($C202,'[2]2.행정구역별 급수인구'!$C$7:$AD$997,25,FALSE)-VLOOKUP($C202,'[2]2.행정구역별 급수인구'!$C$7:$AD$997,25,FALSE)*(1-$E202),0)),VLOOKUP($C202,'[2]2.행정구역별 급수인구'!$C$7:$AD$997,25,FALSE)))</f>
        <v>0</v>
      </c>
      <c r="I202" s="302">
        <f>IF($D202="A",ROUND(VLOOKUP($C202,'[2]2.행정구역별 급수인구'!$C$7:$AD$997,26,FALSE)*$E202,0),IF($D202="B",(ROUND(VLOOKUP($C202,'[2]2.행정구역별 급수인구'!$C$7:$AD$997,26,FALSE)-VLOOKUP($C202,'[2]2.행정구역별 급수인구'!$C$7:$AD$997,26,FALSE)*(1-$E202),0)),VLOOKUP($C202,'[2]2.행정구역별 급수인구'!$C$7:$AD$997,26,FALSE)))</f>
        <v>97</v>
      </c>
      <c r="J202" s="302">
        <f>IF($D202="A",ROUND(VLOOKUP($C202,'[2]2.행정구역별 급수인구'!$C$7:$AD$997,27,FALSE)*$E202,0),IF($D202="B",(ROUND(VLOOKUP($C202,'[2]2.행정구역별 급수인구'!$C$7:$AD$997,27,FALSE)-VLOOKUP($C202,'[2]2.행정구역별 급수인구'!$C$7:$AD$997,27,FALSE)*(1-$E202),0)),VLOOKUP($C202,'[2]2.행정구역별 급수인구'!$C$7:$AD$997,27,FALSE)))</f>
        <v>100</v>
      </c>
      <c r="K202" s="302">
        <f>IF($D202="A",ROUND(VLOOKUP($C202,'[2]2.행정구역별 급수인구'!$C$7:$AD$997,28,FALSE)*$E202,0),IF($D202="B",(ROUND(VLOOKUP($C202,'[2]2.행정구역별 급수인구'!$C$7:$AD$997,28,FALSE)-VLOOKUP($C202,'[2]2.행정구역별 급수인구'!$C$7:$AD$997,28,FALSE)*(1-$E202),0)),VLOOKUP($C202,'[2]2.행정구역별 급수인구'!$C$7:$AD$997,28,FALSE)))</f>
        <v>102</v>
      </c>
      <c r="L202" s="302">
        <f>VLOOKUP($F202,'[3]5.급수원단위'!$B$31:$G$35,2,FALSE)</f>
        <v>272</v>
      </c>
      <c r="M202" s="302">
        <f>VLOOKUP($F202,'[3]5.급수원단위'!$B$31:$G$35,3,FALSE)</f>
        <v>304</v>
      </c>
      <c r="N202" s="302">
        <f>VLOOKUP($F202,'[3]5.급수원단위'!$B$31:$G$35,4,FALSE)</f>
        <v>308</v>
      </c>
      <c r="O202" s="302">
        <f>VLOOKUP($F202,'[3]5.급수원단위'!$B$31:$G$35,5,FALSE)</f>
        <v>310</v>
      </c>
      <c r="P202" s="302">
        <f>VLOOKUP($F202,'[3]5.급수원단위'!$B$31:$G$35,6,FALSE)</f>
        <v>310</v>
      </c>
      <c r="Q202" s="302">
        <f>ROUND(IF(G202=0,0,VLOOKUP(C202,'2013실사용량 정리'!$D$6:$F$381,3,FALSE)),0)</f>
        <v>0</v>
      </c>
      <c r="R202" s="302">
        <f t="shared" si="37"/>
        <v>0</v>
      </c>
      <c r="S202" s="302">
        <f t="shared" si="38"/>
        <v>30</v>
      </c>
      <c r="T202" s="302">
        <f t="shared" si="39"/>
        <v>31</v>
      </c>
      <c r="U202" s="302">
        <f t="shared" si="40"/>
        <v>32</v>
      </c>
      <c r="W202" s="343" t="str">
        <f t="shared" si="33"/>
        <v/>
      </c>
    </row>
    <row r="203" spans="1:23" ht="20.100000000000001" customHeight="1">
      <c r="A203" s="340"/>
      <c r="B203" s="340"/>
      <c r="C203" s="406" t="s">
        <v>1598</v>
      </c>
      <c r="D203" s="330" t="s">
        <v>1869</v>
      </c>
      <c r="E203" s="527">
        <f t="shared" si="41"/>
        <v>0</v>
      </c>
      <c r="F203" s="527" t="s">
        <v>756</v>
      </c>
      <c r="G203" s="302">
        <f>IF($D203="A",ROUND(VLOOKUP($C203,'[2]2.행정구역별 급수인구'!$C$7:$AD$997,17,FALSE)*$E203,0),IF($D203="B",(ROUND(VLOOKUP($C203,'[2]2.행정구역별 급수인구'!$C$7:$AD$997,17,FALSE)-VLOOKUP($C203,'[2]2.행정구역별 급수인구'!$C$7:$AD$997,17,FALSE)*(1-$E203),0)),VLOOKUP($C203,'[2]2.행정구역별 급수인구'!$C$7:$AD$997,17,FALSE)))</f>
        <v>0</v>
      </c>
      <c r="H203" s="302">
        <f>IF($D203="A",ROUND(VLOOKUP($C203,'[2]2.행정구역별 급수인구'!$C$7:$AD$997,25,FALSE)*$E203,0),IF($D203="B",(ROUND(VLOOKUP($C203,'[2]2.행정구역별 급수인구'!$C$7:$AD$997,25,FALSE)-VLOOKUP($C203,'[2]2.행정구역별 급수인구'!$C$7:$AD$997,25,FALSE)*(1-$E203),0)),VLOOKUP($C203,'[2]2.행정구역별 급수인구'!$C$7:$AD$997,25,FALSE)))</f>
        <v>0</v>
      </c>
      <c r="I203" s="302">
        <f>IF($D203="A",ROUND(VLOOKUP($C203,'[2]2.행정구역별 급수인구'!$C$7:$AD$997,26,FALSE)*$E203,0),IF($D203="B",(ROUND(VLOOKUP($C203,'[2]2.행정구역별 급수인구'!$C$7:$AD$997,26,FALSE)-VLOOKUP($C203,'[2]2.행정구역별 급수인구'!$C$7:$AD$997,26,FALSE)*(1-$E203),0)),VLOOKUP($C203,'[2]2.행정구역별 급수인구'!$C$7:$AD$997,26,FALSE)))</f>
        <v>0</v>
      </c>
      <c r="J203" s="302">
        <f>IF($D203="A",ROUND(VLOOKUP($C203,'[2]2.행정구역별 급수인구'!$C$7:$AD$997,27,FALSE)*$E203,0),IF($D203="B",(ROUND(VLOOKUP($C203,'[2]2.행정구역별 급수인구'!$C$7:$AD$997,27,FALSE)-VLOOKUP($C203,'[2]2.행정구역별 급수인구'!$C$7:$AD$997,27,FALSE)*(1-$E203),0)),VLOOKUP($C203,'[2]2.행정구역별 급수인구'!$C$7:$AD$997,27,FALSE)))</f>
        <v>0</v>
      </c>
      <c r="K203" s="302">
        <f>IF($D203="A",ROUND(VLOOKUP($C203,'[2]2.행정구역별 급수인구'!$C$7:$AD$997,28,FALSE)*$E203,0),IF($D203="B",(ROUND(VLOOKUP($C203,'[2]2.행정구역별 급수인구'!$C$7:$AD$997,28,FALSE)-VLOOKUP($C203,'[2]2.행정구역별 급수인구'!$C$7:$AD$997,28,FALSE)*(1-$E203),0)),VLOOKUP($C203,'[2]2.행정구역별 급수인구'!$C$7:$AD$997,28,FALSE)))</f>
        <v>0</v>
      </c>
      <c r="L203" s="302">
        <f>VLOOKUP($F203,'[3]5.급수원단위'!$B$31:$G$35,2,FALSE)</f>
        <v>272</v>
      </c>
      <c r="M203" s="302">
        <f>VLOOKUP($F203,'[3]5.급수원단위'!$B$31:$G$35,3,FALSE)</f>
        <v>304</v>
      </c>
      <c r="N203" s="302">
        <f>VLOOKUP($F203,'[3]5.급수원단위'!$B$31:$G$35,4,FALSE)</f>
        <v>308</v>
      </c>
      <c r="O203" s="302">
        <f>VLOOKUP($F203,'[3]5.급수원단위'!$B$31:$G$35,5,FALSE)</f>
        <v>310</v>
      </c>
      <c r="P203" s="302">
        <f>VLOOKUP($F203,'[3]5.급수원단위'!$B$31:$G$35,6,FALSE)</f>
        <v>310</v>
      </c>
      <c r="Q203" s="302">
        <f>ROUND(IF(G203=0,0,VLOOKUP(C203,'2013실사용량 정리'!$D$6:$F$381,3,FALSE)),0)</f>
        <v>0</v>
      </c>
      <c r="R203" s="302">
        <f t="shared" si="37"/>
        <v>0</v>
      </c>
      <c r="S203" s="302">
        <f t="shared" si="38"/>
        <v>0</v>
      </c>
      <c r="T203" s="302">
        <f t="shared" si="39"/>
        <v>0</v>
      </c>
      <c r="U203" s="302">
        <f t="shared" si="40"/>
        <v>0</v>
      </c>
      <c r="W203" s="343" t="str">
        <f t="shared" si="33"/>
        <v/>
      </c>
    </row>
    <row r="204" spans="1:23" ht="20.100000000000001" customHeight="1">
      <c r="A204" s="340"/>
      <c r="B204" s="340"/>
      <c r="C204" s="406" t="s">
        <v>1599</v>
      </c>
      <c r="D204" s="330" t="s">
        <v>1869</v>
      </c>
      <c r="E204" s="527">
        <f t="shared" si="41"/>
        <v>0</v>
      </c>
      <c r="F204" s="527" t="s">
        <v>756</v>
      </c>
      <c r="G204" s="302">
        <f>IF($D204="A",ROUND(VLOOKUP($C204,'[2]2.행정구역별 급수인구'!$C$7:$AD$997,17,FALSE)*$E204,0),IF($D204="B",(ROUND(VLOOKUP($C204,'[2]2.행정구역별 급수인구'!$C$7:$AD$997,17,FALSE)-VLOOKUP($C204,'[2]2.행정구역별 급수인구'!$C$7:$AD$997,17,FALSE)*(1-$E204),0)),VLOOKUP($C204,'[2]2.행정구역별 급수인구'!$C$7:$AD$997,17,FALSE)))</f>
        <v>0</v>
      </c>
      <c r="H204" s="302">
        <f>IF($D204="A",ROUND(VLOOKUP($C204,'[2]2.행정구역별 급수인구'!$C$7:$AD$997,25,FALSE)*$E204,0),IF($D204="B",(ROUND(VLOOKUP($C204,'[2]2.행정구역별 급수인구'!$C$7:$AD$997,25,FALSE)-VLOOKUP($C204,'[2]2.행정구역별 급수인구'!$C$7:$AD$997,25,FALSE)*(1-$E204),0)),VLOOKUP($C204,'[2]2.행정구역별 급수인구'!$C$7:$AD$997,25,FALSE)))</f>
        <v>0</v>
      </c>
      <c r="I204" s="302">
        <f>IF($D204="A",ROUND(VLOOKUP($C204,'[2]2.행정구역별 급수인구'!$C$7:$AD$997,26,FALSE)*$E204,0),IF($D204="B",(ROUND(VLOOKUP($C204,'[2]2.행정구역별 급수인구'!$C$7:$AD$997,26,FALSE)-VLOOKUP($C204,'[2]2.행정구역별 급수인구'!$C$7:$AD$997,26,FALSE)*(1-$E204),0)),VLOOKUP($C204,'[2]2.행정구역별 급수인구'!$C$7:$AD$997,26,FALSE)))</f>
        <v>0</v>
      </c>
      <c r="J204" s="302">
        <f>IF($D204="A",ROUND(VLOOKUP($C204,'[2]2.행정구역별 급수인구'!$C$7:$AD$997,27,FALSE)*$E204,0),IF($D204="B",(ROUND(VLOOKUP($C204,'[2]2.행정구역별 급수인구'!$C$7:$AD$997,27,FALSE)-VLOOKUP($C204,'[2]2.행정구역별 급수인구'!$C$7:$AD$997,27,FALSE)*(1-$E204),0)),VLOOKUP($C204,'[2]2.행정구역별 급수인구'!$C$7:$AD$997,27,FALSE)))</f>
        <v>0</v>
      </c>
      <c r="K204" s="302">
        <f>IF($D204="A",ROUND(VLOOKUP($C204,'[2]2.행정구역별 급수인구'!$C$7:$AD$997,28,FALSE)*$E204,0),IF($D204="B",(ROUND(VLOOKUP($C204,'[2]2.행정구역별 급수인구'!$C$7:$AD$997,28,FALSE)-VLOOKUP($C204,'[2]2.행정구역별 급수인구'!$C$7:$AD$997,28,FALSE)*(1-$E204),0)),VLOOKUP($C204,'[2]2.행정구역별 급수인구'!$C$7:$AD$997,28,FALSE)))</f>
        <v>0</v>
      </c>
      <c r="L204" s="302">
        <f>VLOOKUP($F204,'[3]5.급수원단위'!$B$31:$G$35,2,FALSE)</f>
        <v>272</v>
      </c>
      <c r="M204" s="302">
        <f>VLOOKUP($F204,'[3]5.급수원단위'!$B$31:$G$35,3,FALSE)</f>
        <v>304</v>
      </c>
      <c r="N204" s="302">
        <f>VLOOKUP($F204,'[3]5.급수원단위'!$B$31:$G$35,4,FALSE)</f>
        <v>308</v>
      </c>
      <c r="O204" s="302">
        <f>VLOOKUP($F204,'[3]5.급수원단위'!$B$31:$G$35,5,FALSE)</f>
        <v>310</v>
      </c>
      <c r="P204" s="302">
        <f>VLOOKUP($F204,'[3]5.급수원단위'!$B$31:$G$35,6,FALSE)</f>
        <v>310</v>
      </c>
      <c r="Q204" s="302">
        <f>ROUND(IF(G204=0,0,VLOOKUP(C204,'2013실사용량 정리'!$D$6:$F$381,3,FALSE)),0)</f>
        <v>0</v>
      </c>
      <c r="R204" s="302">
        <f t="shared" si="37"/>
        <v>0</v>
      </c>
      <c r="S204" s="302">
        <f t="shared" si="38"/>
        <v>0</v>
      </c>
      <c r="T204" s="302">
        <f t="shared" si="39"/>
        <v>0</v>
      </c>
      <c r="U204" s="302">
        <f t="shared" si="40"/>
        <v>0</v>
      </c>
      <c r="W204" s="343" t="str">
        <f t="shared" si="33"/>
        <v/>
      </c>
    </row>
    <row r="205" spans="1:23" ht="20.100000000000001" customHeight="1">
      <c r="A205" s="340"/>
      <c r="B205" s="340"/>
      <c r="C205" s="406" t="s">
        <v>1600</v>
      </c>
      <c r="D205" s="330" t="s">
        <v>1869</v>
      </c>
      <c r="E205" s="527">
        <f t="shared" si="41"/>
        <v>0</v>
      </c>
      <c r="F205" s="527" t="s">
        <v>756</v>
      </c>
      <c r="G205" s="302">
        <f>IF($D205="A",ROUND(VLOOKUP($C205,'[2]2.행정구역별 급수인구'!$C$7:$AD$997,17,FALSE)*$E205,0),IF($D205="B",(ROUND(VLOOKUP($C205,'[2]2.행정구역별 급수인구'!$C$7:$AD$997,17,FALSE)-VLOOKUP($C205,'[2]2.행정구역별 급수인구'!$C$7:$AD$997,17,FALSE)*(1-$E205),0)),VLOOKUP($C205,'[2]2.행정구역별 급수인구'!$C$7:$AD$997,17,FALSE)))</f>
        <v>0</v>
      </c>
      <c r="H205" s="302">
        <f>IF($D205="A",ROUND(VLOOKUP($C205,'[2]2.행정구역별 급수인구'!$C$7:$AD$997,25,FALSE)*$E205,0),IF($D205="B",(ROUND(VLOOKUP($C205,'[2]2.행정구역별 급수인구'!$C$7:$AD$997,25,FALSE)-VLOOKUP($C205,'[2]2.행정구역별 급수인구'!$C$7:$AD$997,25,FALSE)*(1-$E205),0)),VLOOKUP($C205,'[2]2.행정구역별 급수인구'!$C$7:$AD$997,25,FALSE)))</f>
        <v>0</v>
      </c>
      <c r="I205" s="302">
        <f>IF($D205="A",ROUND(VLOOKUP($C205,'[2]2.행정구역별 급수인구'!$C$7:$AD$997,26,FALSE)*$E205,0),IF($D205="B",(ROUND(VLOOKUP($C205,'[2]2.행정구역별 급수인구'!$C$7:$AD$997,26,FALSE)-VLOOKUP($C205,'[2]2.행정구역별 급수인구'!$C$7:$AD$997,26,FALSE)*(1-$E205),0)),VLOOKUP($C205,'[2]2.행정구역별 급수인구'!$C$7:$AD$997,26,FALSE)))</f>
        <v>0</v>
      </c>
      <c r="J205" s="302">
        <f>IF($D205="A",ROUND(VLOOKUP($C205,'[2]2.행정구역별 급수인구'!$C$7:$AD$997,27,FALSE)*$E205,0),IF($D205="B",(ROUND(VLOOKUP($C205,'[2]2.행정구역별 급수인구'!$C$7:$AD$997,27,FALSE)-VLOOKUP($C205,'[2]2.행정구역별 급수인구'!$C$7:$AD$997,27,FALSE)*(1-$E205),0)),VLOOKUP($C205,'[2]2.행정구역별 급수인구'!$C$7:$AD$997,27,FALSE)))</f>
        <v>0</v>
      </c>
      <c r="K205" s="302">
        <f>IF($D205="A",ROUND(VLOOKUP($C205,'[2]2.행정구역별 급수인구'!$C$7:$AD$997,28,FALSE)*$E205,0),IF($D205="B",(ROUND(VLOOKUP($C205,'[2]2.행정구역별 급수인구'!$C$7:$AD$997,28,FALSE)-VLOOKUP($C205,'[2]2.행정구역별 급수인구'!$C$7:$AD$997,28,FALSE)*(1-$E205),0)),VLOOKUP($C205,'[2]2.행정구역별 급수인구'!$C$7:$AD$997,28,FALSE)))</f>
        <v>0</v>
      </c>
      <c r="L205" s="302">
        <f>VLOOKUP($F205,'[3]5.급수원단위'!$B$31:$G$35,2,FALSE)</f>
        <v>272</v>
      </c>
      <c r="M205" s="302">
        <f>VLOOKUP($F205,'[3]5.급수원단위'!$B$31:$G$35,3,FALSE)</f>
        <v>304</v>
      </c>
      <c r="N205" s="302">
        <f>VLOOKUP($F205,'[3]5.급수원단위'!$B$31:$G$35,4,FALSE)</f>
        <v>308</v>
      </c>
      <c r="O205" s="302">
        <f>VLOOKUP($F205,'[3]5.급수원단위'!$B$31:$G$35,5,FALSE)</f>
        <v>310</v>
      </c>
      <c r="P205" s="302">
        <f>VLOOKUP($F205,'[3]5.급수원단위'!$B$31:$G$35,6,FALSE)</f>
        <v>310</v>
      </c>
      <c r="Q205" s="302">
        <f>ROUND(IF(G205=0,0,VLOOKUP(C205,'2013실사용량 정리'!$D$6:$F$381,3,FALSE)),0)</f>
        <v>0</v>
      </c>
      <c r="R205" s="302">
        <f t="shared" si="37"/>
        <v>0</v>
      </c>
      <c r="S205" s="302">
        <f t="shared" si="38"/>
        <v>0</v>
      </c>
      <c r="T205" s="302">
        <f t="shared" si="39"/>
        <v>0</v>
      </c>
      <c r="U205" s="302">
        <f t="shared" si="40"/>
        <v>0</v>
      </c>
      <c r="W205" s="343" t="str">
        <f t="shared" si="33"/>
        <v/>
      </c>
    </row>
    <row r="206" spans="1:23" ht="20.100000000000001" customHeight="1">
      <c r="A206" s="340"/>
      <c r="B206" s="340"/>
      <c r="C206" s="406" t="s">
        <v>1601</v>
      </c>
      <c r="D206" s="330" t="s">
        <v>1869</v>
      </c>
      <c r="E206" s="527">
        <f t="shared" si="41"/>
        <v>0</v>
      </c>
      <c r="F206" s="527" t="s">
        <v>756</v>
      </c>
      <c r="G206" s="302">
        <f>IF($D206="A",ROUND(VLOOKUP($C206,'[2]2.행정구역별 급수인구'!$C$7:$AD$997,17,FALSE)*$E206,0),IF($D206="B",(ROUND(VLOOKUP($C206,'[2]2.행정구역별 급수인구'!$C$7:$AD$997,17,FALSE)-VLOOKUP($C206,'[2]2.행정구역별 급수인구'!$C$7:$AD$997,17,FALSE)*(1-$E206),0)),VLOOKUP($C206,'[2]2.행정구역별 급수인구'!$C$7:$AD$997,17,FALSE)))</f>
        <v>0</v>
      </c>
      <c r="H206" s="302">
        <f>IF($D206="A",ROUND(VLOOKUP($C206,'[2]2.행정구역별 급수인구'!$C$7:$AD$997,25,FALSE)*$E206,0),IF($D206="B",(ROUND(VLOOKUP($C206,'[2]2.행정구역별 급수인구'!$C$7:$AD$997,25,FALSE)-VLOOKUP($C206,'[2]2.행정구역별 급수인구'!$C$7:$AD$997,25,FALSE)*(1-$E206),0)),VLOOKUP($C206,'[2]2.행정구역별 급수인구'!$C$7:$AD$997,25,FALSE)))</f>
        <v>0</v>
      </c>
      <c r="I206" s="302">
        <f>IF($D206="A",ROUND(VLOOKUP($C206,'[2]2.행정구역별 급수인구'!$C$7:$AD$997,26,FALSE)*$E206,0),IF($D206="B",(ROUND(VLOOKUP($C206,'[2]2.행정구역별 급수인구'!$C$7:$AD$997,26,FALSE)-VLOOKUP($C206,'[2]2.행정구역별 급수인구'!$C$7:$AD$997,26,FALSE)*(1-$E206),0)),VLOOKUP($C206,'[2]2.행정구역별 급수인구'!$C$7:$AD$997,26,FALSE)))</f>
        <v>0</v>
      </c>
      <c r="J206" s="302">
        <f>IF($D206="A",ROUND(VLOOKUP($C206,'[2]2.행정구역별 급수인구'!$C$7:$AD$997,27,FALSE)*$E206,0),IF($D206="B",(ROUND(VLOOKUP($C206,'[2]2.행정구역별 급수인구'!$C$7:$AD$997,27,FALSE)-VLOOKUP($C206,'[2]2.행정구역별 급수인구'!$C$7:$AD$997,27,FALSE)*(1-$E206),0)),VLOOKUP($C206,'[2]2.행정구역별 급수인구'!$C$7:$AD$997,27,FALSE)))</f>
        <v>0</v>
      </c>
      <c r="K206" s="302">
        <f>IF($D206="A",ROUND(VLOOKUP($C206,'[2]2.행정구역별 급수인구'!$C$7:$AD$997,28,FALSE)*$E206,0),IF($D206="B",(ROUND(VLOOKUP($C206,'[2]2.행정구역별 급수인구'!$C$7:$AD$997,28,FALSE)-VLOOKUP($C206,'[2]2.행정구역별 급수인구'!$C$7:$AD$997,28,FALSE)*(1-$E206),0)),VLOOKUP($C206,'[2]2.행정구역별 급수인구'!$C$7:$AD$997,28,FALSE)))</f>
        <v>0</v>
      </c>
      <c r="L206" s="302">
        <f>VLOOKUP($F206,'[3]5.급수원단위'!$B$31:$G$35,2,FALSE)</f>
        <v>272</v>
      </c>
      <c r="M206" s="302">
        <f>VLOOKUP($F206,'[3]5.급수원단위'!$B$31:$G$35,3,FALSE)</f>
        <v>304</v>
      </c>
      <c r="N206" s="302">
        <f>VLOOKUP($F206,'[3]5.급수원단위'!$B$31:$G$35,4,FALSE)</f>
        <v>308</v>
      </c>
      <c r="O206" s="302">
        <f>VLOOKUP($F206,'[3]5.급수원단위'!$B$31:$G$35,5,FALSE)</f>
        <v>310</v>
      </c>
      <c r="P206" s="302">
        <f>VLOOKUP($F206,'[3]5.급수원단위'!$B$31:$G$35,6,FALSE)</f>
        <v>310</v>
      </c>
      <c r="Q206" s="302">
        <f>ROUND(IF(G206=0,0,VLOOKUP(C206,'2013실사용량 정리'!$D$6:$F$381,3,FALSE)),0)</f>
        <v>0</v>
      </c>
      <c r="R206" s="302">
        <f t="shared" si="37"/>
        <v>0</v>
      </c>
      <c r="S206" s="302">
        <f t="shared" si="38"/>
        <v>0</v>
      </c>
      <c r="T206" s="302">
        <f t="shared" si="39"/>
        <v>0</v>
      </c>
      <c r="U206" s="302">
        <f t="shared" si="40"/>
        <v>0</v>
      </c>
      <c r="W206" s="343" t="str">
        <f t="shared" si="33"/>
        <v/>
      </c>
    </row>
    <row r="207" spans="1:23" ht="20.100000000000001" customHeight="1">
      <c r="A207" s="340"/>
      <c r="B207" s="340"/>
      <c r="C207" s="406" t="s">
        <v>1602</v>
      </c>
      <c r="D207" s="330" t="s">
        <v>1869</v>
      </c>
      <c r="E207" s="527">
        <f t="shared" si="41"/>
        <v>0</v>
      </c>
      <c r="F207" s="527" t="s">
        <v>756</v>
      </c>
      <c r="G207" s="302">
        <f>IF($D207="A",ROUND(VLOOKUP($C207,'[2]2.행정구역별 급수인구'!$C$7:$AD$997,17,FALSE)*$E207,0),IF($D207="B",(ROUND(VLOOKUP($C207,'[2]2.행정구역별 급수인구'!$C$7:$AD$997,17,FALSE)-VLOOKUP($C207,'[2]2.행정구역별 급수인구'!$C$7:$AD$997,17,FALSE)*(1-$E207),0)),VLOOKUP($C207,'[2]2.행정구역별 급수인구'!$C$7:$AD$997,17,FALSE)))</f>
        <v>0</v>
      </c>
      <c r="H207" s="302">
        <f>IF($D207="A",ROUND(VLOOKUP($C207,'[2]2.행정구역별 급수인구'!$C$7:$AD$997,25,FALSE)*$E207,0),IF($D207="B",(ROUND(VLOOKUP($C207,'[2]2.행정구역별 급수인구'!$C$7:$AD$997,25,FALSE)-VLOOKUP($C207,'[2]2.행정구역별 급수인구'!$C$7:$AD$997,25,FALSE)*(1-$E207),0)),VLOOKUP($C207,'[2]2.행정구역별 급수인구'!$C$7:$AD$997,25,FALSE)))</f>
        <v>0</v>
      </c>
      <c r="I207" s="302">
        <f>IF($D207="A",ROUND(VLOOKUP($C207,'[2]2.행정구역별 급수인구'!$C$7:$AD$997,26,FALSE)*$E207,0),IF($D207="B",(ROUND(VLOOKUP($C207,'[2]2.행정구역별 급수인구'!$C$7:$AD$997,26,FALSE)-VLOOKUP($C207,'[2]2.행정구역별 급수인구'!$C$7:$AD$997,26,FALSE)*(1-$E207),0)),VLOOKUP($C207,'[2]2.행정구역별 급수인구'!$C$7:$AD$997,26,FALSE)))</f>
        <v>0</v>
      </c>
      <c r="J207" s="302">
        <f>IF($D207="A",ROUND(VLOOKUP($C207,'[2]2.행정구역별 급수인구'!$C$7:$AD$997,27,FALSE)*$E207,0),IF($D207="B",(ROUND(VLOOKUP($C207,'[2]2.행정구역별 급수인구'!$C$7:$AD$997,27,FALSE)-VLOOKUP($C207,'[2]2.행정구역별 급수인구'!$C$7:$AD$997,27,FALSE)*(1-$E207),0)),VLOOKUP($C207,'[2]2.행정구역별 급수인구'!$C$7:$AD$997,27,FALSE)))</f>
        <v>0</v>
      </c>
      <c r="K207" s="302">
        <f>IF($D207="A",ROUND(VLOOKUP($C207,'[2]2.행정구역별 급수인구'!$C$7:$AD$997,28,FALSE)*$E207,0),IF($D207="B",(ROUND(VLOOKUP($C207,'[2]2.행정구역별 급수인구'!$C$7:$AD$997,28,FALSE)-VLOOKUP($C207,'[2]2.행정구역별 급수인구'!$C$7:$AD$997,28,FALSE)*(1-$E207),0)),VLOOKUP($C207,'[2]2.행정구역별 급수인구'!$C$7:$AD$997,28,FALSE)))</f>
        <v>0</v>
      </c>
      <c r="L207" s="302">
        <f>VLOOKUP($F207,'[3]5.급수원단위'!$B$31:$G$35,2,FALSE)</f>
        <v>272</v>
      </c>
      <c r="M207" s="302">
        <f>VLOOKUP($F207,'[3]5.급수원단위'!$B$31:$G$35,3,FALSE)</f>
        <v>304</v>
      </c>
      <c r="N207" s="302">
        <f>VLOOKUP($F207,'[3]5.급수원단위'!$B$31:$G$35,4,FALSE)</f>
        <v>308</v>
      </c>
      <c r="O207" s="302">
        <f>VLOOKUP($F207,'[3]5.급수원단위'!$B$31:$G$35,5,FALSE)</f>
        <v>310</v>
      </c>
      <c r="P207" s="302">
        <f>VLOOKUP($F207,'[3]5.급수원단위'!$B$31:$G$35,6,FALSE)</f>
        <v>310</v>
      </c>
      <c r="Q207" s="302">
        <f>ROUND(IF(G207=0,0,VLOOKUP(C207,'2013실사용량 정리'!$D$6:$F$381,3,FALSE)),0)</f>
        <v>0</v>
      </c>
      <c r="R207" s="302">
        <f t="shared" si="37"/>
        <v>0</v>
      </c>
      <c r="S207" s="302">
        <f t="shared" si="38"/>
        <v>0</v>
      </c>
      <c r="T207" s="302">
        <f t="shared" si="39"/>
        <v>0</v>
      </c>
      <c r="U207" s="302">
        <f t="shared" si="40"/>
        <v>0</v>
      </c>
      <c r="W207" s="343" t="str">
        <f t="shared" si="33"/>
        <v/>
      </c>
    </row>
    <row r="208" spans="1:23" ht="20.100000000000001" customHeight="1">
      <c r="A208" s="340"/>
      <c r="B208" s="340"/>
      <c r="C208" s="406" t="s">
        <v>1603</v>
      </c>
      <c r="D208" s="330" t="s">
        <v>1869</v>
      </c>
      <c r="E208" s="527">
        <f t="shared" si="41"/>
        <v>0</v>
      </c>
      <c r="F208" s="527" t="s">
        <v>756</v>
      </c>
      <c r="G208" s="302">
        <f>IF($D208="A",ROUND(VLOOKUP($C208,'[2]2.행정구역별 급수인구'!$C$7:$AD$997,17,FALSE)*$E208,0),IF($D208="B",(ROUND(VLOOKUP($C208,'[2]2.행정구역별 급수인구'!$C$7:$AD$997,17,FALSE)-VLOOKUP($C208,'[2]2.행정구역별 급수인구'!$C$7:$AD$997,17,FALSE)*(1-$E208),0)),VLOOKUP($C208,'[2]2.행정구역별 급수인구'!$C$7:$AD$997,17,FALSE)))</f>
        <v>0</v>
      </c>
      <c r="H208" s="302">
        <f>IF($D208="A",ROUND(VLOOKUP($C208,'[2]2.행정구역별 급수인구'!$C$7:$AD$997,25,FALSE)*$E208,0),IF($D208="B",(ROUND(VLOOKUP($C208,'[2]2.행정구역별 급수인구'!$C$7:$AD$997,25,FALSE)-VLOOKUP($C208,'[2]2.행정구역별 급수인구'!$C$7:$AD$997,25,FALSE)*(1-$E208),0)),VLOOKUP($C208,'[2]2.행정구역별 급수인구'!$C$7:$AD$997,25,FALSE)))</f>
        <v>0</v>
      </c>
      <c r="I208" s="302">
        <f>IF($D208="A",ROUND(VLOOKUP($C208,'[2]2.행정구역별 급수인구'!$C$7:$AD$997,26,FALSE)*$E208,0),IF($D208="B",(ROUND(VLOOKUP($C208,'[2]2.행정구역별 급수인구'!$C$7:$AD$997,26,FALSE)-VLOOKUP($C208,'[2]2.행정구역별 급수인구'!$C$7:$AD$997,26,FALSE)*(1-$E208),0)),VLOOKUP($C208,'[2]2.행정구역별 급수인구'!$C$7:$AD$997,26,FALSE)))</f>
        <v>0</v>
      </c>
      <c r="J208" s="302">
        <f>IF($D208="A",ROUND(VLOOKUP($C208,'[2]2.행정구역별 급수인구'!$C$7:$AD$997,27,FALSE)*$E208,0),IF($D208="B",(ROUND(VLOOKUP($C208,'[2]2.행정구역별 급수인구'!$C$7:$AD$997,27,FALSE)-VLOOKUP($C208,'[2]2.행정구역별 급수인구'!$C$7:$AD$997,27,FALSE)*(1-$E208),0)),VLOOKUP($C208,'[2]2.행정구역별 급수인구'!$C$7:$AD$997,27,FALSE)))</f>
        <v>0</v>
      </c>
      <c r="K208" s="302">
        <f>IF($D208="A",ROUND(VLOOKUP($C208,'[2]2.행정구역별 급수인구'!$C$7:$AD$997,28,FALSE)*$E208,0),IF($D208="B",(ROUND(VLOOKUP($C208,'[2]2.행정구역별 급수인구'!$C$7:$AD$997,28,FALSE)-VLOOKUP($C208,'[2]2.행정구역별 급수인구'!$C$7:$AD$997,28,FALSE)*(1-$E208),0)),VLOOKUP($C208,'[2]2.행정구역별 급수인구'!$C$7:$AD$997,28,FALSE)))</f>
        <v>0</v>
      </c>
      <c r="L208" s="302">
        <f>VLOOKUP($F208,'[3]5.급수원단위'!$B$31:$G$35,2,FALSE)</f>
        <v>272</v>
      </c>
      <c r="M208" s="302">
        <f>VLOOKUP($F208,'[3]5.급수원단위'!$B$31:$G$35,3,FALSE)</f>
        <v>304</v>
      </c>
      <c r="N208" s="302">
        <f>VLOOKUP($F208,'[3]5.급수원단위'!$B$31:$G$35,4,FALSE)</f>
        <v>308</v>
      </c>
      <c r="O208" s="302">
        <f>VLOOKUP($F208,'[3]5.급수원단위'!$B$31:$G$35,5,FALSE)</f>
        <v>310</v>
      </c>
      <c r="P208" s="302">
        <f>VLOOKUP($F208,'[3]5.급수원단위'!$B$31:$G$35,6,FALSE)</f>
        <v>310</v>
      </c>
      <c r="Q208" s="302">
        <f>ROUND(IF(G208=0,0,VLOOKUP(C208,'2013실사용량 정리'!$D$6:$F$381,3,FALSE)),0)</f>
        <v>0</v>
      </c>
      <c r="R208" s="302">
        <f t="shared" si="37"/>
        <v>0</v>
      </c>
      <c r="S208" s="302">
        <f t="shared" si="38"/>
        <v>0</v>
      </c>
      <c r="T208" s="302">
        <f t="shared" si="39"/>
        <v>0</v>
      </c>
      <c r="U208" s="302">
        <f t="shared" si="40"/>
        <v>0</v>
      </c>
      <c r="W208" s="343" t="str">
        <f t="shared" si="33"/>
        <v/>
      </c>
    </row>
    <row r="209" spans="1:23" ht="20.100000000000001" customHeight="1">
      <c r="A209" s="340"/>
      <c r="B209" s="340"/>
      <c r="C209" s="406" t="s">
        <v>1604</v>
      </c>
      <c r="D209" s="330" t="s">
        <v>1869</v>
      </c>
      <c r="E209" s="527">
        <f t="shared" si="41"/>
        <v>0</v>
      </c>
      <c r="F209" s="527" t="s">
        <v>756</v>
      </c>
      <c r="G209" s="302">
        <f>IF($D209="A",ROUND(VLOOKUP($C209,'[2]2.행정구역별 급수인구'!$C$7:$AD$997,17,FALSE)*$E209,0),IF($D209="B",(ROUND(VLOOKUP($C209,'[2]2.행정구역별 급수인구'!$C$7:$AD$997,17,FALSE)-VLOOKUP($C209,'[2]2.행정구역별 급수인구'!$C$7:$AD$997,17,FALSE)*(1-$E209),0)),VLOOKUP($C209,'[2]2.행정구역별 급수인구'!$C$7:$AD$997,17,FALSE)))-G211</f>
        <v>0</v>
      </c>
      <c r="H209" s="302">
        <f>IF($D209="A",ROUND(VLOOKUP($C209,'[2]2.행정구역별 급수인구'!$C$7:$AD$997,25,FALSE)*$E209,0),IF($D209="B",(ROUND(VLOOKUP($C209,'[2]2.행정구역별 급수인구'!$C$7:$AD$997,25,FALSE)-VLOOKUP($C209,'[2]2.행정구역별 급수인구'!$C$7:$AD$997,25,FALSE)*(1-$E209),0)),VLOOKUP($C209,'[2]2.행정구역별 급수인구'!$C$7:$AD$997,25,FALSE)))-H211</f>
        <v>0</v>
      </c>
      <c r="I209" s="302">
        <f>IF($D209="A",ROUND(VLOOKUP($C209,'[2]2.행정구역별 급수인구'!$C$7:$AD$997,26,FALSE)*$E209,0),IF($D209="B",(ROUND(VLOOKUP($C209,'[2]2.행정구역별 급수인구'!$C$7:$AD$997,26,FALSE)-VLOOKUP($C209,'[2]2.행정구역별 급수인구'!$C$7:$AD$997,26,FALSE)*(1-$E209),0)),VLOOKUP($C209,'[2]2.행정구역별 급수인구'!$C$7:$AD$997,26,FALSE)))-I211</f>
        <v>0</v>
      </c>
      <c r="J209" s="302">
        <f>IF($D209="A",ROUND(VLOOKUP($C209,'[2]2.행정구역별 급수인구'!$C$7:$AD$997,27,FALSE)*$E209,0),IF($D209="B",(ROUND(VLOOKUP($C209,'[2]2.행정구역별 급수인구'!$C$7:$AD$997,27,FALSE)-VLOOKUP($C209,'[2]2.행정구역별 급수인구'!$C$7:$AD$997,27,FALSE)*(1-$E209),0)),VLOOKUP($C209,'[2]2.행정구역별 급수인구'!$C$7:$AD$997,27,FALSE)))-J211</f>
        <v>0</v>
      </c>
      <c r="K209" s="302">
        <f>IF($D209="A",ROUND(VLOOKUP($C209,'[2]2.행정구역별 급수인구'!$C$7:$AD$997,28,FALSE)*$E209,0),IF($D209="B",(ROUND(VLOOKUP($C209,'[2]2.행정구역별 급수인구'!$C$7:$AD$997,28,FALSE)-VLOOKUP($C209,'[2]2.행정구역별 급수인구'!$C$7:$AD$997,28,FALSE)*(1-$E209),0)),VLOOKUP($C209,'[2]2.행정구역별 급수인구'!$C$7:$AD$997,28,FALSE)))-K211</f>
        <v>0</v>
      </c>
      <c r="L209" s="302">
        <f>VLOOKUP($F209,'[3]5.급수원단위'!$B$31:$G$35,2,FALSE)</f>
        <v>272</v>
      </c>
      <c r="M209" s="302">
        <f>VLOOKUP($F209,'[3]5.급수원단위'!$B$31:$G$35,3,FALSE)</f>
        <v>304</v>
      </c>
      <c r="N209" s="302">
        <f>VLOOKUP($F209,'[3]5.급수원단위'!$B$31:$G$35,4,FALSE)</f>
        <v>308</v>
      </c>
      <c r="O209" s="302">
        <f>VLOOKUP($F209,'[3]5.급수원단위'!$B$31:$G$35,5,FALSE)</f>
        <v>310</v>
      </c>
      <c r="P209" s="302">
        <f>VLOOKUP($F209,'[3]5.급수원단위'!$B$31:$G$35,6,FALSE)</f>
        <v>310</v>
      </c>
      <c r="Q209" s="302">
        <f>ROUND(IF(G209=0,0,VLOOKUP(C209,'2013실사용량 정리'!$D$6:$F$381,3,FALSE)),0)</f>
        <v>0</v>
      </c>
      <c r="R209" s="302">
        <f t="shared" si="37"/>
        <v>0</v>
      </c>
      <c r="S209" s="302">
        <f t="shared" si="38"/>
        <v>0</v>
      </c>
      <c r="T209" s="302">
        <f t="shared" si="39"/>
        <v>0</v>
      </c>
      <c r="U209" s="302">
        <f t="shared" si="40"/>
        <v>0</v>
      </c>
      <c r="W209" s="343" t="str">
        <f t="shared" si="33"/>
        <v/>
      </c>
    </row>
    <row r="210" spans="1:23" ht="20.100000000000001" customHeight="1">
      <c r="A210" s="340"/>
      <c r="B210" s="340"/>
      <c r="C210" s="406" t="s">
        <v>1605</v>
      </c>
      <c r="D210" s="330" t="s">
        <v>1869</v>
      </c>
      <c r="E210" s="527">
        <f t="shared" si="41"/>
        <v>0</v>
      </c>
      <c r="F210" s="527" t="s">
        <v>756</v>
      </c>
      <c r="G210" s="302">
        <f>IF($D210="A",ROUND(VLOOKUP($C210,'[2]2.행정구역별 급수인구'!$C$7:$AD$997,17,FALSE)*$E210,0),IF($D210="B",(ROUND(VLOOKUP($C210,'[2]2.행정구역별 급수인구'!$C$7:$AD$997,17,FALSE)-VLOOKUP($C210,'[2]2.행정구역별 급수인구'!$C$7:$AD$997,17,FALSE)*(1-$E210),0)),VLOOKUP($C210,'[2]2.행정구역별 급수인구'!$C$7:$AD$997,17,FALSE)))</f>
        <v>0</v>
      </c>
      <c r="H210" s="302">
        <f>IF($D210="A",ROUND(VLOOKUP($C210,'[2]2.행정구역별 급수인구'!$C$7:$AD$997,25,FALSE)*$E210,0),IF($D210="B",(ROUND(VLOOKUP($C210,'[2]2.행정구역별 급수인구'!$C$7:$AD$997,25,FALSE)-VLOOKUP($C210,'[2]2.행정구역별 급수인구'!$C$7:$AD$997,25,FALSE)*(1-$E210),0)),VLOOKUP($C210,'[2]2.행정구역별 급수인구'!$C$7:$AD$997,25,FALSE)))</f>
        <v>0</v>
      </c>
      <c r="I210" s="302">
        <f>IF($D210="A",ROUND(VLOOKUP($C210,'[2]2.행정구역별 급수인구'!$C$7:$AD$997,26,FALSE)*$E210,0),IF($D210="B",(ROUND(VLOOKUP($C210,'[2]2.행정구역별 급수인구'!$C$7:$AD$997,26,FALSE)-VLOOKUP($C210,'[2]2.행정구역별 급수인구'!$C$7:$AD$997,26,FALSE)*(1-$E210),0)),VLOOKUP($C210,'[2]2.행정구역별 급수인구'!$C$7:$AD$997,26,FALSE)))</f>
        <v>0</v>
      </c>
      <c r="J210" s="302">
        <f>IF($D210="A",ROUND(VLOOKUP($C210,'[2]2.행정구역별 급수인구'!$C$7:$AD$997,27,FALSE)*$E210,0),IF($D210="B",(ROUND(VLOOKUP($C210,'[2]2.행정구역별 급수인구'!$C$7:$AD$997,27,FALSE)-VLOOKUP($C210,'[2]2.행정구역별 급수인구'!$C$7:$AD$997,27,FALSE)*(1-$E210),0)),VLOOKUP($C210,'[2]2.행정구역별 급수인구'!$C$7:$AD$997,27,FALSE)))</f>
        <v>0</v>
      </c>
      <c r="K210" s="302">
        <f>IF($D210="A",ROUND(VLOOKUP($C210,'[2]2.행정구역별 급수인구'!$C$7:$AD$997,28,FALSE)*$E210,0),IF($D210="B",(ROUND(VLOOKUP($C210,'[2]2.행정구역별 급수인구'!$C$7:$AD$997,28,FALSE)-VLOOKUP($C210,'[2]2.행정구역별 급수인구'!$C$7:$AD$997,28,FALSE)*(1-$E210),0)),VLOOKUP($C210,'[2]2.행정구역별 급수인구'!$C$7:$AD$997,28,FALSE)))</f>
        <v>0</v>
      </c>
      <c r="L210" s="302">
        <f>VLOOKUP($F210,'[3]5.급수원단위'!$B$31:$G$35,2,FALSE)</f>
        <v>272</v>
      </c>
      <c r="M210" s="302">
        <f>VLOOKUP($F210,'[3]5.급수원단위'!$B$31:$G$35,3,FALSE)</f>
        <v>304</v>
      </c>
      <c r="N210" s="302">
        <f>VLOOKUP($F210,'[3]5.급수원단위'!$B$31:$G$35,4,FALSE)</f>
        <v>308</v>
      </c>
      <c r="O210" s="302">
        <f>VLOOKUP($F210,'[3]5.급수원단위'!$B$31:$G$35,5,FALSE)</f>
        <v>310</v>
      </c>
      <c r="P210" s="302">
        <f>VLOOKUP($F210,'[3]5.급수원단위'!$B$31:$G$35,6,FALSE)</f>
        <v>310</v>
      </c>
      <c r="Q210" s="302">
        <f>ROUND(IF(G210=0,0,VLOOKUP(C210,'2013실사용량 정리'!$D$6:$F$381,3,FALSE)),0)</f>
        <v>0</v>
      </c>
      <c r="R210" s="302">
        <f t="shared" si="37"/>
        <v>0</v>
      </c>
      <c r="S210" s="302">
        <f t="shared" si="38"/>
        <v>0</v>
      </c>
      <c r="T210" s="302">
        <f t="shared" si="39"/>
        <v>0</v>
      </c>
      <c r="U210" s="302">
        <f t="shared" si="40"/>
        <v>0</v>
      </c>
      <c r="W210" s="343" t="str">
        <f t="shared" si="33"/>
        <v/>
      </c>
    </row>
    <row r="211" spans="1:23" ht="20.100000000000001" customHeight="1">
      <c r="A211" s="340"/>
      <c r="B211" s="340"/>
      <c r="C211" s="414" t="s">
        <v>1175</v>
      </c>
      <c r="D211" s="415" t="s">
        <v>1869</v>
      </c>
      <c r="E211" s="416">
        <f t="shared" si="41"/>
        <v>0</v>
      </c>
      <c r="F211" s="416" t="s">
        <v>1175</v>
      </c>
      <c r="G211" s="393">
        <v>0</v>
      </c>
      <c r="H211" s="393">
        <v>0</v>
      </c>
      <c r="I211" s="393">
        <v>0</v>
      </c>
      <c r="J211" s="393">
        <v>0</v>
      </c>
      <c r="K211" s="393">
        <v>0</v>
      </c>
      <c r="L211" s="393">
        <f>VLOOKUP($F211,'[3]5.급수원단위'!$B$31:$G$35,2,FALSE)</f>
        <v>0</v>
      </c>
      <c r="M211" s="393">
        <f>VLOOKUP($F211,'[3]5.급수원단위'!$B$31:$G$35,3,FALSE)</f>
        <v>0</v>
      </c>
      <c r="N211" s="393">
        <f>VLOOKUP($F211,'[3]5.급수원단위'!$B$31:$G$35,4,FALSE)</f>
        <v>555</v>
      </c>
      <c r="O211" s="393">
        <f>VLOOKUP($F211,'[3]5.급수원단위'!$B$31:$G$35,5,FALSE)</f>
        <v>555</v>
      </c>
      <c r="P211" s="393">
        <f>VLOOKUP($F211,'[3]5.급수원단위'!$B$31:$G$35,6,FALSE)</f>
        <v>555</v>
      </c>
      <c r="Q211" s="393">
        <f>ROUND(IF(G211=0,0,VLOOKUP(C211,'2013실사용량 정리'!$D$6:$F$381,3,FALSE)),0)</f>
        <v>0</v>
      </c>
      <c r="R211" s="393">
        <f t="shared" si="37"/>
        <v>0</v>
      </c>
      <c r="S211" s="393">
        <f t="shared" si="38"/>
        <v>0</v>
      </c>
      <c r="T211" s="393">
        <f t="shared" si="39"/>
        <v>0</v>
      </c>
      <c r="U211" s="393">
        <f t="shared" si="40"/>
        <v>0</v>
      </c>
      <c r="W211" s="343" t="str">
        <f t="shared" si="33"/>
        <v/>
      </c>
    </row>
    <row r="212" spans="1:23" ht="20.100000000000001" customHeight="1">
      <c r="A212" s="340"/>
      <c r="B212" s="340"/>
      <c r="C212" s="406" t="s">
        <v>1606</v>
      </c>
      <c r="D212" s="330" t="s">
        <v>1869</v>
      </c>
      <c r="E212" s="527">
        <f t="shared" si="41"/>
        <v>0</v>
      </c>
      <c r="F212" s="527" t="s">
        <v>756</v>
      </c>
      <c r="G212" s="302">
        <f>IF($D212="A",ROUND(VLOOKUP($C212,'[2]2.행정구역별 급수인구'!$C$7:$AD$997,17,FALSE)*$E212,0),IF($D212="B",(ROUND(VLOOKUP($C212,'[2]2.행정구역별 급수인구'!$C$7:$AD$997,17,FALSE)-VLOOKUP($C212,'[2]2.행정구역별 급수인구'!$C$7:$AD$997,17,FALSE)*(1-$E212),0)),VLOOKUP($C212,'[2]2.행정구역별 급수인구'!$C$7:$AD$997,17,FALSE)))</f>
        <v>0</v>
      </c>
      <c r="H212" s="302">
        <f>IF($D212="A",ROUND(VLOOKUP($C212,'[2]2.행정구역별 급수인구'!$C$7:$AD$997,25,FALSE)*$E212,0),IF($D212="B",(ROUND(VLOOKUP($C212,'[2]2.행정구역별 급수인구'!$C$7:$AD$997,25,FALSE)-VLOOKUP($C212,'[2]2.행정구역별 급수인구'!$C$7:$AD$997,25,FALSE)*(1-$E212),0)),VLOOKUP($C212,'[2]2.행정구역별 급수인구'!$C$7:$AD$997,25,FALSE)))</f>
        <v>0</v>
      </c>
      <c r="I212" s="302">
        <f>IF($D212="A",ROUND(VLOOKUP($C212,'[2]2.행정구역별 급수인구'!$C$7:$AD$997,26,FALSE)*$E212,0),IF($D212="B",(ROUND(VLOOKUP($C212,'[2]2.행정구역별 급수인구'!$C$7:$AD$997,26,FALSE)-VLOOKUP($C212,'[2]2.행정구역별 급수인구'!$C$7:$AD$997,26,FALSE)*(1-$E212),0)),VLOOKUP($C212,'[2]2.행정구역별 급수인구'!$C$7:$AD$997,26,FALSE)))</f>
        <v>0</v>
      </c>
      <c r="J212" s="302">
        <f>IF($D212="A",ROUND(VLOOKUP($C212,'[2]2.행정구역별 급수인구'!$C$7:$AD$997,27,FALSE)*$E212,0),IF($D212="B",(ROUND(VLOOKUP($C212,'[2]2.행정구역별 급수인구'!$C$7:$AD$997,27,FALSE)-VLOOKUP($C212,'[2]2.행정구역별 급수인구'!$C$7:$AD$997,27,FALSE)*(1-$E212),0)),VLOOKUP($C212,'[2]2.행정구역별 급수인구'!$C$7:$AD$997,27,FALSE)))</f>
        <v>0</v>
      </c>
      <c r="K212" s="302">
        <f>IF($D212="A",ROUND(VLOOKUP($C212,'[2]2.행정구역별 급수인구'!$C$7:$AD$997,28,FALSE)*$E212,0),IF($D212="B",(ROUND(VLOOKUP($C212,'[2]2.행정구역별 급수인구'!$C$7:$AD$997,28,FALSE)-VLOOKUP($C212,'[2]2.행정구역별 급수인구'!$C$7:$AD$997,28,FALSE)*(1-$E212),0)),VLOOKUP($C212,'[2]2.행정구역별 급수인구'!$C$7:$AD$997,28,FALSE)))</f>
        <v>0</v>
      </c>
      <c r="L212" s="302">
        <f>VLOOKUP($F212,'[3]5.급수원단위'!$B$31:$G$35,2,FALSE)</f>
        <v>272</v>
      </c>
      <c r="M212" s="302">
        <f>VLOOKUP($F212,'[3]5.급수원단위'!$B$31:$G$35,3,FALSE)</f>
        <v>304</v>
      </c>
      <c r="N212" s="302">
        <f>VLOOKUP($F212,'[3]5.급수원단위'!$B$31:$G$35,4,FALSE)</f>
        <v>308</v>
      </c>
      <c r="O212" s="302">
        <f>VLOOKUP($F212,'[3]5.급수원단위'!$B$31:$G$35,5,FALSE)</f>
        <v>310</v>
      </c>
      <c r="P212" s="302">
        <f>VLOOKUP($F212,'[3]5.급수원단위'!$B$31:$G$35,6,FALSE)</f>
        <v>310</v>
      </c>
      <c r="Q212" s="302">
        <f>ROUND(IF(G212=0,0,VLOOKUP(C212,'2013실사용량 정리'!$D$6:$F$381,3,FALSE)),0)</f>
        <v>0</v>
      </c>
      <c r="R212" s="302">
        <f t="shared" si="37"/>
        <v>0</v>
      </c>
      <c r="S212" s="302">
        <f t="shared" si="38"/>
        <v>0</v>
      </c>
      <c r="T212" s="302">
        <f t="shared" si="39"/>
        <v>0</v>
      </c>
      <c r="U212" s="302">
        <f t="shared" si="40"/>
        <v>0</v>
      </c>
      <c r="W212" s="343" t="str">
        <f t="shared" si="33"/>
        <v/>
      </c>
    </row>
    <row r="213" spans="1:23" ht="20.100000000000001" customHeight="1">
      <c r="A213" s="340"/>
      <c r="B213" s="340"/>
      <c r="C213" s="406" t="s">
        <v>1607</v>
      </c>
      <c r="D213" s="330" t="s">
        <v>1869</v>
      </c>
      <c r="E213" s="527">
        <f t="shared" si="41"/>
        <v>0</v>
      </c>
      <c r="F213" s="527" t="s">
        <v>756</v>
      </c>
      <c r="G213" s="302">
        <f>IF($D213="A",ROUND(VLOOKUP($C213,'[2]2.행정구역별 급수인구'!$C$7:$AD$997,17,FALSE)*$E213,0),IF($D213="B",(ROUND(VLOOKUP($C213,'[2]2.행정구역별 급수인구'!$C$7:$AD$997,17,FALSE)-VLOOKUP($C213,'[2]2.행정구역별 급수인구'!$C$7:$AD$997,17,FALSE)*(1-$E213),0)),VLOOKUP($C213,'[2]2.행정구역별 급수인구'!$C$7:$AD$997,17,FALSE)))</f>
        <v>0</v>
      </c>
      <c r="H213" s="302">
        <f>IF($D213="A",ROUND(VLOOKUP($C213,'[2]2.행정구역별 급수인구'!$C$7:$AD$997,25,FALSE)*$E213,0),IF($D213="B",(ROUND(VLOOKUP($C213,'[2]2.행정구역별 급수인구'!$C$7:$AD$997,25,FALSE)-VLOOKUP($C213,'[2]2.행정구역별 급수인구'!$C$7:$AD$997,25,FALSE)*(1-$E213),0)),VLOOKUP($C213,'[2]2.행정구역별 급수인구'!$C$7:$AD$997,25,FALSE)))</f>
        <v>0</v>
      </c>
      <c r="I213" s="302">
        <f>IF($D213="A",ROUND(VLOOKUP($C213,'[2]2.행정구역별 급수인구'!$C$7:$AD$997,26,FALSE)*$E213,0),IF($D213="B",(ROUND(VLOOKUP($C213,'[2]2.행정구역별 급수인구'!$C$7:$AD$997,26,FALSE)-VLOOKUP($C213,'[2]2.행정구역별 급수인구'!$C$7:$AD$997,26,FALSE)*(1-$E213),0)),VLOOKUP($C213,'[2]2.행정구역별 급수인구'!$C$7:$AD$997,26,FALSE)))</f>
        <v>0</v>
      </c>
      <c r="J213" s="302">
        <f>IF($D213="A",ROUND(VLOOKUP($C213,'[2]2.행정구역별 급수인구'!$C$7:$AD$997,27,FALSE)*$E213,0),IF($D213="B",(ROUND(VLOOKUP($C213,'[2]2.행정구역별 급수인구'!$C$7:$AD$997,27,FALSE)-VLOOKUP($C213,'[2]2.행정구역별 급수인구'!$C$7:$AD$997,27,FALSE)*(1-$E213),0)),VLOOKUP($C213,'[2]2.행정구역별 급수인구'!$C$7:$AD$997,27,FALSE)))</f>
        <v>0</v>
      </c>
      <c r="K213" s="302">
        <f>IF($D213="A",ROUND(VLOOKUP($C213,'[2]2.행정구역별 급수인구'!$C$7:$AD$997,28,FALSE)*$E213,0),IF($D213="B",(ROUND(VLOOKUP($C213,'[2]2.행정구역별 급수인구'!$C$7:$AD$997,28,FALSE)-VLOOKUP($C213,'[2]2.행정구역별 급수인구'!$C$7:$AD$997,28,FALSE)*(1-$E213),0)),VLOOKUP($C213,'[2]2.행정구역별 급수인구'!$C$7:$AD$997,28,FALSE)))</f>
        <v>0</v>
      </c>
      <c r="L213" s="302">
        <f>VLOOKUP($F213,'[3]5.급수원단위'!$B$31:$G$35,2,FALSE)</f>
        <v>272</v>
      </c>
      <c r="M213" s="302">
        <f>VLOOKUP($F213,'[3]5.급수원단위'!$B$31:$G$35,3,FALSE)</f>
        <v>304</v>
      </c>
      <c r="N213" s="302">
        <f>VLOOKUP($F213,'[3]5.급수원단위'!$B$31:$G$35,4,FALSE)</f>
        <v>308</v>
      </c>
      <c r="O213" s="302">
        <f>VLOOKUP($F213,'[3]5.급수원단위'!$B$31:$G$35,5,FALSE)</f>
        <v>310</v>
      </c>
      <c r="P213" s="302">
        <f>VLOOKUP($F213,'[3]5.급수원단위'!$B$31:$G$35,6,FALSE)</f>
        <v>310</v>
      </c>
      <c r="Q213" s="302">
        <f>ROUND(IF(G213=0,0,VLOOKUP(C213,'2013실사용량 정리'!$D$6:$F$381,3,FALSE)),0)</f>
        <v>0</v>
      </c>
      <c r="R213" s="302">
        <f t="shared" si="37"/>
        <v>0</v>
      </c>
      <c r="S213" s="302">
        <f t="shared" si="38"/>
        <v>0</v>
      </c>
      <c r="T213" s="302">
        <f t="shared" si="39"/>
        <v>0</v>
      </c>
      <c r="U213" s="302">
        <f t="shared" si="40"/>
        <v>0</v>
      </c>
      <c r="W213" s="343" t="str">
        <f t="shared" si="33"/>
        <v/>
      </c>
    </row>
    <row r="214" spans="1:23" ht="20.100000000000001" customHeight="1">
      <c r="A214" s="386"/>
      <c r="B214" s="386"/>
      <c r="C214" s="406" t="s">
        <v>1608</v>
      </c>
      <c r="D214" s="330" t="s">
        <v>1869</v>
      </c>
      <c r="E214" s="527">
        <f t="shared" si="41"/>
        <v>0</v>
      </c>
      <c r="F214" s="527" t="s">
        <v>756</v>
      </c>
      <c r="G214" s="302">
        <f>IF($D214="A",ROUND(VLOOKUP($C214,'[2]2.행정구역별 급수인구'!$C$7:$AD$997,17,FALSE)*$E214,0),IF($D214="B",(ROUND(VLOOKUP($C214,'[2]2.행정구역별 급수인구'!$C$7:$AD$997,17,FALSE)-VLOOKUP($C214,'[2]2.행정구역별 급수인구'!$C$7:$AD$997,17,FALSE)*(1-$E214),0)),VLOOKUP($C214,'[2]2.행정구역별 급수인구'!$C$7:$AD$997,17,FALSE)))</f>
        <v>0</v>
      </c>
      <c r="H214" s="302">
        <f>IF($D214="A",ROUND(VLOOKUP($C214,'[2]2.행정구역별 급수인구'!$C$7:$AD$997,25,FALSE)*$E214,0),IF($D214="B",(ROUND(VLOOKUP($C214,'[2]2.행정구역별 급수인구'!$C$7:$AD$997,25,FALSE)-VLOOKUP($C214,'[2]2.행정구역별 급수인구'!$C$7:$AD$997,25,FALSE)*(1-$E214),0)),VLOOKUP($C214,'[2]2.행정구역별 급수인구'!$C$7:$AD$997,25,FALSE)))</f>
        <v>0</v>
      </c>
      <c r="I214" s="302">
        <f>IF($D214="A",ROUND(VLOOKUP($C214,'[2]2.행정구역별 급수인구'!$C$7:$AD$997,26,FALSE)*$E214,0),IF($D214="B",(ROUND(VLOOKUP($C214,'[2]2.행정구역별 급수인구'!$C$7:$AD$997,26,FALSE)-VLOOKUP($C214,'[2]2.행정구역별 급수인구'!$C$7:$AD$997,26,FALSE)*(1-$E214),0)),VLOOKUP($C214,'[2]2.행정구역별 급수인구'!$C$7:$AD$997,26,FALSE)))</f>
        <v>0</v>
      </c>
      <c r="J214" s="302">
        <f>IF($D214="A",ROUND(VLOOKUP($C214,'[2]2.행정구역별 급수인구'!$C$7:$AD$997,27,FALSE)*$E214,0),IF($D214="B",(ROUND(VLOOKUP($C214,'[2]2.행정구역별 급수인구'!$C$7:$AD$997,27,FALSE)-VLOOKUP($C214,'[2]2.행정구역별 급수인구'!$C$7:$AD$997,27,FALSE)*(1-$E214),0)),VLOOKUP($C214,'[2]2.행정구역별 급수인구'!$C$7:$AD$997,27,FALSE)))</f>
        <v>0</v>
      </c>
      <c r="K214" s="302">
        <f>IF($D214="A",ROUND(VLOOKUP($C214,'[2]2.행정구역별 급수인구'!$C$7:$AD$997,28,FALSE)*$E214,0),IF($D214="B",(ROUND(VLOOKUP($C214,'[2]2.행정구역별 급수인구'!$C$7:$AD$997,28,FALSE)-VLOOKUP($C214,'[2]2.행정구역별 급수인구'!$C$7:$AD$997,28,FALSE)*(1-$E214),0)),VLOOKUP($C214,'[2]2.행정구역별 급수인구'!$C$7:$AD$997,28,FALSE)))</f>
        <v>0</v>
      </c>
      <c r="L214" s="302">
        <f>VLOOKUP($F214,'[3]5.급수원단위'!$B$31:$G$35,2,FALSE)</f>
        <v>272</v>
      </c>
      <c r="M214" s="302">
        <f>VLOOKUP($F214,'[3]5.급수원단위'!$B$31:$G$35,3,FALSE)</f>
        <v>304</v>
      </c>
      <c r="N214" s="302">
        <f>VLOOKUP($F214,'[3]5.급수원단위'!$B$31:$G$35,4,FALSE)</f>
        <v>308</v>
      </c>
      <c r="O214" s="302">
        <f>VLOOKUP($F214,'[3]5.급수원단위'!$B$31:$G$35,5,FALSE)</f>
        <v>310</v>
      </c>
      <c r="P214" s="302">
        <f>VLOOKUP($F214,'[3]5.급수원단위'!$B$31:$G$35,6,FALSE)</f>
        <v>310</v>
      </c>
      <c r="Q214" s="302">
        <f>ROUND(IF(G214=0,0,VLOOKUP(C214,'2013실사용량 정리'!$D$6:$F$381,3,FALSE)),0)</f>
        <v>0</v>
      </c>
      <c r="R214" s="302">
        <f t="shared" si="37"/>
        <v>0</v>
      </c>
      <c r="S214" s="302">
        <f t="shared" si="38"/>
        <v>0</v>
      </c>
      <c r="T214" s="302">
        <f t="shared" si="39"/>
        <v>0</v>
      </c>
      <c r="U214" s="302">
        <f t="shared" si="40"/>
        <v>0</v>
      </c>
      <c r="W214" s="343" t="str">
        <f t="shared" si="33"/>
        <v/>
      </c>
    </row>
    <row r="215" spans="1:23" ht="20.100000000000001" customHeight="1">
      <c r="A215" s="529"/>
      <c r="B215" s="339"/>
      <c r="C215" s="406" t="s">
        <v>1609</v>
      </c>
      <c r="D215" s="330" t="s">
        <v>1869</v>
      </c>
      <c r="E215" s="527">
        <f t="shared" si="41"/>
        <v>0</v>
      </c>
      <c r="F215" s="527" t="s">
        <v>756</v>
      </c>
      <c r="G215" s="302">
        <f>IF($D215="A",ROUND(VLOOKUP($C215,'[2]2.행정구역별 급수인구'!$C$7:$AD$997,17,FALSE)*$E215,0),IF($D215="B",(ROUND(VLOOKUP($C215,'[2]2.행정구역별 급수인구'!$C$7:$AD$997,17,FALSE)-VLOOKUP($C215,'[2]2.행정구역별 급수인구'!$C$7:$AD$997,17,FALSE)*(1-$E215),0)),VLOOKUP($C215,'[2]2.행정구역별 급수인구'!$C$7:$AD$997,17,FALSE)))</f>
        <v>0</v>
      </c>
      <c r="H215" s="302">
        <f>IF($D215="A",ROUND(VLOOKUP($C215,'[2]2.행정구역별 급수인구'!$C$7:$AD$997,25,FALSE)*$E215,0),IF($D215="B",(ROUND(VLOOKUP($C215,'[2]2.행정구역별 급수인구'!$C$7:$AD$997,25,FALSE)-VLOOKUP($C215,'[2]2.행정구역별 급수인구'!$C$7:$AD$997,25,FALSE)*(1-$E215),0)),VLOOKUP($C215,'[2]2.행정구역별 급수인구'!$C$7:$AD$997,25,FALSE)))</f>
        <v>0</v>
      </c>
      <c r="I215" s="302">
        <f>IF($D215="A",ROUND(VLOOKUP($C215,'[2]2.행정구역별 급수인구'!$C$7:$AD$997,26,FALSE)*$E215,0),IF($D215="B",(ROUND(VLOOKUP($C215,'[2]2.행정구역별 급수인구'!$C$7:$AD$997,26,FALSE)-VLOOKUP($C215,'[2]2.행정구역별 급수인구'!$C$7:$AD$997,26,FALSE)*(1-$E215),0)),VLOOKUP($C215,'[2]2.행정구역별 급수인구'!$C$7:$AD$997,26,FALSE)))</f>
        <v>0</v>
      </c>
      <c r="J215" s="302">
        <f>IF($D215="A",ROUND(VLOOKUP($C215,'[2]2.행정구역별 급수인구'!$C$7:$AD$997,27,FALSE)*$E215,0),IF($D215="B",(ROUND(VLOOKUP($C215,'[2]2.행정구역별 급수인구'!$C$7:$AD$997,27,FALSE)-VLOOKUP($C215,'[2]2.행정구역별 급수인구'!$C$7:$AD$997,27,FALSE)*(1-$E215),0)),VLOOKUP($C215,'[2]2.행정구역별 급수인구'!$C$7:$AD$997,27,FALSE)))</f>
        <v>0</v>
      </c>
      <c r="K215" s="302">
        <f>IF($D215="A",ROUND(VLOOKUP($C215,'[2]2.행정구역별 급수인구'!$C$7:$AD$997,28,FALSE)*$E215,0),IF($D215="B",(ROUND(VLOOKUP($C215,'[2]2.행정구역별 급수인구'!$C$7:$AD$997,28,FALSE)-VLOOKUP($C215,'[2]2.행정구역별 급수인구'!$C$7:$AD$997,28,FALSE)*(1-$E215),0)),VLOOKUP($C215,'[2]2.행정구역별 급수인구'!$C$7:$AD$997,28,FALSE)))</f>
        <v>0</v>
      </c>
      <c r="L215" s="302">
        <f>VLOOKUP($F215,'[3]5.급수원단위'!$B$31:$G$35,2,FALSE)</f>
        <v>272</v>
      </c>
      <c r="M215" s="302">
        <f>VLOOKUP($F215,'[3]5.급수원단위'!$B$31:$G$35,3,FALSE)</f>
        <v>304</v>
      </c>
      <c r="N215" s="302">
        <f>VLOOKUP($F215,'[3]5.급수원단위'!$B$31:$G$35,4,FALSE)</f>
        <v>308</v>
      </c>
      <c r="O215" s="302">
        <f>VLOOKUP($F215,'[3]5.급수원단위'!$B$31:$G$35,5,FALSE)</f>
        <v>310</v>
      </c>
      <c r="P215" s="302">
        <f>VLOOKUP($F215,'[3]5.급수원단위'!$B$31:$G$35,6,FALSE)</f>
        <v>310</v>
      </c>
      <c r="Q215" s="302">
        <f>ROUND(IF(G215=0,0,VLOOKUP(C215,'2013실사용량 정리'!$D$6:$F$381,3,FALSE)),0)</f>
        <v>0</v>
      </c>
      <c r="R215" s="302">
        <f t="shared" si="37"/>
        <v>0</v>
      </c>
      <c r="S215" s="302">
        <f t="shared" si="38"/>
        <v>0</v>
      </c>
      <c r="T215" s="302">
        <f t="shared" si="39"/>
        <v>0</v>
      </c>
      <c r="U215" s="302">
        <f t="shared" si="40"/>
        <v>0</v>
      </c>
      <c r="W215" s="343" t="str">
        <f t="shared" si="33"/>
        <v/>
      </c>
    </row>
    <row r="216" spans="1:23" ht="20.100000000000001" customHeight="1">
      <c r="A216" s="418"/>
      <c r="B216" s="340"/>
      <c r="C216" s="406" t="s">
        <v>1610</v>
      </c>
      <c r="D216" s="330" t="s">
        <v>1869</v>
      </c>
      <c r="E216" s="527">
        <f t="shared" si="41"/>
        <v>0</v>
      </c>
      <c r="F216" s="527" t="s">
        <v>756</v>
      </c>
      <c r="G216" s="302">
        <f>IF($D216="A",ROUND(VLOOKUP($C216,'[2]2.행정구역별 급수인구'!$C$7:$AD$997,17,FALSE)*$E216,0),IF($D216="B",(ROUND(VLOOKUP($C216,'[2]2.행정구역별 급수인구'!$C$7:$AD$997,17,FALSE)-VLOOKUP($C216,'[2]2.행정구역별 급수인구'!$C$7:$AD$997,17,FALSE)*(1-$E216),0)),VLOOKUP($C216,'[2]2.행정구역별 급수인구'!$C$7:$AD$997,17,FALSE)))</f>
        <v>0</v>
      </c>
      <c r="H216" s="302">
        <f>IF($D216="A",ROUND(VLOOKUP($C216,'[2]2.행정구역별 급수인구'!$C$7:$AD$997,25,FALSE)*$E216,0),IF($D216="B",(ROUND(VLOOKUP($C216,'[2]2.행정구역별 급수인구'!$C$7:$AD$997,25,FALSE)-VLOOKUP($C216,'[2]2.행정구역별 급수인구'!$C$7:$AD$997,25,FALSE)*(1-$E216),0)),VLOOKUP($C216,'[2]2.행정구역별 급수인구'!$C$7:$AD$997,25,FALSE)))</f>
        <v>0</v>
      </c>
      <c r="I216" s="302">
        <f>IF($D216="A",ROUND(VLOOKUP($C216,'[2]2.행정구역별 급수인구'!$C$7:$AD$997,26,FALSE)*$E216,0),IF($D216="B",(ROUND(VLOOKUP($C216,'[2]2.행정구역별 급수인구'!$C$7:$AD$997,26,FALSE)-VLOOKUP($C216,'[2]2.행정구역별 급수인구'!$C$7:$AD$997,26,FALSE)*(1-$E216),0)),VLOOKUP($C216,'[2]2.행정구역별 급수인구'!$C$7:$AD$997,26,FALSE)))</f>
        <v>0</v>
      </c>
      <c r="J216" s="302">
        <f>IF($D216="A",ROUND(VLOOKUP($C216,'[2]2.행정구역별 급수인구'!$C$7:$AD$997,27,FALSE)*$E216,0),IF($D216="B",(ROUND(VLOOKUP($C216,'[2]2.행정구역별 급수인구'!$C$7:$AD$997,27,FALSE)-VLOOKUP($C216,'[2]2.행정구역별 급수인구'!$C$7:$AD$997,27,FALSE)*(1-$E216),0)),VLOOKUP($C216,'[2]2.행정구역별 급수인구'!$C$7:$AD$997,27,FALSE)))</f>
        <v>0</v>
      </c>
      <c r="K216" s="302">
        <f>IF($D216="A",ROUND(VLOOKUP($C216,'[2]2.행정구역별 급수인구'!$C$7:$AD$997,28,FALSE)*$E216,0),IF($D216="B",(ROUND(VLOOKUP($C216,'[2]2.행정구역별 급수인구'!$C$7:$AD$997,28,FALSE)-VLOOKUP($C216,'[2]2.행정구역별 급수인구'!$C$7:$AD$997,28,FALSE)*(1-$E216),0)),VLOOKUP($C216,'[2]2.행정구역별 급수인구'!$C$7:$AD$997,28,FALSE)))</f>
        <v>0</v>
      </c>
      <c r="L216" s="302">
        <f>VLOOKUP($F216,'[3]5.급수원단위'!$B$31:$G$35,2,FALSE)</f>
        <v>272</v>
      </c>
      <c r="M216" s="302">
        <f>VLOOKUP($F216,'[3]5.급수원단위'!$B$31:$G$35,3,FALSE)</f>
        <v>304</v>
      </c>
      <c r="N216" s="302">
        <f>VLOOKUP($F216,'[3]5.급수원단위'!$B$31:$G$35,4,FALSE)</f>
        <v>308</v>
      </c>
      <c r="O216" s="302">
        <f>VLOOKUP($F216,'[3]5.급수원단위'!$B$31:$G$35,5,FALSE)</f>
        <v>310</v>
      </c>
      <c r="P216" s="302">
        <f>VLOOKUP($F216,'[3]5.급수원단위'!$B$31:$G$35,6,FALSE)</f>
        <v>310</v>
      </c>
      <c r="Q216" s="302">
        <f>ROUND(IF(G216=0,0,VLOOKUP(C216,'2013실사용량 정리'!$D$6:$F$381,3,FALSE)),0)</f>
        <v>0</v>
      </c>
      <c r="R216" s="302">
        <f t="shared" si="37"/>
        <v>0</v>
      </c>
      <c r="S216" s="302">
        <f t="shared" si="38"/>
        <v>0</v>
      </c>
      <c r="T216" s="302">
        <f t="shared" si="39"/>
        <v>0</v>
      </c>
      <c r="U216" s="302">
        <f t="shared" si="40"/>
        <v>0</v>
      </c>
      <c r="W216" s="343" t="str">
        <f t="shared" si="33"/>
        <v/>
      </c>
    </row>
    <row r="217" spans="1:23" ht="20.100000000000001" customHeight="1">
      <c r="A217" s="418"/>
      <c r="B217" s="340"/>
      <c r="C217" s="406" t="s">
        <v>1611</v>
      </c>
      <c r="D217" s="330" t="s">
        <v>1869</v>
      </c>
      <c r="E217" s="527">
        <f t="shared" si="41"/>
        <v>0</v>
      </c>
      <c r="F217" s="527" t="s">
        <v>756</v>
      </c>
      <c r="G217" s="302">
        <f>IF($D217="A",ROUND(VLOOKUP($C217,'[2]2.행정구역별 급수인구'!$C$7:$AD$997,17,FALSE)*$E217,0),IF($D217="B",(ROUND(VLOOKUP($C217,'[2]2.행정구역별 급수인구'!$C$7:$AD$997,17,FALSE)-VLOOKUP($C217,'[2]2.행정구역별 급수인구'!$C$7:$AD$997,17,FALSE)*(1-$E217),0)),VLOOKUP($C217,'[2]2.행정구역별 급수인구'!$C$7:$AD$997,17,FALSE)))</f>
        <v>0</v>
      </c>
      <c r="H217" s="302">
        <f>IF($D217="A",ROUND(VLOOKUP($C217,'[2]2.행정구역별 급수인구'!$C$7:$AD$997,25,FALSE)*$E217,0),IF($D217="B",(ROUND(VLOOKUP($C217,'[2]2.행정구역별 급수인구'!$C$7:$AD$997,25,FALSE)-VLOOKUP($C217,'[2]2.행정구역별 급수인구'!$C$7:$AD$997,25,FALSE)*(1-$E217),0)),VLOOKUP($C217,'[2]2.행정구역별 급수인구'!$C$7:$AD$997,25,FALSE)))</f>
        <v>0</v>
      </c>
      <c r="I217" s="302">
        <f>IF($D217="A",ROUND(VLOOKUP($C217,'[2]2.행정구역별 급수인구'!$C$7:$AD$997,26,FALSE)*$E217,0),IF($D217="B",(ROUND(VLOOKUP($C217,'[2]2.행정구역별 급수인구'!$C$7:$AD$997,26,FALSE)-VLOOKUP($C217,'[2]2.행정구역별 급수인구'!$C$7:$AD$997,26,FALSE)*(1-$E217),0)),VLOOKUP($C217,'[2]2.행정구역별 급수인구'!$C$7:$AD$997,26,FALSE)))</f>
        <v>0</v>
      </c>
      <c r="J217" s="302">
        <f>IF($D217="A",ROUND(VLOOKUP($C217,'[2]2.행정구역별 급수인구'!$C$7:$AD$997,27,FALSE)*$E217,0),IF($D217="B",(ROUND(VLOOKUP($C217,'[2]2.행정구역별 급수인구'!$C$7:$AD$997,27,FALSE)-VLOOKUP($C217,'[2]2.행정구역별 급수인구'!$C$7:$AD$997,27,FALSE)*(1-$E217),0)),VLOOKUP($C217,'[2]2.행정구역별 급수인구'!$C$7:$AD$997,27,FALSE)))</f>
        <v>0</v>
      </c>
      <c r="K217" s="302">
        <f>IF($D217="A",ROUND(VLOOKUP($C217,'[2]2.행정구역별 급수인구'!$C$7:$AD$997,28,FALSE)*$E217,0),IF($D217="B",(ROUND(VLOOKUP($C217,'[2]2.행정구역별 급수인구'!$C$7:$AD$997,28,FALSE)-VLOOKUP($C217,'[2]2.행정구역별 급수인구'!$C$7:$AD$997,28,FALSE)*(1-$E217),0)),VLOOKUP($C217,'[2]2.행정구역별 급수인구'!$C$7:$AD$997,28,FALSE)))</f>
        <v>0</v>
      </c>
      <c r="L217" s="302">
        <f>VLOOKUP($F217,'[3]5.급수원단위'!$B$31:$G$35,2,FALSE)</f>
        <v>272</v>
      </c>
      <c r="M217" s="302">
        <f>VLOOKUP($F217,'[3]5.급수원단위'!$B$31:$G$35,3,FALSE)</f>
        <v>304</v>
      </c>
      <c r="N217" s="302">
        <f>VLOOKUP($F217,'[3]5.급수원단위'!$B$31:$G$35,4,FALSE)</f>
        <v>308</v>
      </c>
      <c r="O217" s="302">
        <f>VLOOKUP($F217,'[3]5.급수원단위'!$B$31:$G$35,5,FALSE)</f>
        <v>310</v>
      </c>
      <c r="P217" s="302">
        <f>VLOOKUP($F217,'[3]5.급수원단위'!$B$31:$G$35,6,FALSE)</f>
        <v>310</v>
      </c>
      <c r="Q217" s="302">
        <f>ROUND(IF(G217=0,0,VLOOKUP(C217,'2013실사용량 정리'!$D$6:$F$381,3,FALSE)),0)</f>
        <v>0</v>
      </c>
      <c r="R217" s="302">
        <f t="shared" si="37"/>
        <v>0</v>
      </c>
      <c r="S217" s="302">
        <f t="shared" si="38"/>
        <v>0</v>
      </c>
      <c r="T217" s="302">
        <f t="shared" si="39"/>
        <v>0</v>
      </c>
      <c r="U217" s="302">
        <f t="shared" si="40"/>
        <v>0</v>
      </c>
      <c r="W217" s="343" t="str">
        <f t="shared" si="33"/>
        <v/>
      </c>
    </row>
    <row r="218" spans="1:23" ht="20.100000000000001" customHeight="1">
      <c r="A218" s="418"/>
      <c r="B218" s="340"/>
      <c r="C218" s="406" t="s">
        <v>1612</v>
      </c>
      <c r="D218" s="330" t="s">
        <v>1869</v>
      </c>
      <c r="E218" s="527">
        <f t="shared" si="41"/>
        <v>0</v>
      </c>
      <c r="F218" s="527" t="s">
        <v>756</v>
      </c>
      <c r="G218" s="302">
        <f>IF($D218="A",ROUND(VLOOKUP($C218,'[2]2.행정구역별 급수인구'!$C$7:$AD$997,17,FALSE)*$E218,0),IF($D218="B",(ROUND(VLOOKUP($C218,'[2]2.행정구역별 급수인구'!$C$7:$AD$997,17,FALSE)-VLOOKUP($C218,'[2]2.행정구역별 급수인구'!$C$7:$AD$997,17,FALSE)*(1-$E218),0)),VLOOKUP($C218,'[2]2.행정구역별 급수인구'!$C$7:$AD$997,17,FALSE)))</f>
        <v>0</v>
      </c>
      <c r="H218" s="302">
        <f>IF($D218="A",ROUND(VLOOKUP($C218,'[2]2.행정구역별 급수인구'!$C$7:$AD$997,25,FALSE)*$E218,0),IF($D218="B",(ROUND(VLOOKUP($C218,'[2]2.행정구역별 급수인구'!$C$7:$AD$997,25,FALSE)-VLOOKUP($C218,'[2]2.행정구역별 급수인구'!$C$7:$AD$997,25,FALSE)*(1-$E218),0)),VLOOKUP($C218,'[2]2.행정구역별 급수인구'!$C$7:$AD$997,25,FALSE)))</f>
        <v>0</v>
      </c>
      <c r="I218" s="302">
        <f>IF($D218="A",ROUND(VLOOKUP($C218,'[2]2.행정구역별 급수인구'!$C$7:$AD$997,26,FALSE)*$E218,0),IF($D218="B",(ROUND(VLOOKUP($C218,'[2]2.행정구역별 급수인구'!$C$7:$AD$997,26,FALSE)-VLOOKUP($C218,'[2]2.행정구역별 급수인구'!$C$7:$AD$997,26,FALSE)*(1-$E218),0)),VLOOKUP($C218,'[2]2.행정구역별 급수인구'!$C$7:$AD$997,26,FALSE)))</f>
        <v>0</v>
      </c>
      <c r="J218" s="302">
        <f>IF($D218="A",ROUND(VLOOKUP($C218,'[2]2.행정구역별 급수인구'!$C$7:$AD$997,27,FALSE)*$E218,0),IF($D218="B",(ROUND(VLOOKUP($C218,'[2]2.행정구역별 급수인구'!$C$7:$AD$997,27,FALSE)-VLOOKUP($C218,'[2]2.행정구역별 급수인구'!$C$7:$AD$997,27,FALSE)*(1-$E218),0)),VLOOKUP($C218,'[2]2.행정구역별 급수인구'!$C$7:$AD$997,27,FALSE)))</f>
        <v>0</v>
      </c>
      <c r="K218" s="302">
        <f>IF($D218="A",ROUND(VLOOKUP($C218,'[2]2.행정구역별 급수인구'!$C$7:$AD$997,28,FALSE)*$E218,0),IF($D218="B",(ROUND(VLOOKUP($C218,'[2]2.행정구역별 급수인구'!$C$7:$AD$997,28,FALSE)-VLOOKUP($C218,'[2]2.행정구역별 급수인구'!$C$7:$AD$997,28,FALSE)*(1-$E218),0)),VLOOKUP($C218,'[2]2.행정구역별 급수인구'!$C$7:$AD$997,28,FALSE)))</f>
        <v>0</v>
      </c>
      <c r="L218" s="302">
        <f>VLOOKUP($F218,'[3]5.급수원단위'!$B$31:$G$35,2,FALSE)</f>
        <v>272</v>
      </c>
      <c r="M218" s="302">
        <f>VLOOKUP($F218,'[3]5.급수원단위'!$B$31:$G$35,3,FALSE)</f>
        <v>304</v>
      </c>
      <c r="N218" s="302">
        <f>VLOOKUP($F218,'[3]5.급수원단위'!$B$31:$G$35,4,FALSE)</f>
        <v>308</v>
      </c>
      <c r="O218" s="302">
        <f>VLOOKUP($F218,'[3]5.급수원단위'!$B$31:$G$35,5,FALSE)</f>
        <v>310</v>
      </c>
      <c r="P218" s="302">
        <f>VLOOKUP($F218,'[3]5.급수원단위'!$B$31:$G$35,6,FALSE)</f>
        <v>310</v>
      </c>
      <c r="Q218" s="302">
        <f>ROUND(IF(G218=0,0,VLOOKUP(C218,'2013실사용량 정리'!$D$6:$F$381,3,FALSE)),0)</f>
        <v>0</v>
      </c>
      <c r="R218" s="302">
        <f t="shared" si="37"/>
        <v>0</v>
      </c>
      <c r="S218" s="302">
        <f t="shared" si="38"/>
        <v>0</v>
      </c>
      <c r="T218" s="302">
        <f t="shared" si="39"/>
        <v>0</v>
      </c>
      <c r="U218" s="302">
        <f t="shared" si="40"/>
        <v>0</v>
      </c>
      <c r="W218" s="343" t="str">
        <f t="shared" si="33"/>
        <v/>
      </c>
    </row>
    <row r="219" spans="1:23" ht="20.100000000000001" customHeight="1">
      <c r="A219" s="418"/>
      <c r="B219" s="340"/>
      <c r="C219" s="406" t="s">
        <v>1613</v>
      </c>
      <c r="D219" s="330" t="s">
        <v>1869</v>
      </c>
      <c r="E219" s="527">
        <f t="shared" si="41"/>
        <v>0</v>
      </c>
      <c r="F219" s="527" t="s">
        <v>756</v>
      </c>
      <c r="G219" s="302">
        <f>IF($D219="A",ROUND(VLOOKUP($C219,'[2]2.행정구역별 급수인구'!$C$7:$AD$997,17,FALSE)*$E219,0),IF($D219="B",(ROUND(VLOOKUP($C219,'[2]2.행정구역별 급수인구'!$C$7:$AD$997,17,FALSE)-VLOOKUP($C219,'[2]2.행정구역별 급수인구'!$C$7:$AD$997,17,FALSE)*(1-$E219),0)),VLOOKUP($C219,'[2]2.행정구역별 급수인구'!$C$7:$AD$997,17,FALSE)))</f>
        <v>0</v>
      </c>
      <c r="H219" s="302">
        <f>IF($D219="A",ROUND(VLOOKUP($C219,'[2]2.행정구역별 급수인구'!$C$7:$AD$997,25,FALSE)*$E219,0),IF($D219="B",(ROUND(VLOOKUP($C219,'[2]2.행정구역별 급수인구'!$C$7:$AD$997,25,FALSE)-VLOOKUP($C219,'[2]2.행정구역별 급수인구'!$C$7:$AD$997,25,FALSE)*(1-$E219),0)),VLOOKUP($C219,'[2]2.행정구역별 급수인구'!$C$7:$AD$997,25,FALSE)))</f>
        <v>0</v>
      </c>
      <c r="I219" s="302">
        <f>IF($D219="A",ROUND(VLOOKUP($C219,'[2]2.행정구역별 급수인구'!$C$7:$AD$997,26,FALSE)*$E219,0),IF($D219="B",(ROUND(VLOOKUP($C219,'[2]2.행정구역별 급수인구'!$C$7:$AD$997,26,FALSE)-VLOOKUP($C219,'[2]2.행정구역별 급수인구'!$C$7:$AD$997,26,FALSE)*(1-$E219),0)),VLOOKUP($C219,'[2]2.행정구역별 급수인구'!$C$7:$AD$997,26,FALSE)))</f>
        <v>0</v>
      </c>
      <c r="J219" s="302">
        <f>IF($D219="A",ROUND(VLOOKUP($C219,'[2]2.행정구역별 급수인구'!$C$7:$AD$997,27,FALSE)*$E219,0),IF($D219="B",(ROUND(VLOOKUP($C219,'[2]2.행정구역별 급수인구'!$C$7:$AD$997,27,FALSE)-VLOOKUP($C219,'[2]2.행정구역별 급수인구'!$C$7:$AD$997,27,FALSE)*(1-$E219),0)),VLOOKUP($C219,'[2]2.행정구역별 급수인구'!$C$7:$AD$997,27,FALSE)))</f>
        <v>0</v>
      </c>
      <c r="K219" s="302">
        <f>IF($D219="A",ROUND(VLOOKUP($C219,'[2]2.행정구역별 급수인구'!$C$7:$AD$997,28,FALSE)*$E219,0),IF($D219="B",(ROUND(VLOOKUP($C219,'[2]2.행정구역별 급수인구'!$C$7:$AD$997,28,FALSE)-VLOOKUP($C219,'[2]2.행정구역별 급수인구'!$C$7:$AD$997,28,FALSE)*(1-$E219),0)),VLOOKUP($C219,'[2]2.행정구역별 급수인구'!$C$7:$AD$997,28,FALSE)))</f>
        <v>0</v>
      </c>
      <c r="L219" s="302">
        <f>VLOOKUP($F219,'[3]5.급수원단위'!$B$31:$G$35,2,FALSE)</f>
        <v>272</v>
      </c>
      <c r="M219" s="302">
        <f>VLOOKUP($F219,'[3]5.급수원단위'!$B$31:$G$35,3,FALSE)</f>
        <v>304</v>
      </c>
      <c r="N219" s="302">
        <f>VLOOKUP($F219,'[3]5.급수원단위'!$B$31:$G$35,4,FALSE)</f>
        <v>308</v>
      </c>
      <c r="O219" s="302">
        <f>VLOOKUP($F219,'[3]5.급수원단위'!$B$31:$G$35,5,FALSE)</f>
        <v>310</v>
      </c>
      <c r="P219" s="302">
        <f>VLOOKUP($F219,'[3]5.급수원단위'!$B$31:$G$35,6,FALSE)</f>
        <v>310</v>
      </c>
      <c r="Q219" s="302">
        <f>ROUND(IF(G219=0,0,VLOOKUP(C219,'2013실사용량 정리'!$D$6:$F$381,3,FALSE)),0)</f>
        <v>0</v>
      </c>
      <c r="R219" s="302">
        <f t="shared" si="37"/>
        <v>0</v>
      </c>
      <c r="S219" s="302">
        <f t="shared" si="38"/>
        <v>0</v>
      </c>
      <c r="T219" s="302">
        <f t="shared" si="39"/>
        <v>0</v>
      </c>
      <c r="U219" s="302">
        <f t="shared" si="40"/>
        <v>0</v>
      </c>
      <c r="W219" s="343" t="str">
        <f t="shared" si="33"/>
        <v/>
      </c>
    </row>
    <row r="220" spans="1:23" ht="20.100000000000001" customHeight="1">
      <c r="A220" s="531"/>
      <c r="B220" s="386"/>
      <c r="C220" s="406" t="s">
        <v>1614</v>
      </c>
      <c r="D220" s="330" t="s">
        <v>1869</v>
      </c>
      <c r="E220" s="527">
        <f t="shared" si="41"/>
        <v>0</v>
      </c>
      <c r="F220" s="527" t="s">
        <v>756</v>
      </c>
      <c r="G220" s="302">
        <f>IF($D220="A",ROUND(VLOOKUP($C220,'[2]2.행정구역별 급수인구'!$C$7:$AD$997,17,FALSE)*$E220,0),IF($D220="B",(ROUND(VLOOKUP($C220,'[2]2.행정구역별 급수인구'!$C$7:$AD$997,17,FALSE)-VLOOKUP($C220,'[2]2.행정구역별 급수인구'!$C$7:$AD$997,17,FALSE)*(1-$E220),0)),VLOOKUP($C220,'[2]2.행정구역별 급수인구'!$C$7:$AD$997,17,FALSE)))</f>
        <v>0</v>
      </c>
      <c r="H220" s="302">
        <f>IF($D220="A",ROUND(VLOOKUP($C220,'[2]2.행정구역별 급수인구'!$C$7:$AD$997,25,FALSE)*$E220,0),IF($D220="B",(ROUND(VLOOKUP($C220,'[2]2.행정구역별 급수인구'!$C$7:$AD$997,25,FALSE)-VLOOKUP($C220,'[2]2.행정구역별 급수인구'!$C$7:$AD$997,25,FALSE)*(1-$E220),0)),VLOOKUP($C220,'[2]2.행정구역별 급수인구'!$C$7:$AD$997,25,FALSE)))</f>
        <v>0</v>
      </c>
      <c r="I220" s="302">
        <f>IF($D220="A",ROUND(VLOOKUP($C220,'[2]2.행정구역별 급수인구'!$C$7:$AD$997,26,FALSE)*$E220,0),IF($D220="B",(ROUND(VLOOKUP($C220,'[2]2.행정구역별 급수인구'!$C$7:$AD$997,26,FALSE)-VLOOKUP($C220,'[2]2.행정구역별 급수인구'!$C$7:$AD$997,26,FALSE)*(1-$E220),0)),VLOOKUP($C220,'[2]2.행정구역별 급수인구'!$C$7:$AD$997,26,FALSE)))</f>
        <v>0</v>
      </c>
      <c r="J220" s="302">
        <f>IF($D220="A",ROUND(VLOOKUP($C220,'[2]2.행정구역별 급수인구'!$C$7:$AD$997,27,FALSE)*$E220,0),IF($D220="B",(ROUND(VLOOKUP($C220,'[2]2.행정구역별 급수인구'!$C$7:$AD$997,27,FALSE)-VLOOKUP($C220,'[2]2.행정구역별 급수인구'!$C$7:$AD$997,27,FALSE)*(1-$E220),0)),VLOOKUP($C220,'[2]2.행정구역별 급수인구'!$C$7:$AD$997,27,FALSE)))</f>
        <v>0</v>
      </c>
      <c r="K220" s="302">
        <f>IF($D220="A",ROUND(VLOOKUP($C220,'[2]2.행정구역별 급수인구'!$C$7:$AD$997,28,FALSE)*$E220,0),IF($D220="B",(ROUND(VLOOKUP($C220,'[2]2.행정구역별 급수인구'!$C$7:$AD$997,28,FALSE)-VLOOKUP($C220,'[2]2.행정구역별 급수인구'!$C$7:$AD$997,28,FALSE)*(1-$E220),0)),VLOOKUP($C220,'[2]2.행정구역별 급수인구'!$C$7:$AD$997,28,FALSE)))</f>
        <v>0</v>
      </c>
      <c r="L220" s="302">
        <f>VLOOKUP($F220,'[3]5.급수원단위'!$B$31:$G$35,2,FALSE)</f>
        <v>272</v>
      </c>
      <c r="M220" s="302">
        <f>VLOOKUP($F220,'[3]5.급수원단위'!$B$31:$G$35,3,FALSE)</f>
        <v>304</v>
      </c>
      <c r="N220" s="302">
        <f>VLOOKUP($F220,'[3]5.급수원단위'!$B$31:$G$35,4,FALSE)</f>
        <v>308</v>
      </c>
      <c r="O220" s="302">
        <f>VLOOKUP($F220,'[3]5.급수원단위'!$B$31:$G$35,5,FALSE)</f>
        <v>310</v>
      </c>
      <c r="P220" s="302">
        <f>VLOOKUP($F220,'[3]5.급수원단위'!$B$31:$G$35,6,FALSE)</f>
        <v>310</v>
      </c>
      <c r="Q220" s="302">
        <f>ROUND(IF(G220=0,0,VLOOKUP(C220,'2013실사용량 정리'!$D$6:$F$381,3,FALSE)),0)</f>
        <v>0</v>
      </c>
      <c r="R220" s="302">
        <f t="shared" si="37"/>
        <v>0</v>
      </c>
      <c r="S220" s="302">
        <f t="shared" si="38"/>
        <v>0</v>
      </c>
      <c r="T220" s="302">
        <f t="shared" si="39"/>
        <v>0</v>
      </c>
      <c r="U220" s="302">
        <f t="shared" si="40"/>
        <v>0</v>
      </c>
      <c r="W220" s="343" t="str">
        <f t="shared" si="33"/>
        <v/>
      </c>
    </row>
    <row r="221" spans="1:23" ht="20.100000000000001" customHeight="1">
      <c r="A221" s="405"/>
      <c r="B221" s="405"/>
      <c r="C221" s="405"/>
      <c r="D221" s="405"/>
      <c r="E221" s="405"/>
      <c r="F221" s="405"/>
      <c r="G221" s="405"/>
      <c r="H221" s="405"/>
      <c r="I221" s="405"/>
      <c r="J221" s="405"/>
      <c r="K221" s="405"/>
      <c r="L221" s="405"/>
      <c r="M221" s="405"/>
      <c r="N221" s="405"/>
      <c r="O221" s="405"/>
      <c r="P221" s="405"/>
      <c r="Q221" s="405"/>
      <c r="R221" s="405"/>
      <c r="S221" s="405"/>
      <c r="T221" s="405"/>
      <c r="U221" s="405"/>
    </row>
  </sheetData>
  <autoFilter ref="A4:AS220">
    <filterColumn colId="0" showButton="0"/>
    <filterColumn colId="1" showButton="0"/>
    <filterColumn colId="2" showButton="0"/>
    <filterColumn colId="4"/>
    <filterColumn colId="6"/>
  </autoFilter>
  <mergeCells count="19">
    <mergeCell ref="B177:D177"/>
    <mergeCell ref="A3:D4"/>
    <mergeCell ref="E3:E4"/>
    <mergeCell ref="F3:F4"/>
    <mergeCell ref="G3:K3"/>
    <mergeCell ref="A5:D5"/>
    <mergeCell ref="A6:D6"/>
    <mergeCell ref="B7:D7"/>
    <mergeCell ref="B153:D153"/>
    <mergeCell ref="B48:D48"/>
    <mergeCell ref="A103:D103"/>
    <mergeCell ref="B104:D104"/>
    <mergeCell ref="B148:D148"/>
    <mergeCell ref="W2:Y2"/>
    <mergeCell ref="A152:D152"/>
    <mergeCell ref="L3:P3"/>
    <mergeCell ref="Q3:U3"/>
    <mergeCell ref="B76:D76"/>
    <mergeCell ref="A75:D75"/>
  </mergeCells>
  <phoneticPr fontId="3" type="noConversion"/>
  <printOptions horizontalCentered="1"/>
  <pageMargins left="0.62992125984251968" right="0.62992125984251968" top="0.62992125984251968" bottom="0.62992125984251968" header="0.31496062992125984" footer="0.31496062992125984"/>
  <pageSetup paperSize="9" scale="95"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FFC000"/>
  </sheetPr>
  <dimension ref="A1:Z64"/>
  <sheetViews>
    <sheetView view="pageBreakPreview" zoomScale="60" zoomScaleNormal="100" workbookViewId="0">
      <selection activeCell="Y17" sqref="Y17"/>
    </sheetView>
  </sheetViews>
  <sheetFormatPr defaultColWidth="7.6640625" defaultRowHeight="20.100000000000001" customHeight="1" outlineLevelCol="1"/>
  <cols>
    <col min="1" max="2" width="1.77734375" style="327" customWidth="1"/>
    <col min="3" max="3" width="6.33203125" style="327" customWidth="1"/>
    <col min="4" max="4" width="2.33203125" style="327" customWidth="1"/>
    <col min="5" max="6" width="6.77734375" style="327" hidden="1" customWidth="1" outlineLevel="1"/>
    <col min="7" max="7" width="6.33203125" style="327" hidden="1" customWidth="1" outlineLevel="1"/>
    <col min="8" max="8" width="6.33203125" style="327" customWidth="1" collapsed="1"/>
    <col min="9" max="11" width="6.33203125" style="327" customWidth="1"/>
    <col min="12" max="12" width="4.33203125" style="327" hidden="1" customWidth="1" outlineLevel="1"/>
    <col min="13" max="13" width="4.33203125" style="327" customWidth="1" collapsed="1"/>
    <col min="14" max="16" width="4.33203125" style="327" customWidth="1"/>
    <col min="17" max="17" width="6.33203125" style="327" hidden="1" customWidth="1" outlineLevel="1"/>
    <col min="18" max="18" width="6.33203125" style="327" customWidth="1" collapsed="1"/>
    <col min="19" max="21" width="6.33203125" style="327" customWidth="1"/>
    <col min="22" max="22" width="8" style="327" bestFit="1" customWidth="1"/>
    <col min="23" max="16384" width="7.6640625" style="327"/>
  </cols>
  <sheetData>
    <row r="1" spans="1:26" s="204" customFormat="1" ht="20.100000000000001" customHeight="1">
      <c r="A1" s="204" t="s">
        <v>804</v>
      </c>
    </row>
    <row r="2" spans="1:26" s="208" customFormat="1" ht="19.5" customHeight="1">
      <c r="A2" s="207" t="s">
        <v>1465</v>
      </c>
      <c r="G2" s="209"/>
      <c r="H2" s="209"/>
      <c r="J2" s="209"/>
      <c r="K2" s="209"/>
      <c r="L2" s="209"/>
      <c r="V2" s="334"/>
      <c r="W2" s="692" t="s">
        <v>1919</v>
      </c>
      <c r="X2" s="692"/>
      <c r="Y2" s="692"/>
      <c r="Z2" s="440" t="s">
        <v>2405</v>
      </c>
    </row>
    <row r="3" spans="1:26" ht="20.100000000000001" customHeight="1">
      <c r="A3" s="707" t="s">
        <v>1246</v>
      </c>
      <c r="B3" s="708"/>
      <c r="C3" s="708"/>
      <c r="D3" s="709"/>
      <c r="E3" s="696" t="s">
        <v>1290</v>
      </c>
      <c r="F3" s="696" t="s">
        <v>1280</v>
      </c>
      <c r="G3" s="693" t="s">
        <v>1281</v>
      </c>
      <c r="H3" s="693"/>
      <c r="I3" s="693"/>
      <c r="J3" s="693"/>
      <c r="K3" s="693"/>
      <c r="L3" s="693" t="s">
        <v>1282</v>
      </c>
      <c r="M3" s="693"/>
      <c r="N3" s="693"/>
      <c r="O3" s="693"/>
      <c r="P3" s="693"/>
      <c r="Q3" s="693" t="s">
        <v>1283</v>
      </c>
      <c r="R3" s="693"/>
      <c r="S3" s="693"/>
      <c r="T3" s="693"/>
      <c r="U3" s="693"/>
      <c r="W3" s="434">
        <v>1316</v>
      </c>
      <c r="X3" s="439">
        <v>968</v>
      </c>
      <c r="Y3" s="440">
        <f>X3/W3</f>
        <v>0.73556231003039518</v>
      </c>
      <c r="Z3" s="440">
        <f>ROUND(AVERAGE(W6:W63),2)</f>
        <v>2.1800000000000002</v>
      </c>
    </row>
    <row r="4" spans="1:26" ht="20.100000000000001" customHeight="1">
      <c r="A4" s="710"/>
      <c r="B4" s="711"/>
      <c r="C4" s="711"/>
      <c r="D4" s="712"/>
      <c r="E4" s="693"/>
      <c r="F4" s="693"/>
      <c r="G4" s="527">
        <v>2013</v>
      </c>
      <c r="H4" s="527">
        <v>2015</v>
      </c>
      <c r="I4" s="527">
        <v>2020</v>
      </c>
      <c r="J4" s="527">
        <v>2025</v>
      </c>
      <c r="K4" s="527">
        <v>2030</v>
      </c>
      <c r="L4" s="527">
        <v>2013</v>
      </c>
      <c r="M4" s="527">
        <v>2015</v>
      </c>
      <c r="N4" s="527">
        <v>2020</v>
      </c>
      <c r="O4" s="527">
        <v>2025</v>
      </c>
      <c r="P4" s="527">
        <v>2030</v>
      </c>
      <c r="Q4" s="527">
        <v>2013</v>
      </c>
      <c r="R4" s="527">
        <v>2015</v>
      </c>
      <c r="S4" s="527">
        <v>2020</v>
      </c>
      <c r="T4" s="527">
        <v>2025</v>
      </c>
      <c r="U4" s="527">
        <v>2030</v>
      </c>
    </row>
    <row r="5" spans="1:26" ht="20.100000000000001" customHeight="1">
      <c r="A5" s="704" t="s">
        <v>1466</v>
      </c>
      <c r="B5" s="705"/>
      <c r="C5" s="705"/>
      <c r="D5" s="706"/>
      <c r="E5" s="407"/>
      <c r="F5" s="407"/>
      <c r="G5" s="408">
        <f>G6+G32+G60</f>
        <v>3091</v>
      </c>
      <c r="H5" s="408">
        <f>H6+H32+H60</f>
        <v>3584</v>
      </c>
      <c r="I5" s="408">
        <f>I6+I32+I60</f>
        <v>3738</v>
      </c>
      <c r="J5" s="408">
        <f>J6+J32+J60</f>
        <v>3893</v>
      </c>
      <c r="K5" s="408">
        <f>K6+K32+K60</f>
        <v>3965</v>
      </c>
      <c r="L5" s="408"/>
      <c r="M5" s="408"/>
      <c r="N5" s="408"/>
      <c r="O5" s="408"/>
      <c r="P5" s="408"/>
      <c r="Q5" s="408">
        <f>Q6+Q32+Q60</f>
        <v>743</v>
      </c>
      <c r="R5" s="408">
        <f>R6+R32+R60</f>
        <v>1119</v>
      </c>
      <c r="S5" s="408">
        <f>S6+S32+S60</f>
        <v>1193</v>
      </c>
      <c r="T5" s="408">
        <f>T6+T32+T60</f>
        <v>1258</v>
      </c>
      <c r="U5" s="408">
        <f>U6+U32+U60</f>
        <v>1285</v>
      </c>
      <c r="V5" s="341"/>
      <c r="W5" s="335"/>
    </row>
    <row r="6" spans="1:26" ht="20.100000000000001" customHeight="1">
      <c r="A6" s="339"/>
      <c r="B6" s="694" t="s">
        <v>711</v>
      </c>
      <c r="C6" s="694"/>
      <c r="D6" s="694"/>
      <c r="E6" s="331"/>
      <c r="F6" s="331"/>
      <c r="G6" s="336">
        <f>SUM(G7:G31)</f>
        <v>1787</v>
      </c>
      <c r="H6" s="336">
        <f t="shared" ref="H6:K6" si="0">SUM(H7:H31)</f>
        <v>2177</v>
      </c>
      <c r="I6" s="336">
        <f t="shared" si="0"/>
        <v>2271</v>
      </c>
      <c r="J6" s="336">
        <f t="shared" si="0"/>
        <v>2328</v>
      </c>
      <c r="K6" s="336">
        <f t="shared" si="0"/>
        <v>2370</v>
      </c>
      <c r="L6" s="336"/>
      <c r="M6" s="336"/>
      <c r="N6" s="336"/>
      <c r="O6" s="336"/>
      <c r="P6" s="336"/>
      <c r="Q6" s="336">
        <f t="shared" ref="Q6:U6" si="1">SUM(Q7:Q31)</f>
        <v>462</v>
      </c>
      <c r="R6" s="336">
        <f t="shared" si="1"/>
        <v>661</v>
      </c>
      <c r="S6" s="336">
        <f t="shared" si="1"/>
        <v>701</v>
      </c>
      <c r="T6" s="336">
        <f t="shared" si="1"/>
        <v>722</v>
      </c>
      <c r="U6" s="336">
        <f t="shared" si="1"/>
        <v>735</v>
      </c>
      <c r="V6" s="343">
        <f>VLOOKUP(B6,'2013년도 용수량 비율'!$A$5:$F$20,6,FALSE)</f>
        <v>0.47</v>
      </c>
    </row>
    <row r="7" spans="1:26" ht="20.100000000000001" customHeight="1">
      <c r="A7" s="419"/>
      <c r="B7" s="339"/>
      <c r="C7" s="406" t="s">
        <v>1467</v>
      </c>
      <c r="D7" s="330" t="s">
        <v>1299</v>
      </c>
      <c r="E7" s="527">
        <v>1</v>
      </c>
      <c r="F7" s="527" t="s">
        <v>756</v>
      </c>
      <c r="G7" s="302">
        <f>IF($D7="A",ROUND(VLOOKUP($C7,'[2]2.행정구역별 급수인구'!$C$7:$AD$997,17,FALSE)*$E7,0),IF($D7="B",(ROUND(VLOOKUP($C7,'[2]2.행정구역별 급수인구'!$C$7:$AD$997,17,FALSE)-VLOOKUP($C7,'[2]2.행정구역별 급수인구'!$C$7:$AD$997,17,FALSE)*(1-$E7),0)),VLOOKUP($C7,'[2]2.행정구역별 급수인구'!$C$7:$AD$997,17,FALSE)))</f>
        <v>178</v>
      </c>
      <c r="H7" s="302">
        <f>IF($D7="A",ROUND(VLOOKUP($C7,'[2]2.행정구역별 급수인구'!$C$7:$AD$997,25,FALSE)*$E7,0),IF($D7="B",(ROUND(VLOOKUP($C7,'[2]2.행정구역별 급수인구'!$C$7:$AD$997,25,FALSE)-VLOOKUP($C7,'[2]2.행정구역별 급수인구'!$C$7:$AD$997,25,FALSE)*(1-$E7),0)),VLOOKUP($C7,'[2]2.행정구역별 급수인구'!$C$7:$AD$997,25,FALSE)))</f>
        <v>211</v>
      </c>
      <c r="I7" s="302">
        <f>IF($D7="A",ROUND(VLOOKUP($C7,'[2]2.행정구역별 급수인구'!$C$7:$AD$997,26,FALSE)*$E7,0),IF($D7="B",(ROUND(VLOOKUP($C7,'[2]2.행정구역별 급수인구'!$C$7:$AD$997,26,FALSE)-VLOOKUP($C7,'[2]2.행정구역별 급수인구'!$C$7:$AD$997,26,FALSE)*(1-$E7),0)),VLOOKUP($C7,'[2]2.행정구역별 급수인구'!$C$7:$AD$997,26,FALSE)))</f>
        <v>219</v>
      </c>
      <c r="J7" s="302">
        <f>IF($D7="A",ROUND(VLOOKUP($C7,'[2]2.행정구역별 급수인구'!$C$7:$AD$997,27,FALSE)*$E7,0),IF($D7="B",(ROUND(VLOOKUP($C7,'[2]2.행정구역별 급수인구'!$C$7:$AD$997,27,FALSE)-VLOOKUP($C7,'[2]2.행정구역별 급수인구'!$C$7:$AD$997,27,FALSE)*(1-$E7),0)),VLOOKUP($C7,'[2]2.행정구역별 급수인구'!$C$7:$AD$997,27,FALSE)))</f>
        <v>224</v>
      </c>
      <c r="K7" s="302">
        <f>IF($D7="A",ROUND(VLOOKUP($C7,'[2]2.행정구역별 급수인구'!$C$7:$AD$997,28,FALSE)*$E7,0),IF($D7="B",(ROUND(VLOOKUP($C7,'[2]2.행정구역별 급수인구'!$C$7:$AD$997,28,FALSE)-VLOOKUP($C7,'[2]2.행정구역별 급수인구'!$C$7:$AD$997,28,FALSE)*(1-$E7),0)),VLOOKUP($C7,'[2]2.행정구역별 급수인구'!$C$7:$AD$997,28,FALSE)))</f>
        <v>229</v>
      </c>
      <c r="L7" s="302">
        <f>VLOOKUP($F7,'[3]5.급수원단위'!$B$31:$G$35,2,FALSE)</f>
        <v>272</v>
      </c>
      <c r="M7" s="302">
        <f>VLOOKUP($F7,'[3]5.급수원단위'!$B$31:$G$35,3,FALSE)</f>
        <v>304</v>
      </c>
      <c r="N7" s="302">
        <f>VLOOKUP($F7,'[3]5.급수원단위'!$B$31:$G$35,4,FALSE)</f>
        <v>308</v>
      </c>
      <c r="O7" s="302">
        <f>VLOOKUP($F7,'[3]5.급수원단위'!$B$31:$G$35,5,FALSE)</f>
        <v>310</v>
      </c>
      <c r="P7" s="302">
        <f>VLOOKUP($F7,'[3]5.급수원단위'!$B$31:$G$35,6,FALSE)</f>
        <v>310</v>
      </c>
      <c r="Q7" s="302">
        <f>ROUND(IF(G7=0,0,VLOOKUP(C7,'2013실사용량 정리'!$D$6:$F$381,3,FALSE)),0)</f>
        <v>64</v>
      </c>
      <c r="R7" s="302">
        <f>ROUND(H7*M7/1000,0)</f>
        <v>64</v>
      </c>
      <c r="S7" s="302">
        <f>ROUND(I7*N7/1000,0)</f>
        <v>67</v>
      </c>
      <c r="T7" s="302">
        <f>ROUND(J7*O7/1000,0)</f>
        <v>69</v>
      </c>
      <c r="U7" s="302">
        <f>ROUND(K7*P7/1000,0)</f>
        <v>71</v>
      </c>
      <c r="W7" s="343">
        <f t="shared" ref="W7:W63" si="2">IF(ISERROR(U7/Q7),"",U7/Q7)</f>
        <v>1.109375</v>
      </c>
    </row>
    <row r="8" spans="1:26" ht="20.100000000000001" customHeight="1">
      <c r="A8" s="419"/>
      <c r="B8" s="340"/>
      <c r="C8" s="406" t="s">
        <v>1468</v>
      </c>
      <c r="D8" s="330" t="s">
        <v>1299</v>
      </c>
      <c r="E8" s="527">
        <v>1</v>
      </c>
      <c r="F8" s="527" t="s">
        <v>756</v>
      </c>
      <c r="G8" s="302">
        <f>IF($D8="A",ROUND(VLOOKUP($C8,'[2]2.행정구역별 급수인구'!$C$7:$AD$997,17,FALSE)*$E8,0),IF($D8="B",(ROUND(VLOOKUP($C8,'[2]2.행정구역별 급수인구'!$C$7:$AD$997,17,FALSE)-VLOOKUP($C8,'[2]2.행정구역별 급수인구'!$C$7:$AD$997,17,FALSE)*(1-$E8),0)),VLOOKUP($C8,'[2]2.행정구역별 급수인구'!$C$7:$AD$997,17,FALSE)))</f>
        <v>169</v>
      </c>
      <c r="H8" s="302">
        <f>IF($D8="A",ROUND(VLOOKUP($C8,'[2]2.행정구역별 급수인구'!$C$7:$AD$997,25,FALSE)*$E8,0),IF($D8="B",(ROUND(VLOOKUP($C8,'[2]2.행정구역별 급수인구'!$C$7:$AD$997,25,FALSE)-VLOOKUP($C8,'[2]2.행정구역별 급수인구'!$C$7:$AD$997,25,FALSE)*(1-$E8),0)),VLOOKUP($C8,'[2]2.행정구역별 급수인구'!$C$7:$AD$997,25,FALSE)))</f>
        <v>200</v>
      </c>
      <c r="I8" s="302">
        <f>IF($D8="A",ROUND(VLOOKUP($C8,'[2]2.행정구역별 급수인구'!$C$7:$AD$997,26,FALSE)*$E8,0),IF($D8="B",(ROUND(VLOOKUP($C8,'[2]2.행정구역별 급수인구'!$C$7:$AD$997,26,FALSE)-VLOOKUP($C8,'[2]2.행정구역별 급수인구'!$C$7:$AD$997,26,FALSE)*(1-$E8),0)),VLOOKUP($C8,'[2]2.행정구역별 급수인구'!$C$7:$AD$997,26,FALSE)))</f>
        <v>208</v>
      </c>
      <c r="J8" s="302">
        <f>IF($D8="A",ROUND(VLOOKUP($C8,'[2]2.행정구역별 급수인구'!$C$7:$AD$997,27,FALSE)*$E8,0),IF($D8="B",(ROUND(VLOOKUP($C8,'[2]2.행정구역별 급수인구'!$C$7:$AD$997,27,FALSE)-VLOOKUP($C8,'[2]2.행정구역별 급수인구'!$C$7:$AD$997,27,FALSE)*(1-$E8),0)),VLOOKUP($C8,'[2]2.행정구역별 급수인구'!$C$7:$AD$997,27,FALSE)))</f>
        <v>214</v>
      </c>
      <c r="K8" s="302">
        <f>IF($D8="A",ROUND(VLOOKUP($C8,'[2]2.행정구역별 급수인구'!$C$7:$AD$997,28,FALSE)*$E8,0),IF($D8="B",(ROUND(VLOOKUP($C8,'[2]2.행정구역별 급수인구'!$C$7:$AD$997,28,FALSE)-VLOOKUP($C8,'[2]2.행정구역별 급수인구'!$C$7:$AD$997,28,FALSE)*(1-$E8),0)),VLOOKUP($C8,'[2]2.행정구역별 급수인구'!$C$7:$AD$997,28,FALSE)))</f>
        <v>218</v>
      </c>
      <c r="L8" s="302">
        <f>VLOOKUP($F8,'[3]5.급수원단위'!$B$31:$G$35,2,FALSE)</f>
        <v>272</v>
      </c>
      <c r="M8" s="302">
        <f>VLOOKUP($F8,'[3]5.급수원단위'!$B$31:$G$35,3,FALSE)</f>
        <v>304</v>
      </c>
      <c r="N8" s="302">
        <f>VLOOKUP($F8,'[3]5.급수원단위'!$B$31:$G$35,4,FALSE)</f>
        <v>308</v>
      </c>
      <c r="O8" s="302">
        <f>VLOOKUP($F8,'[3]5.급수원단위'!$B$31:$G$35,5,FALSE)</f>
        <v>310</v>
      </c>
      <c r="P8" s="302">
        <f>VLOOKUP($F8,'[3]5.급수원단위'!$B$31:$G$35,6,FALSE)</f>
        <v>310</v>
      </c>
      <c r="Q8" s="302">
        <f>ROUND(IF(G8=0,0,VLOOKUP(C8,'2013실사용량 정리'!$D$6:$F$381,3,FALSE)),0)</f>
        <v>61</v>
      </c>
      <c r="R8" s="302">
        <f t="shared" ref="R8:U23" si="3">ROUND(H8*M8/1000,0)</f>
        <v>61</v>
      </c>
      <c r="S8" s="302">
        <f t="shared" si="3"/>
        <v>64</v>
      </c>
      <c r="T8" s="302">
        <f t="shared" si="3"/>
        <v>66</v>
      </c>
      <c r="U8" s="302">
        <f t="shared" si="3"/>
        <v>68</v>
      </c>
      <c r="W8" s="343">
        <f t="shared" si="2"/>
        <v>1.1147540983606556</v>
      </c>
    </row>
    <row r="9" spans="1:26" ht="20.100000000000001" customHeight="1">
      <c r="A9" s="419"/>
      <c r="B9" s="340"/>
      <c r="C9" s="406" t="s">
        <v>1469</v>
      </c>
      <c r="D9" s="330" t="s">
        <v>1299</v>
      </c>
      <c r="E9" s="527">
        <v>1</v>
      </c>
      <c r="F9" s="527" t="s">
        <v>756</v>
      </c>
      <c r="G9" s="302">
        <f>IF($D9="A",ROUND(VLOOKUP($C9,'[2]2.행정구역별 급수인구'!$C$7:$AD$997,17,FALSE)*$E9,0),IF($D9="B",(ROUND(VLOOKUP($C9,'[2]2.행정구역별 급수인구'!$C$7:$AD$997,17,FALSE)-VLOOKUP($C9,'[2]2.행정구역별 급수인구'!$C$7:$AD$997,17,FALSE)*(1-$E9),0)),VLOOKUP($C9,'[2]2.행정구역별 급수인구'!$C$7:$AD$997,17,FALSE)))</f>
        <v>97</v>
      </c>
      <c r="H9" s="302">
        <f>IF($D9="A",ROUND(VLOOKUP($C9,'[2]2.행정구역별 급수인구'!$C$7:$AD$997,25,FALSE)*$E9,0),IF($D9="B",(ROUND(VLOOKUP($C9,'[2]2.행정구역별 급수인구'!$C$7:$AD$997,25,FALSE)-VLOOKUP($C9,'[2]2.행정구역별 급수인구'!$C$7:$AD$997,25,FALSE)*(1-$E9),0)),VLOOKUP($C9,'[2]2.행정구역별 급수인구'!$C$7:$AD$997,25,FALSE)))</f>
        <v>115</v>
      </c>
      <c r="I9" s="302">
        <f>IF($D9="A",ROUND(VLOOKUP($C9,'[2]2.행정구역별 급수인구'!$C$7:$AD$997,26,FALSE)*$E9,0),IF($D9="B",(ROUND(VLOOKUP($C9,'[2]2.행정구역별 급수인구'!$C$7:$AD$997,26,FALSE)-VLOOKUP($C9,'[2]2.행정구역별 급수인구'!$C$7:$AD$997,26,FALSE)*(1-$E9),0)),VLOOKUP($C9,'[2]2.행정구역별 급수인구'!$C$7:$AD$997,26,FALSE)))</f>
        <v>120</v>
      </c>
      <c r="J9" s="302">
        <f>IF($D9="A",ROUND(VLOOKUP($C9,'[2]2.행정구역별 급수인구'!$C$7:$AD$997,27,FALSE)*$E9,0),IF($D9="B",(ROUND(VLOOKUP($C9,'[2]2.행정구역별 급수인구'!$C$7:$AD$997,27,FALSE)-VLOOKUP($C9,'[2]2.행정구역별 급수인구'!$C$7:$AD$997,27,FALSE)*(1-$E9),0)),VLOOKUP($C9,'[2]2.행정구역별 급수인구'!$C$7:$AD$997,27,FALSE)))</f>
        <v>123</v>
      </c>
      <c r="K9" s="302">
        <f>IF($D9="A",ROUND(VLOOKUP($C9,'[2]2.행정구역별 급수인구'!$C$7:$AD$997,28,FALSE)*$E9,0),IF($D9="B",(ROUND(VLOOKUP($C9,'[2]2.행정구역별 급수인구'!$C$7:$AD$997,28,FALSE)-VLOOKUP($C9,'[2]2.행정구역별 급수인구'!$C$7:$AD$997,28,FALSE)*(1-$E9),0)),VLOOKUP($C9,'[2]2.행정구역별 급수인구'!$C$7:$AD$997,28,FALSE)))</f>
        <v>125</v>
      </c>
      <c r="L9" s="302">
        <f>VLOOKUP($F9,'[3]5.급수원단위'!$B$31:$G$35,2,FALSE)</f>
        <v>272</v>
      </c>
      <c r="M9" s="302">
        <f>VLOOKUP($F9,'[3]5.급수원단위'!$B$31:$G$35,3,FALSE)</f>
        <v>304</v>
      </c>
      <c r="N9" s="302">
        <f>VLOOKUP($F9,'[3]5.급수원단위'!$B$31:$G$35,4,FALSE)</f>
        <v>308</v>
      </c>
      <c r="O9" s="302">
        <f>VLOOKUP($F9,'[3]5.급수원단위'!$B$31:$G$35,5,FALSE)</f>
        <v>310</v>
      </c>
      <c r="P9" s="302">
        <f>VLOOKUP($F9,'[3]5.급수원단위'!$B$31:$G$35,6,FALSE)</f>
        <v>310</v>
      </c>
      <c r="Q9" s="302">
        <f>ROUND(IF(G9=0,0,VLOOKUP(C9,'2013실사용량 정리'!$D$6:$F$381,3,FALSE)),0)</f>
        <v>35</v>
      </c>
      <c r="R9" s="302">
        <f t="shared" si="3"/>
        <v>35</v>
      </c>
      <c r="S9" s="302">
        <f t="shared" si="3"/>
        <v>37</v>
      </c>
      <c r="T9" s="302">
        <f t="shared" si="3"/>
        <v>38</v>
      </c>
      <c r="U9" s="302">
        <f t="shared" si="3"/>
        <v>39</v>
      </c>
      <c r="W9" s="343">
        <f t="shared" si="2"/>
        <v>1.1142857142857143</v>
      </c>
    </row>
    <row r="10" spans="1:26" ht="20.100000000000001" customHeight="1">
      <c r="A10" s="419"/>
      <c r="B10" s="340"/>
      <c r="C10" s="406" t="s">
        <v>1470</v>
      </c>
      <c r="D10" s="330" t="s">
        <v>1299</v>
      </c>
      <c r="E10" s="527">
        <v>1</v>
      </c>
      <c r="F10" s="527" t="s">
        <v>756</v>
      </c>
      <c r="G10" s="302">
        <f>IF($D10="A",ROUND(VLOOKUP($C10,'[2]2.행정구역별 급수인구'!$C$7:$AD$997,17,FALSE)*$E10,0),IF($D10="B",(ROUND(VLOOKUP($C10,'[2]2.행정구역별 급수인구'!$C$7:$AD$997,17,FALSE)-VLOOKUP($C10,'[2]2.행정구역별 급수인구'!$C$7:$AD$997,17,FALSE)*(1-$E10),0)),VLOOKUP($C10,'[2]2.행정구역별 급수인구'!$C$7:$AD$997,17,FALSE)))</f>
        <v>112</v>
      </c>
      <c r="H10" s="302">
        <f>IF($D10="A",ROUND(VLOOKUP($C10,'[2]2.행정구역별 급수인구'!$C$7:$AD$997,25,FALSE)*$E10,0),IF($D10="B",(ROUND(VLOOKUP($C10,'[2]2.행정구역별 급수인구'!$C$7:$AD$997,25,FALSE)-VLOOKUP($C10,'[2]2.행정구역별 급수인구'!$C$7:$AD$997,25,FALSE)*(1-$E10),0)),VLOOKUP($C10,'[2]2.행정구역별 급수인구'!$C$7:$AD$997,25,FALSE)))</f>
        <v>132</v>
      </c>
      <c r="I10" s="302">
        <f>IF($D10="A",ROUND(VLOOKUP($C10,'[2]2.행정구역별 급수인구'!$C$7:$AD$997,26,FALSE)*$E10,0),IF($D10="B",(ROUND(VLOOKUP($C10,'[2]2.행정구역별 급수인구'!$C$7:$AD$997,26,FALSE)-VLOOKUP($C10,'[2]2.행정구역별 급수인구'!$C$7:$AD$997,26,FALSE)*(1-$E10),0)),VLOOKUP($C10,'[2]2.행정구역별 급수인구'!$C$7:$AD$997,26,FALSE)))</f>
        <v>138</v>
      </c>
      <c r="J10" s="302">
        <f>IF($D10="A",ROUND(VLOOKUP($C10,'[2]2.행정구역별 급수인구'!$C$7:$AD$997,27,FALSE)*$E10,0),IF($D10="B",(ROUND(VLOOKUP($C10,'[2]2.행정구역별 급수인구'!$C$7:$AD$997,27,FALSE)-VLOOKUP($C10,'[2]2.행정구역별 급수인구'!$C$7:$AD$997,27,FALSE)*(1-$E10),0)),VLOOKUP($C10,'[2]2.행정구역별 급수인구'!$C$7:$AD$997,27,FALSE)))</f>
        <v>141</v>
      </c>
      <c r="K10" s="302">
        <f>IF($D10="A",ROUND(VLOOKUP($C10,'[2]2.행정구역별 급수인구'!$C$7:$AD$997,28,FALSE)*$E10,0),IF($D10="B",(ROUND(VLOOKUP($C10,'[2]2.행정구역별 급수인구'!$C$7:$AD$997,28,FALSE)-VLOOKUP($C10,'[2]2.행정구역별 급수인구'!$C$7:$AD$997,28,FALSE)*(1-$E10),0)),VLOOKUP($C10,'[2]2.행정구역별 급수인구'!$C$7:$AD$997,28,FALSE)))</f>
        <v>143</v>
      </c>
      <c r="L10" s="302">
        <f>VLOOKUP($F10,'[3]5.급수원단위'!$B$31:$G$35,2,FALSE)</f>
        <v>272</v>
      </c>
      <c r="M10" s="302">
        <f>VLOOKUP($F10,'[3]5.급수원단위'!$B$31:$G$35,3,FALSE)</f>
        <v>304</v>
      </c>
      <c r="N10" s="302">
        <f>VLOOKUP($F10,'[3]5.급수원단위'!$B$31:$G$35,4,FALSE)</f>
        <v>308</v>
      </c>
      <c r="O10" s="302">
        <f>VLOOKUP($F10,'[3]5.급수원단위'!$B$31:$G$35,5,FALSE)</f>
        <v>310</v>
      </c>
      <c r="P10" s="302">
        <f>VLOOKUP($F10,'[3]5.급수원단위'!$B$31:$G$35,6,FALSE)</f>
        <v>310</v>
      </c>
      <c r="Q10" s="302">
        <f>ROUND(IF(G10=0,0,VLOOKUP(C10,'2013실사용량 정리'!$D$6:$F$381,3,FALSE)),0)</f>
        <v>26</v>
      </c>
      <c r="R10" s="302">
        <f t="shared" si="3"/>
        <v>40</v>
      </c>
      <c r="S10" s="302">
        <f t="shared" si="3"/>
        <v>43</v>
      </c>
      <c r="T10" s="302">
        <f t="shared" si="3"/>
        <v>44</v>
      </c>
      <c r="U10" s="302">
        <f t="shared" si="3"/>
        <v>44</v>
      </c>
      <c r="W10" s="343">
        <f t="shared" si="2"/>
        <v>1.6923076923076923</v>
      </c>
    </row>
    <row r="11" spans="1:26" ht="20.100000000000001" customHeight="1">
      <c r="A11" s="419"/>
      <c r="B11" s="340"/>
      <c r="C11" s="406" t="s">
        <v>1471</v>
      </c>
      <c r="D11" s="330" t="s">
        <v>1299</v>
      </c>
      <c r="E11" s="527">
        <v>1</v>
      </c>
      <c r="F11" s="527" t="s">
        <v>756</v>
      </c>
      <c r="G11" s="302">
        <f>IF($D11="A",ROUND(VLOOKUP($C11,'[2]2.행정구역별 급수인구'!$C$7:$AD$997,17,FALSE)*$E11,0),IF($D11="B",(ROUND(VLOOKUP($C11,'[2]2.행정구역별 급수인구'!$C$7:$AD$997,17,FALSE)-VLOOKUP($C11,'[2]2.행정구역별 급수인구'!$C$7:$AD$997,17,FALSE)*(1-$E11),0)),VLOOKUP($C11,'[2]2.행정구역별 급수인구'!$C$7:$AD$997,17,FALSE)))</f>
        <v>109</v>
      </c>
      <c r="H11" s="302">
        <f>IF($D11="A",ROUND(VLOOKUP($C11,'[2]2.행정구역별 급수인구'!$C$7:$AD$997,25,FALSE)*$E11,0),IF($D11="B",(ROUND(VLOOKUP($C11,'[2]2.행정구역별 급수인구'!$C$7:$AD$997,25,FALSE)-VLOOKUP($C11,'[2]2.행정구역별 급수인구'!$C$7:$AD$997,25,FALSE)*(1-$E11),0)),VLOOKUP($C11,'[2]2.행정구역별 급수인구'!$C$7:$AD$997,25,FALSE)))</f>
        <v>129</v>
      </c>
      <c r="I11" s="302">
        <f>IF($D11="A",ROUND(VLOOKUP($C11,'[2]2.행정구역별 급수인구'!$C$7:$AD$997,26,FALSE)*$E11,0),IF($D11="B",(ROUND(VLOOKUP($C11,'[2]2.행정구역별 급수인구'!$C$7:$AD$997,26,FALSE)-VLOOKUP($C11,'[2]2.행정구역별 급수인구'!$C$7:$AD$997,26,FALSE)*(1-$E11),0)),VLOOKUP($C11,'[2]2.행정구역별 급수인구'!$C$7:$AD$997,26,FALSE)))</f>
        <v>135</v>
      </c>
      <c r="J11" s="302">
        <f>IF($D11="A",ROUND(VLOOKUP($C11,'[2]2.행정구역별 급수인구'!$C$7:$AD$997,27,FALSE)*$E11,0),IF($D11="B",(ROUND(VLOOKUP($C11,'[2]2.행정구역별 급수인구'!$C$7:$AD$997,27,FALSE)-VLOOKUP($C11,'[2]2.행정구역별 급수인구'!$C$7:$AD$997,27,FALSE)*(1-$E11),0)),VLOOKUP($C11,'[2]2.행정구역별 급수인구'!$C$7:$AD$997,27,FALSE)))</f>
        <v>138</v>
      </c>
      <c r="K11" s="302">
        <f>IF($D11="A",ROUND(VLOOKUP($C11,'[2]2.행정구역별 급수인구'!$C$7:$AD$997,28,FALSE)*$E11,0),IF($D11="B",(ROUND(VLOOKUP($C11,'[2]2.행정구역별 급수인구'!$C$7:$AD$997,28,FALSE)-VLOOKUP($C11,'[2]2.행정구역별 급수인구'!$C$7:$AD$997,28,FALSE)*(1-$E11),0)),VLOOKUP($C11,'[2]2.행정구역별 급수인구'!$C$7:$AD$997,28,FALSE)))</f>
        <v>141</v>
      </c>
      <c r="L11" s="302">
        <f>VLOOKUP($F11,'[3]5.급수원단위'!$B$31:$G$35,2,FALSE)</f>
        <v>272</v>
      </c>
      <c r="M11" s="302">
        <f>VLOOKUP($F11,'[3]5.급수원단위'!$B$31:$G$35,3,FALSE)</f>
        <v>304</v>
      </c>
      <c r="N11" s="302">
        <f>VLOOKUP($F11,'[3]5.급수원단위'!$B$31:$G$35,4,FALSE)</f>
        <v>308</v>
      </c>
      <c r="O11" s="302">
        <f>VLOOKUP($F11,'[3]5.급수원단위'!$B$31:$G$35,5,FALSE)</f>
        <v>310</v>
      </c>
      <c r="P11" s="302">
        <f>VLOOKUP($F11,'[3]5.급수원단위'!$B$31:$G$35,6,FALSE)</f>
        <v>310</v>
      </c>
      <c r="Q11" s="302">
        <f>ROUND(IF(G11=0,0,VLOOKUP(C11,'2013실사용량 정리'!$D$6:$F$381,3,FALSE)),0)</f>
        <v>25</v>
      </c>
      <c r="R11" s="302">
        <f t="shared" si="3"/>
        <v>39</v>
      </c>
      <c r="S11" s="302">
        <f t="shared" si="3"/>
        <v>42</v>
      </c>
      <c r="T11" s="302">
        <f t="shared" si="3"/>
        <v>43</v>
      </c>
      <c r="U11" s="302">
        <f t="shared" si="3"/>
        <v>44</v>
      </c>
      <c r="W11" s="343">
        <f t="shared" si="2"/>
        <v>1.76</v>
      </c>
    </row>
    <row r="12" spans="1:26" ht="20.100000000000001" customHeight="1">
      <c r="A12" s="419"/>
      <c r="B12" s="340"/>
      <c r="C12" s="406" t="s">
        <v>1472</v>
      </c>
      <c r="D12" s="330" t="s">
        <v>1299</v>
      </c>
      <c r="E12" s="527">
        <v>1</v>
      </c>
      <c r="F12" s="527" t="s">
        <v>756</v>
      </c>
      <c r="G12" s="302">
        <f>IF($D12="A",ROUND(VLOOKUP($C12,'[2]2.행정구역별 급수인구'!$C$7:$AD$997,17,FALSE)*$E12,0),IF($D12="B",(ROUND(VLOOKUP($C12,'[2]2.행정구역별 급수인구'!$C$7:$AD$997,17,FALSE)-VLOOKUP($C12,'[2]2.행정구역별 급수인구'!$C$7:$AD$997,17,FALSE)*(1-$E12),0)),VLOOKUP($C12,'[2]2.행정구역별 급수인구'!$C$7:$AD$997,17,FALSE)))</f>
        <v>116</v>
      </c>
      <c r="H12" s="302">
        <f>IF($D12="A",ROUND(VLOOKUP($C12,'[2]2.행정구역별 급수인구'!$C$7:$AD$997,25,FALSE)*$E12,0),IF($D12="B",(ROUND(VLOOKUP($C12,'[2]2.행정구역별 급수인구'!$C$7:$AD$997,25,FALSE)-VLOOKUP($C12,'[2]2.행정구역별 급수인구'!$C$7:$AD$997,25,FALSE)*(1-$E12),0)),VLOOKUP($C12,'[2]2.행정구역별 급수인구'!$C$7:$AD$997,25,FALSE)))</f>
        <v>137</v>
      </c>
      <c r="I12" s="302">
        <f>IF($D12="A",ROUND(VLOOKUP($C12,'[2]2.행정구역별 급수인구'!$C$7:$AD$997,26,FALSE)*$E12,0),IF($D12="B",(ROUND(VLOOKUP($C12,'[2]2.행정구역별 급수인구'!$C$7:$AD$997,26,FALSE)-VLOOKUP($C12,'[2]2.행정구역별 급수인구'!$C$7:$AD$997,26,FALSE)*(1-$E12),0)),VLOOKUP($C12,'[2]2.행정구역별 급수인구'!$C$7:$AD$997,26,FALSE)))</f>
        <v>143</v>
      </c>
      <c r="J12" s="302">
        <f>IF($D12="A",ROUND(VLOOKUP($C12,'[2]2.행정구역별 급수인구'!$C$7:$AD$997,27,FALSE)*$E12,0),IF($D12="B",(ROUND(VLOOKUP($C12,'[2]2.행정구역별 급수인구'!$C$7:$AD$997,27,FALSE)-VLOOKUP($C12,'[2]2.행정구역별 급수인구'!$C$7:$AD$997,27,FALSE)*(1-$E12),0)),VLOOKUP($C12,'[2]2.행정구역별 급수인구'!$C$7:$AD$997,27,FALSE)))</f>
        <v>146</v>
      </c>
      <c r="K12" s="302">
        <f>IF($D12="A",ROUND(VLOOKUP($C12,'[2]2.행정구역별 급수인구'!$C$7:$AD$997,28,FALSE)*$E12,0),IF($D12="B",(ROUND(VLOOKUP($C12,'[2]2.행정구역별 급수인구'!$C$7:$AD$997,28,FALSE)-VLOOKUP($C12,'[2]2.행정구역별 급수인구'!$C$7:$AD$997,28,FALSE)*(1-$E12),0)),VLOOKUP($C12,'[2]2.행정구역별 급수인구'!$C$7:$AD$997,28,FALSE)))</f>
        <v>148</v>
      </c>
      <c r="L12" s="302">
        <f>VLOOKUP($F12,'[3]5.급수원단위'!$B$31:$G$35,2,FALSE)</f>
        <v>272</v>
      </c>
      <c r="M12" s="302">
        <f>VLOOKUP($F12,'[3]5.급수원단위'!$B$31:$G$35,3,FALSE)</f>
        <v>304</v>
      </c>
      <c r="N12" s="302">
        <f>VLOOKUP($F12,'[3]5.급수원단위'!$B$31:$G$35,4,FALSE)</f>
        <v>308</v>
      </c>
      <c r="O12" s="302">
        <f>VLOOKUP($F12,'[3]5.급수원단위'!$B$31:$G$35,5,FALSE)</f>
        <v>310</v>
      </c>
      <c r="P12" s="302">
        <f>VLOOKUP($F12,'[3]5.급수원단위'!$B$31:$G$35,6,FALSE)</f>
        <v>310</v>
      </c>
      <c r="Q12" s="302">
        <f>ROUND(IF(G12=0,0,VLOOKUP(C12,'2013실사용량 정리'!$D$6:$F$381,3,FALSE)),0)</f>
        <v>27</v>
      </c>
      <c r="R12" s="302">
        <f t="shared" si="3"/>
        <v>42</v>
      </c>
      <c r="S12" s="302">
        <f t="shared" si="3"/>
        <v>44</v>
      </c>
      <c r="T12" s="302">
        <f t="shared" si="3"/>
        <v>45</v>
      </c>
      <c r="U12" s="302">
        <f t="shared" si="3"/>
        <v>46</v>
      </c>
      <c r="W12" s="343">
        <f t="shared" si="2"/>
        <v>1.7037037037037037</v>
      </c>
    </row>
    <row r="13" spans="1:26" ht="20.100000000000001" customHeight="1">
      <c r="A13" s="419"/>
      <c r="B13" s="340"/>
      <c r="C13" s="406" t="s">
        <v>1473</v>
      </c>
      <c r="D13" s="330" t="s">
        <v>1299</v>
      </c>
      <c r="E13" s="527">
        <v>1</v>
      </c>
      <c r="F13" s="527" t="s">
        <v>756</v>
      </c>
      <c r="G13" s="302">
        <f>IF($D13="A",ROUND(VLOOKUP($C13,'[2]2.행정구역별 급수인구'!$C$7:$AD$997,17,FALSE)*$E13,0),IF($D13="B",(ROUND(VLOOKUP($C13,'[2]2.행정구역별 급수인구'!$C$7:$AD$997,17,FALSE)-VLOOKUP($C13,'[2]2.행정구역별 급수인구'!$C$7:$AD$997,17,FALSE)*(1-$E13),0)),VLOOKUP($C13,'[2]2.행정구역별 급수인구'!$C$7:$AD$997,17,FALSE)))</f>
        <v>50</v>
      </c>
      <c r="H13" s="302">
        <f>IF($D13="A",ROUND(VLOOKUP($C13,'[2]2.행정구역별 급수인구'!$C$7:$AD$997,25,FALSE)*$E13,0),IF($D13="B",(ROUND(VLOOKUP($C13,'[2]2.행정구역별 급수인구'!$C$7:$AD$997,25,FALSE)-VLOOKUP($C13,'[2]2.행정구역별 급수인구'!$C$7:$AD$997,25,FALSE)*(1-$E13),0)),VLOOKUP($C13,'[2]2.행정구역별 급수인구'!$C$7:$AD$997,25,FALSE)))</f>
        <v>59</v>
      </c>
      <c r="I13" s="302">
        <f>IF($D13="A",ROUND(VLOOKUP($C13,'[2]2.행정구역별 급수인구'!$C$7:$AD$997,26,FALSE)*$E13,0),IF($D13="B",(ROUND(VLOOKUP($C13,'[2]2.행정구역별 급수인구'!$C$7:$AD$997,26,FALSE)-VLOOKUP($C13,'[2]2.행정구역별 급수인구'!$C$7:$AD$997,26,FALSE)*(1-$E13),0)),VLOOKUP($C13,'[2]2.행정구역별 급수인구'!$C$7:$AD$997,26,FALSE)))</f>
        <v>61</v>
      </c>
      <c r="J13" s="302">
        <f>IF($D13="A",ROUND(VLOOKUP($C13,'[2]2.행정구역별 급수인구'!$C$7:$AD$997,27,FALSE)*$E13,0),IF($D13="B",(ROUND(VLOOKUP($C13,'[2]2.행정구역별 급수인구'!$C$7:$AD$997,27,FALSE)-VLOOKUP($C13,'[2]2.행정구역별 급수인구'!$C$7:$AD$997,27,FALSE)*(1-$E13),0)),VLOOKUP($C13,'[2]2.행정구역별 급수인구'!$C$7:$AD$997,27,FALSE)))</f>
        <v>63</v>
      </c>
      <c r="K13" s="302">
        <f>IF($D13="A",ROUND(VLOOKUP($C13,'[2]2.행정구역별 급수인구'!$C$7:$AD$997,28,FALSE)*$E13,0),IF($D13="B",(ROUND(VLOOKUP($C13,'[2]2.행정구역별 급수인구'!$C$7:$AD$997,28,FALSE)-VLOOKUP($C13,'[2]2.행정구역별 급수인구'!$C$7:$AD$997,28,FALSE)*(1-$E13),0)),VLOOKUP($C13,'[2]2.행정구역별 급수인구'!$C$7:$AD$997,28,FALSE)))</f>
        <v>64</v>
      </c>
      <c r="L13" s="302">
        <f>VLOOKUP($F13,'[3]5.급수원단위'!$B$31:$G$35,2,FALSE)</f>
        <v>272</v>
      </c>
      <c r="M13" s="302">
        <f>VLOOKUP($F13,'[3]5.급수원단위'!$B$31:$G$35,3,FALSE)</f>
        <v>304</v>
      </c>
      <c r="N13" s="302">
        <f>VLOOKUP($F13,'[3]5.급수원단위'!$B$31:$G$35,4,FALSE)</f>
        <v>308</v>
      </c>
      <c r="O13" s="302">
        <f>VLOOKUP($F13,'[3]5.급수원단위'!$B$31:$G$35,5,FALSE)</f>
        <v>310</v>
      </c>
      <c r="P13" s="302">
        <f>VLOOKUP($F13,'[3]5.급수원단위'!$B$31:$G$35,6,FALSE)</f>
        <v>310</v>
      </c>
      <c r="Q13" s="302">
        <f>ROUND(IF(G13=0,0,VLOOKUP(C13,'2013실사용량 정리'!$D$6:$F$381,3,FALSE)),0)</f>
        <v>12</v>
      </c>
      <c r="R13" s="302">
        <f t="shared" si="3"/>
        <v>18</v>
      </c>
      <c r="S13" s="302">
        <f t="shared" si="3"/>
        <v>19</v>
      </c>
      <c r="T13" s="302">
        <f t="shared" si="3"/>
        <v>20</v>
      </c>
      <c r="U13" s="302">
        <f t="shared" si="3"/>
        <v>20</v>
      </c>
      <c r="W13" s="343">
        <f t="shared" si="2"/>
        <v>1.6666666666666667</v>
      </c>
    </row>
    <row r="14" spans="1:26" ht="20.100000000000001" customHeight="1">
      <c r="A14" s="419"/>
      <c r="B14" s="340"/>
      <c r="C14" s="406" t="s">
        <v>1474</v>
      </c>
      <c r="D14" s="330" t="s">
        <v>1299</v>
      </c>
      <c r="E14" s="527">
        <v>1</v>
      </c>
      <c r="F14" s="527" t="s">
        <v>756</v>
      </c>
      <c r="G14" s="302">
        <f>IF($D14="A",ROUND(VLOOKUP($C14,'[2]2.행정구역별 급수인구'!$C$7:$AD$997,17,FALSE)*$E14,0),IF($D14="B",(ROUND(VLOOKUP($C14,'[2]2.행정구역별 급수인구'!$C$7:$AD$997,17,FALSE)-VLOOKUP($C14,'[2]2.행정구역별 급수인구'!$C$7:$AD$997,17,FALSE)*(1-$E14),0)),VLOOKUP($C14,'[2]2.행정구역별 급수인구'!$C$7:$AD$997,17,FALSE)))</f>
        <v>181</v>
      </c>
      <c r="H14" s="302">
        <f>IF($D14="A",ROUND(VLOOKUP($C14,'[2]2.행정구역별 급수인구'!$C$7:$AD$997,25,FALSE)*$E14,0),IF($D14="B",(ROUND(VLOOKUP($C14,'[2]2.행정구역별 급수인구'!$C$7:$AD$997,25,FALSE)-VLOOKUP($C14,'[2]2.행정구역별 급수인구'!$C$7:$AD$997,25,FALSE)*(1-$E14),0)),VLOOKUP($C14,'[2]2.행정구역별 급수인구'!$C$7:$AD$997,25,FALSE)))</f>
        <v>214</v>
      </c>
      <c r="I14" s="302">
        <f>IF($D14="A",ROUND(VLOOKUP($C14,'[2]2.행정구역별 급수인구'!$C$7:$AD$997,26,FALSE)*$E14,0),IF($D14="B",(ROUND(VLOOKUP($C14,'[2]2.행정구역별 급수인구'!$C$7:$AD$997,26,FALSE)-VLOOKUP($C14,'[2]2.행정구역별 급수인구'!$C$7:$AD$997,26,FALSE)*(1-$E14),0)),VLOOKUP($C14,'[2]2.행정구역별 급수인구'!$C$7:$AD$997,26,FALSE)))</f>
        <v>223</v>
      </c>
      <c r="J14" s="302">
        <f>IF($D14="A",ROUND(VLOOKUP($C14,'[2]2.행정구역별 급수인구'!$C$7:$AD$997,27,FALSE)*$E14,0),IF($D14="B",(ROUND(VLOOKUP($C14,'[2]2.행정구역별 급수인구'!$C$7:$AD$997,27,FALSE)-VLOOKUP($C14,'[2]2.행정구역별 급수인구'!$C$7:$AD$997,27,FALSE)*(1-$E14),0)),VLOOKUP($C14,'[2]2.행정구역별 급수인구'!$C$7:$AD$997,27,FALSE)))</f>
        <v>229</v>
      </c>
      <c r="K14" s="302">
        <f>IF($D14="A",ROUND(VLOOKUP($C14,'[2]2.행정구역별 급수인구'!$C$7:$AD$997,28,FALSE)*$E14,0),IF($D14="B",(ROUND(VLOOKUP($C14,'[2]2.행정구역별 급수인구'!$C$7:$AD$997,28,FALSE)-VLOOKUP($C14,'[2]2.행정구역별 급수인구'!$C$7:$AD$997,28,FALSE)*(1-$E14),0)),VLOOKUP($C14,'[2]2.행정구역별 급수인구'!$C$7:$AD$997,28,FALSE)))</f>
        <v>233</v>
      </c>
      <c r="L14" s="302">
        <f>VLOOKUP($F14,'[3]5.급수원단위'!$B$31:$G$35,2,FALSE)</f>
        <v>272</v>
      </c>
      <c r="M14" s="302">
        <f>VLOOKUP($F14,'[3]5.급수원단위'!$B$31:$G$35,3,FALSE)</f>
        <v>304</v>
      </c>
      <c r="N14" s="302">
        <f>VLOOKUP($F14,'[3]5.급수원단위'!$B$31:$G$35,4,FALSE)</f>
        <v>308</v>
      </c>
      <c r="O14" s="302">
        <f>VLOOKUP($F14,'[3]5.급수원단위'!$B$31:$G$35,5,FALSE)</f>
        <v>310</v>
      </c>
      <c r="P14" s="302">
        <f>VLOOKUP($F14,'[3]5.급수원단위'!$B$31:$G$35,6,FALSE)</f>
        <v>310</v>
      </c>
      <c r="Q14" s="302">
        <f>ROUND(IF(G14=0,0,VLOOKUP(C14,'2013실사용량 정리'!$D$6:$F$381,3,FALSE)),0)</f>
        <v>30</v>
      </c>
      <c r="R14" s="302">
        <f t="shared" si="3"/>
        <v>65</v>
      </c>
      <c r="S14" s="302">
        <f t="shared" si="3"/>
        <v>69</v>
      </c>
      <c r="T14" s="302">
        <f t="shared" si="3"/>
        <v>71</v>
      </c>
      <c r="U14" s="302">
        <f t="shared" si="3"/>
        <v>72</v>
      </c>
      <c r="W14" s="343">
        <f t="shared" si="2"/>
        <v>2.4</v>
      </c>
    </row>
    <row r="15" spans="1:26" ht="20.100000000000001" customHeight="1">
      <c r="A15" s="419"/>
      <c r="B15" s="340"/>
      <c r="C15" s="406" t="s">
        <v>1475</v>
      </c>
      <c r="D15" s="330" t="s">
        <v>1299</v>
      </c>
      <c r="E15" s="527">
        <v>1</v>
      </c>
      <c r="F15" s="527" t="s">
        <v>756</v>
      </c>
      <c r="G15" s="302">
        <f>IF($D15="A",ROUND(VLOOKUP($C15,'[2]2.행정구역별 급수인구'!$C$7:$AD$997,17,FALSE)*$E15,0),IF($D15="B",(ROUND(VLOOKUP($C15,'[2]2.행정구역별 급수인구'!$C$7:$AD$997,17,FALSE)-VLOOKUP($C15,'[2]2.행정구역별 급수인구'!$C$7:$AD$997,17,FALSE)*(1-$E15),0)),VLOOKUP($C15,'[2]2.행정구역별 급수인구'!$C$7:$AD$997,17,FALSE)))</f>
        <v>122</v>
      </c>
      <c r="H15" s="302">
        <f>IF($D15="A",ROUND(VLOOKUP($C15,'[2]2.행정구역별 급수인구'!$C$7:$AD$997,25,FALSE)*$E15,0),IF($D15="B",(ROUND(VLOOKUP($C15,'[2]2.행정구역별 급수인구'!$C$7:$AD$997,25,FALSE)-VLOOKUP($C15,'[2]2.행정구역별 급수인구'!$C$7:$AD$997,25,FALSE)*(1-$E15),0)),VLOOKUP($C15,'[2]2.행정구역별 급수인구'!$C$7:$AD$997,25,FALSE)))</f>
        <v>145</v>
      </c>
      <c r="I15" s="302">
        <f>IF($D15="A",ROUND(VLOOKUP($C15,'[2]2.행정구역별 급수인구'!$C$7:$AD$997,26,FALSE)*$E15,0),IF($D15="B",(ROUND(VLOOKUP($C15,'[2]2.행정구역별 급수인구'!$C$7:$AD$997,26,FALSE)-VLOOKUP($C15,'[2]2.행정구역별 급수인구'!$C$7:$AD$997,26,FALSE)*(1-$E15),0)),VLOOKUP($C15,'[2]2.행정구역별 급수인구'!$C$7:$AD$997,26,FALSE)))</f>
        <v>151</v>
      </c>
      <c r="J15" s="302">
        <f>IF($D15="A",ROUND(VLOOKUP($C15,'[2]2.행정구역별 급수인구'!$C$7:$AD$997,27,FALSE)*$E15,0),IF($D15="B",(ROUND(VLOOKUP($C15,'[2]2.행정구역별 급수인구'!$C$7:$AD$997,27,FALSE)-VLOOKUP($C15,'[2]2.행정구역별 급수인구'!$C$7:$AD$997,27,FALSE)*(1-$E15),0)),VLOOKUP($C15,'[2]2.행정구역별 급수인구'!$C$7:$AD$997,27,FALSE)))</f>
        <v>155</v>
      </c>
      <c r="K15" s="302">
        <f>IF($D15="A",ROUND(VLOOKUP($C15,'[2]2.행정구역별 급수인구'!$C$7:$AD$997,28,FALSE)*$E15,0),IF($D15="B",(ROUND(VLOOKUP($C15,'[2]2.행정구역별 급수인구'!$C$7:$AD$997,28,FALSE)-VLOOKUP($C15,'[2]2.행정구역별 급수인구'!$C$7:$AD$997,28,FALSE)*(1-$E15),0)),VLOOKUP($C15,'[2]2.행정구역별 급수인구'!$C$7:$AD$997,28,FALSE)))</f>
        <v>158</v>
      </c>
      <c r="L15" s="302">
        <f>VLOOKUP($F15,'[3]5.급수원단위'!$B$31:$G$35,2,FALSE)</f>
        <v>272</v>
      </c>
      <c r="M15" s="302">
        <f>VLOOKUP($F15,'[3]5.급수원단위'!$B$31:$G$35,3,FALSE)</f>
        <v>304</v>
      </c>
      <c r="N15" s="302">
        <f>VLOOKUP($F15,'[3]5.급수원단위'!$B$31:$G$35,4,FALSE)</f>
        <v>308</v>
      </c>
      <c r="O15" s="302">
        <f>VLOOKUP($F15,'[3]5.급수원단위'!$B$31:$G$35,5,FALSE)</f>
        <v>310</v>
      </c>
      <c r="P15" s="302">
        <f>VLOOKUP($F15,'[3]5.급수원단위'!$B$31:$G$35,6,FALSE)</f>
        <v>310</v>
      </c>
      <c r="Q15" s="302">
        <f>ROUND(IF(G15=0,0,VLOOKUP(C15,'2013실사용량 정리'!$D$6:$F$381,3,FALSE)),0)</f>
        <v>20</v>
      </c>
      <c r="R15" s="302">
        <f t="shared" si="3"/>
        <v>44</v>
      </c>
      <c r="S15" s="302">
        <f t="shared" si="3"/>
        <v>47</v>
      </c>
      <c r="T15" s="302">
        <f t="shared" si="3"/>
        <v>48</v>
      </c>
      <c r="U15" s="302">
        <f t="shared" si="3"/>
        <v>49</v>
      </c>
      <c r="W15" s="343">
        <f t="shared" si="2"/>
        <v>2.4500000000000002</v>
      </c>
    </row>
    <row r="16" spans="1:26" ht="20.100000000000001" customHeight="1">
      <c r="A16" s="419"/>
      <c r="B16" s="340"/>
      <c r="C16" s="406" t="s">
        <v>1476</v>
      </c>
      <c r="D16" s="330" t="s">
        <v>1299</v>
      </c>
      <c r="E16" s="527">
        <v>1</v>
      </c>
      <c r="F16" s="527" t="s">
        <v>756</v>
      </c>
      <c r="G16" s="302">
        <f>IF($D16="A",ROUND(VLOOKUP($C16,'[2]2.행정구역별 급수인구'!$C$7:$AD$997,17,FALSE)*$E16,0),IF($D16="B",(ROUND(VLOOKUP($C16,'[2]2.행정구역별 급수인구'!$C$7:$AD$997,17,FALSE)-VLOOKUP($C16,'[2]2.행정구역별 급수인구'!$C$7:$AD$997,17,FALSE)*(1-$E16),0)),VLOOKUP($C16,'[2]2.행정구역별 급수인구'!$C$7:$AD$997,17,FALSE)))</f>
        <v>80</v>
      </c>
      <c r="H16" s="302">
        <f>IF($D16="A",ROUND(VLOOKUP($C16,'[2]2.행정구역별 급수인구'!$C$7:$AD$997,25,FALSE)*$E16,0),IF($D16="B",(ROUND(VLOOKUP($C16,'[2]2.행정구역별 급수인구'!$C$7:$AD$997,25,FALSE)-VLOOKUP($C16,'[2]2.행정구역별 급수인구'!$C$7:$AD$997,25,FALSE)*(1-$E16),0)),VLOOKUP($C16,'[2]2.행정구역별 급수인구'!$C$7:$AD$997,25,FALSE)))</f>
        <v>95</v>
      </c>
      <c r="I16" s="302">
        <f>IF($D16="A",ROUND(VLOOKUP($C16,'[2]2.행정구역별 급수인구'!$C$7:$AD$997,26,FALSE)*$E16,0),IF($D16="B",(ROUND(VLOOKUP($C16,'[2]2.행정구역별 급수인구'!$C$7:$AD$997,26,FALSE)-VLOOKUP($C16,'[2]2.행정구역별 급수인구'!$C$7:$AD$997,26,FALSE)*(1-$E16),0)),VLOOKUP($C16,'[2]2.행정구역별 급수인구'!$C$7:$AD$997,26,FALSE)))</f>
        <v>100</v>
      </c>
      <c r="J16" s="302">
        <f>IF($D16="A",ROUND(VLOOKUP($C16,'[2]2.행정구역별 급수인구'!$C$7:$AD$997,27,FALSE)*$E16,0),IF($D16="B",(ROUND(VLOOKUP($C16,'[2]2.행정구역별 급수인구'!$C$7:$AD$997,27,FALSE)-VLOOKUP($C16,'[2]2.행정구역별 급수인구'!$C$7:$AD$997,27,FALSE)*(1-$E16),0)),VLOOKUP($C16,'[2]2.행정구역별 급수인구'!$C$7:$AD$997,27,FALSE)))</f>
        <v>102</v>
      </c>
      <c r="K16" s="302">
        <f>IF($D16="A",ROUND(VLOOKUP($C16,'[2]2.행정구역별 급수인구'!$C$7:$AD$997,28,FALSE)*$E16,0),IF($D16="B",(ROUND(VLOOKUP($C16,'[2]2.행정구역별 급수인구'!$C$7:$AD$997,28,FALSE)-VLOOKUP($C16,'[2]2.행정구역별 급수인구'!$C$7:$AD$997,28,FALSE)*(1-$E16),0)),VLOOKUP($C16,'[2]2.행정구역별 급수인구'!$C$7:$AD$997,28,FALSE)))</f>
        <v>104</v>
      </c>
      <c r="L16" s="302">
        <f>VLOOKUP($F16,'[3]5.급수원단위'!$B$31:$G$35,2,FALSE)</f>
        <v>272</v>
      </c>
      <c r="M16" s="302">
        <f>VLOOKUP($F16,'[3]5.급수원단위'!$B$31:$G$35,3,FALSE)</f>
        <v>304</v>
      </c>
      <c r="N16" s="302">
        <f>VLOOKUP($F16,'[3]5.급수원단위'!$B$31:$G$35,4,FALSE)</f>
        <v>308</v>
      </c>
      <c r="O16" s="302">
        <f>VLOOKUP($F16,'[3]5.급수원단위'!$B$31:$G$35,5,FALSE)</f>
        <v>310</v>
      </c>
      <c r="P16" s="302">
        <f>VLOOKUP($F16,'[3]5.급수원단위'!$B$31:$G$35,6,FALSE)</f>
        <v>310</v>
      </c>
      <c r="Q16" s="302">
        <f>ROUND(IF(G16=0,0,VLOOKUP(C16,'2013실사용량 정리'!$D$6:$F$381,3,FALSE)),0)</f>
        <v>14</v>
      </c>
      <c r="R16" s="302">
        <f t="shared" si="3"/>
        <v>29</v>
      </c>
      <c r="S16" s="302">
        <f t="shared" si="3"/>
        <v>31</v>
      </c>
      <c r="T16" s="302">
        <f t="shared" si="3"/>
        <v>32</v>
      </c>
      <c r="U16" s="302">
        <f t="shared" si="3"/>
        <v>32</v>
      </c>
      <c r="W16" s="343">
        <f t="shared" si="2"/>
        <v>2.2857142857142856</v>
      </c>
    </row>
    <row r="17" spans="1:23" ht="20.100000000000001" customHeight="1">
      <c r="A17" s="419"/>
      <c r="B17" s="340"/>
      <c r="C17" s="406" t="s">
        <v>1477</v>
      </c>
      <c r="D17" s="330" t="s">
        <v>1299</v>
      </c>
      <c r="E17" s="527">
        <v>1</v>
      </c>
      <c r="F17" s="527" t="s">
        <v>756</v>
      </c>
      <c r="G17" s="302">
        <f>IF($D17="A",ROUND(VLOOKUP($C17,'[2]2.행정구역별 급수인구'!$C$7:$AD$997,17,FALSE)*$E17,0),IF($D17="B",(ROUND(VLOOKUP($C17,'[2]2.행정구역별 급수인구'!$C$7:$AD$997,17,FALSE)-VLOOKUP($C17,'[2]2.행정구역별 급수인구'!$C$7:$AD$997,17,FALSE)*(1-$E17),0)),VLOOKUP($C17,'[2]2.행정구역별 급수인구'!$C$7:$AD$997,17,FALSE)))</f>
        <v>132</v>
      </c>
      <c r="H17" s="302">
        <f>IF($D17="A",ROUND(VLOOKUP($C17,'[2]2.행정구역별 급수인구'!$C$7:$AD$997,25,FALSE)*$E17,0),IF($D17="B",(ROUND(VLOOKUP($C17,'[2]2.행정구역별 급수인구'!$C$7:$AD$997,25,FALSE)-VLOOKUP($C17,'[2]2.행정구역별 급수인구'!$C$7:$AD$997,25,FALSE)*(1-$E17),0)),VLOOKUP($C17,'[2]2.행정구역별 급수인구'!$C$7:$AD$997,25,FALSE)))</f>
        <v>156</v>
      </c>
      <c r="I17" s="302">
        <f>IF($D17="A",ROUND(VLOOKUP($C17,'[2]2.행정구역별 급수인구'!$C$7:$AD$997,26,FALSE)*$E17,0),IF($D17="B",(ROUND(VLOOKUP($C17,'[2]2.행정구역별 급수인구'!$C$7:$AD$997,26,FALSE)-VLOOKUP($C17,'[2]2.행정구역별 급수인구'!$C$7:$AD$997,26,FALSE)*(1-$E17),0)),VLOOKUP($C17,'[2]2.행정구역별 급수인구'!$C$7:$AD$997,26,FALSE)))</f>
        <v>163</v>
      </c>
      <c r="J17" s="302">
        <f>IF($D17="A",ROUND(VLOOKUP($C17,'[2]2.행정구역별 급수인구'!$C$7:$AD$997,27,FALSE)*$E17,0),IF($D17="B",(ROUND(VLOOKUP($C17,'[2]2.행정구역별 급수인구'!$C$7:$AD$997,27,FALSE)-VLOOKUP($C17,'[2]2.행정구역별 급수인구'!$C$7:$AD$997,27,FALSE)*(1-$E17),0)),VLOOKUP($C17,'[2]2.행정구역별 급수인구'!$C$7:$AD$997,27,FALSE)))</f>
        <v>167</v>
      </c>
      <c r="K17" s="302">
        <f>IF($D17="A",ROUND(VLOOKUP($C17,'[2]2.행정구역별 급수인구'!$C$7:$AD$997,28,FALSE)*$E17,0),IF($D17="B",(ROUND(VLOOKUP($C17,'[2]2.행정구역별 급수인구'!$C$7:$AD$997,28,FALSE)-VLOOKUP($C17,'[2]2.행정구역별 급수인구'!$C$7:$AD$997,28,FALSE)*(1-$E17),0)),VLOOKUP($C17,'[2]2.행정구역별 급수인구'!$C$7:$AD$997,28,FALSE)))</f>
        <v>170</v>
      </c>
      <c r="L17" s="302">
        <f>VLOOKUP($F17,'[3]5.급수원단위'!$B$31:$G$35,2,FALSE)</f>
        <v>272</v>
      </c>
      <c r="M17" s="302">
        <f>VLOOKUP($F17,'[3]5.급수원단위'!$B$31:$G$35,3,FALSE)</f>
        <v>304</v>
      </c>
      <c r="N17" s="302">
        <f>VLOOKUP($F17,'[3]5.급수원단위'!$B$31:$G$35,4,FALSE)</f>
        <v>308</v>
      </c>
      <c r="O17" s="302">
        <f>VLOOKUP($F17,'[3]5.급수원단위'!$B$31:$G$35,5,FALSE)</f>
        <v>310</v>
      </c>
      <c r="P17" s="302">
        <f>VLOOKUP($F17,'[3]5.급수원단위'!$B$31:$G$35,6,FALSE)</f>
        <v>310</v>
      </c>
      <c r="Q17" s="302">
        <f>ROUND(IF(G17=0,0,VLOOKUP(C17,'2013실사용량 정리'!$D$6:$F$381,3,FALSE)),0)</f>
        <v>24</v>
      </c>
      <c r="R17" s="302">
        <f t="shared" si="3"/>
        <v>47</v>
      </c>
      <c r="S17" s="302">
        <f t="shared" si="3"/>
        <v>50</v>
      </c>
      <c r="T17" s="302">
        <f t="shared" si="3"/>
        <v>52</v>
      </c>
      <c r="U17" s="302">
        <f t="shared" si="3"/>
        <v>53</v>
      </c>
      <c r="W17" s="343">
        <f t="shared" si="2"/>
        <v>2.2083333333333335</v>
      </c>
    </row>
    <row r="18" spans="1:23" ht="20.100000000000001" customHeight="1">
      <c r="A18" s="419"/>
      <c r="B18" s="340"/>
      <c r="C18" s="406" t="s">
        <v>1496</v>
      </c>
      <c r="D18" s="330" t="s">
        <v>1299</v>
      </c>
      <c r="E18" s="527">
        <v>1</v>
      </c>
      <c r="F18" s="527" t="s">
        <v>756</v>
      </c>
      <c r="G18" s="302">
        <f>IF($D18="A",ROUND(VLOOKUP($C18,'[2]2.행정구역별 급수인구'!$C$7:$AD$997,17,FALSE)*$E18,0),IF($D18="B",(ROUND(VLOOKUP($C18,'[2]2.행정구역별 급수인구'!$C$7:$AD$997,17,FALSE)-VLOOKUP($C18,'[2]2.행정구역별 급수인구'!$C$7:$AD$997,17,FALSE)*(1-$E18),0)),VLOOKUP($C18,'[2]2.행정구역별 급수인구'!$C$7:$AD$997,17,FALSE)))</f>
        <v>0</v>
      </c>
      <c r="H18" s="302">
        <f>IF($D18="A",ROUND(VLOOKUP($C18,'[2]2.행정구역별 급수인구'!$C$7:$AD$997,25,FALSE)*$E18,0),IF($D18="B",(ROUND(VLOOKUP($C18,'[2]2.행정구역별 급수인구'!$C$7:$AD$997,25,FALSE)-VLOOKUP($C18,'[2]2.행정구역별 급수인구'!$C$7:$AD$997,25,FALSE)*(1-$E18),0)),VLOOKUP($C18,'[2]2.행정구역별 급수인구'!$C$7:$AD$997,25,FALSE)))</f>
        <v>66</v>
      </c>
      <c r="I18" s="302">
        <f>IF($D18="A",ROUND(VLOOKUP($C18,'[2]2.행정구역별 급수인구'!$C$7:$AD$997,26,FALSE)*$E18,0),IF($D18="B",(ROUND(VLOOKUP($C18,'[2]2.행정구역별 급수인구'!$C$7:$AD$997,26,FALSE)-VLOOKUP($C18,'[2]2.행정구역별 급수인구'!$C$7:$AD$997,26,FALSE)*(1-$E18),0)),VLOOKUP($C18,'[2]2.행정구역별 급수인구'!$C$7:$AD$997,26,FALSE)))</f>
        <v>68</v>
      </c>
      <c r="J18" s="302">
        <f>IF($D18="A",ROUND(VLOOKUP($C18,'[2]2.행정구역별 급수인구'!$C$7:$AD$997,27,FALSE)*$E18,0),IF($D18="B",(ROUND(VLOOKUP($C18,'[2]2.행정구역별 급수인구'!$C$7:$AD$997,27,FALSE)-VLOOKUP($C18,'[2]2.행정구역별 급수인구'!$C$7:$AD$997,27,FALSE)*(1-$E18),0)),VLOOKUP($C18,'[2]2.행정구역별 급수인구'!$C$7:$AD$997,27,FALSE)))</f>
        <v>70</v>
      </c>
      <c r="K18" s="302">
        <f>IF($D18="A",ROUND(VLOOKUP($C18,'[2]2.행정구역별 급수인구'!$C$7:$AD$997,28,FALSE)*$E18,0),IF($D18="B",(ROUND(VLOOKUP($C18,'[2]2.행정구역별 급수인구'!$C$7:$AD$997,28,FALSE)-VLOOKUP($C18,'[2]2.행정구역별 급수인구'!$C$7:$AD$997,28,FALSE)*(1-$E18),0)),VLOOKUP($C18,'[2]2.행정구역별 급수인구'!$C$7:$AD$997,28,FALSE)))</f>
        <v>72</v>
      </c>
      <c r="L18" s="302">
        <f>VLOOKUP($F18,'[3]5.급수원단위'!$B$31:$G$35,2,FALSE)</f>
        <v>272</v>
      </c>
      <c r="M18" s="302">
        <f>VLOOKUP($F18,'[3]5.급수원단위'!$B$31:$G$35,3,FALSE)</f>
        <v>304</v>
      </c>
      <c r="N18" s="302">
        <f>VLOOKUP($F18,'[3]5.급수원단위'!$B$31:$G$35,4,FALSE)</f>
        <v>308</v>
      </c>
      <c r="O18" s="302">
        <f>VLOOKUP($F18,'[3]5.급수원단위'!$B$31:$G$35,5,FALSE)</f>
        <v>310</v>
      </c>
      <c r="P18" s="302">
        <f>VLOOKUP($F18,'[3]5.급수원단위'!$B$31:$G$35,6,FALSE)</f>
        <v>310</v>
      </c>
      <c r="Q18" s="302">
        <f>ROUND(IF(G18=0,0,VLOOKUP(C18,'2013실사용량 정리'!$D$6:$F$381,3,FALSE)),0)</f>
        <v>0</v>
      </c>
      <c r="R18" s="302">
        <f t="shared" si="3"/>
        <v>20</v>
      </c>
      <c r="S18" s="302">
        <f t="shared" si="3"/>
        <v>21</v>
      </c>
      <c r="T18" s="302">
        <f t="shared" si="3"/>
        <v>22</v>
      </c>
      <c r="U18" s="302">
        <f t="shared" si="3"/>
        <v>22</v>
      </c>
      <c r="W18" s="343" t="str">
        <f t="shared" si="2"/>
        <v/>
      </c>
    </row>
    <row r="19" spans="1:23" ht="20.100000000000001" customHeight="1">
      <c r="A19" s="419"/>
      <c r="B19" s="340"/>
      <c r="C19" s="406" t="s">
        <v>1478</v>
      </c>
      <c r="D19" s="330" t="s">
        <v>1299</v>
      </c>
      <c r="E19" s="527">
        <v>1</v>
      </c>
      <c r="F19" s="527" t="s">
        <v>756</v>
      </c>
      <c r="G19" s="302">
        <f>IF($D19="A",ROUND(VLOOKUP($C19,'[2]2.행정구역별 급수인구'!$C$7:$AD$997,17,FALSE)*$E19,0),IF($D19="B",(ROUND(VLOOKUP($C19,'[2]2.행정구역별 급수인구'!$C$7:$AD$997,17,FALSE)-VLOOKUP($C19,'[2]2.행정구역별 급수인구'!$C$7:$AD$997,17,FALSE)*(1-$E19),0)),VLOOKUP($C19,'[2]2.행정구역별 급수인구'!$C$7:$AD$997,17,FALSE)))</f>
        <v>111</v>
      </c>
      <c r="H19" s="302">
        <f>IF($D19="A",ROUND(VLOOKUP($C19,'[2]2.행정구역별 급수인구'!$C$7:$AD$997,25,FALSE)*$E19,0),IF($D19="B",(ROUND(VLOOKUP($C19,'[2]2.행정구역별 급수인구'!$C$7:$AD$997,25,FALSE)-VLOOKUP($C19,'[2]2.행정구역별 급수인구'!$C$7:$AD$997,25,FALSE)*(1-$E19),0)),VLOOKUP($C19,'[2]2.행정구역별 급수인구'!$C$7:$AD$997,25,FALSE)))</f>
        <v>131</v>
      </c>
      <c r="I19" s="302">
        <f>IF($D19="A",ROUND(VLOOKUP($C19,'[2]2.행정구역별 급수인구'!$C$7:$AD$997,26,FALSE)*$E19,0),IF($D19="B",(ROUND(VLOOKUP($C19,'[2]2.행정구역별 급수인구'!$C$7:$AD$997,26,FALSE)-VLOOKUP($C19,'[2]2.행정구역별 급수인구'!$C$7:$AD$997,26,FALSE)*(1-$E19),0)),VLOOKUP($C19,'[2]2.행정구역별 급수인구'!$C$7:$AD$997,26,FALSE)))</f>
        <v>138</v>
      </c>
      <c r="J19" s="302">
        <f>IF($D19="A",ROUND(VLOOKUP($C19,'[2]2.행정구역별 급수인구'!$C$7:$AD$997,27,FALSE)*$E19,0),IF($D19="B",(ROUND(VLOOKUP($C19,'[2]2.행정구역별 급수인구'!$C$7:$AD$997,27,FALSE)-VLOOKUP($C19,'[2]2.행정구역별 급수인구'!$C$7:$AD$997,27,FALSE)*(1-$E19),0)),VLOOKUP($C19,'[2]2.행정구역별 급수인구'!$C$7:$AD$997,27,FALSE)))</f>
        <v>141</v>
      </c>
      <c r="K19" s="302">
        <f>IF($D19="A",ROUND(VLOOKUP($C19,'[2]2.행정구역별 급수인구'!$C$7:$AD$997,28,FALSE)*$E19,0),IF($D19="B",(ROUND(VLOOKUP($C19,'[2]2.행정구역별 급수인구'!$C$7:$AD$997,28,FALSE)-VLOOKUP($C19,'[2]2.행정구역별 급수인구'!$C$7:$AD$997,28,FALSE)*(1-$E19),0)),VLOOKUP($C19,'[2]2.행정구역별 급수인구'!$C$7:$AD$997,28,FALSE)))</f>
        <v>143</v>
      </c>
      <c r="L19" s="302">
        <f>VLOOKUP($F19,'[3]5.급수원단위'!$B$31:$G$35,2,FALSE)</f>
        <v>272</v>
      </c>
      <c r="M19" s="302">
        <f>VLOOKUP($F19,'[3]5.급수원단위'!$B$31:$G$35,3,FALSE)</f>
        <v>304</v>
      </c>
      <c r="N19" s="302">
        <f>VLOOKUP($F19,'[3]5.급수원단위'!$B$31:$G$35,4,FALSE)</f>
        <v>308</v>
      </c>
      <c r="O19" s="302">
        <f>VLOOKUP($F19,'[3]5.급수원단위'!$B$31:$G$35,5,FALSE)</f>
        <v>310</v>
      </c>
      <c r="P19" s="302">
        <f>VLOOKUP($F19,'[3]5.급수원단위'!$B$31:$G$35,6,FALSE)</f>
        <v>310</v>
      </c>
      <c r="Q19" s="302">
        <f>ROUND(IF(G19=0,0,VLOOKUP(C19,'2013실사용량 정리'!$D$6:$F$381,3,FALSE)),0)</f>
        <v>29</v>
      </c>
      <c r="R19" s="302">
        <f t="shared" si="3"/>
        <v>40</v>
      </c>
      <c r="S19" s="302">
        <f t="shared" si="3"/>
        <v>43</v>
      </c>
      <c r="T19" s="302">
        <f t="shared" si="3"/>
        <v>44</v>
      </c>
      <c r="U19" s="302">
        <f t="shared" si="3"/>
        <v>44</v>
      </c>
      <c r="W19" s="343">
        <f t="shared" si="2"/>
        <v>1.5172413793103448</v>
      </c>
    </row>
    <row r="20" spans="1:23" ht="20.100000000000001" customHeight="1">
      <c r="A20" s="419"/>
      <c r="B20" s="340"/>
      <c r="C20" s="406" t="s">
        <v>1479</v>
      </c>
      <c r="D20" s="330" t="s">
        <v>1299</v>
      </c>
      <c r="E20" s="527">
        <v>1</v>
      </c>
      <c r="F20" s="527" t="s">
        <v>756</v>
      </c>
      <c r="G20" s="302">
        <f>IF($D20="A",ROUND(VLOOKUP($C20,'[2]2.행정구역별 급수인구'!$C$7:$AD$997,17,FALSE)*$E20,0),IF($D20="B",(ROUND(VLOOKUP($C20,'[2]2.행정구역별 급수인구'!$C$7:$AD$997,17,FALSE)-VLOOKUP($C20,'[2]2.행정구역별 급수인구'!$C$7:$AD$997,17,FALSE)*(1-$E20),0)),VLOOKUP($C20,'[2]2.행정구역별 급수인구'!$C$7:$AD$997,17,FALSE)))</f>
        <v>135</v>
      </c>
      <c r="H20" s="302">
        <f>IF($D20="A",ROUND(VLOOKUP($C20,'[2]2.행정구역별 급수인구'!$C$7:$AD$997,25,FALSE)*$E20,0),IF($D20="B",(ROUND(VLOOKUP($C20,'[2]2.행정구역별 급수인구'!$C$7:$AD$997,25,FALSE)-VLOOKUP($C20,'[2]2.행정구역별 급수인구'!$C$7:$AD$997,25,FALSE)*(1-$E20),0)),VLOOKUP($C20,'[2]2.행정구역별 급수인구'!$C$7:$AD$997,25,FALSE)))</f>
        <v>159</v>
      </c>
      <c r="I20" s="302">
        <f>IF($D20="A",ROUND(VLOOKUP($C20,'[2]2.행정구역별 급수인구'!$C$7:$AD$997,26,FALSE)*$E20,0),IF($D20="B",(ROUND(VLOOKUP($C20,'[2]2.행정구역별 급수인구'!$C$7:$AD$997,26,FALSE)-VLOOKUP($C20,'[2]2.행정구역별 급수인구'!$C$7:$AD$997,26,FALSE)*(1-$E20),0)),VLOOKUP($C20,'[2]2.행정구역별 급수인구'!$C$7:$AD$997,26,FALSE)))</f>
        <v>167</v>
      </c>
      <c r="J20" s="302">
        <f>IF($D20="A",ROUND(VLOOKUP($C20,'[2]2.행정구역별 급수인구'!$C$7:$AD$997,27,FALSE)*$E20,0),IF($D20="B",(ROUND(VLOOKUP($C20,'[2]2.행정구역별 급수인구'!$C$7:$AD$997,27,FALSE)-VLOOKUP($C20,'[2]2.행정구역별 급수인구'!$C$7:$AD$997,27,FALSE)*(1-$E20),0)),VLOOKUP($C20,'[2]2.행정구역별 급수인구'!$C$7:$AD$997,27,FALSE)))</f>
        <v>171</v>
      </c>
      <c r="K20" s="302">
        <f>IF($D20="A",ROUND(VLOOKUP($C20,'[2]2.행정구역별 급수인구'!$C$7:$AD$997,28,FALSE)*$E20,0),IF($D20="B",(ROUND(VLOOKUP($C20,'[2]2.행정구역별 급수인구'!$C$7:$AD$997,28,FALSE)-VLOOKUP($C20,'[2]2.행정구역별 급수인구'!$C$7:$AD$997,28,FALSE)*(1-$E20),0)),VLOOKUP($C20,'[2]2.행정구역별 급수인구'!$C$7:$AD$997,28,FALSE)))</f>
        <v>174</v>
      </c>
      <c r="L20" s="302">
        <f>VLOOKUP($F20,'[3]5.급수원단위'!$B$31:$G$35,2,FALSE)</f>
        <v>272</v>
      </c>
      <c r="M20" s="302">
        <f>VLOOKUP($F20,'[3]5.급수원단위'!$B$31:$G$35,3,FALSE)</f>
        <v>304</v>
      </c>
      <c r="N20" s="302">
        <f>VLOOKUP($F20,'[3]5.급수원단위'!$B$31:$G$35,4,FALSE)</f>
        <v>308</v>
      </c>
      <c r="O20" s="302">
        <f>VLOOKUP($F20,'[3]5.급수원단위'!$B$31:$G$35,5,FALSE)</f>
        <v>310</v>
      </c>
      <c r="P20" s="302">
        <f>VLOOKUP($F20,'[3]5.급수원단위'!$B$31:$G$35,6,FALSE)</f>
        <v>310</v>
      </c>
      <c r="Q20" s="302">
        <f>ROUND(IF(G20=0,0,VLOOKUP(C20,'2013실사용량 정리'!$D$6:$F$381,3,FALSE)),0)</f>
        <v>35</v>
      </c>
      <c r="R20" s="302">
        <f t="shared" si="3"/>
        <v>48</v>
      </c>
      <c r="S20" s="302">
        <f t="shared" si="3"/>
        <v>51</v>
      </c>
      <c r="T20" s="302">
        <f t="shared" si="3"/>
        <v>53</v>
      </c>
      <c r="U20" s="302">
        <f t="shared" si="3"/>
        <v>54</v>
      </c>
      <c r="W20" s="343">
        <f t="shared" si="2"/>
        <v>1.5428571428571429</v>
      </c>
    </row>
    <row r="21" spans="1:23" ht="20.100000000000001" customHeight="1">
      <c r="A21" s="419"/>
      <c r="B21" s="340"/>
      <c r="C21" s="406" t="s">
        <v>1480</v>
      </c>
      <c r="D21" s="330" t="s">
        <v>1299</v>
      </c>
      <c r="E21" s="527">
        <v>1</v>
      </c>
      <c r="F21" s="527" t="s">
        <v>756</v>
      </c>
      <c r="G21" s="302">
        <f>IF($D21="A",ROUND(VLOOKUP($C21,'[2]2.행정구역별 급수인구'!$C$7:$AD$997,17,FALSE)*$E21,0),IF($D21="B",(ROUND(VLOOKUP($C21,'[2]2.행정구역별 급수인구'!$C$7:$AD$997,17,FALSE)-VLOOKUP($C21,'[2]2.행정구역별 급수인구'!$C$7:$AD$997,17,FALSE)*(1-$E21),0)),VLOOKUP($C21,'[2]2.행정구역별 급수인구'!$C$7:$AD$997,17,FALSE)))</f>
        <v>104</v>
      </c>
      <c r="H21" s="302">
        <f>IF($D21="A",ROUND(VLOOKUP($C21,'[2]2.행정구역별 급수인구'!$C$7:$AD$997,25,FALSE)*$E21,0),IF($D21="B",(ROUND(VLOOKUP($C21,'[2]2.행정구역별 급수인구'!$C$7:$AD$997,25,FALSE)-VLOOKUP($C21,'[2]2.행정구역별 급수인구'!$C$7:$AD$997,25,FALSE)*(1-$E21),0)),VLOOKUP($C21,'[2]2.행정구역별 급수인구'!$C$7:$AD$997,25,FALSE)))</f>
        <v>122</v>
      </c>
      <c r="I21" s="302">
        <f>IF($D21="A",ROUND(VLOOKUP($C21,'[2]2.행정구역별 급수인구'!$C$7:$AD$997,26,FALSE)*$E21,0),IF($D21="B",(ROUND(VLOOKUP($C21,'[2]2.행정구역별 급수인구'!$C$7:$AD$997,26,FALSE)-VLOOKUP($C21,'[2]2.행정구역별 급수인구'!$C$7:$AD$997,26,FALSE)*(1-$E21),0)),VLOOKUP($C21,'[2]2.행정구역별 급수인구'!$C$7:$AD$997,26,FALSE)))</f>
        <v>126</v>
      </c>
      <c r="J21" s="302">
        <f>IF($D21="A",ROUND(VLOOKUP($C21,'[2]2.행정구역별 급수인구'!$C$7:$AD$997,27,FALSE)*$E21,0),IF($D21="B",(ROUND(VLOOKUP($C21,'[2]2.행정구역별 급수인구'!$C$7:$AD$997,27,FALSE)-VLOOKUP($C21,'[2]2.행정구역별 급수인구'!$C$7:$AD$997,27,FALSE)*(1-$E21),0)),VLOOKUP($C21,'[2]2.행정구역별 급수인구'!$C$7:$AD$997,27,FALSE)))</f>
        <v>130</v>
      </c>
      <c r="K21" s="302">
        <f>IF($D21="A",ROUND(VLOOKUP($C21,'[2]2.행정구역별 급수인구'!$C$7:$AD$997,28,FALSE)*$E21,0),IF($D21="B",(ROUND(VLOOKUP($C21,'[2]2.행정구역별 급수인구'!$C$7:$AD$997,28,FALSE)-VLOOKUP($C21,'[2]2.행정구역별 급수인구'!$C$7:$AD$997,28,FALSE)*(1-$E21),0)),VLOOKUP($C21,'[2]2.행정구역별 급수인구'!$C$7:$AD$997,28,FALSE)))</f>
        <v>132</v>
      </c>
      <c r="L21" s="302">
        <f>VLOOKUP($F21,'[3]5.급수원단위'!$B$31:$G$35,2,FALSE)</f>
        <v>272</v>
      </c>
      <c r="M21" s="302">
        <f>VLOOKUP($F21,'[3]5.급수원단위'!$B$31:$G$35,3,FALSE)</f>
        <v>304</v>
      </c>
      <c r="N21" s="302">
        <f>VLOOKUP($F21,'[3]5.급수원단위'!$B$31:$G$35,4,FALSE)</f>
        <v>308</v>
      </c>
      <c r="O21" s="302">
        <f>VLOOKUP($F21,'[3]5.급수원단위'!$B$31:$G$35,5,FALSE)</f>
        <v>310</v>
      </c>
      <c r="P21" s="302">
        <f>VLOOKUP($F21,'[3]5.급수원단위'!$B$31:$G$35,6,FALSE)</f>
        <v>310</v>
      </c>
      <c r="Q21" s="302">
        <f>ROUND(IF(G21=0,0,VLOOKUP(C21,'2013실사용량 정리'!$D$6:$F$381,3,FALSE)),0)</f>
        <v>32</v>
      </c>
      <c r="R21" s="302">
        <f t="shared" si="3"/>
        <v>37</v>
      </c>
      <c r="S21" s="302">
        <f t="shared" si="3"/>
        <v>39</v>
      </c>
      <c r="T21" s="302">
        <f t="shared" si="3"/>
        <v>40</v>
      </c>
      <c r="U21" s="302">
        <f t="shared" si="3"/>
        <v>41</v>
      </c>
      <c r="W21" s="343">
        <f t="shared" si="2"/>
        <v>1.28125</v>
      </c>
    </row>
    <row r="22" spans="1:23" ht="20.100000000000001" customHeight="1">
      <c r="A22" s="419"/>
      <c r="B22" s="340"/>
      <c r="C22" s="406" t="s">
        <v>1481</v>
      </c>
      <c r="D22" s="330" t="s">
        <v>1299</v>
      </c>
      <c r="E22" s="527">
        <v>1</v>
      </c>
      <c r="F22" s="527" t="s">
        <v>756</v>
      </c>
      <c r="G22" s="302">
        <f>IF($D22="A",ROUND(VLOOKUP($C22,'[2]2.행정구역별 급수인구'!$C$7:$AD$997,17,FALSE)*$E22,0),IF($D22="B",(ROUND(VLOOKUP($C22,'[2]2.행정구역별 급수인구'!$C$7:$AD$997,17,FALSE)-VLOOKUP($C22,'[2]2.행정구역별 급수인구'!$C$7:$AD$997,17,FALSE)*(1-$E22),0)),VLOOKUP($C22,'[2]2.행정구역별 급수인구'!$C$7:$AD$997,17,FALSE)))</f>
        <v>91</v>
      </c>
      <c r="H22" s="302">
        <f>IF($D22="A",ROUND(VLOOKUP($C22,'[2]2.행정구역별 급수인구'!$C$7:$AD$997,25,FALSE)*$E22,0),IF($D22="B",(ROUND(VLOOKUP($C22,'[2]2.행정구역별 급수인구'!$C$7:$AD$997,25,FALSE)-VLOOKUP($C22,'[2]2.행정구역별 급수인구'!$C$7:$AD$997,25,FALSE)*(1-$E22),0)),VLOOKUP($C22,'[2]2.행정구역별 급수인구'!$C$7:$AD$997,25,FALSE)))</f>
        <v>106</v>
      </c>
      <c r="I22" s="302">
        <f>IF($D22="A",ROUND(VLOOKUP($C22,'[2]2.행정구역별 급수인구'!$C$7:$AD$997,26,FALSE)*$E22,0),IF($D22="B",(ROUND(VLOOKUP($C22,'[2]2.행정구역별 급수인구'!$C$7:$AD$997,26,FALSE)-VLOOKUP($C22,'[2]2.행정구역별 급수인구'!$C$7:$AD$997,26,FALSE)*(1-$E22),0)),VLOOKUP($C22,'[2]2.행정구역별 급수인구'!$C$7:$AD$997,26,FALSE)))</f>
        <v>111</v>
      </c>
      <c r="J22" s="302">
        <f>IF($D22="A",ROUND(VLOOKUP($C22,'[2]2.행정구역별 급수인구'!$C$7:$AD$997,27,FALSE)*$E22,0),IF($D22="B",(ROUND(VLOOKUP($C22,'[2]2.행정구역별 급수인구'!$C$7:$AD$997,27,FALSE)-VLOOKUP($C22,'[2]2.행정구역별 급수인구'!$C$7:$AD$997,27,FALSE)*(1-$E22),0)),VLOOKUP($C22,'[2]2.행정구역별 급수인구'!$C$7:$AD$997,27,FALSE)))</f>
        <v>114</v>
      </c>
      <c r="K22" s="302">
        <f>IF($D22="A",ROUND(VLOOKUP($C22,'[2]2.행정구역별 급수인구'!$C$7:$AD$997,28,FALSE)*$E22,0),IF($D22="B",(ROUND(VLOOKUP($C22,'[2]2.행정구역별 급수인구'!$C$7:$AD$997,28,FALSE)-VLOOKUP($C22,'[2]2.행정구역별 급수인구'!$C$7:$AD$997,28,FALSE)*(1-$E22),0)),VLOOKUP($C22,'[2]2.행정구역별 급수인구'!$C$7:$AD$997,28,FALSE)))</f>
        <v>116</v>
      </c>
      <c r="L22" s="302">
        <f>VLOOKUP($F22,'[3]5.급수원단위'!$B$31:$G$35,2,FALSE)</f>
        <v>272</v>
      </c>
      <c r="M22" s="302">
        <f>VLOOKUP($F22,'[3]5.급수원단위'!$B$31:$G$35,3,FALSE)</f>
        <v>304</v>
      </c>
      <c r="N22" s="302">
        <f>VLOOKUP($F22,'[3]5.급수원단위'!$B$31:$G$35,4,FALSE)</f>
        <v>308</v>
      </c>
      <c r="O22" s="302">
        <f>VLOOKUP($F22,'[3]5.급수원단위'!$B$31:$G$35,5,FALSE)</f>
        <v>310</v>
      </c>
      <c r="P22" s="302">
        <f>VLOOKUP($F22,'[3]5.급수원단위'!$B$31:$G$35,6,FALSE)</f>
        <v>310</v>
      </c>
      <c r="Q22" s="302">
        <f>ROUND(IF(G22=0,0,VLOOKUP(C22,'2013실사용량 정리'!$D$6:$F$381,3,FALSE)),0)</f>
        <v>28</v>
      </c>
      <c r="R22" s="302">
        <f t="shared" si="3"/>
        <v>32</v>
      </c>
      <c r="S22" s="302">
        <f t="shared" si="3"/>
        <v>34</v>
      </c>
      <c r="T22" s="302">
        <f t="shared" si="3"/>
        <v>35</v>
      </c>
      <c r="U22" s="302">
        <f t="shared" si="3"/>
        <v>36</v>
      </c>
      <c r="W22" s="343">
        <f t="shared" si="2"/>
        <v>1.2857142857142858</v>
      </c>
    </row>
    <row r="23" spans="1:23" ht="20.100000000000001" customHeight="1">
      <c r="A23" s="419"/>
      <c r="B23" s="340"/>
      <c r="C23" s="406" t="s">
        <v>1435</v>
      </c>
      <c r="D23" s="330" t="s">
        <v>1299</v>
      </c>
      <c r="E23" s="527">
        <v>0</v>
      </c>
      <c r="F23" s="527" t="s">
        <v>756</v>
      </c>
      <c r="G23" s="302">
        <f>IF($D23="A",ROUND(VLOOKUP($C23,'[2]2.행정구역별 급수인구'!$C$7:$AD$997,17,FALSE)*$E23,0),IF($D23="B",(ROUND(VLOOKUP($C23,'[2]2.행정구역별 급수인구'!$C$7:$AD$997,17,FALSE)-VLOOKUP($C23,'[2]2.행정구역별 급수인구'!$C$7:$AD$997,17,FALSE)*(1-$E23),0)),VLOOKUP($C23,'[2]2.행정구역별 급수인구'!$C$7:$AD$997,17,FALSE)))</f>
        <v>0</v>
      </c>
      <c r="H23" s="302">
        <f>IF($D23="A",ROUND(VLOOKUP($C23,'[2]2.행정구역별 급수인구'!$C$7:$AD$997,25,FALSE)*$E23,0),IF($D23="B",(ROUND(VLOOKUP($C23,'[2]2.행정구역별 급수인구'!$C$7:$AD$997,25,FALSE)-VLOOKUP($C23,'[2]2.행정구역별 급수인구'!$C$7:$AD$997,25,FALSE)*(1-$E23),0)),VLOOKUP($C23,'[2]2.행정구역별 급수인구'!$C$7:$AD$997,25,FALSE)))</f>
        <v>0</v>
      </c>
      <c r="I23" s="302">
        <f>IF($D23="A",ROUND(VLOOKUP($C23,'[2]2.행정구역별 급수인구'!$C$7:$AD$997,26,FALSE)*$E23,0),IF($D23="B",(ROUND(VLOOKUP($C23,'[2]2.행정구역별 급수인구'!$C$7:$AD$997,26,FALSE)-VLOOKUP($C23,'[2]2.행정구역별 급수인구'!$C$7:$AD$997,26,FALSE)*(1-$E23),0)),VLOOKUP($C23,'[2]2.행정구역별 급수인구'!$C$7:$AD$997,26,FALSE)))</f>
        <v>0</v>
      </c>
      <c r="J23" s="302">
        <f>IF($D23="A",ROUND(VLOOKUP($C23,'[2]2.행정구역별 급수인구'!$C$7:$AD$997,27,FALSE)*$E23,0),IF($D23="B",(ROUND(VLOOKUP($C23,'[2]2.행정구역별 급수인구'!$C$7:$AD$997,27,FALSE)-VLOOKUP($C23,'[2]2.행정구역별 급수인구'!$C$7:$AD$997,27,FALSE)*(1-$E23),0)),VLOOKUP($C23,'[2]2.행정구역별 급수인구'!$C$7:$AD$997,27,FALSE)))</f>
        <v>0</v>
      </c>
      <c r="K23" s="302">
        <f>IF($D23="A",ROUND(VLOOKUP($C23,'[2]2.행정구역별 급수인구'!$C$7:$AD$997,28,FALSE)*$E23,0),IF($D23="B",(ROUND(VLOOKUP($C23,'[2]2.행정구역별 급수인구'!$C$7:$AD$997,28,FALSE)-VLOOKUP($C23,'[2]2.행정구역별 급수인구'!$C$7:$AD$997,28,FALSE)*(1-$E23),0)),VLOOKUP($C23,'[2]2.행정구역별 급수인구'!$C$7:$AD$997,28,FALSE)))</f>
        <v>0</v>
      </c>
      <c r="L23" s="302">
        <f>VLOOKUP($F23,'[3]5.급수원단위'!$B$31:$G$35,2,FALSE)</f>
        <v>272</v>
      </c>
      <c r="M23" s="302">
        <f>VLOOKUP($F23,'[3]5.급수원단위'!$B$31:$G$35,3,FALSE)</f>
        <v>304</v>
      </c>
      <c r="N23" s="302">
        <f>VLOOKUP($F23,'[3]5.급수원단위'!$B$31:$G$35,4,FALSE)</f>
        <v>308</v>
      </c>
      <c r="O23" s="302">
        <f>VLOOKUP($F23,'[3]5.급수원단위'!$B$31:$G$35,5,FALSE)</f>
        <v>310</v>
      </c>
      <c r="P23" s="302">
        <f>VLOOKUP($F23,'[3]5.급수원단위'!$B$31:$G$35,6,FALSE)</f>
        <v>310</v>
      </c>
      <c r="Q23" s="302">
        <f>ROUND(IF(G23=0,0,VLOOKUP(C23,'2013실사용량 정리'!$D$6:$F$381,3,FALSE)),0)</f>
        <v>0</v>
      </c>
      <c r="R23" s="302">
        <f t="shared" si="3"/>
        <v>0</v>
      </c>
      <c r="S23" s="302">
        <f t="shared" si="3"/>
        <v>0</v>
      </c>
      <c r="T23" s="302">
        <f t="shared" si="3"/>
        <v>0</v>
      </c>
      <c r="U23" s="302">
        <f t="shared" si="3"/>
        <v>0</v>
      </c>
      <c r="W23" s="343" t="str">
        <f t="shared" si="2"/>
        <v/>
      </c>
    </row>
    <row r="24" spans="1:23" ht="20.100000000000001" customHeight="1">
      <c r="A24" s="419"/>
      <c r="B24" s="340"/>
      <c r="C24" s="406" t="s">
        <v>1436</v>
      </c>
      <c r="D24" s="330" t="s">
        <v>1299</v>
      </c>
      <c r="E24" s="527">
        <v>0</v>
      </c>
      <c r="F24" s="527" t="s">
        <v>756</v>
      </c>
      <c r="G24" s="302">
        <f>IF($D24="A",ROUND(VLOOKUP($C24,'[2]2.행정구역별 급수인구'!$C$7:$AD$997,17,FALSE)*$E24,0),IF($D24="B",(ROUND(VLOOKUP($C24,'[2]2.행정구역별 급수인구'!$C$7:$AD$997,17,FALSE)-VLOOKUP($C24,'[2]2.행정구역별 급수인구'!$C$7:$AD$997,17,FALSE)*(1-$E24),0)),VLOOKUP($C24,'[2]2.행정구역별 급수인구'!$C$7:$AD$997,17,FALSE)))</f>
        <v>0</v>
      </c>
      <c r="H24" s="302">
        <f>IF($D24="A",ROUND(VLOOKUP($C24,'[2]2.행정구역별 급수인구'!$C$7:$AD$997,25,FALSE)*$E24,0),IF($D24="B",(ROUND(VLOOKUP($C24,'[2]2.행정구역별 급수인구'!$C$7:$AD$997,25,FALSE)-VLOOKUP($C24,'[2]2.행정구역별 급수인구'!$C$7:$AD$997,25,FALSE)*(1-$E24),0)),VLOOKUP($C24,'[2]2.행정구역별 급수인구'!$C$7:$AD$997,25,FALSE)))</f>
        <v>0</v>
      </c>
      <c r="I24" s="302">
        <f>IF($D24="A",ROUND(VLOOKUP($C24,'[2]2.행정구역별 급수인구'!$C$7:$AD$997,26,FALSE)*$E24,0),IF($D24="B",(ROUND(VLOOKUP($C24,'[2]2.행정구역별 급수인구'!$C$7:$AD$997,26,FALSE)-VLOOKUP($C24,'[2]2.행정구역별 급수인구'!$C$7:$AD$997,26,FALSE)*(1-$E24),0)),VLOOKUP($C24,'[2]2.행정구역별 급수인구'!$C$7:$AD$997,26,FALSE)))</f>
        <v>0</v>
      </c>
      <c r="J24" s="302">
        <f>IF($D24="A",ROUND(VLOOKUP($C24,'[2]2.행정구역별 급수인구'!$C$7:$AD$997,27,FALSE)*$E24,0),IF($D24="B",(ROUND(VLOOKUP($C24,'[2]2.행정구역별 급수인구'!$C$7:$AD$997,27,FALSE)-VLOOKUP($C24,'[2]2.행정구역별 급수인구'!$C$7:$AD$997,27,FALSE)*(1-$E24),0)),VLOOKUP($C24,'[2]2.행정구역별 급수인구'!$C$7:$AD$997,27,FALSE)))</f>
        <v>0</v>
      </c>
      <c r="K24" s="302">
        <f>IF($D24="A",ROUND(VLOOKUP($C24,'[2]2.행정구역별 급수인구'!$C$7:$AD$997,28,FALSE)*$E24,0),IF($D24="B",(ROUND(VLOOKUP($C24,'[2]2.행정구역별 급수인구'!$C$7:$AD$997,28,FALSE)-VLOOKUP($C24,'[2]2.행정구역별 급수인구'!$C$7:$AD$997,28,FALSE)*(1-$E24),0)),VLOOKUP($C24,'[2]2.행정구역별 급수인구'!$C$7:$AD$997,28,FALSE)))</f>
        <v>0</v>
      </c>
      <c r="L24" s="302">
        <f>VLOOKUP($F24,'[3]5.급수원단위'!$B$31:$G$35,2,FALSE)</f>
        <v>272</v>
      </c>
      <c r="M24" s="302">
        <f>VLOOKUP($F24,'[3]5.급수원단위'!$B$31:$G$35,3,FALSE)</f>
        <v>304</v>
      </c>
      <c r="N24" s="302">
        <f>VLOOKUP($F24,'[3]5.급수원단위'!$B$31:$G$35,4,FALSE)</f>
        <v>308</v>
      </c>
      <c r="O24" s="302">
        <f>VLOOKUP($F24,'[3]5.급수원단위'!$B$31:$G$35,5,FALSE)</f>
        <v>310</v>
      </c>
      <c r="P24" s="302">
        <f>VLOOKUP($F24,'[3]5.급수원단위'!$B$31:$G$35,6,FALSE)</f>
        <v>310</v>
      </c>
      <c r="Q24" s="302">
        <f>ROUND(IF(G24=0,0,VLOOKUP(C24,'2013실사용량 정리'!$D$6:$F$381,3,FALSE)),0)</f>
        <v>0</v>
      </c>
      <c r="R24" s="302">
        <f t="shared" ref="R24:U31" si="4">ROUND(H24*M24/1000,0)</f>
        <v>0</v>
      </c>
      <c r="S24" s="302">
        <f t="shared" si="4"/>
        <v>0</v>
      </c>
      <c r="T24" s="302">
        <f t="shared" si="4"/>
        <v>0</v>
      </c>
      <c r="U24" s="302">
        <f t="shared" si="4"/>
        <v>0</v>
      </c>
      <c r="W24" s="343" t="str">
        <f t="shared" si="2"/>
        <v/>
      </c>
    </row>
    <row r="25" spans="1:23" ht="20.100000000000001" customHeight="1">
      <c r="A25" s="419"/>
      <c r="B25" s="340"/>
      <c r="C25" s="406" t="s">
        <v>1437</v>
      </c>
      <c r="D25" s="330" t="s">
        <v>1299</v>
      </c>
      <c r="E25" s="527">
        <v>0</v>
      </c>
      <c r="F25" s="527" t="s">
        <v>756</v>
      </c>
      <c r="G25" s="302">
        <f>IF($D25="A",ROUND(VLOOKUP($C25,'[2]2.행정구역별 급수인구'!$C$7:$AD$997,17,FALSE)*$E25,0),IF($D25="B",(ROUND(VLOOKUP($C25,'[2]2.행정구역별 급수인구'!$C$7:$AD$997,17,FALSE)-VLOOKUP($C25,'[2]2.행정구역별 급수인구'!$C$7:$AD$997,17,FALSE)*(1-$E25),0)),VLOOKUP($C25,'[2]2.행정구역별 급수인구'!$C$7:$AD$997,17,FALSE)))</f>
        <v>0</v>
      </c>
      <c r="H25" s="302">
        <f>IF($D25="A",ROUND(VLOOKUP($C25,'[2]2.행정구역별 급수인구'!$C$7:$AD$997,25,FALSE)*$E25,0),IF($D25="B",(ROUND(VLOOKUP($C25,'[2]2.행정구역별 급수인구'!$C$7:$AD$997,25,FALSE)-VLOOKUP($C25,'[2]2.행정구역별 급수인구'!$C$7:$AD$997,25,FALSE)*(1-$E25),0)),VLOOKUP($C25,'[2]2.행정구역별 급수인구'!$C$7:$AD$997,25,FALSE)))</f>
        <v>0</v>
      </c>
      <c r="I25" s="302">
        <f>IF($D25="A",ROUND(VLOOKUP($C25,'[2]2.행정구역별 급수인구'!$C$7:$AD$997,26,FALSE)*$E25,0),IF($D25="B",(ROUND(VLOOKUP($C25,'[2]2.행정구역별 급수인구'!$C$7:$AD$997,26,FALSE)-VLOOKUP($C25,'[2]2.행정구역별 급수인구'!$C$7:$AD$997,26,FALSE)*(1-$E25),0)),VLOOKUP($C25,'[2]2.행정구역별 급수인구'!$C$7:$AD$997,26,FALSE)))</f>
        <v>0</v>
      </c>
      <c r="J25" s="302">
        <f>IF($D25="A",ROUND(VLOOKUP($C25,'[2]2.행정구역별 급수인구'!$C$7:$AD$997,27,FALSE)*$E25,0),IF($D25="B",(ROUND(VLOOKUP($C25,'[2]2.행정구역별 급수인구'!$C$7:$AD$997,27,FALSE)-VLOOKUP($C25,'[2]2.행정구역별 급수인구'!$C$7:$AD$997,27,FALSE)*(1-$E25),0)),VLOOKUP($C25,'[2]2.행정구역별 급수인구'!$C$7:$AD$997,27,FALSE)))</f>
        <v>0</v>
      </c>
      <c r="K25" s="302">
        <f>IF($D25="A",ROUND(VLOOKUP($C25,'[2]2.행정구역별 급수인구'!$C$7:$AD$997,28,FALSE)*$E25,0),IF($D25="B",(ROUND(VLOOKUP($C25,'[2]2.행정구역별 급수인구'!$C$7:$AD$997,28,FALSE)-VLOOKUP($C25,'[2]2.행정구역별 급수인구'!$C$7:$AD$997,28,FALSE)*(1-$E25),0)),VLOOKUP($C25,'[2]2.행정구역별 급수인구'!$C$7:$AD$997,28,FALSE)))</f>
        <v>0</v>
      </c>
      <c r="L25" s="302">
        <f>VLOOKUP($F25,'[3]5.급수원단위'!$B$31:$G$35,2,FALSE)</f>
        <v>272</v>
      </c>
      <c r="M25" s="302">
        <f>VLOOKUP($F25,'[3]5.급수원단위'!$B$31:$G$35,3,FALSE)</f>
        <v>304</v>
      </c>
      <c r="N25" s="302">
        <f>VLOOKUP($F25,'[3]5.급수원단위'!$B$31:$G$35,4,FALSE)</f>
        <v>308</v>
      </c>
      <c r="O25" s="302">
        <f>VLOOKUP($F25,'[3]5.급수원단위'!$B$31:$G$35,5,FALSE)</f>
        <v>310</v>
      </c>
      <c r="P25" s="302">
        <f>VLOOKUP($F25,'[3]5.급수원단위'!$B$31:$G$35,6,FALSE)</f>
        <v>310</v>
      </c>
      <c r="Q25" s="302">
        <f>ROUND(IF(G25=0,0,VLOOKUP(C25,'2013실사용량 정리'!$D$6:$F$381,3,FALSE)),0)</f>
        <v>0</v>
      </c>
      <c r="R25" s="302">
        <f t="shared" si="4"/>
        <v>0</v>
      </c>
      <c r="S25" s="302">
        <f t="shared" si="4"/>
        <v>0</v>
      </c>
      <c r="T25" s="302">
        <f t="shared" si="4"/>
        <v>0</v>
      </c>
      <c r="U25" s="302">
        <f t="shared" si="4"/>
        <v>0</v>
      </c>
      <c r="W25" s="343" t="str">
        <f t="shared" si="2"/>
        <v/>
      </c>
    </row>
    <row r="26" spans="1:23" ht="20.100000000000001" customHeight="1">
      <c r="A26" s="419"/>
      <c r="B26" s="340"/>
      <c r="C26" s="406" t="s">
        <v>1438</v>
      </c>
      <c r="D26" s="330" t="s">
        <v>1299</v>
      </c>
      <c r="E26" s="527">
        <v>0</v>
      </c>
      <c r="F26" s="527" t="s">
        <v>756</v>
      </c>
      <c r="G26" s="302">
        <f>IF($D26="A",ROUND(VLOOKUP($C26,'[2]2.행정구역별 급수인구'!$C$7:$AD$997,17,FALSE)*$E26,0),IF($D26="B",(ROUND(VLOOKUP($C26,'[2]2.행정구역별 급수인구'!$C$7:$AD$997,17,FALSE)-VLOOKUP($C26,'[2]2.행정구역별 급수인구'!$C$7:$AD$997,17,FALSE)*(1-$E26),0)),VLOOKUP($C26,'[2]2.행정구역별 급수인구'!$C$7:$AD$997,17,FALSE)))</f>
        <v>0</v>
      </c>
      <c r="H26" s="302">
        <f>IF($D26="A",ROUND(VLOOKUP($C26,'[2]2.행정구역별 급수인구'!$C$7:$AD$997,25,FALSE)*$E26,0),IF($D26="B",(ROUND(VLOOKUP($C26,'[2]2.행정구역별 급수인구'!$C$7:$AD$997,25,FALSE)-VLOOKUP($C26,'[2]2.행정구역별 급수인구'!$C$7:$AD$997,25,FALSE)*(1-$E26),0)),VLOOKUP($C26,'[2]2.행정구역별 급수인구'!$C$7:$AD$997,25,FALSE)))</f>
        <v>0</v>
      </c>
      <c r="I26" s="302">
        <f>IF($D26="A",ROUND(VLOOKUP($C26,'[2]2.행정구역별 급수인구'!$C$7:$AD$997,26,FALSE)*$E26,0),IF($D26="B",(ROUND(VLOOKUP($C26,'[2]2.행정구역별 급수인구'!$C$7:$AD$997,26,FALSE)-VLOOKUP($C26,'[2]2.행정구역별 급수인구'!$C$7:$AD$997,26,FALSE)*(1-$E26),0)),VLOOKUP($C26,'[2]2.행정구역별 급수인구'!$C$7:$AD$997,26,FALSE)))</f>
        <v>0</v>
      </c>
      <c r="J26" s="302">
        <f>IF($D26="A",ROUND(VLOOKUP($C26,'[2]2.행정구역별 급수인구'!$C$7:$AD$997,27,FALSE)*$E26,0),IF($D26="B",(ROUND(VLOOKUP($C26,'[2]2.행정구역별 급수인구'!$C$7:$AD$997,27,FALSE)-VLOOKUP($C26,'[2]2.행정구역별 급수인구'!$C$7:$AD$997,27,FALSE)*(1-$E26),0)),VLOOKUP($C26,'[2]2.행정구역별 급수인구'!$C$7:$AD$997,27,FALSE)))</f>
        <v>0</v>
      </c>
      <c r="K26" s="302">
        <f>IF($D26="A",ROUND(VLOOKUP($C26,'[2]2.행정구역별 급수인구'!$C$7:$AD$997,28,FALSE)*$E26,0),IF($D26="B",(ROUND(VLOOKUP($C26,'[2]2.행정구역별 급수인구'!$C$7:$AD$997,28,FALSE)-VLOOKUP($C26,'[2]2.행정구역별 급수인구'!$C$7:$AD$997,28,FALSE)*(1-$E26),0)),VLOOKUP($C26,'[2]2.행정구역별 급수인구'!$C$7:$AD$997,28,FALSE)))</f>
        <v>0</v>
      </c>
      <c r="L26" s="302">
        <f>VLOOKUP($F26,'[3]5.급수원단위'!$B$31:$G$35,2,FALSE)</f>
        <v>272</v>
      </c>
      <c r="M26" s="302">
        <f>VLOOKUP($F26,'[3]5.급수원단위'!$B$31:$G$35,3,FALSE)</f>
        <v>304</v>
      </c>
      <c r="N26" s="302">
        <f>VLOOKUP($F26,'[3]5.급수원단위'!$B$31:$G$35,4,FALSE)</f>
        <v>308</v>
      </c>
      <c r="O26" s="302">
        <f>VLOOKUP($F26,'[3]5.급수원단위'!$B$31:$G$35,5,FALSE)</f>
        <v>310</v>
      </c>
      <c r="P26" s="302">
        <f>VLOOKUP($F26,'[3]5.급수원단위'!$B$31:$G$35,6,FALSE)</f>
        <v>310</v>
      </c>
      <c r="Q26" s="302">
        <f>ROUND(IF(G26=0,0,VLOOKUP(C26,'2013실사용량 정리'!$D$6:$F$381,3,FALSE)),0)</f>
        <v>0</v>
      </c>
      <c r="R26" s="302">
        <f t="shared" si="4"/>
        <v>0</v>
      </c>
      <c r="S26" s="302">
        <f t="shared" si="4"/>
        <v>0</v>
      </c>
      <c r="T26" s="302">
        <f t="shared" si="4"/>
        <v>0</v>
      </c>
      <c r="U26" s="302">
        <f t="shared" si="4"/>
        <v>0</v>
      </c>
      <c r="W26" s="343" t="str">
        <f t="shared" si="2"/>
        <v/>
      </c>
    </row>
    <row r="27" spans="1:23" ht="20.100000000000001" customHeight="1">
      <c r="A27" s="419"/>
      <c r="B27" s="340"/>
      <c r="C27" s="406" t="s">
        <v>1439</v>
      </c>
      <c r="D27" s="330" t="s">
        <v>1299</v>
      </c>
      <c r="E27" s="527">
        <v>0</v>
      </c>
      <c r="F27" s="527" t="s">
        <v>756</v>
      </c>
      <c r="G27" s="302">
        <f>IF($D27="A",ROUND(VLOOKUP($C27,'[2]2.행정구역별 급수인구'!$C$7:$AD$997,17,FALSE)*$E27,0),IF($D27="B",(ROUND(VLOOKUP($C27,'[2]2.행정구역별 급수인구'!$C$7:$AD$997,17,FALSE)-VLOOKUP($C27,'[2]2.행정구역별 급수인구'!$C$7:$AD$997,17,FALSE)*(1-$E27),0)),VLOOKUP($C27,'[2]2.행정구역별 급수인구'!$C$7:$AD$997,17,FALSE)))</f>
        <v>0</v>
      </c>
      <c r="H27" s="302">
        <f>IF($D27="A",ROUND(VLOOKUP($C27,'[2]2.행정구역별 급수인구'!$C$7:$AD$997,25,FALSE)*$E27,0),IF($D27="B",(ROUND(VLOOKUP($C27,'[2]2.행정구역별 급수인구'!$C$7:$AD$997,25,FALSE)-VLOOKUP($C27,'[2]2.행정구역별 급수인구'!$C$7:$AD$997,25,FALSE)*(1-$E27),0)),VLOOKUP($C27,'[2]2.행정구역별 급수인구'!$C$7:$AD$997,25,FALSE)))</f>
        <v>0</v>
      </c>
      <c r="I27" s="302">
        <f>IF($D27="A",ROUND(VLOOKUP($C27,'[2]2.행정구역별 급수인구'!$C$7:$AD$997,26,FALSE)*$E27,0),IF($D27="B",(ROUND(VLOOKUP($C27,'[2]2.행정구역별 급수인구'!$C$7:$AD$997,26,FALSE)-VLOOKUP($C27,'[2]2.행정구역별 급수인구'!$C$7:$AD$997,26,FALSE)*(1-$E27),0)),VLOOKUP($C27,'[2]2.행정구역별 급수인구'!$C$7:$AD$997,26,FALSE)))</f>
        <v>0</v>
      </c>
      <c r="J27" s="302">
        <f>IF($D27="A",ROUND(VLOOKUP($C27,'[2]2.행정구역별 급수인구'!$C$7:$AD$997,27,FALSE)*$E27,0),IF($D27="B",(ROUND(VLOOKUP($C27,'[2]2.행정구역별 급수인구'!$C$7:$AD$997,27,FALSE)-VLOOKUP($C27,'[2]2.행정구역별 급수인구'!$C$7:$AD$997,27,FALSE)*(1-$E27),0)),VLOOKUP($C27,'[2]2.행정구역별 급수인구'!$C$7:$AD$997,27,FALSE)))</f>
        <v>0</v>
      </c>
      <c r="K27" s="302">
        <f>IF($D27="A",ROUND(VLOOKUP($C27,'[2]2.행정구역별 급수인구'!$C$7:$AD$997,28,FALSE)*$E27,0),IF($D27="B",(ROUND(VLOOKUP($C27,'[2]2.행정구역별 급수인구'!$C$7:$AD$997,28,FALSE)-VLOOKUP($C27,'[2]2.행정구역별 급수인구'!$C$7:$AD$997,28,FALSE)*(1-$E27),0)),VLOOKUP($C27,'[2]2.행정구역별 급수인구'!$C$7:$AD$997,28,FALSE)))</f>
        <v>0</v>
      </c>
      <c r="L27" s="302">
        <f>VLOOKUP($F27,'[3]5.급수원단위'!$B$31:$G$35,2,FALSE)</f>
        <v>272</v>
      </c>
      <c r="M27" s="302">
        <f>VLOOKUP($F27,'[3]5.급수원단위'!$B$31:$G$35,3,FALSE)</f>
        <v>304</v>
      </c>
      <c r="N27" s="302">
        <f>VLOOKUP($F27,'[3]5.급수원단위'!$B$31:$G$35,4,FALSE)</f>
        <v>308</v>
      </c>
      <c r="O27" s="302">
        <f>VLOOKUP($F27,'[3]5.급수원단위'!$B$31:$G$35,5,FALSE)</f>
        <v>310</v>
      </c>
      <c r="P27" s="302">
        <f>VLOOKUP($F27,'[3]5.급수원단위'!$B$31:$G$35,6,FALSE)</f>
        <v>310</v>
      </c>
      <c r="Q27" s="302">
        <f>ROUND(IF(G27=0,0,VLOOKUP(C27,'2013실사용량 정리'!$D$6:$F$381,3,FALSE)),0)</f>
        <v>0</v>
      </c>
      <c r="R27" s="302">
        <f t="shared" si="4"/>
        <v>0</v>
      </c>
      <c r="S27" s="302">
        <f t="shared" si="4"/>
        <v>0</v>
      </c>
      <c r="T27" s="302">
        <f t="shared" si="4"/>
        <v>0</v>
      </c>
      <c r="U27" s="302">
        <f t="shared" si="4"/>
        <v>0</v>
      </c>
      <c r="W27" s="343" t="str">
        <f t="shared" si="2"/>
        <v/>
      </c>
    </row>
    <row r="28" spans="1:23" ht="20.100000000000001" customHeight="1">
      <c r="A28" s="419"/>
      <c r="B28" s="340"/>
      <c r="C28" s="406" t="s">
        <v>1440</v>
      </c>
      <c r="D28" s="330" t="s">
        <v>1299</v>
      </c>
      <c r="E28" s="527">
        <v>0</v>
      </c>
      <c r="F28" s="527" t="s">
        <v>756</v>
      </c>
      <c r="G28" s="302">
        <f>IF($D28="A",ROUND(VLOOKUP($C28,'[2]2.행정구역별 급수인구'!$C$7:$AD$997,17,FALSE)*$E28,0),IF($D28="B",(ROUND(VLOOKUP($C28,'[2]2.행정구역별 급수인구'!$C$7:$AD$997,17,FALSE)-VLOOKUP($C28,'[2]2.행정구역별 급수인구'!$C$7:$AD$997,17,FALSE)*(1-$E28),0)),VLOOKUP($C28,'[2]2.행정구역별 급수인구'!$C$7:$AD$997,17,FALSE)))</f>
        <v>0</v>
      </c>
      <c r="H28" s="302">
        <f>IF($D28="A",ROUND(VLOOKUP($C28,'[2]2.행정구역별 급수인구'!$C$7:$AD$997,25,FALSE)*$E28,0),IF($D28="B",(ROUND(VLOOKUP($C28,'[2]2.행정구역별 급수인구'!$C$7:$AD$997,25,FALSE)-VLOOKUP($C28,'[2]2.행정구역별 급수인구'!$C$7:$AD$997,25,FALSE)*(1-$E28),0)),VLOOKUP($C28,'[2]2.행정구역별 급수인구'!$C$7:$AD$997,25,FALSE)))</f>
        <v>0</v>
      </c>
      <c r="I28" s="302">
        <f>IF($D28="A",ROUND(VLOOKUP($C28,'[2]2.행정구역별 급수인구'!$C$7:$AD$997,26,FALSE)*$E28,0),IF($D28="B",(ROUND(VLOOKUP($C28,'[2]2.행정구역별 급수인구'!$C$7:$AD$997,26,FALSE)-VLOOKUP($C28,'[2]2.행정구역별 급수인구'!$C$7:$AD$997,26,FALSE)*(1-$E28),0)),VLOOKUP($C28,'[2]2.행정구역별 급수인구'!$C$7:$AD$997,26,FALSE)))</f>
        <v>0</v>
      </c>
      <c r="J28" s="302">
        <f>IF($D28="A",ROUND(VLOOKUP($C28,'[2]2.행정구역별 급수인구'!$C$7:$AD$997,27,FALSE)*$E28,0),IF($D28="B",(ROUND(VLOOKUP($C28,'[2]2.행정구역별 급수인구'!$C$7:$AD$997,27,FALSE)-VLOOKUP($C28,'[2]2.행정구역별 급수인구'!$C$7:$AD$997,27,FALSE)*(1-$E28),0)),VLOOKUP($C28,'[2]2.행정구역별 급수인구'!$C$7:$AD$997,27,FALSE)))</f>
        <v>0</v>
      </c>
      <c r="K28" s="302">
        <f>IF($D28="A",ROUND(VLOOKUP($C28,'[2]2.행정구역별 급수인구'!$C$7:$AD$997,28,FALSE)*$E28,0),IF($D28="B",(ROUND(VLOOKUP($C28,'[2]2.행정구역별 급수인구'!$C$7:$AD$997,28,FALSE)-VLOOKUP($C28,'[2]2.행정구역별 급수인구'!$C$7:$AD$997,28,FALSE)*(1-$E28),0)),VLOOKUP($C28,'[2]2.행정구역별 급수인구'!$C$7:$AD$997,28,FALSE)))</f>
        <v>0</v>
      </c>
      <c r="L28" s="302">
        <f>VLOOKUP($F28,'[3]5.급수원단위'!$B$31:$G$35,2,FALSE)</f>
        <v>272</v>
      </c>
      <c r="M28" s="302">
        <f>VLOOKUP($F28,'[3]5.급수원단위'!$B$31:$G$35,3,FALSE)</f>
        <v>304</v>
      </c>
      <c r="N28" s="302">
        <f>VLOOKUP($F28,'[3]5.급수원단위'!$B$31:$G$35,4,FALSE)</f>
        <v>308</v>
      </c>
      <c r="O28" s="302">
        <f>VLOOKUP($F28,'[3]5.급수원단위'!$B$31:$G$35,5,FALSE)</f>
        <v>310</v>
      </c>
      <c r="P28" s="302">
        <f>VLOOKUP($F28,'[3]5.급수원단위'!$B$31:$G$35,6,FALSE)</f>
        <v>310</v>
      </c>
      <c r="Q28" s="302">
        <f>ROUND(IF(G28=0,0,VLOOKUP(C28,'2013실사용량 정리'!$D$6:$F$381,3,FALSE)),0)</f>
        <v>0</v>
      </c>
      <c r="R28" s="302">
        <f t="shared" si="4"/>
        <v>0</v>
      </c>
      <c r="S28" s="302">
        <f t="shared" si="4"/>
        <v>0</v>
      </c>
      <c r="T28" s="302">
        <f t="shared" si="4"/>
        <v>0</v>
      </c>
      <c r="U28" s="302">
        <f t="shared" si="4"/>
        <v>0</v>
      </c>
      <c r="W28" s="343" t="str">
        <f t="shared" si="2"/>
        <v/>
      </c>
    </row>
    <row r="29" spans="1:23" ht="20.100000000000001" customHeight="1">
      <c r="A29" s="419"/>
      <c r="B29" s="340"/>
      <c r="C29" s="406" t="s">
        <v>1441</v>
      </c>
      <c r="D29" s="330" t="s">
        <v>1299</v>
      </c>
      <c r="E29" s="527">
        <v>0</v>
      </c>
      <c r="F29" s="527" t="s">
        <v>756</v>
      </c>
      <c r="G29" s="302">
        <f>IF($D29="A",ROUND(VLOOKUP($C29,'[2]2.행정구역별 급수인구'!$C$7:$AD$997,17,FALSE)*$E29,0),IF($D29="B",(ROUND(VLOOKUP($C29,'[2]2.행정구역별 급수인구'!$C$7:$AD$997,17,FALSE)-VLOOKUP($C29,'[2]2.행정구역별 급수인구'!$C$7:$AD$997,17,FALSE)*(1-$E29),0)),VLOOKUP($C29,'[2]2.행정구역별 급수인구'!$C$7:$AD$997,17,FALSE)))</f>
        <v>0</v>
      </c>
      <c r="H29" s="302">
        <f>IF($D29="A",ROUND(VLOOKUP($C29,'[2]2.행정구역별 급수인구'!$C$7:$AD$997,25,FALSE)*$E29,0),IF($D29="B",(ROUND(VLOOKUP($C29,'[2]2.행정구역별 급수인구'!$C$7:$AD$997,25,FALSE)-VLOOKUP($C29,'[2]2.행정구역별 급수인구'!$C$7:$AD$997,25,FALSE)*(1-$E29),0)),VLOOKUP($C29,'[2]2.행정구역별 급수인구'!$C$7:$AD$997,25,FALSE)))</f>
        <v>0</v>
      </c>
      <c r="I29" s="302">
        <f>IF($D29="A",ROUND(VLOOKUP($C29,'[2]2.행정구역별 급수인구'!$C$7:$AD$997,26,FALSE)*$E29,0),IF($D29="B",(ROUND(VLOOKUP($C29,'[2]2.행정구역별 급수인구'!$C$7:$AD$997,26,FALSE)-VLOOKUP($C29,'[2]2.행정구역별 급수인구'!$C$7:$AD$997,26,FALSE)*(1-$E29),0)),VLOOKUP($C29,'[2]2.행정구역별 급수인구'!$C$7:$AD$997,26,FALSE)))</f>
        <v>0</v>
      </c>
      <c r="J29" s="302">
        <f>IF($D29="A",ROUND(VLOOKUP($C29,'[2]2.행정구역별 급수인구'!$C$7:$AD$997,27,FALSE)*$E29,0),IF($D29="B",(ROUND(VLOOKUP($C29,'[2]2.행정구역별 급수인구'!$C$7:$AD$997,27,FALSE)-VLOOKUP($C29,'[2]2.행정구역별 급수인구'!$C$7:$AD$997,27,FALSE)*(1-$E29),0)),VLOOKUP($C29,'[2]2.행정구역별 급수인구'!$C$7:$AD$997,27,FALSE)))</f>
        <v>0</v>
      </c>
      <c r="K29" s="302">
        <f>IF($D29="A",ROUND(VLOOKUP($C29,'[2]2.행정구역별 급수인구'!$C$7:$AD$997,28,FALSE)*$E29,0),IF($D29="B",(ROUND(VLOOKUP($C29,'[2]2.행정구역별 급수인구'!$C$7:$AD$997,28,FALSE)-VLOOKUP($C29,'[2]2.행정구역별 급수인구'!$C$7:$AD$997,28,FALSE)*(1-$E29),0)),VLOOKUP($C29,'[2]2.행정구역별 급수인구'!$C$7:$AD$997,28,FALSE)))</f>
        <v>0</v>
      </c>
      <c r="L29" s="302">
        <f>VLOOKUP($F29,'[3]5.급수원단위'!$B$31:$G$35,2,FALSE)</f>
        <v>272</v>
      </c>
      <c r="M29" s="302">
        <f>VLOOKUP($F29,'[3]5.급수원단위'!$B$31:$G$35,3,FALSE)</f>
        <v>304</v>
      </c>
      <c r="N29" s="302">
        <f>VLOOKUP($F29,'[3]5.급수원단위'!$B$31:$G$35,4,FALSE)</f>
        <v>308</v>
      </c>
      <c r="O29" s="302">
        <f>VLOOKUP($F29,'[3]5.급수원단위'!$B$31:$G$35,5,FALSE)</f>
        <v>310</v>
      </c>
      <c r="P29" s="302">
        <f>VLOOKUP($F29,'[3]5.급수원단위'!$B$31:$G$35,6,FALSE)</f>
        <v>310</v>
      </c>
      <c r="Q29" s="302">
        <f>ROUND(IF(G29=0,0,VLOOKUP(C29,'2013실사용량 정리'!$D$6:$F$381,3,FALSE)),0)</f>
        <v>0</v>
      </c>
      <c r="R29" s="302">
        <f t="shared" si="4"/>
        <v>0</v>
      </c>
      <c r="S29" s="302">
        <f t="shared" si="4"/>
        <v>0</v>
      </c>
      <c r="T29" s="302">
        <f t="shared" si="4"/>
        <v>0</v>
      </c>
      <c r="U29" s="302">
        <f t="shared" si="4"/>
        <v>0</v>
      </c>
      <c r="W29" s="343" t="str">
        <f t="shared" si="2"/>
        <v/>
      </c>
    </row>
    <row r="30" spans="1:23" ht="20.100000000000001" customHeight="1">
      <c r="A30" s="419"/>
      <c r="B30" s="340"/>
      <c r="C30" s="406" t="s">
        <v>1442</v>
      </c>
      <c r="D30" s="330" t="s">
        <v>1299</v>
      </c>
      <c r="E30" s="527">
        <v>0</v>
      </c>
      <c r="F30" s="527" t="s">
        <v>756</v>
      </c>
      <c r="G30" s="302">
        <f>IF($D30="A",ROUND(VLOOKUP($C30,'[2]2.행정구역별 급수인구'!$C$7:$AD$997,17,FALSE)*$E30,0),IF($D30="B",(ROUND(VLOOKUP($C30,'[2]2.행정구역별 급수인구'!$C$7:$AD$997,17,FALSE)-VLOOKUP($C30,'[2]2.행정구역별 급수인구'!$C$7:$AD$997,17,FALSE)*(1-$E30),0)),VLOOKUP($C30,'[2]2.행정구역별 급수인구'!$C$7:$AD$997,17,FALSE)))</f>
        <v>0</v>
      </c>
      <c r="H30" s="302">
        <f>IF($D30="A",ROUND(VLOOKUP($C30,'[2]2.행정구역별 급수인구'!$C$7:$AD$997,25,FALSE)*$E30,0),IF($D30="B",(ROUND(VLOOKUP($C30,'[2]2.행정구역별 급수인구'!$C$7:$AD$997,25,FALSE)-VLOOKUP($C30,'[2]2.행정구역별 급수인구'!$C$7:$AD$997,25,FALSE)*(1-$E30),0)),VLOOKUP($C30,'[2]2.행정구역별 급수인구'!$C$7:$AD$997,25,FALSE)))</f>
        <v>0</v>
      </c>
      <c r="I30" s="302">
        <f>IF($D30="A",ROUND(VLOOKUP($C30,'[2]2.행정구역별 급수인구'!$C$7:$AD$997,26,FALSE)*$E30,0),IF($D30="B",(ROUND(VLOOKUP($C30,'[2]2.행정구역별 급수인구'!$C$7:$AD$997,26,FALSE)-VLOOKUP($C30,'[2]2.행정구역별 급수인구'!$C$7:$AD$997,26,FALSE)*(1-$E30),0)),VLOOKUP($C30,'[2]2.행정구역별 급수인구'!$C$7:$AD$997,26,FALSE)))</f>
        <v>0</v>
      </c>
      <c r="J30" s="302">
        <f>IF($D30="A",ROUND(VLOOKUP($C30,'[2]2.행정구역별 급수인구'!$C$7:$AD$997,27,FALSE)*$E30,0),IF($D30="B",(ROUND(VLOOKUP($C30,'[2]2.행정구역별 급수인구'!$C$7:$AD$997,27,FALSE)-VLOOKUP($C30,'[2]2.행정구역별 급수인구'!$C$7:$AD$997,27,FALSE)*(1-$E30),0)),VLOOKUP($C30,'[2]2.행정구역별 급수인구'!$C$7:$AD$997,27,FALSE)))</f>
        <v>0</v>
      </c>
      <c r="K30" s="302">
        <f>IF($D30="A",ROUND(VLOOKUP($C30,'[2]2.행정구역별 급수인구'!$C$7:$AD$997,28,FALSE)*$E30,0),IF($D30="B",(ROUND(VLOOKUP($C30,'[2]2.행정구역별 급수인구'!$C$7:$AD$997,28,FALSE)-VLOOKUP($C30,'[2]2.행정구역별 급수인구'!$C$7:$AD$997,28,FALSE)*(1-$E30),0)),VLOOKUP($C30,'[2]2.행정구역별 급수인구'!$C$7:$AD$997,28,FALSE)))</f>
        <v>0</v>
      </c>
      <c r="L30" s="302">
        <f>VLOOKUP($F30,'[3]5.급수원단위'!$B$31:$G$35,2,FALSE)</f>
        <v>272</v>
      </c>
      <c r="M30" s="302">
        <f>VLOOKUP($F30,'[3]5.급수원단위'!$B$31:$G$35,3,FALSE)</f>
        <v>304</v>
      </c>
      <c r="N30" s="302">
        <f>VLOOKUP($F30,'[3]5.급수원단위'!$B$31:$G$35,4,FALSE)</f>
        <v>308</v>
      </c>
      <c r="O30" s="302">
        <f>VLOOKUP($F30,'[3]5.급수원단위'!$B$31:$G$35,5,FALSE)</f>
        <v>310</v>
      </c>
      <c r="P30" s="302">
        <f>VLOOKUP($F30,'[3]5.급수원단위'!$B$31:$G$35,6,FALSE)</f>
        <v>310</v>
      </c>
      <c r="Q30" s="302">
        <f>ROUND(IF(G30=0,0,VLOOKUP(C30,'2013실사용량 정리'!$D$6:$F$381,3,FALSE)),0)</f>
        <v>0</v>
      </c>
      <c r="R30" s="302">
        <f t="shared" si="4"/>
        <v>0</v>
      </c>
      <c r="S30" s="302">
        <f t="shared" si="4"/>
        <v>0</v>
      </c>
      <c r="T30" s="302">
        <f t="shared" si="4"/>
        <v>0</v>
      </c>
      <c r="U30" s="302">
        <f t="shared" si="4"/>
        <v>0</v>
      </c>
      <c r="W30" s="343" t="str">
        <f t="shared" si="2"/>
        <v/>
      </c>
    </row>
    <row r="31" spans="1:23" ht="20.100000000000001" customHeight="1">
      <c r="A31" s="419"/>
      <c r="B31" s="386"/>
      <c r="C31" s="406" t="s">
        <v>1443</v>
      </c>
      <c r="D31" s="330" t="s">
        <v>1299</v>
      </c>
      <c r="E31" s="527">
        <v>0</v>
      </c>
      <c r="F31" s="527" t="s">
        <v>756</v>
      </c>
      <c r="G31" s="302">
        <f>IF($D31="A",ROUND(VLOOKUP($C31,'[2]2.행정구역별 급수인구'!$C$7:$AD$997,17,FALSE)*$E31,0),IF($D31="B",(ROUND(VLOOKUP($C31,'[2]2.행정구역별 급수인구'!$C$7:$AD$997,17,FALSE)-VLOOKUP($C31,'[2]2.행정구역별 급수인구'!$C$7:$AD$997,17,FALSE)*(1-$E31),0)),VLOOKUP($C31,'[2]2.행정구역별 급수인구'!$C$7:$AD$997,17,FALSE)))</f>
        <v>0</v>
      </c>
      <c r="H31" s="302">
        <f>IF($D31="A",ROUND(VLOOKUP($C31,'[2]2.행정구역별 급수인구'!$C$7:$AD$997,25,FALSE)*$E31,0),IF($D31="B",(ROUND(VLOOKUP($C31,'[2]2.행정구역별 급수인구'!$C$7:$AD$997,25,FALSE)-VLOOKUP($C31,'[2]2.행정구역별 급수인구'!$C$7:$AD$997,25,FALSE)*(1-$E31),0)),VLOOKUP($C31,'[2]2.행정구역별 급수인구'!$C$7:$AD$997,25,FALSE)))</f>
        <v>0</v>
      </c>
      <c r="I31" s="302">
        <f>IF($D31="A",ROUND(VLOOKUP($C31,'[2]2.행정구역별 급수인구'!$C$7:$AD$997,26,FALSE)*$E31,0),IF($D31="B",(ROUND(VLOOKUP($C31,'[2]2.행정구역별 급수인구'!$C$7:$AD$997,26,FALSE)-VLOOKUP($C31,'[2]2.행정구역별 급수인구'!$C$7:$AD$997,26,FALSE)*(1-$E31),0)),VLOOKUP($C31,'[2]2.행정구역별 급수인구'!$C$7:$AD$997,26,FALSE)))</f>
        <v>0</v>
      </c>
      <c r="J31" s="302">
        <f>IF($D31="A",ROUND(VLOOKUP($C31,'[2]2.행정구역별 급수인구'!$C$7:$AD$997,27,FALSE)*$E31,0),IF($D31="B",(ROUND(VLOOKUP($C31,'[2]2.행정구역별 급수인구'!$C$7:$AD$997,27,FALSE)-VLOOKUP($C31,'[2]2.행정구역별 급수인구'!$C$7:$AD$997,27,FALSE)*(1-$E31),0)),VLOOKUP($C31,'[2]2.행정구역별 급수인구'!$C$7:$AD$997,27,FALSE)))</f>
        <v>0</v>
      </c>
      <c r="K31" s="302">
        <f>IF($D31="A",ROUND(VLOOKUP($C31,'[2]2.행정구역별 급수인구'!$C$7:$AD$997,28,FALSE)*$E31,0),IF($D31="B",(ROUND(VLOOKUP($C31,'[2]2.행정구역별 급수인구'!$C$7:$AD$997,28,FALSE)-VLOOKUP($C31,'[2]2.행정구역별 급수인구'!$C$7:$AD$997,28,FALSE)*(1-$E31),0)),VLOOKUP($C31,'[2]2.행정구역별 급수인구'!$C$7:$AD$997,28,FALSE)))</f>
        <v>0</v>
      </c>
      <c r="L31" s="302">
        <f>VLOOKUP($F31,'[3]5.급수원단위'!$B$31:$G$35,2,FALSE)</f>
        <v>272</v>
      </c>
      <c r="M31" s="302">
        <f>VLOOKUP($F31,'[3]5.급수원단위'!$B$31:$G$35,3,FALSE)</f>
        <v>304</v>
      </c>
      <c r="N31" s="302">
        <f>VLOOKUP($F31,'[3]5.급수원단위'!$B$31:$G$35,4,FALSE)</f>
        <v>308</v>
      </c>
      <c r="O31" s="302">
        <f>VLOOKUP($F31,'[3]5.급수원단위'!$B$31:$G$35,5,FALSE)</f>
        <v>310</v>
      </c>
      <c r="P31" s="302">
        <f>VLOOKUP($F31,'[3]5.급수원단위'!$B$31:$G$35,6,FALSE)</f>
        <v>310</v>
      </c>
      <c r="Q31" s="302">
        <f>ROUND(IF(G31=0,0,VLOOKUP(C31,'2013실사용량 정리'!$D$6:$F$381,3,FALSE)),0)</f>
        <v>0</v>
      </c>
      <c r="R31" s="302">
        <f t="shared" si="4"/>
        <v>0</v>
      </c>
      <c r="S31" s="302">
        <f t="shared" si="4"/>
        <v>0</v>
      </c>
      <c r="T31" s="302">
        <f t="shared" si="4"/>
        <v>0</v>
      </c>
      <c r="U31" s="302">
        <f t="shared" si="4"/>
        <v>0</v>
      </c>
      <c r="W31" s="343" t="str">
        <f t="shared" si="2"/>
        <v/>
      </c>
    </row>
    <row r="32" spans="1:23" ht="20.100000000000001" customHeight="1">
      <c r="A32" s="419"/>
      <c r="B32" s="694" t="s">
        <v>710</v>
      </c>
      <c r="C32" s="694"/>
      <c r="D32" s="694"/>
      <c r="E32" s="331"/>
      <c r="F32" s="331"/>
      <c r="G32" s="336">
        <f>SUM(G33:G59)</f>
        <v>939</v>
      </c>
      <c r="H32" s="336">
        <f t="shared" ref="H32:K32" si="5">SUM(H33:H59)</f>
        <v>1048</v>
      </c>
      <c r="I32" s="336">
        <f t="shared" si="5"/>
        <v>1097</v>
      </c>
      <c r="J32" s="336">
        <f t="shared" si="5"/>
        <v>1185</v>
      </c>
      <c r="K32" s="336">
        <f t="shared" si="5"/>
        <v>1208</v>
      </c>
      <c r="L32" s="336"/>
      <c r="M32" s="336"/>
      <c r="N32" s="336"/>
      <c r="O32" s="336"/>
      <c r="P32" s="336"/>
      <c r="Q32" s="336">
        <f t="shared" ref="Q32:U32" si="6">SUM(Q33:Q59)</f>
        <v>206</v>
      </c>
      <c r="R32" s="336">
        <f t="shared" si="6"/>
        <v>319</v>
      </c>
      <c r="S32" s="336">
        <f t="shared" si="6"/>
        <v>338</v>
      </c>
      <c r="T32" s="336">
        <f t="shared" si="6"/>
        <v>369</v>
      </c>
      <c r="U32" s="336">
        <f t="shared" si="6"/>
        <v>374</v>
      </c>
      <c r="V32" s="343">
        <f>VLOOKUP(B32,'2013년도 용수량 비율'!$A$5:$F$20,6,FALSE)</f>
        <v>0.05</v>
      </c>
      <c r="W32" s="343"/>
    </row>
    <row r="33" spans="1:23" ht="20.100000000000001" customHeight="1">
      <c r="A33" s="419"/>
      <c r="B33" s="339"/>
      <c r="C33" s="406" t="s">
        <v>1302</v>
      </c>
      <c r="D33" s="330" t="s">
        <v>1300</v>
      </c>
      <c r="E33" s="527">
        <f>1-'2.생활용수(연무)'!E7</f>
        <v>0</v>
      </c>
      <c r="F33" s="527" t="s">
        <v>756</v>
      </c>
      <c r="G33" s="302">
        <f>IF($D33="A",ROUND(VLOOKUP($C33,'[2]2.행정구역별 급수인구'!$C$7:$AD$997,17,FALSE)*$E33,0),IF($D33="B",(ROUND(VLOOKUP($C33,'[2]2.행정구역별 급수인구'!$C$7:$AD$997,17,FALSE)-VLOOKUP($C33,'[2]2.행정구역별 급수인구'!$C$7:$AD$997,17,FALSE)*(1-$E33),0)),VLOOKUP($C33,'[2]2.행정구역별 급수인구'!$C$7:$AD$997,17,FALSE)))</f>
        <v>0</v>
      </c>
      <c r="H33" s="302">
        <f>IF($D33="A",ROUND(VLOOKUP($C33,'[2]2.행정구역별 급수인구'!$C$7:$AD$997,25,FALSE)*$E33,0),IF($D33="B",(ROUND(VLOOKUP($C33,'[2]2.행정구역별 급수인구'!$C$7:$AD$997,25,FALSE)-VLOOKUP($C33,'[2]2.행정구역별 급수인구'!$C$7:$AD$997,25,FALSE)*(1-$E33),0)),VLOOKUP($C33,'[2]2.행정구역별 급수인구'!$C$7:$AD$997,25,FALSE)))</f>
        <v>0</v>
      </c>
      <c r="I33" s="302">
        <f>IF($D33="A",ROUND(VLOOKUP($C33,'[2]2.행정구역별 급수인구'!$C$7:$AD$997,26,FALSE)*$E33,0),IF($D33="B",(ROUND(VLOOKUP($C33,'[2]2.행정구역별 급수인구'!$C$7:$AD$997,26,FALSE)-VLOOKUP($C33,'[2]2.행정구역별 급수인구'!$C$7:$AD$997,26,FALSE)*(1-$E33),0)),VLOOKUP($C33,'[2]2.행정구역별 급수인구'!$C$7:$AD$997,26,FALSE)))</f>
        <v>0</v>
      </c>
      <c r="J33" s="302">
        <f>IF($D33="A",ROUND(VLOOKUP($C33,'[2]2.행정구역별 급수인구'!$C$7:$AD$997,27,FALSE)*$E33,0),IF($D33="B",(ROUND(VLOOKUP($C33,'[2]2.행정구역별 급수인구'!$C$7:$AD$997,27,FALSE)-VLOOKUP($C33,'[2]2.행정구역별 급수인구'!$C$7:$AD$997,27,FALSE)*(1-$E33),0)),VLOOKUP($C33,'[2]2.행정구역별 급수인구'!$C$7:$AD$997,27,FALSE)))</f>
        <v>0</v>
      </c>
      <c r="K33" s="302">
        <f>IF($D33="A",ROUND(VLOOKUP($C33,'[2]2.행정구역별 급수인구'!$C$7:$AD$997,28,FALSE)*$E33,0),IF($D33="B",(ROUND(VLOOKUP($C33,'[2]2.행정구역별 급수인구'!$C$7:$AD$997,28,FALSE)-VLOOKUP($C33,'[2]2.행정구역별 급수인구'!$C$7:$AD$997,28,FALSE)*(1-$E33),0)),VLOOKUP($C33,'[2]2.행정구역별 급수인구'!$C$7:$AD$997,28,FALSE)))</f>
        <v>0</v>
      </c>
      <c r="L33" s="302">
        <f>VLOOKUP($F33,'[3]5.급수원단위'!$B$31:$G$35,2,FALSE)</f>
        <v>272</v>
      </c>
      <c r="M33" s="302">
        <f>VLOOKUP($F33,'[3]5.급수원단위'!$B$31:$G$35,3,FALSE)</f>
        <v>304</v>
      </c>
      <c r="N33" s="302">
        <f>VLOOKUP($F33,'[3]5.급수원단위'!$B$31:$G$35,4,FALSE)</f>
        <v>308</v>
      </c>
      <c r="O33" s="302">
        <f>VLOOKUP($F33,'[3]5.급수원단위'!$B$31:$G$35,5,FALSE)</f>
        <v>310</v>
      </c>
      <c r="P33" s="302">
        <f>VLOOKUP($F33,'[3]5.급수원단위'!$B$31:$G$35,6,FALSE)</f>
        <v>310</v>
      </c>
      <c r="Q33" s="302">
        <f>ROUND(IF(G33=0,0,VLOOKUP(C33,'2013실사용량 정리'!$D$6:$F$381,3,FALSE)),0)</f>
        <v>0</v>
      </c>
      <c r="R33" s="302">
        <f>ROUND(H33*M33/1000,0)</f>
        <v>0</v>
      </c>
      <c r="S33" s="302">
        <f>ROUND(I33*N33/1000,0)</f>
        <v>0</v>
      </c>
      <c r="T33" s="302">
        <f>ROUND(J33*O33/1000,0)</f>
        <v>0</v>
      </c>
      <c r="U33" s="302">
        <f>ROUND(K33*P33/1000,0)</f>
        <v>0</v>
      </c>
      <c r="W33" s="343" t="str">
        <f t="shared" si="2"/>
        <v/>
      </c>
    </row>
    <row r="34" spans="1:23" ht="20.100000000000001" customHeight="1">
      <c r="A34" s="419"/>
      <c r="B34" s="340"/>
      <c r="C34" s="406" t="s">
        <v>1303</v>
      </c>
      <c r="D34" s="330" t="s">
        <v>1300</v>
      </c>
      <c r="E34" s="527">
        <f>1-'2.생활용수(연무)'!E8</f>
        <v>0</v>
      </c>
      <c r="F34" s="527" t="s">
        <v>756</v>
      </c>
      <c r="G34" s="302">
        <f>IF($D34="A",ROUND(VLOOKUP($C34,'[2]2.행정구역별 급수인구'!$C$7:$AD$997,17,FALSE)*$E34,0),IF($D34="B",(ROUND(VLOOKUP($C34,'[2]2.행정구역별 급수인구'!$C$7:$AD$997,17,FALSE)-VLOOKUP($C34,'[2]2.행정구역별 급수인구'!$C$7:$AD$997,17,FALSE)*(1-$E34),0)),VLOOKUP($C34,'[2]2.행정구역별 급수인구'!$C$7:$AD$997,17,FALSE)))</f>
        <v>0</v>
      </c>
      <c r="H34" s="302">
        <f>IF($D34="A",ROUND(VLOOKUP($C34,'[2]2.행정구역별 급수인구'!$C$7:$AD$997,25,FALSE)*$E34,0),IF($D34="B",(ROUND(VLOOKUP($C34,'[2]2.행정구역별 급수인구'!$C$7:$AD$997,25,FALSE)-VLOOKUP($C34,'[2]2.행정구역별 급수인구'!$C$7:$AD$997,25,FALSE)*(1-$E34),0)),VLOOKUP($C34,'[2]2.행정구역별 급수인구'!$C$7:$AD$997,25,FALSE)))</f>
        <v>0</v>
      </c>
      <c r="I34" s="302">
        <f>IF($D34="A",ROUND(VLOOKUP($C34,'[2]2.행정구역별 급수인구'!$C$7:$AD$997,26,FALSE)*$E34,0),IF($D34="B",(ROUND(VLOOKUP($C34,'[2]2.행정구역별 급수인구'!$C$7:$AD$997,26,FALSE)-VLOOKUP($C34,'[2]2.행정구역별 급수인구'!$C$7:$AD$997,26,FALSE)*(1-$E34),0)),VLOOKUP($C34,'[2]2.행정구역별 급수인구'!$C$7:$AD$997,26,FALSE)))</f>
        <v>0</v>
      </c>
      <c r="J34" s="302">
        <f>IF($D34="A",ROUND(VLOOKUP($C34,'[2]2.행정구역별 급수인구'!$C$7:$AD$997,27,FALSE)*$E34,0),IF($D34="B",(ROUND(VLOOKUP($C34,'[2]2.행정구역별 급수인구'!$C$7:$AD$997,27,FALSE)-VLOOKUP($C34,'[2]2.행정구역별 급수인구'!$C$7:$AD$997,27,FALSE)*(1-$E34),0)),VLOOKUP($C34,'[2]2.행정구역별 급수인구'!$C$7:$AD$997,27,FALSE)))</f>
        <v>0</v>
      </c>
      <c r="K34" s="302">
        <f>IF($D34="A",ROUND(VLOOKUP($C34,'[2]2.행정구역별 급수인구'!$C$7:$AD$997,28,FALSE)*$E34,0),IF($D34="B",(ROUND(VLOOKUP($C34,'[2]2.행정구역별 급수인구'!$C$7:$AD$997,28,FALSE)-VLOOKUP($C34,'[2]2.행정구역별 급수인구'!$C$7:$AD$997,28,FALSE)*(1-$E34),0)),VLOOKUP($C34,'[2]2.행정구역별 급수인구'!$C$7:$AD$997,28,FALSE)))</f>
        <v>0</v>
      </c>
      <c r="L34" s="302">
        <f>VLOOKUP($F34,'[3]5.급수원단위'!$B$31:$G$35,2,FALSE)</f>
        <v>272</v>
      </c>
      <c r="M34" s="302">
        <f>VLOOKUP($F34,'[3]5.급수원단위'!$B$31:$G$35,3,FALSE)</f>
        <v>304</v>
      </c>
      <c r="N34" s="302">
        <f>VLOOKUP($F34,'[3]5.급수원단위'!$B$31:$G$35,4,FALSE)</f>
        <v>308</v>
      </c>
      <c r="O34" s="302">
        <f>VLOOKUP($F34,'[3]5.급수원단위'!$B$31:$G$35,5,FALSE)</f>
        <v>310</v>
      </c>
      <c r="P34" s="302">
        <f>VLOOKUP($F34,'[3]5.급수원단위'!$B$31:$G$35,6,FALSE)</f>
        <v>310</v>
      </c>
      <c r="Q34" s="302">
        <f>ROUND(IF(G34=0,0,VLOOKUP(C34,'2013실사용량 정리'!$D$6:$F$381,3,FALSE)),0)</f>
        <v>0</v>
      </c>
      <c r="R34" s="302">
        <f t="shared" ref="R34:U59" si="7">ROUND(H34*M34/1000,0)</f>
        <v>0</v>
      </c>
      <c r="S34" s="302">
        <f t="shared" si="7"/>
        <v>0</v>
      </c>
      <c r="T34" s="302">
        <f t="shared" si="7"/>
        <v>0</v>
      </c>
      <c r="U34" s="302">
        <f t="shared" si="7"/>
        <v>0</v>
      </c>
      <c r="W34" s="343" t="str">
        <f t="shared" si="2"/>
        <v/>
      </c>
    </row>
    <row r="35" spans="1:23" ht="20.100000000000001" customHeight="1">
      <c r="A35" s="419"/>
      <c r="B35" s="340"/>
      <c r="C35" s="406" t="s">
        <v>1304</v>
      </c>
      <c r="D35" s="330" t="s">
        <v>1300</v>
      </c>
      <c r="E35" s="527">
        <f>1-'2.생활용수(연무)'!E9</f>
        <v>0</v>
      </c>
      <c r="F35" s="527" t="s">
        <v>756</v>
      </c>
      <c r="G35" s="302">
        <f>IF($D35="A",ROUND(VLOOKUP($C35,'[2]2.행정구역별 급수인구'!$C$7:$AD$997,17,FALSE)*$E35,0),IF($D35="B",(ROUND(VLOOKUP($C35,'[2]2.행정구역별 급수인구'!$C$7:$AD$997,17,FALSE)-VLOOKUP($C35,'[2]2.행정구역별 급수인구'!$C$7:$AD$997,17,FALSE)*(1-$E35),0)),VLOOKUP($C35,'[2]2.행정구역별 급수인구'!$C$7:$AD$997,17,FALSE)))</f>
        <v>0</v>
      </c>
      <c r="H35" s="302">
        <f>IF($D35="A",ROUND(VLOOKUP($C35,'[2]2.행정구역별 급수인구'!$C$7:$AD$997,25,FALSE)*$E35,0),IF($D35="B",(ROUND(VLOOKUP($C35,'[2]2.행정구역별 급수인구'!$C$7:$AD$997,25,FALSE)-VLOOKUP($C35,'[2]2.행정구역별 급수인구'!$C$7:$AD$997,25,FALSE)*(1-$E35),0)),VLOOKUP($C35,'[2]2.행정구역별 급수인구'!$C$7:$AD$997,25,FALSE)))</f>
        <v>0</v>
      </c>
      <c r="I35" s="302">
        <f>IF($D35="A",ROUND(VLOOKUP($C35,'[2]2.행정구역별 급수인구'!$C$7:$AD$997,26,FALSE)*$E35,0),IF($D35="B",(ROUND(VLOOKUP($C35,'[2]2.행정구역별 급수인구'!$C$7:$AD$997,26,FALSE)-VLOOKUP($C35,'[2]2.행정구역별 급수인구'!$C$7:$AD$997,26,FALSE)*(1-$E35),0)),VLOOKUP($C35,'[2]2.행정구역별 급수인구'!$C$7:$AD$997,26,FALSE)))</f>
        <v>0</v>
      </c>
      <c r="J35" s="302">
        <f>IF($D35="A",ROUND(VLOOKUP($C35,'[2]2.행정구역별 급수인구'!$C$7:$AD$997,27,FALSE)*$E35,0),IF($D35="B",(ROUND(VLOOKUP($C35,'[2]2.행정구역별 급수인구'!$C$7:$AD$997,27,FALSE)-VLOOKUP($C35,'[2]2.행정구역별 급수인구'!$C$7:$AD$997,27,FALSE)*(1-$E35),0)),VLOOKUP($C35,'[2]2.행정구역별 급수인구'!$C$7:$AD$997,27,FALSE)))</f>
        <v>0</v>
      </c>
      <c r="K35" s="302">
        <f>IF($D35="A",ROUND(VLOOKUP($C35,'[2]2.행정구역별 급수인구'!$C$7:$AD$997,28,FALSE)*$E35,0),IF($D35="B",(ROUND(VLOOKUP($C35,'[2]2.행정구역별 급수인구'!$C$7:$AD$997,28,FALSE)-VLOOKUP($C35,'[2]2.행정구역별 급수인구'!$C$7:$AD$997,28,FALSE)*(1-$E35),0)),VLOOKUP($C35,'[2]2.행정구역별 급수인구'!$C$7:$AD$997,28,FALSE)))</f>
        <v>0</v>
      </c>
      <c r="L35" s="302">
        <f>VLOOKUP($F35,'[3]5.급수원단위'!$B$31:$G$35,2,FALSE)</f>
        <v>272</v>
      </c>
      <c r="M35" s="302">
        <f>VLOOKUP($F35,'[3]5.급수원단위'!$B$31:$G$35,3,FALSE)</f>
        <v>304</v>
      </c>
      <c r="N35" s="302">
        <f>VLOOKUP($F35,'[3]5.급수원단위'!$B$31:$G$35,4,FALSE)</f>
        <v>308</v>
      </c>
      <c r="O35" s="302">
        <f>VLOOKUP($F35,'[3]5.급수원단위'!$B$31:$G$35,5,FALSE)</f>
        <v>310</v>
      </c>
      <c r="P35" s="302">
        <f>VLOOKUP($F35,'[3]5.급수원단위'!$B$31:$G$35,6,FALSE)</f>
        <v>310</v>
      </c>
      <c r="Q35" s="302">
        <f>ROUND(IF(G35=0,0,VLOOKUP(C35,'2013실사용량 정리'!$D$6:$F$381,3,FALSE)),0)</f>
        <v>0</v>
      </c>
      <c r="R35" s="302">
        <f t="shared" si="7"/>
        <v>0</v>
      </c>
      <c r="S35" s="302">
        <f t="shared" si="7"/>
        <v>0</v>
      </c>
      <c r="T35" s="302">
        <f t="shared" si="7"/>
        <v>0</v>
      </c>
      <c r="U35" s="302">
        <f t="shared" si="7"/>
        <v>0</v>
      </c>
      <c r="W35" s="343" t="str">
        <f t="shared" si="2"/>
        <v/>
      </c>
    </row>
    <row r="36" spans="1:23" ht="20.100000000000001" customHeight="1">
      <c r="A36" s="419"/>
      <c r="B36" s="340"/>
      <c r="C36" s="406" t="s">
        <v>1305</v>
      </c>
      <c r="D36" s="330" t="s">
        <v>1300</v>
      </c>
      <c r="E36" s="527">
        <f>1-'2.생활용수(연무)'!E10</f>
        <v>0</v>
      </c>
      <c r="F36" s="527" t="s">
        <v>756</v>
      </c>
      <c r="G36" s="302">
        <f>IF($D36="A",ROUND(VLOOKUP($C36,'[2]2.행정구역별 급수인구'!$C$7:$AD$997,17,FALSE)*$E36,0),IF($D36="B",(ROUND(VLOOKUP($C36,'[2]2.행정구역별 급수인구'!$C$7:$AD$997,17,FALSE)-VLOOKUP($C36,'[2]2.행정구역별 급수인구'!$C$7:$AD$997,17,FALSE)*(1-$E36),0)),VLOOKUP($C36,'[2]2.행정구역별 급수인구'!$C$7:$AD$997,17,FALSE)))</f>
        <v>0</v>
      </c>
      <c r="H36" s="302">
        <f>IF($D36="A",ROUND(VLOOKUP($C36,'[2]2.행정구역별 급수인구'!$C$7:$AD$997,25,FALSE)*$E36,0),IF($D36="B",(ROUND(VLOOKUP($C36,'[2]2.행정구역별 급수인구'!$C$7:$AD$997,25,FALSE)-VLOOKUP($C36,'[2]2.행정구역별 급수인구'!$C$7:$AD$997,25,FALSE)*(1-$E36),0)),VLOOKUP($C36,'[2]2.행정구역별 급수인구'!$C$7:$AD$997,25,FALSE)))</f>
        <v>0</v>
      </c>
      <c r="I36" s="302">
        <f>IF($D36="A",ROUND(VLOOKUP($C36,'[2]2.행정구역별 급수인구'!$C$7:$AD$997,26,FALSE)*$E36,0),IF($D36="B",(ROUND(VLOOKUP($C36,'[2]2.행정구역별 급수인구'!$C$7:$AD$997,26,FALSE)-VLOOKUP($C36,'[2]2.행정구역별 급수인구'!$C$7:$AD$997,26,FALSE)*(1-$E36),0)),VLOOKUP($C36,'[2]2.행정구역별 급수인구'!$C$7:$AD$997,26,FALSE)))</f>
        <v>0</v>
      </c>
      <c r="J36" s="302">
        <f>IF($D36="A",ROUND(VLOOKUP($C36,'[2]2.행정구역별 급수인구'!$C$7:$AD$997,27,FALSE)*$E36,0),IF($D36="B",(ROUND(VLOOKUP($C36,'[2]2.행정구역별 급수인구'!$C$7:$AD$997,27,FALSE)-VLOOKUP($C36,'[2]2.행정구역별 급수인구'!$C$7:$AD$997,27,FALSE)*(1-$E36),0)),VLOOKUP($C36,'[2]2.행정구역별 급수인구'!$C$7:$AD$997,27,FALSE)))</f>
        <v>0</v>
      </c>
      <c r="K36" s="302">
        <f>IF($D36="A",ROUND(VLOOKUP($C36,'[2]2.행정구역별 급수인구'!$C$7:$AD$997,28,FALSE)*$E36,0),IF($D36="B",(ROUND(VLOOKUP($C36,'[2]2.행정구역별 급수인구'!$C$7:$AD$997,28,FALSE)-VLOOKUP($C36,'[2]2.행정구역별 급수인구'!$C$7:$AD$997,28,FALSE)*(1-$E36),0)),VLOOKUP($C36,'[2]2.행정구역별 급수인구'!$C$7:$AD$997,28,FALSE)))</f>
        <v>0</v>
      </c>
      <c r="L36" s="302">
        <f>VLOOKUP($F36,'[3]5.급수원단위'!$B$31:$G$35,2,FALSE)</f>
        <v>272</v>
      </c>
      <c r="M36" s="302">
        <f>VLOOKUP($F36,'[3]5.급수원단위'!$B$31:$G$35,3,FALSE)</f>
        <v>304</v>
      </c>
      <c r="N36" s="302">
        <f>VLOOKUP($F36,'[3]5.급수원단위'!$B$31:$G$35,4,FALSE)</f>
        <v>308</v>
      </c>
      <c r="O36" s="302">
        <f>VLOOKUP($F36,'[3]5.급수원단위'!$B$31:$G$35,5,FALSE)</f>
        <v>310</v>
      </c>
      <c r="P36" s="302">
        <f>VLOOKUP($F36,'[3]5.급수원단위'!$B$31:$G$35,6,FALSE)</f>
        <v>310</v>
      </c>
      <c r="Q36" s="302">
        <f>ROUND(IF(G36=0,0,VLOOKUP(C36,'2013실사용량 정리'!$D$6:$F$381,3,FALSE)),0)</f>
        <v>0</v>
      </c>
      <c r="R36" s="302">
        <f t="shared" si="7"/>
        <v>0</v>
      </c>
      <c r="S36" s="302">
        <f t="shared" si="7"/>
        <v>0</v>
      </c>
      <c r="T36" s="302">
        <f t="shared" si="7"/>
        <v>0</v>
      </c>
      <c r="U36" s="302">
        <f t="shared" si="7"/>
        <v>0</v>
      </c>
      <c r="W36" s="343" t="str">
        <f t="shared" si="2"/>
        <v/>
      </c>
    </row>
    <row r="37" spans="1:23" ht="20.100000000000001" customHeight="1">
      <c r="A37" s="419"/>
      <c r="B37" s="340"/>
      <c r="C37" s="406" t="s">
        <v>1306</v>
      </c>
      <c r="D37" s="330" t="s">
        <v>1300</v>
      </c>
      <c r="E37" s="527">
        <f>1-'2.생활용수(연무)'!E11</f>
        <v>0</v>
      </c>
      <c r="F37" s="527" t="s">
        <v>756</v>
      </c>
      <c r="G37" s="302">
        <f>IF($D37="A",ROUND(VLOOKUP($C37,'[2]2.행정구역별 급수인구'!$C$7:$AD$997,17,FALSE)*$E37,0),IF($D37="B",(ROUND(VLOOKUP($C37,'[2]2.행정구역별 급수인구'!$C$7:$AD$997,17,FALSE)-VLOOKUP($C37,'[2]2.행정구역별 급수인구'!$C$7:$AD$997,17,FALSE)*(1-$E37),0)),VLOOKUP($C37,'[2]2.행정구역별 급수인구'!$C$7:$AD$997,17,FALSE)))</f>
        <v>0</v>
      </c>
      <c r="H37" s="302">
        <f>IF($D37="A",ROUND(VLOOKUP($C37,'[2]2.행정구역별 급수인구'!$C$7:$AD$997,25,FALSE)*$E37,0),IF($D37="B",(ROUND(VLOOKUP($C37,'[2]2.행정구역별 급수인구'!$C$7:$AD$997,25,FALSE)-VLOOKUP($C37,'[2]2.행정구역별 급수인구'!$C$7:$AD$997,25,FALSE)*(1-$E37),0)),VLOOKUP($C37,'[2]2.행정구역별 급수인구'!$C$7:$AD$997,25,FALSE)))</f>
        <v>0</v>
      </c>
      <c r="I37" s="302">
        <f>IF($D37="A",ROUND(VLOOKUP($C37,'[2]2.행정구역별 급수인구'!$C$7:$AD$997,26,FALSE)*$E37,0),IF($D37="B",(ROUND(VLOOKUP($C37,'[2]2.행정구역별 급수인구'!$C$7:$AD$997,26,FALSE)-VLOOKUP($C37,'[2]2.행정구역별 급수인구'!$C$7:$AD$997,26,FALSE)*(1-$E37),0)),VLOOKUP($C37,'[2]2.행정구역별 급수인구'!$C$7:$AD$997,26,FALSE)))</f>
        <v>0</v>
      </c>
      <c r="J37" s="302">
        <f>IF($D37="A",ROUND(VLOOKUP($C37,'[2]2.행정구역별 급수인구'!$C$7:$AD$997,27,FALSE)*$E37,0),IF($D37="B",(ROUND(VLOOKUP($C37,'[2]2.행정구역별 급수인구'!$C$7:$AD$997,27,FALSE)-VLOOKUP($C37,'[2]2.행정구역별 급수인구'!$C$7:$AD$997,27,FALSE)*(1-$E37),0)),VLOOKUP($C37,'[2]2.행정구역별 급수인구'!$C$7:$AD$997,27,FALSE)))</f>
        <v>0</v>
      </c>
      <c r="K37" s="302">
        <f>IF($D37="A",ROUND(VLOOKUP($C37,'[2]2.행정구역별 급수인구'!$C$7:$AD$997,28,FALSE)*$E37,0),IF($D37="B",(ROUND(VLOOKUP($C37,'[2]2.행정구역별 급수인구'!$C$7:$AD$997,28,FALSE)-VLOOKUP($C37,'[2]2.행정구역별 급수인구'!$C$7:$AD$997,28,FALSE)*(1-$E37),0)),VLOOKUP($C37,'[2]2.행정구역별 급수인구'!$C$7:$AD$997,28,FALSE)))</f>
        <v>0</v>
      </c>
      <c r="L37" s="302">
        <f>VLOOKUP($F37,'[3]5.급수원단위'!$B$31:$G$35,2,FALSE)</f>
        <v>272</v>
      </c>
      <c r="M37" s="302">
        <f>VLOOKUP($F37,'[3]5.급수원단위'!$B$31:$G$35,3,FALSE)</f>
        <v>304</v>
      </c>
      <c r="N37" s="302">
        <f>VLOOKUP($F37,'[3]5.급수원단위'!$B$31:$G$35,4,FALSE)</f>
        <v>308</v>
      </c>
      <c r="O37" s="302">
        <f>VLOOKUP($F37,'[3]5.급수원단위'!$B$31:$G$35,5,FALSE)</f>
        <v>310</v>
      </c>
      <c r="P37" s="302">
        <f>VLOOKUP($F37,'[3]5.급수원단위'!$B$31:$G$35,6,FALSE)</f>
        <v>310</v>
      </c>
      <c r="Q37" s="302">
        <f>ROUND(IF(G37=0,0,VLOOKUP(C37,'2013실사용량 정리'!$D$6:$F$381,3,FALSE)),0)</f>
        <v>0</v>
      </c>
      <c r="R37" s="302">
        <f t="shared" si="7"/>
        <v>0</v>
      </c>
      <c r="S37" s="302">
        <f t="shared" si="7"/>
        <v>0</v>
      </c>
      <c r="T37" s="302">
        <f t="shared" si="7"/>
        <v>0</v>
      </c>
      <c r="U37" s="302">
        <f t="shared" si="7"/>
        <v>0</v>
      </c>
      <c r="W37" s="343" t="str">
        <f t="shared" si="2"/>
        <v/>
      </c>
    </row>
    <row r="38" spans="1:23" ht="20.100000000000001" customHeight="1">
      <c r="A38" s="419"/>
      <c r="B38" s="340"/>
      <c r="C38" s="406" t="s">
        <v>1307</v>
      </c>
      <c r="D38" s="330" t="s">
        <v>1300</v>
      </c>
      <c r="E38" s="527">
        <f>1-'2.생활용수(연무)'!E12</f>
        <v>0</v>
      </c>
      <c r="F38" s="527" t="s">
        <v>756</v>
      </c>
      <c r="G38" s="302">
        <f>IF($D38="A",ROUND(VLOOKUP($C38,'[2]2.행정구역별 급수인구'!$C$7:$AD$997,17,FALSE)*$E38,0),IF($D38="B",(ROUND(VLOOKUP($C38,'[2]2.행정구역별 급수인구'!$C$7:$AD$997,17,FALSE)-VLOOKUP($C38,'[2]2.행정구역별 급수인구'!$C$7:$AD$997,17,FALSE)*(1-$E38),0)),VLOOKUP($C38,'[2]2.행정구역별 급수인구'!$C$7:$AD$997,17,FALSE)))</f>
        <v>0</v>
      </c>
      <c r="H38" s="302">
        <f>IF($D38="A",ROUND(VLOOKUP($C38,'[2]2.행정구역별 급수인구'!$C$7:$AD$997,25,FALSE)*$E38,0),IF($D38="B",(ROUND(VLOOKUP($C38,'[2]2.행정구역별 급수인구'!$C$7:$AD$997,25,FALSE)-VLOOKUP($C38,'[2]2.행정구역별 급수인구'!$C$7:$AD$997,25,FALSE)*(1-$E38),0)),VLOOKUP($C38,'[2]2.행정구역별 급수인구'!$C$7:$AD$997,25,FALSE)))</f>
        <v>0</v>
      </c>
      <c r="I38" s="302">
        <f>IF($D38="A",ROUND(VLOOKUP($C38,'[2]2.행정구역별 급수인구'!$C$7:$AD$997,26,FALSE)*$E38,0),IF($D38="B",(ROUND(VLOOKUP($C38,'[2]2.행정구역별 급수인구'!$C$7:$AD$997,26,FALSE)-VLOOKUP($C38,'[2]2.행정구역별 급수인구'!$C$7:$AD$997,26,FALSE)*(1-$E38),0)),VLOOKUP($C38,'[2]2.행정구역별 급수인구'!$C$7:$AD$997,26,FALSE)))</f>
        <v>0</v>
      </c>
      <c r="J38" s="302">
        <f>IF($D38="A",ROUND(VLOOKUP($C38,'[2]2.행정구역별 급수인구'!$C$7:$AD$997,27,FALSE)*$E38,0),IF($D38="B",(ROUND(VLOOKUP($C38,'[2]2.행정구역별 급수인구'!$C$7:$AD$997,27,FALSE)-VLOOKUP($C38,'[2]2.행정구역별 급수인구'!$C$7:$AD$997,27,FALSE)*(1-$E38),0)),VLOOKUP($C38,'[2]2.행정구역별 급수인구'!$C$7:$AD$997,27,FALSE)))</f>
        <v>0</v>
      </c>
      <c r="K38" s="302">
        <f>IF($D38="A",ROUND(VLOOKUP($C38,'[2]2.행정구역별 급수인구'!$C$7:$AD$997,28,FALSE)*$E38,0),IF($D38="B",(ROUND(VLOOKUP($C38,'[2]2.행정구역별 급수인구'!$C$7:$AD$997,28,FALSE)-VLOOKUP($C38,'[2]2.행정구역별 급수인구'!$C$7:$AD$997,28,FALSE)*(1-$E38),0)),VLOOKUP($C38,'[2]2.행정구역별 급수인구'!$C$7:$AD$997,28,FALSE)))</f>
        <v>0</v>
      </c>
      <c r="L38" s="302">
        <f>VLOOKUP($F38,'[3]5.급수원단위'!$B$31:$G$35,2,FALSE)</f>
        <v>272</v>
      </c>
      <c r="M38" s="302">
        <f>VLOOKUP($F38,'[3]5.급수원단위'!$B$31:$G$35,3,FALSE)</f>
        <v>304</v>
      </c>
      <c r="N38" s="302">
        <f>VLOOKUP($F38,'[3]5.급수원단위'!$B$31:$G$35,4,FALSE)</f>
        <v>308</v>
      </c>
      <c r="O38" s="302">
        <f>VLOOKUP($F38,'[3]5.급수원단위'!$B$31:$G$35,5,FALSE)</f>
        <v>310</v>
      </c>
      <c r="P38" s="302">
        <f>VLOOKUP($F38,'[3]5.급수원단위'!$B$31:$G$35,6,FALSE)</f>
        <v>310</v>
      </c>
      <c r="Q38" s="302">
        <f>ROUND(IF(G38=0,0,VLOOKUP(C38,'2013실사용량 정리'!$D$6:$F$381,3,FALSE)),0)</f>
        <v>0</v>
      </c>
      <c r="R38" s="302">
        <f t="shared" si="7"/>
        <v>0</v>
      </c>
      <c r="S38" s="302">
        <f t="shared" si="7"/>
        <v>0</v>
      </c>
      <c r="T38" s="302">
        <f t="shared" si="7"/>
        <v>0</v>
      </c>
      <c r="U38" s="302">
        <f t="shared" si="7"/>
        <v>0</v>
      </c>
      <c r="W38" s="343" t="str">
        <f t="shared" si="2"/>
        <v/>
      </c>
    </row>
    <row r="39" spans="1:23" ht="20.100000000000001" customHeight="1">
      <c r="A39" s="420"/>
      <c r="B39" s="386"/>
      <c r="C39" s="406" t="s">
        <v>1308</v>
      </c>
      <c r="D39" s="330" t="s">
        <v>1300</v>
      </c>
      <c r="E39" s="527">
        <f>1-'2.생활용수(연무)'!E13</f>
        <v>0</v>
      </c>
      <c r="F39" s="527" t="s">
        <v>756</v>
      </c>
      <c r="G39" s="302">
        <f>IF($D39="A",ROUND(VLOOKUP($C39,'[2]2.행정구역별 급수인구'!$C$7:$AD$997,17,FALSE)*$E39,0),IF($D39="B",(ROUND(VLOOKUP($C39,'[2]2.행정구역별 급수인구'!$C$7:$AD$997,17,FALSE)-VLOOKUP($C39,'[2]2.행정구역별 급수인구'!$C$7:$AD$997,17,FALSE)*(1-$E39),0)),VLOOKUP($C39,'[2]2.행정구역별 급수인구'!$C$7:$AD$997,17,FALSE)))</f>
        <v>0</v>
      </c>
      <c r="H39" s="302">
        <f>IF($D39="A",ROUND(VLOOKUP($C39,'[2]2.행정구역별 급수인구'!$C$7:$AD$997,25,FALSE)*$E39,0),IF($D39="B",(ROUND(VLOOKUP($C39,'[2]2.행정구역별 급수인구'!$C$7:$AD$997,25,FALSE)-VLOOKUP($C39,'[2]2.행정구역별 급수인구'!$C$7:$AD$997,25,FALSE)*(1-$E39),0)),VLOOKUP($C39,'[2]2.행정구역별 급수인구'!$C$7:$AD$997,25,FALSE)))</f>
        <v>0</v>
      </c>
      <c r="I39" s="302">
        <f>IF($D39="A",ROUND(VLOOKUP($C39,'[2]2.행정구역별 급수인구'!$C$7:$AD$997,26,FALSE)*$E39,0),IF($D39="B",(ROUND(VLOOKUP($C39,'[2]2.행정구역별 급수인구'!$C$7:$AD$997,26,FALSE)-VLOOKUP($C39,'[2]2.행정구역별 급수인구'!$C$7:$AD$997,26,FALSE)*(1-$E39),0)),VLOOKUP($C39,'[2]2.행정구역별 급수인구'!$C$7:$AD$997,26,FALSE)))</f>
        <v>0</v>
      </c>
      <c r="J39" s="302">
        <f>IF($D39="A",ROUND(VLOOKUP($C39,'[2]2.행정구역별 급수인구'!$C$7:$AD$997,27,FALSE)*$E39,0),IF($D39="B",(ROUND(VLOOKUP($C39,'[2]2.행정구역별 급수인구'!$C$7:$AD$997,27,FALSE)-VLOOKUP($C39,'[2]2.행정구역별 급수인구'!$C$7:$AD$997,27,FALSE)*(1-$E39),0)),VLOOKUP($C39,'[2]2.행정구역별 급수인구'!$C$7:$AD$997,27,FALSE)))</f>
        <v>0</v>
      </c>
      <c r="K39" s="302">
        <f>IF($D39="A",ROUND(VLOOKUP($C39,'[2]2.행정구역별 급수인구'!$C$7:$AD$997,28,FALSE)*$E39,0),IF($D39="B",(ROUND(VLOOKUP($C39,'[2]2.행정구역별 급수인구'!$C$7:$AD$997,28,FALSE)-VLOOKUP($C39,'[2]2.행정구역별 급수인구'!$C$7:$AD$997,28,FALSE)*(1-$E39),0)),VLOOKUP($C39,'[2]2.행정구역별 급수인구'!$C$7:$AD$997,28,FALSE)))</f>
        <v>0</v>
      </c>
      <c r="L39" s="302">
        <f>VLOOKUP($F39,'[3]5.급수원단위'!$B$31:$G$35,2,FALSE)</f>
        <v>272</v>
      </c>
      <c r="M39" s="302">
        <f>VLOOKUP($F39,'[3]5.급수원단위'!$B$31:$G$35,3,FALSE)</f>
        <v>304</v>
      </c>
      <c r="N39" s="302">
        <f>VLOOKUP($F39,'[3]5.급수원단위'!$B$31:$G$35,4,FALSE)</f>
        <v>308</v>
      </c>
      <c r="O39" s="302">
        <f>VLOOKUP($F39,'[3]5.급수원단위'!$B$31:$G$35,5,FALSE)</f>
        <v>310</v>
      </c>
      <c r="P39" s="302">
        <f>VLOOKUP($F39,'[3]5.급수원단위'!$B$31:$G$35,6,FALSE)</f>
        <v>310</v>
      </c>
      <c r="Q39" s="302">
        <f>ROUND(IF(G39=0,0,VLOOKUP(C39,'2013실사용량 정리'!$D$6:$F$381,3,FALSE)),0)</f>
        <v>0</v>
      </c>
      <c r="R39" s="302">
        <f t="shared" si="7"/>
        <v>0</v>
      </c>
      <c r="S39" s="302">
        <f t="shared" si="7"/>
        <v>0</v>
      </c>
      <c r="T39" s="302">
        <f t="shared" si="7"/>
        <v>0</v>
      </c>
      <c r="U39" s="302">
        <f t="shared" si="7"/>
        <v>0</v>
      </c>
      <c r="W39" s="343" t="str">
        <f t="shared" si="2"/>
        <v/>
      </c>
    </row>
    <row r="40" spans="1:23" ht="20.100000000000001" customHeight="1">
      <c r="A40" s="541"/>
      <c r="B40" s="339"/>
      <c r="C40" s="406" t="s">
        <v>1309</v>
      </c>
      <c r="D40" s="330" t="s">
        <v>1300</v>
      </c>
      <c r="E40" s="527">
        <f>1-'2.생활용수(연무)'!E14</f>
        <v>0</v>
      </c>
      <c r="F40" s="527" t="s">
        <v>756</v>
      </c>
      <c r="G40" s="302">
        <f>IF($D40="A",ROUND(VLOOKUP($C40,'[2]2.행정구역별 급수인구'!$C$7:$AD$997,17,FALSE)*$E40,0),IF($D40="B",(ROUND(VLOOKUP($C40,'[2]2.행정구역별 급수인구'!$C$7:$AD$997,17,FALSE)-VLOOKUP($C40,'[2]2.행정구역별 급수인구'!$C$7:$AD$997,17,FALSE)*(1-$E40),0)),VLOOKUP($C40,'[2]2.행정구역별 급수인구'!$C$7:$AD$997,17,FALSE)))</f>
        <v>0</v>
      </c>
      <c r="H40" s="302">
        <f>IF($D40="A",ROUND(VLOOKUP($C40,'[2]2.행정구역별 급수인구'!$C$7:$AD$997,25,FALSE)*$E40,0),IF($D40="B",(ROUND(VLOOKUP($C40,'[2]2.행정구역별 급수인구'!$C$7:$AD$997,25,FALSE)-VLOOKUP($C40,'[2]2.행정구역별 급수인구'!$C$7:$AD$997,25,FALSE)*(1-$E40),0)),VLOOKUP($C40,'[2]2.행정구역별 급수인구'!$C$7:$AD$997,25,FALSE)))</f>
        <v>0</v>
      </c>
      <c r="I40" s="302">
        <f>IF($D40="A",ROUND(VLOOKUP($C40,'[2]2.행정구역별 급수인구'!$C$7:$AD$997,26,FALSE)*$E40,0),IF($D40="B",(ROUND(VLOOKUP($C40,'[2]2.행정구역별 급수인구'!$C$7:$AD$997,26,FALSE)-VLOOKUP($C40,'[2]2.행정구역별 급수인구'!$C$7:$AD$997,26,FALSE)*(1-$E40),0)),VLOOKUP($C40,'[2]2.행정구역별 급수인구'!$C$7:$AD$997,26,FALSE)))</f>
        <v>0</v>
      </c>
      <c r="J40" s="302">
        <f>IF($D40="A",ROUND(VLOOKUP($C40,'[2]2.행정구역별 급수인구'!$C$7:$AD$997,27,FALSE)*$E40,0),IF($D40="B",(ROUND(VLOOKUP($C40,'[2]2.행정구역별 급수인구'!$C$7:$AD$997,27,FALSE)-VLOOKUP($C40,'[2]2.행정구역별 급수인구'!$C$7:$AD$997,27,FALSE)*(1-$E40),0)),VLOOKUP($C40,'[2]2.행정구역별 급수인구'!$C$7:$AD$997,27,FALSE)))</f>
        <v>0</v>
      </c>
      <c r="K40" s="302">
        <f>IF($D40="A",ROUND(VLOOKUP($C40,'[2]2.행정구역별 급수인구'!$C$7:$AD$997,28,FALSE)*$E40,0),IF($D40="B",(ROUND(VLOOKUP($C40,'[2]2.행정구역별 급수인구'!$C$7:$AD$997,28,FALSE)-VLOOKUP($C40,'[2]2.행정구역별 급수인구'!$C$7:$AD$997,28,FALSE)*(1-$E40),0)),VLOOKUP($C40,'[2]2.행정구역별 급수인구'!$C$7:$AD$997,28,FALSE)))</f>
        <v>0</v>
      </c>
      <c r="L40" s="302">
        <f>VLOOKUP($F40,'[3]5.급수원단위'!$B$31:$G$35,2,FALSE)</f>
        <v>272</v>
      </c>
      <c r="M40" s="302">
        <f>VLOOKUP($F40,'[3]5.급수원단위'!$B$31:$G$35,3,FALSE)</f>
        <v>304</v>
      </c>
      <c r="N40" s="302">
        <f>VLOOKUP($F40,'[3]5.급수원단위'!$B$31:$G$35,4,FALSE)</f>
        <v>308</v>
      </c>
      <c r="O40" s="302">
        <f>VLOOKUP($F40,'[3]5.급수원단위'!$B$31:$G$35,5,FALSE)</f>
        <v>310</v>
      </c>
      <c r="P40" s="302">
        <f>VLOOKUP($F40,'[3]5.급수원단위'!$B$31:$G$35,6,FALSE)</f>
        <v>310</v>
      </c>
      <c r="Q40" s="302">
        <f>ROUND(IF(G40=0,0,VLOOKUP(C40,'2013실사용량 정리'!$D$6:$F$381,3,FALSE)),0)</f>
        <v>0</v>
      </c>
      <c r="R40" s="302">
        <f t="shared" si="7"/>
        <v>0</v>
      </c>
      <c r="S40" s="302">
        <f t="shared" si="7"/>
        <v>0</v>
      </c>
      <c r="T40" s="302">
        <f t="shared" si="7"/>
        <v>0</v>
      </c>
      <c r="U40" s="302">
        <f t="shared" si="7"/>
        <v>0</v>
      </c>
      <c r="W40" s="343" t="str">
        <f t="shared" si="2"/>
        <v/>
      </c>
    </row>
    <row r="41" spans="1:23" ht="20.100000000000001" customHeight="1">
      <c r="A41" s="419"/>
      <c r="B41" s="340"/>
      <c r="C41" s="406" t="s">
        <v>1310</v>
      </c>
      <c r="D41" s="330" t="s">
        <v>1300</v>
      </c>
      <c r="E41" s="527">
        <f>1-'2.생활용수(연무)'!E15</f>
        <v>0</v>
      </c>
      <c r="F41" s="527" t="s">
        <v>756</v>
      </c>
      <c r="G41" s="302">
        <f>IF($D41="A",ROUND(VLOOKUP($C41,'[2]2.행정구역별 급수인구'!$C$7:$AD$997,17,FALSE)*$E41,0),IF($D41="B",(ROUND(VLOOKUP($C41,'[2]2.행정구역별 급수인구'!$C$7:$AD$997,17,FALSE)-VLOOKUP($C41,'[2]2.행정구역별 급수인구'!$C$7:$AD$997,17,FALSE)*(1-$E41),0)),VLOOKUP($C41,'[2]2.행정구역별 급수인구'!$C$7:$AD$997,17,FALSE)))</f>
        <v>0</v>
      </c>
      <c r="H41" s="302">
        <f>IF($D41="A",ROUND(VLOOKUP($C41,'[2]2.행정구역별 급수인구'!$C$7:$AD$997,25,FALSE)*$E41,0),IF($D41="B",(ROUND(VLOOKUP($C41,'[2]2.행정구역별 급수인구'!$C$7:$AD$997,25,FALSE)-VLOOKUP($C41,'[2]2.행정구역별 급수인구'!$C$7:$AD$997,25,FALSE)*(1-$E41),0)),VLOOKUP($C41,'[2]2.행정구역별 급수인구'!$C$7:$AD$997,25,FALSE)))</f>
        <v>0</v>
      </c>
      <c r="I41" s="302">
        <f>IF($D41="A",ROUND(VLOOKUP($C41,'[2]2.행정구역별 급수인구'!$C$7:$AD$997,26,FALSE)*$E41,0),IF($D41="B",(ROUND(VLOOKUP($C41,'[2]2.행정구역별 급수인구'!$C$7:$AD$997,26,FALSE)-VLOOKUP($C41,'[2]2.행정구역별 급수인구'!$C$7:$AD$997,26,FALSE)*(1-$E41),0)),VLOOKUP($C41,'[2]2.행정구역별 급수인구'!$C$7:$AD$997,26,FALSE)))</f>
        <v>0</v>
      </c>
      <c r="J41" s="302">
        <f>IF($D41="A",ROUND(VLOOKUP($C41,'[2]2.행정구역별 급수인구'!$C$7:$AD$997,27,FALSE)*$E41,0),IF($D41="B",(ROUND(VLOOKUP($C41,'[2]2.행정구역별 급수인구'!$C$7:$AD$997,27,FALSE)-VLOOKUP($C41,'[2]2.행정구역별 급수인구'!$C$7:$AD$997,27,FALSE)*(1-$E41),0)),VLOOKUP($C41,'[2]2.행정구역별 급수인구'!$C$7:$AD$997,27,FALSE)))</f>
        <v>0</v>
      </c>
      <c r="K41" s="302">
        <f>IF($D41="A",ROUND(VLOOKUP($C41,'[2]2.행정구역별 급수인구'!$C$7:$AD$997,28,FALSE)*$E41,0),IF($D41="B",(ROUND(VLOOKUP($C41,'[2]2.행정구역별 급수인구'!$C$7:$AD$997,28,FALSE)-VLOOKUP($C41,'[2]2.행정구역별 급수인구'!$C$7:$AD$997,28,FALSE)*(1-$E41),0)),VLOOKUP($C41,'[2]2.행정구역별 급수인구'!$C$7:$AD$997,28,FALSE)))</f>
        <v>0</v>
      </c>
      <c r="L41" s="302">
        <f>VLOOKUP($F41,'[3]5.급수원단위'!$B$31:$G$35,2,FALSE)</f>
        <v>272</v>
      </c>
      <c r="M41" s="302">
        <f>VLOOKUP($F41,'[3]5.급수원단위'!$B$31:$G$35,3,FALSE)</f>
        <v>304</v>
      </c>
      <c r="N41" s="302">
        <f>VLOOKUP($F41,'[3]5.급수원단위'!$B$31:$G$35,4,FALSE)</f>
        <v>308</v>
      </c>
      <c r="O41" s="302">
        <f>VLOOKUP($F41,'[3]5.급수원단위'!$B$31:$G$35,5,FALSE)</f>
        <v>310</v>
      </c>
      <c r="P41" s="302">
        <f>VLOOKUP($F41,'[3]5.급수원단위'!$B$31:$G$35,6,FALSE)</f>
        <v>310</v>
      </c>
      <c r="Q41" s="302">
        <f>ROUND(IF(G41=0,0,VLOOKUP(C41,'2013실사용량 정리'!$D$6:$F$381,3,FALSE)),0)</f>
        <v>0</v>
      </c>
      <c r="R41" s="302">
        <f t="shared" si="7"/>
        <v>0</v>
      </c>
      <c r="S41" s="302">
        <f t="shared" si="7"/>
        <v>0</v>
      </c>
      <c r="T41" s="302">
        <f t="shared" si="7"/>
        <v>0</v>
      </c>
      <c r="U41" s="302">
        <f t="shared" si="7"/>
        <v>0</v>
      </c>
      <c r="W41" s="343" t="str">
        <f t="shared" si="2"/>
        <v/>
      </c>
    </row>
    <row r="42" spans="1:23" ht="20.100000000000001" customHeight="1">
      <c r="A42" s="419"/>
      <c r="B42" s="340"/>
      <c r="C42" s="406" t="s">
        <v>1311</v>
      </c>
      <c r="D42" s="330" t="s">
        <v>1300</v>
      </c>
      <c r="E42" s="527">
        <f>1-'2.생활용수(연무)'!E16</f>
        <v>0</v>
      </c>
      <c r="F42" s="527" t="s">
        <v>756</v>
      </c>
      <c r="G42" s="302">
        <f>IF($D42="A",ROUND(VLOOKUP($C42,'[2]2.행정구역별 급수인구'!$C$7:$AD$997,17,FALSE)*$E42,0),IF($D42="B",(ROUND(VLOOKUP($C42,'[2]2.행정구역별 급수인구'!$C$7:$AD$997,17,FALSE)-VLOOKUP($C42,'[2]2.행정구역별 급수인구'!$C$7:$AD$997,17,FALSE)*(1-$E42),0)),VLOOKUP($C42,'[2]2.행정구역별 급수인구'!$C$7:$AD$997,17,FALSE)))</f>
        <v>0</v>
      </c>
      <c r="H42" s="302">
        <f>IF($D42="A",ROUND(VLOOKUP($C42,'[2]2.행정구역별 급수인구'!$C$7:$AD$997,25,FALSE)*$E42,0),IF($D42="B",(ROUND(VLOOKUP($C42,'[2]2.행정구역별 급수인구'!$C$7:$AD$997,25,FALSE)-VLOOKUP($C42,'[2]2.행정구역별 급수인구'!$C$7:$AD$997,25,FALSE)*(1-$E42),0)),VLOOKUP($C42,'[2]2.행정구역별 급수인구'!$C$7:$AD$997,25,FALSE)))</f>
        <v>0</v>
      </c>
      <c r="I42" s="302">
        <f>IF($D42="A",ROUND(VLOOKUP($C42,'[2]2.행정구역별 급수인구'!$C$7:$AD$997,26,FALSE)*$E42,0),IF($D42="B",(ROUND(VLOOKUP($C42,'[2]2.행정구역별 급수인구'!$C$7:$AD$997,26,FALSE)-VLOOKUP($C42,'[2]2.행정구역별 급수인구'!$C$7:$AD$997,26,FALSE)*(1-$E42),0)),VLOOKUP($C42,'[2]2.행정구역별 급수인구'!$C$7:$AD$997,26,FALSE)))</f>
        <v>0</v>
      </c>
      <c r="J42" s="302">
        <f>IF($D42="A",ROUND(VLOOKUP($C42,'[2]2.행정구역별 급수인구'!$C$7:$AD$997,27,FALSE)*$E42,0),IF($D42="B",(ROUND(VLOOKUP($C42,'[2]2.행정구역별 급수인구'!$C$7:$AD$997,27,FALSE)-VLOOKUP($C42,'[2]2.행정구역별 급수인구'!$C$7:$AD$997,27,FALSE)*(1-$E42),0)),VLOOKUP($C42,'[2]2.행정구역별 급수인구'!$C$7:$AD$997,27,FALSE)))</f>
        <v>0</v>
      </c>
      <c r="K42" s="302">
        <f>IF($D42="A",ROUND(VLOOKUP($C42,'[2]2.행정구역별 급수인구'!$C$7:$AD$997,28,FALSE)*$E42,0),IF($D42="B",(ROUND(VLOOKUP($C42,'[2]2.행정구역별 급수인구'!$C$7:$AD$997,28,FALSE)-VLOOKUP($C42,'[2]2.행정구역별 급수인구'!$C$7:$AD$997,28,FALSE)*(1-$E42),0)),VLOOKUP($C42,'[2]2.행정구역별 급수인구'!$C$7:$AD$997,28,FALSE)))</f>
        <v>0</v>
      </c>
      <c r="L42" s="302">
        <f>VLOOKUP($F42,'[3]5.급수원단위'!$B$31:$G$35,2,FALSE)</f>
        <v>272</v>
      </c>
      <c r="M42" s="302">
        <f>VLOOKUP($F42,'[3]5.급수원단위'!$B$31:$G$35,3,FALSE)</f>
        <v>304</v>
      </c>
      <c r="N42" s="302">
        <f>VLOOKUP($F42,'[3]5.급수원단위'!$B$31:$G$35,4,FALSE)</f>
        <v>308</v>
      </c>
      <c r="O42" s="302">
        <f>VLOOKUP($F42,'[3]5.급수원단위'!$B$31:$G$35,5,FALSE)</f>
        <v>310</v>
      </c>
      <c r="P42" s="302">
        <f>VLOOKUP($F42,'[3]5.급수원단위'!$B$31:$G$35,6,FALSE)</f>
        <v>310</v>
      </c>
      <c r="Q42" s="302">
        <f>ROUND(IF(G42=0,0,VLOOKUP(C42,'2013실사용량 정리'!$D$6:$F$381,3,FALSE)),0)</f>
        <v>0</v>
      </c>
      <c r="R42" s="302">
        <f t="shared" si="7"/>
        <v>0</v>
      </c>
      <c r="S42" s="302">
        <f t="shared" si="7"/>
        <v>0</v>
      </c>
      <c r="T42" s="302">
        <f t="shared" si="7"/>
        <v>0</v>
      </c>
      <c r="U42" s="302">
        <f t="shared" si="7"/>
        <v>0</v>
      </c>
      <c r="W42" s="343" t="str">
        <f t="shared" si="2"/>
        <v/>
      </c>
    </row>
    <row r="43" spans="1:23" ht="20.100000000000001" customHeight="1">
      <c r="A43" s="419"/>
      <c r="B43" s="340"/>
      <c r="C43" s="406" t="s">
        <v>1312</v>
      </c>
      <c r="D43" s="330" t="s">
        <v>1300</v>
      </c>
      <c r="E43" s="527">
        <f>1-'2.생활용수(연무)'!E17</f>
        <v>0</v>
      </c>
      <c r="F43" s="527" t="s">
        <v>756</v>
      </c>
      <c r="G43" s="302">
        <f>IF($D43="A",ROUND(VLOOKUP($C43,'[2]2.행정구역별 급수인구'!$C$7:$AD$997,17,FALSE)*$E43,0),IF($D43="B",(ROUND(VLOOKUP($C43,'[2]2.행정구역별 급수인구'!$C$7:$AD$997,17,FALSE)-VLOOKUP($C43,'[2]2.행정구역별 급수인구'!$C$7:$AD$997,17,FALSE)*(1-$E43),0)),VLOOKUP($C43,'[2]2.행정구역별 급수인구'!$C$7:$AD$997,17,FALSE)))</f>
        <v>0</v>
      </c>
      <c r="H43" s="302">
        <f>IF($D43="A",ROUND(VLOOKUP($C43,'[2]2.행정구역별 급수인구'!$C$7:$AD$997,25,FALSE)*$E43,0),IF($D43="B",(ROUND(VLOOKUP($C43,'[2]2.행정구역별 급수인구'!$C$7:$AD$997,25,FALSE)-VLOOKUP($C43,'[2]2.행정구역별 급수인구'!$C$7:$AD$997,25,FALSE)*(1-$E43),0)),VLOOKUP($C43,'[2]2.행정구역별 급수인구'!$C$7:$AD$997,25,FALSE)))</f>
        <v>0</v>
      </c>
      <c r="I43" s="302">
        <f>IF($D43="A",ROUND(VLOOKUP($C43,'[2]2.행정구역별 급수인구'!$C$7:$AD$997,26,FALSE)*$E43,0),IF($D43="B",(ROUND(VLOOKUP($C43,'[2]2.행정구역별 급수인구'!$C$7:$AD$997,26,FALSE)-VLOOKUP($C43,'[2]2.행정구역별 급수인구'!$C$7:$AD$997,26,FALSE)*(1-$E43),0)),VLOOKUP($C43,'[2]2.행정구역별 급수인구'!$C$7:$AD$997,26,FALSE)))</f>
        <v>0</v>
      </c>
      <c r="J43" s="302">
        <f>IF($D43="A",ROUND(VLOOKUP($C43,'[2]2.행정구역별 급수인구'!$C$7:$AD$997,27,FALSE)*$E43,0),IF($D43="B",(ROUND(VLOOKUP($C43,'[2]2.행정구역별 급수인구'!$C$7:$AD$997,27,FALSE)-VLOOKUP($C43,'[2]2.행정구역별 급수인구'!$C$7:$AD$997,27,FALSE)*(1-$E43),0)),VLOOKUP($C43,'[2]2.행정구역별 급수인구'!$C$7:$AD$997,27,FALSE)))</f>
        <v>0</v>
      </c>
      <c r="K43" s="302">
        <f>IF($D43="A",ROUND(VLOOKUP($C43,'[2]2.행정구역별 급수인구'!$C$7:$AD$997,28,FALSE)*$E43,0),IF($D43="B",(ROUND(VLOOKUP($C43,'[2]2.행정구역별 급수인구'!$C$7:$AD$997,28,FALSE)-VLOOKUP($C43,'[2]2.행정구역별 급수인구'!$C$7:$AD$997,28,FALSE)*(1-$E43),0)),VLOOKUP($C43,'[2]2.행정구역별 급수인구'!$C$7:$AD$997,28,FALSE)))</f>
        <v>0</v>
      </c>
      <c r="L43" s="302">
        <f>VLOOKUP($F43,'[3]5.급수원단위'!$B$31:$G$35,2,FALSE)</f>
        <v>272</v>
      </c>
      <c r="M43" s="302">
        <f>VLOOKUP($F43,'[3]5.급수원단위'!$B$31:$G$35,3,FALSE)</f>
        <v>304</v>
      </c>
      <c r="N43" s="302">
        <f>VLOOKUP($F43,'[3]5.급수원단위'!$B$31:$G$35,4,FALSE)</f>
        <v>308</v>
      </c>
      <c r="O43" s="302">
        <f>VLOOKUP($F43,'[3]5.급수원단위'!$B$31:$G$35,5,FALSE)</f>
        <v>310</v>
      </c>
      <c r="P43" s="302">
        <f>VLOOKUP($F43,'[3]5.급수원단위'!$B$31:$G$35,6,FALSE)</f>
        <v>310</v>
      </c>
      <c r="Q43" s="302">
        <f>ROUND(IF(G43=0,0,VLOOKUP(C43,'2013실사용량 정리'!$D$6:$F$381,3,FALSE)),0)</f>
        <v>0</v>
      </c>
      <c r="R43" s="302">
        <f t="shared" si="7"/>
        <v>0</v>
      </c>
      <c r="S43" s="302">
        <f t="shared" si="7"/>
        <v>0</v>
      </c>
      <c r="T43" s="302">
        <f t="shared" si="7"/>
        <v>0</v>
      </c>
      <c r="U43" s="302">
        <f t="shared" si="7"/>
        <v>0</v>
      </c>
      <c r="W43" s="343" t="str">
        <f t="shared" si="2"/>
        <v/>
      </c>
    </row>
    <row r="44" spans="1:23" ht="20.100000000000001" customHeight="1">
      <c r="A44" s="419"/>
      <c r="B44" s="340"/>
      <c r="C44" s="406" t="s">
        <v>1313</v>
      </c>
      <c r="D44" s="330" t="s">
        <v>1300</v>
      </c>
      <c r="E44" s="527">
        <f>1-'2.생활용수(연무)'!E18</f>
        <v>0</v>
      </c>
      <c r="F44" s="527" t="s">
        <v>756</v>
      </c>
      <c r="G44" s="302">
        <f>IF($D44="A",ROUND(VLOOKUP($C44,'[2]2.행정구역별 급수인구'!$C$7:$AD$997,17,FALSE)*$E44,0),IF($D44="B",(ROUND(VLOOKUP($C44,'[2]2.행정구역별 급수인구'!$C$7:$AD$997,17,FALSE)-VLOOKUP($C44,'[2]2.행정구역별 급수인구'!$C$7:$AD$997,17,FALSE)*(1-$E44),0)),VLOOKUP($C44,'[2]2.행정구역별 급수인구'!$C$7:$AD$997,17,FALSE)))</f>
        <v>0</v>
      </c>
      <c r="H44" s="302">
        <f>IF($D44="A",ROUND(VLOOKUP($C44,'[2]2.행정구역별 급수인구'!$C$7:$AD$997,25,FALSE)*$E44,0),IF($D44="B",(ROUND(VLOOKUP($C44,'[2]2.행정구역별 급수인구'!$C$7:$AD$997,25,FALSE)-VLOOKUP($C44,'[2]2.행정구역별 급수인구'!$C$7:$AD$997,25,FALSE)*(1-$E44),0)),VLOOKUP($C44,'[2]2.행정구역별 급수인구'!$C$7:$AD$997,25,FALSE)))</f>
        <v>0</v>
      </c>
      <c r="I44" s="302">
        <f>IF($D44="A",ROUND(VLOOKUP($C44,'[2]2.행정구역별 급수인구'!$C$7:$AD$997,26,FALSE)*$E44,0),IF($D44="B",(ROUND(VLOOKUP($C44,'[2]2.행정구역별 급수인구'!$C$7:$AD$997,26,FALSE)-VLOOKUP($C44,'[2]2.행정구역별 급수인구'!$C$7:$AD$997,26,FALSE)*(1-$E44),0)),VLOOKUP($C44,'[2]2.행정구역별 급수인구'!$C$7:$AD$997,26,FALSE)))</f>
        <v>0</v>
      </c>
      <c r="J44" s="302">
        <f>IF($D44="A",ROUND(VLOOKUP($C44,'[2]2.행정구역별 급수인구'!$C$7:$AD$997,27,FALSE)*$E44,0),IF($D44="B",(ROUND(VLOOKUP($C44,'[2]2.행정구역별 급수인구'!$C$7:$AD$997,27,FALSE)-VLOOKUP($C44,'[2]2.행정구역별 급수인구'!$C$7:$AD$997,27,FALSE)*(1-$E44),0)),VLOOKUP($C44,'[2]2.행정구역별 급수인구'!$C$7:$AD$997,27,FALSE)))</f>
        <v>0</v>
      </c>
      <c r="K44" s="302">
        <f>IF($D44="A",ROUND(VLOOKUP($C44,'[2]2.행정구역별 급수인구'!$C$7:$AD$997,28,FALSE)*$E44,0),IF($D44="B",(ROUND(VLOOKUP($C44,'[2]2.행정구역별 급수인구'!$C$7:$AD$997,28,FALSE)-VLOOKUP($C44,'[2]2.행정구역별 급수인구'!$C$7:$AD$997,28,FALSE)*(1-$E44),0)),VLOOKUP($C44,'[2]2.행정구역별 급수인구'!$C$7:$AD$997,28,FALSE)))</f>
        <v>0</v>
      </c>
      <c r="L44" s="302">
        <f>VLOOKUP($F44,'[3]5.급수원단위'!$B$31:$G$35,2,FALSE)</f>
        <v>272</v>
      </c>
      <c r="M44" s="302">
        <f>VLOOKUP($F44,'[3]5.급수원단위'!$B$31:$G$35,3,FALSE)</f>
        <v>304</v>
      </c>
      <c r="N44" s="302">
        <f>VLOOKUP($F44,'[3]5.급수원단위'!$B$31:$G$35,4,FALSE)</f>
        <v>308</v>
      </c>
      <c r="O44" s="302">
        <f>VLOOKUP($F44,'[3]5.급수원단위'!$B$31:$G$35,5,FALSE)</f>
        <v>310</v>
      </c>
      <c r="P44" s="302">
        <f>VLOOKUP($F44,'[3]5.급수원단위'!$B$31:$G$35,6,FALSE)</f>
        <v>310</v>
      </c>
      <c r="Q44" s="302">
        <f>ROUND(IF(G44=0,0,VLOOKUP(C44,'2013실사용량 정리'!$D$6:$F$381,3,FALSE)),0)</f>
        <v>0</v>
      </c>
      <c r="R44" s="302">
        <f t="shared" si="7"/>
        <v>0</v>
      </c>
      <c r="S44" s="302">
        <f t="shared" si="7"/>
        <v>0</v>
      </c>
      <c r="T44" s="302">
        <f t="shared" si="7"/>
        <v>0</v>
      </c>
      <c r="U44" s="302">
        <f t="shared" si="7"/>
        <v>0</v>
      </c>
      <c r="W44" s="343" t="str">
        <f t="shared" si="2"/>
        <v/>
      </c>
    </row>
    <row r="45" spans="1:23" ht="20.100000000000001" customHeight="1">
      <c r="A45" s="419"/>
      <c r="B45" s="340"/>
      <c r="C45" s="406" t="s">
        <v>1314</v>
      </c>
      <c r="D45" s="330" t="s">
        <v>1300</v>
      </c>
      <c r="E45" s="527">
        <f>1-'2.생활용수(연무)'!E19</f>
        <v>0</v>
      </c>
      <c r="F45" s="527" t="s">
        <v>756</v>
      </c>
      <c r="G45" s="302">
        <f>IF($D45="A",ROUND(VLOOKUP($C45,'[2]2.행정구역별 급수인구'!$C$7:$AD$997,17,FALSE)*$E45,0),IF($D45="B",(ROUND(VLOOKUP($C45,'[2]2.행정구역별 급수인구'!$C$7:$AD$997,17,FALSE)-VLOOKUP($C45,'[2]2.행정구역별 급수인구'!$C$7:$AD$997,17,FALSE)*(1-$E45),0)),VLOOKUP($C45,'[2]2.행정구역별 급수인구'!$C$7:$AD$997,17,FALSE)))</f>
        <v>0</v>
      </c>
      <c r="H45" s="302">
        <f>IF($D45="A",ROUND(VLOOKUP($C45,'[2]2.행정구역별 급수인구'!$C$7:$AD$997,25,FALSE)*$E45,0),IF($D45="B",(ROUND(VLOOKUP($C45,'[2]2.행정구역별 급수인구'!$C$7:$AD$997,25,FALSE)-VLOOKUP($C45,'[2]2.행정구역별 급수인구'!$C$7:$AD$997,25,FALSE)*(1-$E45),0)),VLOOKUP($C45,'[2]2.행정구역별 급수인구'!$C$7:$AD$997,25,FALSE)))</f>
        <v>0</v>
      </c>
      <c r="I45" s="302">
        <f>IF($D45="A",ROUND(VLOOKUP($C45,'[2]2.행정구역별 급수인구'!$C$7:$AD$997,26,FALSE)*$E45,0),IF($D45="B",(ROUND(VLOOKUP($C45,'[2]2.행정구역별 급수인구'!$C$7:$AD$997,26,FALSE)-VLOOKUP($C45,'[2]2.행정구역별 급수인구'!$C$7:$AD$997,26,FALSE)*(1-$E45),0)),VLOOKUP($C45,'[2]2.행정구역별 급수인구'!$C$7:$AD$997,26,FALSE)))</f>
        <v>0</v>
      </c>
      <c r="J45" s="302">
        <f>IF($D45="A",ROUND(VLOOKUP($C45,'[2]2.행정구역별 급수인구'!$C$7:$AD$997,27,FALSE)*$E45,0),IF($D45="B",(ROUND(VLOOKUP($C45,'[2]2.행정구역별 급수인구'!$C$7:$AD$997,27,FALSE)-VLOOKUP($C45,'[2]2.행정구역별 급수인구'!$C$7:$AD$997,27,FALSE)*(1-$E45),0)),VLOOKUP($C45,'[2]2.행정구역별 급수인구'!$C$7:$AD$997,27,FALSE)))</f>
        <v>0</v>
      </c>
      <c r="K45" s="302">
        <f>IF($D45="A",ROUND(VLOOKUP($C45,'[2]2.행정구역별 급수인구'!$C$7:$AD$997,28,FALSE)*$E45,0),IF($D45="B",(ROUND(VLOOKUP($C45,'[2]2.행정구역별 급수인구'!$C$7:$AD$997,28,FALSE)-VLOOKUP($C45,'[2]2.행정구역별 급수인구'!$C$7:$AD$997,28,FALSE)*(1-$E45),0)),VLOOKUP($C45,'[2]2.행정구역별 급수인구'!$C$7:$AD$997,28,FALSE)))</f>
        <v>0</v>
      </c>
      <c r="L45" s="302">
        <f>VLOOKUP($F45,'[3]5.급수원단위'!$B$31:$G$35,2,FALSE)</f>
        <v>272</v>
      </c>
      <c r="M45" s="302">
        <f>VLOOKUP($F45,'[3]5.급수원단위'!$B$31:$G$35,3,FALSE)</f>
        <v>304</v>
      </c>
      <c r="N45" s="302">
        <f>VLOOKUP($F45,'[3]5.급수원단위'!$B$31:$G$35,4,FALSE)</f>
        <v>308</v>
      </c>
      <c r="O45" s="302">
        <f>VLOOKUP($F45,'[3]5.급수원단위'!$B$31:$G$35,5,FALSE)</f>
        <v>310</v>
      </c>
      <c r="P45" s="302">
        <f>VLOOKUP($F45,'[3]5.급수원단위'!$B$31:$G$35,6,FALSE)</f>
        <v>310</v>
      </c>
      <c r="Q45" s="302">
        <f>ROUND(IF(G45=0,0,VLOOKUP(C45,'2013실사용량 정리'!$D$6:$F$381,3,FALSE)),0)</f>
        <v>0</v>
      </c>
      <c r="R45" s="302">
        <f t="shared" si="7"/>
        <v>0</v>
      </c>
      <c r="S45" s="302">
        <f t="shared" si="7"/>
        <v>0</v>
      </c>
      <c r="T45" s="302">
        <f t="shared" si="7"/>
        <v>0</v>
      </c>
      <c r="U45" s="302">
        <f t="shared" si="7"/>
        <v>0</v>
      </c>
      <c r="W45" s="343" t="str">
        <f t="shared" si="2"/>
        <v/>
      </c>
    </row>
    <row r="46" spans="1:23" ht="20.100000000000001" customHeight="1">
      <c r="A46" s="419"/>
      <c r="B46" s="340"/>
      <c r="C46" s="406" t="s">
        <v>1315</v>
      </c>
      <c r="D46" s="330" t="s">
        <v>1300</v>
      </c>
      <c r="E46" s="527">
        <f>1-'2.생활용수(연무)'!E20</f>
        <v>0</v>
      </c>
      <c r="F46" s="527" t="s">
        <v>756</v>
      </c>
      <c r="G46" s="302">
        <f>IF($D46="A",ROUND(VLOOKUP($C46,'[2]2.행정구역별 급수인구'!$C$7:$AD$997,17,FALSE)*$E46,0),IF($D46="B",(ROUND(VLOOKUP($C46,'[2]2.행정구역별 급수인구'!$C$7:$AD$997,17,FALSE)-VLOOKUP($C46,'[2]2.행정구역별 급수인구'!$C$7:$AD$997,17,FALSE)*(1-$E46),0)),VLOOKUP($C46,'[2]2.행정구역별 급수인구'!$C$7:$AD$997,17,FALSE)))</f>
        <v>0</v>
      </c>
      <c r="H46" s="302">
        <f>IF($D46="A",ROUND(VLOOKUP($C46,'[2]2.행정구역별 급수인구'!$C$7:$AD$997,25,FALSE)*$E46,0),IF($D46="B",(ROUND(VLOOKUP($C46,'[2]2.행정구역별 급수인구'!$C$7:$AD$997,25,FALSE)-VLOOKUP($C46,'[2]2.행정구역별 급수인구'!$C$7:$AD$997,25,FALSE)*(1-$E46),0)),VLOOKUP($C46,'[2]2.행정구역별 급수인구'!$C$7:$AD$997,25,FALSE)))</f>
        <v>0</v>
      </c>
      <c r="I46" s="302">
        <f>IF($D46="A",ROUND(VLOOKUP($C46,'[2]2.행정구역별 급수인구'!$C$7:$AD$997,26,FALSE)*$E46,0),IF($D46="B",(ROUND(VLOOKUP($C46,'[2]2.행정구역별 급수인구'!$C$7:$AD$997,26,FALSE)-VLOOKUP($C46,'[2]2.행정구역별 급수인구'!$C$7:$AD$997,26,FALSE)*(1-$E46),0)),VLOOKUP($C46,'[2]2.행정구역별 급수인구'!$C$7:$AD$997,26,FALSE)))</f>
        <v>0</v>
      </c>
      <c r="J46" s="302">
        <f>IF($D46="A",ROUND(VLOOKUP($C46,'[2]2.행정구역별 급수인구'!$C$7:$AD$997,27,FALSE)*$E46,0),IF($D46="B",(ROUND(VLOOKUP($C46,'[2]2.행정구역별 급수인구'!$C$7:$AD$997,27,FALSE)-VLOOKUP($C46,'[2]2.행정구역별 급수인구'!$C$7:$AD$997,27,FALSE)*(1-$E46),0)),VLOOKUP($C46,'[2]2.행정구역별 급수인구'!$C$7:$AD$997,27,FALSE)))</f>
        <v>0</v>
      </c>
      <c r="K46" s="302">
        <f>IF($D46="A",ROUND(VLOOKUP($C46,'[2]2.행정구역별 급수인구'!$C$7:$AD$997,28,FALSE)*$E46,0),IF($D46="B",(ROUND(VLOOKUP($C46,'[2]2.행정구역별 급수인구'!$C$7:$AD$997,28,FALSE)-VLOOKUP($C46,'[2]2.행정구역별 급수인구'!$C$7:$AD$997,28,FALSE)*(1-$E46),0)),VLOOKUP($C46,'[2]2.행정구역별 급수인구'!$C$7:$AD$997,28,FALSE)))</f>
        <v>0</v>
      </c>
      <c r="L46" s="302">
        <f>VLOOKUP($F46,'[3]5.급수원단위'!$B$31:$G$35,2,FALSE)</f>
        <v>272</v>
      </c>
      <c r="M46" s="302">
        <f>VLOOKUP($F46,'[3]5.급수원단위'!$B$31:$G$35,3,FALSE)</f>
        <v>304</v>
      </c>
      <c r="N46" s="302">
        <f>VLOOKUP($F46,'[3]5.급수원단위'!$B$31:$G$35,4,FALSE)</f>
        <v>308</v>
      </c>
      <c r="O46" s="302">
        <f>VLOOKUP($F46,'[3]5.급수원단위'!$B$31:$G$35,5,FALSE)</f>
        <v>310</v>
      </c>
      <c r="P46" s="302">
        <f>VLOOKUP($F46,'[3]5.급수원단위'!$B$31:$G$35,6,FALSE)</f>
        <v>310</v>
      </c>
      <c r="Q46" s="302">
        <f>ROUND(IF(G46=0,0,VLOOKUP(C46,'2013실사용량 정리'!$D$6:$F$381,3,FALSE)),0)</f>
        <v>0</v>
      </c>
      <c r="R46" s="302">
        <f t="shared" si="7"/>
        <v>0</v>
      </c>
      <c r="S46" s="302">
        <f t="shared" si="7"/>
        <v>0</v>
      </c>
      <c r="T46" s="302">
        <f t="shared" si="7"/>
        <v>0</v>
      </c>
      <c r="U46" s="302">
        <f t="shared" si="7"/>
        <v>0</v>
      </c>
      <c r="W46" s="343" t="str">
        <f t="shared" si="2"/>
        <v/>
      </c>
    </row>
    <row r="47" spans="1:23" ht="20.100000000000001" customHeight="1">
      <c r="A47" s="419"/>
      <c r="B47" s="340"/>
      <c r="C47" s="406" t="s">
        <v>1316</v>
      </c>
      <c r="D47" s="330" t="s">
        <v>1300</v>
      </c>
      <c r="E47" s="527">
        <f>1-'2.생활용수(연무)'!E21</f>
        <v>0</v>
      </c>
      <c r="F47" s="527" t="s">
        <v>756</v>
      </c>
      <c r="G47" s="302">
        <f>IF($D47="A",ROUND(VLOOKUP($C47,'[2]2.행정구역별 급수인구'!$C$7:$AD$997,17,FALSE)*$E47,0),IF($D47="B",(ROUND(VLOOKUP($C47,'[2]2.행정구역별 급수인구'!$C$7:$AD$997,17,FALSE)-VLOOKUP($C47,'[2]2.행정구역별 급수인구'!$C$7:$AD$997,17,FALSE)*(1-$E47),0)),VLOOKUP($C47,'[2]2.행정구역별 급수인구'!$C$7:$AD$997,17,FALSE)))</f>
        <v>0</v>
      </c>
      <c r="H47" s="302">
        <f>IF($D47="A",ROUND(VLOOKUP($C47,'[2]2.행정구역별 급수인구'!$C$7:$AD$997,25,FALSE)*$E47,0),IF($D47="B",(ROUND(VLOOKUP($C47,'[2]2.행정구역별 급수인구'!$C$7:$AD$997,25,FALSE)-VLOOKUP($C47,'[2]2.행정구역별 급수인구'!$C$7:$AD$997,25,FALSE)*(1-$E47),0)),VLOOKUP($C47,'[2]2.행정구역별 급수인구'!$C$7:$AD$997,25,FALSE)))</f>
        <v>0</v>
      </c>
      <c r="I47" s="302">
        <f>IF($D47="A",ROUND(VLOOKUP($C47,'[2]2.행정구역별 급수인구'!$C$7:$AD$997,26,FALSE)*$E47,0),IF($D47="B",(ROUND(VLOOKUP($C47,'[2]2.행정구역별 급수인구'!$C$7:$AD$997,26,FALSE)-VLOOKUP($C47,'[2]2.행정구역별 급수인구'!$C$7:$AD$997,26,FALSE)*(1-$E47),0)),VLOOKUP($C47,'[2]2.행정구역별 급수인구'!$C$7:$AD$997,26,FALSE)))</f>
        <v>0</v>
      </c>
      <c r="J47" s="302">
        <f>IF($D47="A",ROUND(VLOOKUP($C47,'[2]2.행정구역별 급수인구'!$C$7:$AD$997,27,FALSE)*$E47,0),IF($D47="B",(ROUND(VLOOKUP($C47,'[2]2.행정구역별 급수인구'!$C$7:$AD$997,27,FALSE)-VLOOKUP($C47,'[2]2.행정구역별 급수인구'!$C$7:$AD$997,27,FALSE)*(1-$E47),0)),VLOOKUP($C47,'[2]2.행정구역별 급수인구'!$C$7:$AD$997,27,FALSE)))</f>
        <v>0</v>
      </c>
      <c r="K47" s="302">
        <f>IF($D47="A",ROUND(VLOOKUP($C47,'[2]2.행정구역별 급수인구'!$C$7:$AD$997,28,FALSE)*$E47,0),IF($D47="B",(ROUND(VLOOKUP($C47,'[2]2.행정구역별 급수인구'!$C$7:$AD$997,28,FALSE)-VLOOKUP($C47,'[2]2.행정구역별 급수인구'!$C$7:$AD$997,28,FALSE)*(1-$E47),0)),VLOOKUP($C47,'[2]2.행정구역별 급수인구'!$C$7:$AD$997,28,FALSE)))</f>
        <v>0</v>
      </c>
      <c r="L47" s="302">
        <f>VLOOKUP($F47,'[3]5.급수원단위'!$B$31:$G$35,2,FALSE)</f>
        <v>272</v>
      </c>
      <c r="M47" s="302">
        <f>VLOOKUP($F47,'[3]5.급수원단위'!$B$31:$G$35,3,FALSE)</f>
        <v>304</v>
      </c>
      <c r="N47" s="302">
        <f>VLOOKUP($F47,'[3]5.급수원단위'!$B$31:$G$35,4,FALSE)</f>
        <v>308</v>
      </c>
      <c r="O47" s="302">
        <f>VLOOKUP($F47,'[3]5.급수원단위'!$B$31:$G$35,5,FALSE)</f>
        <v>310</v>
      </c>
      <c r="P47" s="302">
        <f>VLOOKUP($F47,'[3]5.급수원단위'!$B$31:$G$35,6,FALSE)</f>
        <v>310</v>
      </c>
      <c r="Q47" s="302">
        <f>ROUND(IF(G47=0,0,VLOOKUP(C47,'2013실사용량 정리'!$D$6:$F$381,3,FALSE)),0)</f>
        <v>0</v>
      </c>
      <c r="R47" s="302">
        <f t="shared" si="7"/>
        <v>0</v>
      </c>
      <c r="S47" s="302">
        <f t="shared" si="7"/>
        <v>0</v>
      </c>
      <c r="T47" s="302">
        <f t="shared" si="7"/>
        <v>0</v>
      </c>
      <c r="U47" s="302">
        <f t="shared" si="7"/>
        <v>0</v>
      </c>
      <c r="W47" s="343" t="str">
        <f t="shared" si="2"/>
        <v/>
      </c>
    </row>
    <row r="48" spans="1:23" ht="20.100000000000001" customHeight="1">
      <c r="A48" s="419"/>
      <c r="B48" s="340"/>
      <c r="C48" s="406" t="s">
        <v>1387</v>
      </c>
      <c r="D48" s="330" t="s">
        <v>1300</v>
      </c>
      <c r="E48" s="527">
        <f>1-'2.생활용수(연무)'!E22</f>
        <v>0</v>
      </c>
      <c r="F48" s="527" t="s">
        <v>756</v>
      </c>
      <c r="G48" s="302">
        <f>IF($D48="A",ROUND(VLOOKUP($C48,'[2]2.행정구역별 급수인구'!$C$7:$AD$997,17,FALSE)*$E48,0),IF($D48="B",(ROUND(VLOOKUP($C48,'[2]2.행정구역별 급수인구'!$C$7:$AD$997,17,FALSE)-VLOOKUP($C48,'[2]2.행정구역별 급수인구'!$C$7:$AD$997,17,FALSE)*(1-$E48),0)),VLOOKUP($C48,'[2]2.행정구역별 급수인구'!$C$7:$AD$997,17,FALSE)))</f>
        <v>0</v>
      </c>
      <c r="H48" s="302">
        <f>IF($D48="A",ROUND(VLOOKUP($C48,'[2]2.행정구역별 급수인구'!$C$7:$AD$997,25,FALSE)*$E48,0),IF($D48="B",(ROUND(VLOOKUP($C48,'[2]2.행정구역별 급수인구'!$C$7:$AD$997,25,FALSE)-VLOOKUP($C48,'[2]2.행정구역별 급수인구'!$C$7:$AD$997,25,FALSE)*(1-$E48),0)),VLOOKUP($C48,'[2]2.행정구역별 급수인구'!$C$7:$AD$997,25,FALSE)))</f>
        <v>0</v>
      </c>
      <c r="I48" s="302">
        <f>IF($D48="A",ROUND(VLOOKUP($C48,'[2]2.행정구역별 급수인구'!$C$7:$AD$997,26,FALSE)*$E48,0),IF($D48="B",(ROUND(VLOOKUP($C48,'[2]2.행정구역별 급수인구'!$C$7:$AD$997,26,FALSE)-VLOOKUP($C48,'[2]2.행정구역별 급수인구'!$C$7:$AD$997,26,FALSE)*(1-$E48),0)),VLOOKUP($C48,'[2]2.행정구역별 급수인구'!$C$7:$AD$997,26,FALSE)))</f>
        <v>0</v>
      </c>
      <c r="J48" s="302">
        <f>IF($D48="A",ROUND(VLOOKUP($C48,'[2]2.행정구역별 급수인구'!$C$7:$AD$997,27,FALSE)*$E48,0),IF($D48="B",(ROUND(VLOOKUP($C48,'[2]2.행정구역별 급수인구'!$C$7:$AD$997,27,FALSE)-VLOOKUP($C48,'[2]2.행정구역별 급수인구'!$C$7:$AD$997,27,FALSE)*(1-$E48),0)),VLOOKUP($C48,'[2]2.행정구역별 급수인구'!$C$7:$AD$997,27,FALSE)))</f>
        <v>0</v>
      </c>
      <c r="K48" s="302">
        <f>IF($D48="A",ROUND(VLOOKUP($C48,'[2]2.행정구역별 급수인구'!$C$7:$AD$997,28,FALSE)*$E48,0),IF($D48="B",(ROUND(VLOOKUP($C48,'[2]2.행정구역별 급수인구'!$C$7:$AD$997,28,FALSE)-VLOOKUP($C48,'[2]2.행정구역별 급수인구'!$C$7:$AD$997,28,FALSE)*(1-$E48),0)),VLOOKUP($C48,'[2]2.행정구역별 급수인구'!$C$7:$AD$997,28,FALSE)))</f>
        <v>0</v>
      </c>
      <c r="L48" s="302">
        <f>VLOOKUP($F48,'[3]5.급수원단위'!$B$31:$G$35,2,FALSE)</f>
        <v>272</v>
      </c>
      <c r="M48" s="302">
        <f>VLOOKUP($F48,'[3]5.급수원단위'!$B$31:$G$35,3,FALSE)</f>
        <v>304</v>
      </c>
      <c r="N48" s="302">
        <f>VLOOKUP($F48,'[3]5.급수원단위'!$B$31:$G$35,4,FALSE)</f>
        <v>308</v>
      </c>
      <c r="O48" s="302">
        <f>VLOOKUP($F48,'[3]5.급수원단위'!$B$31:$G$35,5,FALSE)</f>
        <v>310</v>
      </c>
      <c r="P48" s="302">
        <f>VLOOKUP($F48,'[3]5.급수원단위'!$B$31:$G$35,6,FALSE)</f>
        <v>310</v>
      </c>
      <c r="Q48" s="302">
        <f>ROUND(IF(G48=0,0,VLOOKUP(C48,'2013실사용량 정리'!$D$6:$F$381,3,FALSE)),0)</f>
        <v>0</v>
      </c>
      <c r="R48" s="302">
        <f t="shared" si="7"/>
        <v>0</v>
      </c>
      <c r="S48" s="302">
        <f t="shared" si="7"/>
        <v>0</v>
      </c>
      <c r="T48" s="302">
        <f t="shared" si="7"/>
        <v>0</v>
      </c>
      <c r="U48" s="302">
        <f t="shared" si="7"/>
        <v>0</v>
      </c>
      <c r="W48" s="343" t="str">
        <f t="shared" si="2"/>
        <v/>
      </c>
    </row>
    <row r="49" spans="1:23" ht="20.100000000000001" customHeight="1">
      <c r="A49" s="419"/>
      <c r="B49" s="340"/>
      <c r="C49" s="406" t="s">
        <v>1388</v>
      </c>
      <c r="D49" s="330" t="s">
        <v>1300</v>
      </c>
      <c r="E49" s="527">
        <f>1-'2.생활용수(연무)'!E23</f>
        <v>0</v>
      </c>
      <c r="F49" s="527" t="s">
        <v>756</v>
      </c>
      <c r="G49" s="302">
        <f>IF($D49="A",ROUND(VLOOKUP($C49,'[2]2.행정구역별 급수인구'!$C$7:$AD$997,17,FALSE)*$E49,0),IF($D49="B",(ROUND(VLOOKUP($C49,'[2]2.행정구역별 급수인구'!$C$7:$AD$997,17,FALSE)-VLOOKUP($C49,'[2]2.행정구역별 급수인구'!$C$7:$AD$997,17,FALSE)*(1-$E49),0)),VLOOKUP($C49,'[2]2.행정구역별 급수인구'!$C$7:$AD$997,17,FALSE)))</f>
        <v>0</v>
      </c>
      <c r="H49" s="302">
        <f>IF($D49="A",ROUND(VLOOKUP($C49,'[2]2.행정구역별 급수인구'!$C$7:$AD$997,25,FALSE)*$E49,0),IF($D49="B",(ROUND(VLOOKUP($C49,'[2]2.행정구역별 급수인구'!$C$7:$AD$997,25,FALSE)-VLOOKUP($C49,'[2]2.행정구역별 급수인구'!$C$7:$AD$997,25,FALSE)*(1-$E49),0)),VLOOKUP($C49,'[2]2.행정구역별 급수인구'!$C$7:$AD$997,25,FALSE)))</f>
        <v>0</v>
      </c>
      <c r="I49" s="302">
        <f>IF($D49="A",ROUND(VLOOKUP($C49,'[2]2.행정구역별 급수인구'!$C$7:$AD$997,26,FALSE)*$E49,0),IF($D49="B",(ROUND(VLOOKUP($C49,'[2]2.행정구역별 급수인구'!$C$7:$AD$997,26,FALSE)-VLOOKUP($C49,'[2]2.행정구역별 급수인구'!$C$7:$AD$997,26,FALSE)*(1-$E49),0)),VLOOKUP($C49,'[2]2.행정구역별 급수인구'!$C$7:$AD$997,26,FALSE)))</f>
        <v>0</v>
      </c>
      <c r="J49" s="302">
        <f>IF($D49="A",ROUND(VLOOKUP($C49,'[2]2.행정구역별 급수인구'!$C$7:$AD$997,27,FALSE)*$E49,0),IF($D49="B",(ROUND(VLOOKUP($C49,'[2]2.행정구역별 급수인구'!$C$7:$AD$997,27,FALSE)-VLOOKUP($C49,'[2]2.행정구역별 급수인구'!$C$7:$AD$997,27,FALSE)*(1-$E49),0)),VLOOKUP($C49,'[2]2.행정구역별 급수인구'!$C$7:$AD$997,27,FALSE)))</f>
        <v>0</v>
      </c>
      <c r="K49" s="302">
        <f>IF($D49="A",ROUND(VLOOKUP($C49,'[2]2.행정구역별 급수인구'!$C$7:$AD$997,28,FALSE)*$E49,0),IF($D49="B",(ROUND(VLOOKUP($C49,'[2]2.행정구역별 급수인구'!$C$7:$AD$997,28,FALSE)-VLOOKUP($C49,'[2]2.행정구역별 급수인구'!$C$7:$AD$997,28,FALSE)*(1-$E49),0)),VLOOKUP($C49,'[2]2.행정구역별 급수인구'!$C$7:$AD$997,28,FALSE)))</f>
        <v>0</v>
      </c>
      <c r="L49" s="302">
        <f>VLOOKUP($F49,'[3]5.급수원단위'!$B$31:$G$35,2,FALSE)</f>
        <v>272</v>
      </c>
      <c r="M49" s="302">
        <f>VLOOKUP($F49,'[3]5.급수원단위'!$B$31:$G$35,3,FALSE)</f>
        <v>304</v>
      </c>
      <c r="N49" s="302">
        <f>VLOOKUP($F49,'[3]5.급수원단위'!$B$31:$G$35,4,FALSE)</f>
        <v>308</v>
      </c>
      <c r="O49" s="302">
        <f>VLOOKUP($F49,'[3]5.급수원단위'!$B$31:$G$35,5,FALSE)</f>
        <v>310</v>
      </c>
      <c r="P49" s="302">
        <f>VLOOKUP($F49,'[3]5.급수원단위'!$B$31:$G$35,6,FALSE)</f>
        <v>310</v>
      </c>
      <c r="Q49" s="302">
        <f>ROUND(IF(G49=0,0,VLOOKUP(C49,'2013실사용량 정리'!$D$6:$F$381,3,FALSE)),0)</f>
        <v>0</v>
      </c>
      <c r="R49" s="302">
        <f t="shared" si="7"/>
        <v>0</v>
      </c>
      <c r="S49" s="302">
        <f t="shared" si="7"/>
        <v>0</v>
      </c>
      <c r="T49" s="302">
        <f t="shared" si="7"/>
        <v>0</v>
      </c>
      <c r="U49" s="302">
        <f t="shared" si="7"/>
        <v>0</v>
      </c>
      <c r="W49" s="343" t="str">
        <f t="shared" si="2"/>
        <v/>
      </c>
    </row>
    <row r="50" spans="1:23" ht="20.100000000000001" customHeight="1">
      <c r="A50" s="419"/>
      <c r="B50" s="340"/>
      <c r="C50" s="406" t="s">
        <v>1389</v>
      </c>
      <c r="D50" s="330" t="s">
        <v>1300</v>
      </c>
      <c r="E50" s="527">
        <f>1-'2.생활용수(연무)'!E24</f>
        <v>0</v>
      </c>
      <c r="F50" s="527" t="s">
        <v>756</v>
      </c>
      <c r="G50" s="302">
        <f>IF($D50="A",ROUND(VLOOKUP($C50,'[2]2.행정구역별 급수인구'!$C$7:$AD$997,17,FALSE)*$E50,0),IF($D50="B",(ROUND(VLOOKUP($C50,'[2]2.행정구역별 급수인구'!$C$7:$AD$997,17,FALSE)-VLOOKUP($C50,'[2]2.행정구역별 급수인구'!$C$7:$AD$997,17,FALSE)*(1-$E50),0)),VLOOKUP($C50,'[2]2.행정구역별 급수인구'!$C$7:$AD$997,17,FALSE)))</f>
        <v>0</v>
      </c>
      <c r="H50" s="302">
        <f>IF($D50="A",ROUND(VLOOKUP($C50,'[2]2.행정구역별 급수인구'!$C$7:$AD$997,25,FALSE)*$E50,0),IF($D50="B",(ROUND(VLOOKUP($C50,'[2]2.행정구역별 급수인구'!$C$7:$AD$997,25,FALSE)-VLOOKUP($C50,'[2]2.행정구역별 급수인구'!$C$7:$AD$997,25,FALSE)*(1-$E50),0)),VLOOKUP($C50,'[2]2.행정구역별 급수인구'!$C$7:$AD$997,25,FALSE)))</f>
        <v>0</v>
      </c>
      <c r="I50" s="302">
        <f>IF($D50="A",ROUND(VLOOKUP($C50,'[2]2.행정구역별 급수인구'!$C$7:$AD$997,26,FALSE)*$E50,0),IF($D50="B",(ROUND(VLOOKUP($C50,'[2]2.행정구역별 급수인구'!$C$7:$AD$997,26,FALSE)-VLOOKUP($C50,'[2]2.행정구역별 급수인구'!$C$7:$AD$997,26,FALSE)*(1-$E50),0)),VLOOKUP($C50,'[2]2.행정구역별 급수인구'!$C$7:$AD$997,26,FALSE)))</f>
        <v>0</v>
      </c>
      <c r="J50" s="302">
        <f>IF($D50="A",ROUND(VLOOKUP($C50,'[2]2.행정구역별 급수인구'!$C$7:$AD$997,27,FALSE)*$E50,0),IF($D50="B",(ROUND(VLOOKUP($C50,'[2]2.행정구역별 급수인구'!$C$7:$AD$997,27,FALSE)-VLOOKUP($C50,'[2]2.행정구역별 급수인구'!$C$7:$AD$997,27,FALSE)*(1-$E50),0)),VLOOKUP($C50,'[2]2.행정구역별 급수인구'!$C$7:$AD$997,27,FALSE)))</f>
        <v>0</v>
      </c>
      <c r="K50" s="302">
        <f>IF($D50="A",ROUND(VLOOKUP($C50,'[2]2.행정구역별 급수인구'!$C$7:$AD$997,28,FALSE)*$E50,0),IF($D50="B",(ROUND(VLOOKUP($C50,'[2]2.행정구역별 급수인구'!$C$7:$AD$997,28,FALSE)-VLOOKUP($C50,'[2]2.행정구역별 급수인구'!$C$7:$AD$997,28,FALSE)*(1-$E50),0)),VLOOKUP($C50,'[2]2.행정구역별 급수인구'!$C$7:$AD$997,28,FALSE)))</f>
        <v>0</v>
      </c>
      <c r="L50" s="302">
        <f>VLOOKUP($F50,'[3]5.급수원단위'!$B$31:$G$35,2,FALSE)</f>
        <v>272</v>
      </c>
      <c r="M50" s="302">
        <f>VLOOKUP($F50,'[3]5.급수원단위'!$B$31:$G$35,3,FALSE)</f>
        <v>304</v>
      </c>
      <c r="N50" s="302">
        <f>VLOOKUP($F50,'[3]5.급수원단위'!$B$31:$G$35,4,FALSE)</f>
        <v>308</v>
      </c>
      <c r="O50" s="302">
        <f>VLOOKUP($F50,'[3]5.급수원단위'!$B$31:$G$35,5,FALSE)</f>
        <v>310</v>
      </c>
      <c r="P50" s="302">
        <f>VLOOKUP($F50,'[3]5.급수원단위'!$B$31:$G$35,6,FALSE)</f>
        <v>310</v>
      </c>
      <c r="Q50" s="302">
        <f>ROUND(IF(G50=0,0,VLOOKUP(C50,'2013실사용량 정리'!$D$6:$F$381,3,FALSE)),0)</f>
        <v>0</v>
      </c>
      <c r="R50" s="302">
        <f t="shared" si="7"/>
        <v>0</v>
      </c>
      <c r="S50" s="302">
        <f t="shared" si="7"/>
        <v>0</v>
      </c>
      <c r="T50" s="302">
        <f t="shared" si="7"/>
        <v>0</v>
      </c>
      <c r="U50" s="302">
        <f t="shared" si="7"/>
        <v>0</v>
      </c>
      <c r="W50" s="343" t="str">
        <f t="shared" si="2"/>
        <v/>
      </c>
    </row>
    <row r="51" spans="1:23" ht="20.100000000000001" customHeight="1">
      <c r="A51" s="419"/>
      <c r="B51" s="340"/>
      <c r="C51" s="406" t="s">
        <v>1482</v>
      </c>
      <c r="D51" s="330" t="s">
        <v>1300</v>
      </c>
      <c r="E51" s="527">
        <f>1-'2.생활용수(연무)'!E25</f>
        <v>1</v>
      </c>
      <c r="F51" s="527" t="s">
        <v>756</v>
      </c>
      <c r="G51" s="302">
        <f>IF($D51="A",ROUND(VLOOKUP($C51,'[2]2.행정구역별 급수인구'!$C$7:$AD$997,17,FALSE)*$E51,0),IF($D51="B",(ROUND(VLOOKUP($C51,'[2]2.행정구역별 급수인구'!$C$7:$AD$997,17,FALSE)-VLOOKUP($C51,'[2]2.행정구역별 급수인구'!$C$7:$AD$997,17,FALSE)*(1-$E51),0)),VLOOKUP($C51,'[2]2.행정구역별 급수인구'!$C$7:$AD$997,17,FALSE)))</f>
        <v>150</v>
      </c>
      <c r="H51" s="302">
        <f>IF($D51="A",ROUND(VLOOKUP($C51,'[2]2.행정구역별 급수인구'!$C$7:$AD$997,25,FALSE)*$E51,0),IF($D51="B",(ROUND(VLOOKUP($C51,'[2]2.행정구역별 급수인구'!$C$7:$AD$997,25,FALSE)-VLOOKUP($C51,'[2]2.행정구역별 급수인구'!$C$7:$AD$997,25,FALSE)*(1-$E51),0)),VLOOKUP($C51,'[2]2.행정구역별 급수인구'!$C$7:$AD$997,25,FALSE)))</f>
        <v>167</v>
      </c>
      <c r="I51" s="302">
        <f>IF($D51="A",ROUND(VLOOKUP($C51,'[2]2.행정구역별 급수인구'!$C$7:$AD$997,26,FALSE)*$E51,0),IF($D51="B",(ROUND(VLOOKUP($C51,'[2]2.행정구역별 급수인구'!$C$7:$AD$997,26,FALSE)-VLOOKUP($C51,'[2]2.행정구역별 급수인구'!$C$7:$AD$997,26,FALSE)*(1-$E51),0)),VLOOKUP($C51,'[2]2.행정구역별 급수인구'!$C$7:$AD$997,26,FALSE)))</f>
        <v>176</v>
      </c>
      <c r="J51" s="302">
        <f>IF($D51="A",ROUND(VLOOKUP($C51,'[2]2.행정구역별 급수인구'!$C$7:$AD$997,27,FALSE)*$E51,0),IF($D51="B",(ROUND(VLOOKUP($C51,'[2]2.행정구역별 급수인구'!$C$7:$AD$997,27,FALSE)-VLOOKUP($C51,'[2]2.행정구역별 급수인구'!$C$7:$AD$997,27,FALSE)*(1-$E51),0)),VLOOKUP($C51,'[2]2.행정구역별 급수인구'!$C$7:$AD$997,27,FALSE)))</f>
        <v>190</v>
      </c>
      <c r="K51" s="302">
        <f>IF($D51="A",ROUND(VLOOKUP($C51,'[2]2.행정구역별 급수인구'!$C$7:$AD$997,28,FALSE)*$E51,0),IF($D51="B",(ROUND(VLOOKUP($C51,'[2]2.행정구역별 급수인구'!$C$7:$AD$997,28,FALSE)-VLOOKUP($C51,'[2]2.행정구역별 급수인구'!$C$7:$AD$997,28,FALSE)*(1-$E51),0)),VLOOKUP($C51,'[2]2.행정구역별 급수인구'!$C$7:$AD$997,28,FALSE)))</f>
        <v>194</v>
      </c>
      <c r="L51" s="302">
        <f>VLOOKUP($F51,'[3]5.급수원단위'!$B$31:$G$35,2,FALSE)</f>
        <v>272</v>
      </c>
      <c r="M51" s="302">
        <f>VLOOKUP($F51,'[3]5.급수원단위'!$B$31:$G$35,3,FALSE)</f>
        <v>304</v>
      </c>
      <c r="N51" s="302">
        <f>VLOOKUP($F51,'[3]5.급수원단위'!$B$31:$G$35,4,FALSE)</f>
        <v>308</v>
      </c>
      <c r="O51" s="302">
        <f>VLOOKUP($F51,'[3]5.급수원단위'!$B$31:$G$35,5,FALSE)</f>
        <v>310</v>
      </c>
      <c r="P51" s="302">
        <f>VLOOKUP($F51,'[3]5.급수원단위'!$B$31:$G$35,6,FALSE)</f>
        <v>310</v>
      </c>
      <c r="Q51" s="302">
        <f>ROUND(IF(G51=0,0,VLOOKUP(C51,'2013실사용량 정리'!$D$6:$F$381,3,FALSE)),0)</f>
        <v>10</v>
      </c>
      <c r="R51" s="302">
        <f t="shared" si="7"/>
        <v>51</v>
      </c>
      <c r="S51" s="302">
        <f t="shared" si="7"/>
        <v>54</v>
      </c>
      <c r="T51" s="302">
        <f t="shared" si="7"/>
        <v>59</v>
      </c>
      <c r="U51" s="302">
        <f t="shared" si="7"/>
        <v>60</v>
      </c>
      <c r="W51" s="343">
        <f t="shared" si="2"/>
        <v>6</v>
      </c>
    </row>
    <row r="52" spans="1:23" ht="20.100000000000001" customHeight="1">
      <c r="A52" s="419"/>
      <c r="B52" s="340"/>
      <c r="C52" s="406" t="s">
        <v>1483</v>
      </c>
      <c r="D52" s="330" t="s">
        <v>1300</v>
      </c>
      <c r="E52" s="527">
        <f>1-'2.생활용수(연무)'!E26</f>
        <v>1</v>
      </c>
      <c r="F52" s="527" t="s">
        <v>756</v>
      </c>
      <c r="G52" s="302">
        <f>IF($D52="A",ROUND(VLOOKUP($C52,'[2]2.행정구역별 급수인구'!$C$7:$AD$997,17,FALSE)*$E52,0),IF($D52="B",(ROUND(VLOOKUP($C52,'[2]2.행정구역별 급수인구'!$C$7:$AD$997,17,FALSE)-VLOOKUP($C52,'[2]2.행정구역별 급수인구'!$C$7:$AD$997,17,FALSE)*(1-$E52),0)),VLOOKUP($C52,'[2]2.행정구역별 급수인구'!$C$7:$AD$997,17,FALSE)))</f>
        <v>68</v>
      </c>
      <c r="H52" s="302">
        <f>IF($D52="A",ROUND(VLOOKUP($C52,'[2]2.행정구역별 급수인구'!$C$7:$AD$997,25,FALSE)*$E52,0),IF($D52="B",(ROUND(VLOOKUP($C52,'[2]2.행정구역별 급수인구'!$C$7:$AD$997,25,FALSE)-VLOOKUP($C52,'[2]2.행정구역별 급수인구'!$C$7:$AD$997,25,FALSE)*(1-$E52),0)),VLOOKUP($C52,'[2]2.행정구역별 급수인구'!$C$7:$AD$997,25,FALSE)))</f>
        <v>77</v>
      </c>
      <c r="I52" s="302">
        <f>IF($D52="A",ROUND(VLOOKUP($C52,'[2]2.행정구역별 급수인구'!$C$7:$AD$997,26,FALSE)*$E52,0),IF($D52="B",(ROUND(VLOOKUP($C52,'[2]2.행정구역별 급수인구'!$C$7:$AD$997,26,FALSE)-VLOOKUP($C52,'[2]2.행정구역별 급수인구'!$C$7:$AD$997,26,FALSE)*(1-$E52),0)),VLOOKUP($C52,'[2]2.행정구역별 급수인구'!$C$7:$AD$997,26,FALSE)))</f>
        <v>80</v>
      </c>
      <c r="J52" s="302">
        <f>IF($D52="A",ROUND(VLOOKUP($C52,'[2]2.행정구역별 급수인구'!$C$7:$AD$997,27,FALSE)*$E52,0),IF($D52="B",(ROUND(VLOOKUP($C52,'[2]2.행정구역별 급수인구'!$C$7:$AD$997,27,FALSE)-VLOOKUP($C52,'[2]2.행정구역별 급수인구'!$C$7:$AD$997,27,FALSE)*(1-$E52),0)),VLOOKUP($C52,'[2]2.행정구역별 급수인구'!$C$7:$AD$997,27,FALSE)))</f>
        <v>86</v>
      </c>
      <c r="K52" s="302">
        <f>IF($D52="A",ROUND(VLOOKUP($C52,'[2]2.행정구역별 급수인구'!$C$7:$AD$997,28,FALSE)*$E52,0),IF($D52="B",(ROUND(VLOOKUP($C52,'[2]2.행정구역별 급수인구'!$C$7:$AD$997,28,FALSE)-VLOOKUP($C52,'[2]2.행정구역별 급수인구'!$C$7:$AD$997,28,FALSE)*(1-$E52),0)),VLOOKUP($C52,'[2]2.행정구역별 급수인구'!$C$7:$AD$997,28,FALSE)))</f>
        <v>88</v>
      </c>
      <c r="L52" s="302">
        <f>VLOOKUP($F52,'[3]5.급수원단위'!$B$31:$G$35,2,FALSE)</f>
        <v>272</v>
      </c>
      <c r="M52" s="302">
        <f>VLOOKUP($F52,'[3]5.급수원단위'!$B$31:$G$35,3,FALSE)</f>
        <v>304</v>
      </c>
      <c r="N52" s="302">
        <f>VLOOKUP($F52,'[3]5.급수원단위'!$B$31:$G$35,4,FALSE)</f>
        <v>308</v>
      </c>
      <c r="O52" s="302">
        <f>VLOOKUP($F52,'[3]5.급수원단위'!$B$31:$G$35,5,FALSE)</f>
        <v>310</v>
      </c>
      <c r="P52" s="302">
        <f>VLOOKUP($F52,'[3]5.급수원단위'!$B$31:$G$35,6,FALSE)</f>
        <v>310</v>
      </c>
      <c r="Q52" s="302">
        <f>ROUND(IF(G52=0,0,VLOOKUP(C52,'2013실사용량 정리'!$D$6:$F$381,3,FALSE)),0)</f>
        <v>4</v>
      </c>
      <c r="R52" s="302">
        <f t="shared" si="7"/>
        <v>23</v>
      </c>
      <c r="S52" s="302">
        <f t="shared" si="7"/>
        <v>25</v>
      </c>
      <c r="T52" s="302">
        <f t="shared" si="7"/>
        <v>27</v>
      </c>
      <c r="U52" s="302">
        <f t="shared" si="7"/>
        <v>27</v>
      </c>
      <c r="W52" s="343">
        <f t="shared" si="2"/>
        <v>6.75</v>
      </c>
    </row>
    <row r="53" spans="1:23" ht="20.100000000000001" customHeight="1">
      <c r="A53" s="419"/>
      <c r="B53" s="340"/>
      <c r="C53" s="406" t="s">
        <v>1484</v>
      </c>
      <c r="D53" s="330" t="s">
        <v>1300</v>
      </c>
      <c r="E53" s="527">
        <f>1-'2.생활용수(연무)'!E27</f>
        <v>1</v>
      </c>
      <c r="F53" s="527" t="s">
        <v>756</v>
      </c>
      <c r="G53" s="302">
        <f>IF($D53="A",ROUND(VLOOKUP($C53,'[2]2.행정구역별 급수인구'!$C$7:$AD$997,17,FALSE)*$E53,0),IF($D53="B",(ROUND(VLOOKUP($C53,'[2]2.행정구역별 급수인구'!$C$7:$AD$997,17,FALSE)-VLOOKUP($C53,'[2]2.행정구역별 급수인구'!$C$7:$AD$997,17,FALSE)*(1-$E53),0)),VLOOKUP($C53,'[2]2.행정구역별 급수인구'!$C$7:$AD$997,17,FALSE)))</f>
        <v>100</v>
      </c>
      <c r="H53" s="302">
        <f>IF($D53="A",ROUND(VLOOKUP($C53,'[2]2.행정구역별 급수인구'!$C$7:$AD$997,25,FALSE)*$E53,0),IF($D53="B",(ROUND(VLOOKUP($C53,'[2]2.행정구역별 급수인구'!$C$7:$AD$997,25,FALSE)-VLOOKUP($C53,'[2]2.행정구역별 급수인구'!$C$7:$AD$997,25,FALSE)*(1-$E53),0)),VLOOKUP($C53,'[2]2.행정구역별 급수인구'!$C$7:$AD$997,25,FALSE)))</f>
        <v>112</v>
      </c>
      <c r="I53" s="302">
        <f>IF($D53="A",ROUND(VLOOKUP($C53,'[2]2.행정구역별 급수인구'!$C$7:$AD$997,26,FALSE)*$E53,0),IF($D53="B",(ROUND(VLOOKUP($C53,'[2]2.행정구역별 급수인구'!$C$7:$AD$997,26,FALSE)-VLOOKUP($C53,'[2]2.행정구역별 급수인구'!$C$7:$AD$997,26,FALSE)*(1-$E53),0)),VLOOKUP($C53,'[2]2.행정구역별 급수인구'!$C$7:$AD$997,26,FALSE)))</f>
        <v>116</v>
      </c>
      <c r="J53" s="302">
        <f>IF($D53="A",ROUND(VLOOKUP($C53,'[2]2.행정구역별 급수인구'!$C$7:$AD$997,27,FALSE)*$E53,0),IF($D53="B",(ROUND(VLOOKUP($C53,'[2]2.행정구역별 급수인구'!$C$7:$AD$997,27,FALSE)-VLOOKUP($C53,'[2]2.행정구역별 급수인구'!$C$7:$AD$997,27,FALSE)*(1-$E53),0)),VLOOKUP($C53,'[2]2.행정구역별 급수인구'!$C$7:$AD$997,27,FALSE)))</f>
        <v>125</v>
      </c>
      <c r="K53" s="302">
        <f>IF($D53="A",ROUND(VLOOKUP($C53,'[2]2.행정구역별 급수인구'!$C$7:$AD$997,28,FALSE)*$E53,0),IF($D53="B",(ROUND(VLOOKUP($C53,'[2]2.행정구역별 급수인구'!$C$7:$AD$997,28,FALSE)-VLOOKUP($C53,'[2]2.행정구역별 급수인구'!$C$7:$AD$997,28,FALSE)*(1-$E53),0)),VLOOKUP($C53,'[2]2.행정구역별 급수인구'!$C$7:$AD$997,28,FALSE)))</f>
        <v>128</v>
      </c>
      <c r="L53" s="302">
        <f>VLOOKUP($F53,'[3]5.급수원단위'!$B$31:$G$35,2,FALSE)</f>
        <v>272</v>
      </c>
      <c r="M53" s="302">
        <f>VLOOKUP($F53,'[3]5.급수원단위'!$B$31:$G$35,3,FALSE)</f>
        <v>304</v>
      </c>
      <c r="N53" s="302">
        <f>VLOOKUP($F53,'[3]5.급수원단위'!$B$31:$G$35,4,FALSE)</f>
        <v>308</v>
      </c>
      <c r="O53" s="302">
        <f>VLOOKUP($F53,'[3]5.급수원단위'!$B$31:$G$35,5,FALSE)</f>
        <v>310</v>
      </c>
      <c r="P53" s="302">
        <f>VLOOKUP($F53,'[3]5.급수원단위'!$B$31:$G$35,6,FALSE)</f>
        <v>310</v>
      </c>
      <c r="Q53" s="302">
        <f>ROUND(IF(G53=0,0,VLOOKUP(C53,'2013실사용량 정리'!$D$6:$F$381,3,FALSE)),0)</f>
        <v>7</v>
      </c>
      <c r="R53" s="302">
        <f t="shared" si="7"/>
        <v>34</v>
      </c>
      <c r="S53" s="302">
        <f t="shared" si="7"/>
        <v>36</v>
      </c>
      <c r="T53" s="302">
        <f t="shared" si="7"/>
        <v>39</v>
      </c>
      <c r="U53" s="302">
        <f t="shared" si="7"/>
        <v>40</v>
      </c>
      <c r="W53" s="343">
        <f t="shared" si="2"/>
        <v>5.7142857142857144</v>
      </c>
    </row>
    <row r="54" spans="1:23" ht="20.100000000000001" customHeight="1">
      <c r="A54" s="419"/>
      <c r="B54" s="340"/>
      <c r="C54" s="406" t="s">
        <v>1485</v>
      </c>
      <c r="D54" s="330" t="s">
        <v>1300</v>
      </c>
      <c r="E54" s="527">
        <f>1-'2.생활용수(연무)'!E28</f>
        <v>1</v>
      </c>
      <c r="F54" s="527" t="s">
        <v>756</v>
      </c>
      <c r="G54" s="302">
        <f>IF($D54="A",ROUND(VLOOKUP($C54,'[2]2.행정구역별 급수인구'!$C$7:$AD$997,17,FALSE)*$E54,0),IF($D54="B",(ROUND(VLOOKUP($C54,'[2]2.행정구역별 급수인구'!$C$7:$AD$997,17,FALSE)-VLOOKUP($C54,'[2]2.행정구역별 급수인구'!$C$7:$AD$997,17,FALSE)*(1-$E54),0)),VLOOKUP($C54,'[2]2.행정구역별 급수인구'!$C$7:$AD$997,17,FALSE)))</f>
        <v>85</v>
      </c>
      <c r="H54" s="302">
        <f>IF($D54="A",ROUND(VLOOKUP($C54,'[2]2.행정구역별 급수인구'!$C$7:$AD$997,25,FALSE)*$E54,0),IF($D54="B",(ROUND(VLOOKUP($C54,'[2]2.행정구역별 급수인구'!$C$7:$AD$997,25,FALSE)-VLOOKUP($C54,'[2]2.행정구역별 급수인구'!$C$7:$AD$997,25,FALSE)*(1-$E54),0)),VLOOKUP($C54,'[2]2.행정구역별 급수인구'!$C$7:$AD$997,25,FALSE)))</f>
        <v>94</v>
      </c>
      <c r="I54" s="302">
        <f>IF($D54="A",ROUND(VLOOKUP($C54,'[2]2.행정구역별 급수인구'!$C$7:$AD$997,26,FALSE)*$E54,0),IF($D54="B",(ROUND(VLOOKUP($C54,'[2]2.행정구역별 급수인구'!$C$7:$AD$997,26,FALSE)-VLOOKUP($C54,'[2]2.행정구역별 급수인구'!$C$7:$AD$997,26,FALSE)*(1-$E54),0)),VLOOKUP($C54,'[2]2.행정구역별 급수인구'!$C$7:$AD$997,26,FALSE)))</f>
        <v>100</v>
      </c>
      <c r="J54" s="302">
        <f>IF($D54="A",ROUND(VLOOKUP($C54,'[2]2.행정구역별 급수인구'!$C$7:$AD$997,27,FALSE)*$E54,0),IF($D54="B",(ROUND(VLOOKUP($C54,'[2]2.행정구역별 급수인구'!$C$7:$AD$997,27,FALSE)-VLOOKUP($C54,'[2]2.행정구역별 급수인구'!$C$7:$AD$997,27,FALSE)*(1-$E54),0)),VLOOKUP($C54,'[2]2.행정구역별 급수인구'!$C$7:$AD$997,27,FALSE)))</f>
        <v>107</v>
      </c>
      <c r="K54" s="302">
        <f>IF($D54="A",ROUND(VLOOKUP($C54,'[2]2.행정구역별 급수인구'!$C$7:$AD$997,28,FALSE)*$E54,0),IF($D54="B",(ROUND(VLOOKUP($C54,'[2]2.행정구역별 급수인구'!$C$7:$AD$997,28,FALSE)-VLOOKUP($C54,'[2]2.행정구역별 급수인구'!$C$7:$AD$997,28,FALSE)*(1-$E54),0)),VLOOKUP($C54,'[2]2.행정구역별 급수인구'!$C$7:$AD$997,28,FALSE)))</f>
        <v>109</v>
      </c>
      <c r="L54" s="302">
        <f>VLOOKUP($F54,'[3]5.급수원단위'!$B$31:$G$35,2,FALSE)</f>
        <v>272</v>
      </c>
      <c r="M54" s="302">
        <f>VLOOKUP($F54,'[3]5.급수원단위'!$B$31:$G$35,3,FALSE)</f>
        <v>304</v>
      </c>
      <c r="N54" s="302">
        <f>VLOOKUP($F54,'[3]5.급수원단위'!$B$31:$G$35,4,FALSE)</f>
        <v>308</v>
      </c>
      <c r="O54" s="302">
        <f>VLOOKUP($F54,'[3]5.급수원단위'!$B$31:$G$35,5,FALSE)</f>
        <v>310</v>
      </c>
      <c r="P54" s="302">
        <f>VLOOKUP($F54,'[3]5.급수원단위'!$B$31:$G$35,6,FALSE)</f>
        <v>310</v>
      </c>
      <c r="Q54" s="302">
        <f>ROUND(IF(G54=0,0,VLOOKUP(C54,'2013실사용량 정리'!$D$6:$F$381,3,FALSE)),0)</f>
        <v>21</v>
      </c>
      <c r="R54" s="302">
        <f t="shared" si="7"/>
        <v>29</v>
      </c>
      <c r="S54" s="302">
        <f t="shared" si="7"/>
        <v>31</v>
      </c>
      <c r="T54" s="302">
        <f t="shared" si="7"/>
        <v>33</v>
      </c>
      <c r="U54" s="302">
        <f t="shared" si="7"/>
        <v>34</v>
      </c>
      <c r="W54" s="343">
        <f t="shared" si="2"/>
        <v>1.6190476190476191</v>
      </c>
    </row>
    <row r="55" spans="1:23" ht="20.100000000000001" customHeight="1">
      <c r="A55" s="419"/>
      <c r="B55" s="340"/>
      <c r="C55" s="406" t="s">
        <v>1486</v>
      </c>
      <c r="D55" s="330" t="s">
        <v>1300</v>
      </c>
      <c r="E55" s="527">
        <f>1-'2.생활용수(연무)'!E29</f>
        <v>1</v>
      </c>
      <c r="F55" s="527" t="s">
        <v>756</v>
      </c>
      <c r="G55" s="302">
        <f>IF($D55="A",ROUND(VLOOKUP($C55,'[2]2.행정구역별 급수인구'!$C$7:$AD$997,17,FALSE)*$E55,0),IF($D55="B",(ROUND(VLOOKUP($C55,'[2]2.행정구역별 급수인구'!$C$7:$AD$997,17,FALSE)-VLOOKUP($C55,'[2]2.행정구역별 급수인구'!$C$7:$AD$997,17,FALSE)*(1-$E55),0)),VLOOKUP($C55,'[2]2.행정구역별 급수인구'!$C$7:$AD$997,17,FALSE)))</f>
        <v>68</v>
      </c>
      <c r="H55" s="302">
        <f>IF($D55="A",ROUND(VLOOKUP($C55,'[2]2.행정구역별 급수인구'!$C$7:$AD$997,25,FALSE)*$E55,0),IF($D55="B",(ROUND(VLOOKUP($C55,'[2]2.행정구역별 급수인구'!$C$7:$AD$997,25,FALSE)-VLOOKUP($C55,'[2]2.행정구역별 급수인구'!$C$7:$AD$997,25,FALSE)*(1-$E55),0)),VLOOKUP($C55,'[2]2.행정구역별 급수인구'!$C$7:$AD$997,25,FALSE)))</f>
        <v>76</v>
      </c>
      <c r="I55" s="302">
        <f>IF($D55="A",ROUND(VLOOKUP($C55,'[2]2.행정구역별 급수인구'!$C$7:$AD$997,26,FALSE)*$E55,0),IF($D55="B",(ROUND(VLOOKUP($C55,'[2]2.행정구역별 급수인구'!$C$7:$AD$997,26,FALSE)-VLOOKUP($C55,'[2]2.행정구역별 급수인구'!$C$7:$AD$997,26,FALSE)*(1-$E55),0)),VLOOKUP($C55,'[2]2.행정구역별 급수인구'!$C$7:$AD$997,26,FALSE)))</f>
        <v>79</v>
      </c>
      <c r="J55" s="302">
        <f>IF($D55="A",ROUND(VLOOKUP($C55,'[2]2.행정구역별 급수인구'!$C$7:$AD$997,27,FALSE)*$E55,0),IF($D55="B",(ROUND(VLOOKUP($C55,'[2]2.행정구역별 급수인구'!$C$7:$AD$997,27,FALSE)-VLOOKUP($C55,'[2]2.행정구역별 급수인구'!$C$7:$AD$997,27,FALSE)*(1-$E55),0)),VLOOKUP($C55,'[2]2.행정구역별 급수인구'!$C$7:$AD$997,27,FALSE)))</f>
        <v>86</v>
      </c>
      <c r="K55" s="302">
        <f>IF($D55="A",ROUND(VLOOKUP($C55,'[2]2.행정구역별 급수인구'!$C$7:$AD$997,28,FALSE)*$E55,0),IF($D55="B",(ROUND(VLOOKUP($C55,'[2]2.행정구역별 급수인구'!$C$7:$AD$997,28,FALSE)-VLOOKUP($C55,'[2]2.행정구역별 급수인구'!$C$7:$AD$997,28,FALSE)*(1-$E55),0)),VLOOKUP($C55,'[2]2.행정구역별 급수인구'!$C$7:$AD$997,28,FALSE)))</f>
        <v>87</v>
      </c>
      <c r="L55" s="302">
        <f>VLOOKUP($F55,'[3]5.급수원단위'!$B$31:$G$35,2,FALSE)</f>
        <v>272</v>
      </c>
      <c r="M55" s="302">
        <f>VLOOKUP($F55,'[3]5.급수원단위'!$B$31:$G$35,3,FALSE)</f>
        <v>304</v>
      </c>
      <c r="N55" s="302">
        <f>VLOOKUP($F55,'[3]5.급수원단위'!$B$31:$G$35,4,FALSE)</f>
        <v>308</v>
      </c>
      <c r="O55" s="302">
        <f>VLOOKUP($F55,'[3]5.급수원단위'!$B$31:$G$35,5,FALSE)</f>
        <v>310</v>
      </c>
      <c r="P55" s="302">
        <f>VLOOKUP($F55,'[3]5.급수원단위'!$B$31:$G$35,6,FALSE)</f>
        <v>310</v>
      </c>
      <c r="Q55" s="302">
        <f>ROUND(IF(G55=0,0,VLOOKUP(C55,'2013실사용량 정리'!$D$6:$F$381,3,FALSE)),0)</f>
        <v>16</v>
      </c>
      <c r="R55" s="302">
        <f t="shared" si="7"/>
        <v>23</v>
      </c>
      <c r="S55" s="302">
        <f t="shared" si="7"/>
        <v>24</v>
      </c>
      <c r="T55" s="302">
        <f t="shared" si="7"/>
        <v>27</v>
      </c>
      <c r="U55" s="302">
        <f t="shared" si="7"/>
        <v>27</v>
      </c>
      <c r="W55" s="343">
        <f t="shared" si="2"/>
        <v>1.6875</v>
      </c>
    </row>
    <row r="56" spans="1:23" ht="20.100000000000001" customHeight="1">
      <c r="A56" s="419"/>
      <c r="B56" s="340"/>
      <c r="C56" s="406" t="s">
        <v>1487</v>
      </c>
      <c r="D56" s="330" t="s">
        <v>1300</v>
      </c>
      <c r="E56" s="527">
        <f>1-'2.생활용수(연무)'!E30</f>
        <v>1</v>
      </c>
      <c r="F56" s="527" t="s">
        <v>756</v>
      </c>
      <c r="G56" s="302">
        <f>IF($D56="A",ROUND(VLOOKUP($C56,'[2]2.행정구역별 급수인구'!$C$7:$AD$997,17,FALSE)*$E56,0),IF($D56="B",(ROUND(VLOOKUP($C56,'[2]2.행정구역별 급수인구'!$C$7:$AD$997,17,FALSE)-VLOOKUP($C56,'[2]2.행정구역별 급수인구'!$C$7:$AD$997,17,FALSE)*(1-$E56),0)),VLOOKUP($C56,'[2]2.행정구역별 급수인구'!$C$7:$AD$997,17,FALSE)))</f>
        <v>114</v>
      </c>
      <c r="H56" s="302">
        <f>IF($D56="A",ROUND(VLOOKUP($C56,'[2]2.행정구역별 급수인구'!$C$7:$AD$997,25,FALSE)*$E56,0),IF($D56="B",(ROUND(VLOOKUP($C56,'[2]2.행정구역별 급수인구'!$C$7:$AD$997,25,FALSE)-VLOOKUP($C56,'[2]2.행정구역별 급수인구'!$C$7:$AD$997,25,FALSE)*(1-$E56),0)),VLOOKUP($C56,'[2]2.행정구역별 급수인구'!$C$7:$AD$997,25,FALSE)))</f>
        <v>128</v>
      </c>
      <c r="I56" s="302">
        <f>IF($D56="A",ROUND(VLOOKUP($C56,'[2]2.행정구역별 급수인구'!$C$7:$AD$997,26,FALSE)*$E56,0),IF($D56="B",(ROUND(VLOOKUP($C56,'[2]2.행정구역별 급수인구'!$C$7:$AD$997,26,FALSE)-VLOOKUP($C56,'[2]2.행정구역별 급수인구'!$C$7:$AD$997,26,FALSE)*(1-$E56),0)),VLOOKUP($C56,'[2]2.행정구역별 급수인구'!$C$7:$AD$997,26,FALSE)))</f>
        <v>133</v>
      </c>
      <c r="J56" s="302">
        <f>IF($D56="A",ROUND(VLOOKUP($C56,'[2]2.행정구역별 급수인구'!$C$7:$AD$997,27,FALSE)*$E56,0),IF($D56="B",(ROUND(VLOOKUP($C56,'[2]2.행정구역별 급수인구'!$C$7:$AD$997,27,FALSE)-VLOOKUP($C56,'[2]2.행정구역별 급수인구'!$C$7:$AD$997,27,FALSE)*(1-$E56),0)),VLOOKUP($C56,'[2]2.행정구역별 급수인구'!$C$7:$AD$997,27,FALSE)))</f>
        <v>144</v>
      </c>
      <c r="K56" s="302">
        <f>IF($D56="A",ROUND(VLOOKUP($C56,'[2]2.행정구역별 급수인구'!$C$7:$AD$997,28,FALSE)*$E56,0),IF($D56="B",(ROUND(VLOOKUP($C56,'[2]2.행정구역별 급수인구'!$C$7:$AD$997,28,FALSE)-VLOOKUP($C56,'[2]2.행정구역별 급수인구'!$C$7:$AD$997,28,FALSE)*(1-$E56),0)),VLOOKUP($C56,'[2]2.행정구역별 급수인구'!$C$7:$AD$997,28,FALSE)))</f>
        <v>146</v>
      </c>
      <c r="L56" s="302">
        <f>VLOOKUP($F56,'[3]5.급수원단위'!$B$31:$G$35,2,FALSE)</f>
        <v>272</v>
      </c>
      <c r="M56" s="302">
        <f>VLOOKUP($F56,'[3]5.급수원단위'!$B$31:$G$35,3,FALSE)</f>
        <v>304</v>
      </c>
      <c r="N56" s="302">
        <f>VLOOKUP($F56,'[3]5.급수원단위'!$B$31:$G$35,4,FALSE)</f>
        <v>308</v>
      </c>
      <c r="O56" s="302">
        <f>VLOOKUP($F56,'[3]5.급수원단위'!$B$31:$G$35,5,FALSE)</f>
        <v>310</v>
      </c>
      <c r="P56" s="302">
        <f>VLOOKUP($F56,'[3]5.급수원단위'!$B$31:$G$35,6,FALSE)</f>
        <v>310</v>
      </c>
      <c r="Q56" s="302">
        <f>ROUND(IF(G56=0,0,VLOOKUP(C56,'2013실사용량 정리'!$D$6:$F$381,3,FALSE)),0)</f>
        <v>28</v>
      </c>
      <c r="R56" s="302">
        <f t="shared" si="7"/>
        <v>39</v>
      </c>
      <c r="S56" s="302">
        <f t="shared" si="7"/>
        <v>41</v>
      </c>
      <c r="T56" s="302">
        <f t="shared" si="7"/>
        <v>45</v>
      </c>
      <c r="U56" s="302">
        <f t="shared" si="7"/>
        <v>45</v>
      </c>
      <c r="W56" s="343">
        <f t="shared" si="2"/>
        <v>1.6071428571428572</v>
      </c>
    </row>
    <row r="57" spans="1:23" ht="20.100000000000001" customHeight="1">
      <c r="A57" s="419"/>
      <c r="B57" s="340"/>
      <c r="C57" s="406" t="s">
        <v>1488</v>
      </c>
      <c r="D57" s="330" t="s">
        <v>1300</v>
      </c>
      <c r="E57" s="527">
        <f>1-'2.생활용수(연무)'!E31</f>
        <v>1</v>
      </c>
      <c r="F57" s="527" t="s">
        <v>756</v>
      </c>
      <c r="G57" s="302">
        <f>IF($D57="A",ROUND(VLOOKUP($C57,'[2]2.행정구역별 급수인구'!$C$7:$AD$997,17,FALSE)*$E57,0),IF($D57="B",(ROUND(VLOOKUP($C57,'[2]2.행정구역별 급수인구'!$C$7:$AD$997,17,FALSE)-VLOOKUP($C57,'[2]2.행정구역별 급수인구'!$C$7:$AD$997,17,FALSE)*(1-$E57),0)),VLOOKUP($C57,'[2]2.행정구역별 급수인구'!$C$7:$AD$997,17,FALSE)))</f>
        <v>89</v>
      </c>
      <c r="H57" s="302">
        <f>IF($D57="A",ROUND(VLOOKUP($C57,'[2]2.행정구역별 급수인구'!$C$7:$AD$997,25,FALSE)*$E57,0),IF($D57="B",(ROUND(VLOOKUP($C57,'[2]2.행정구역별 급수인구'!$C$7:$AD$997,25,FALSE)-VLOOKUP($C57,'[2]2.행정구역별 급수인구'!$C$7:$AD$997,25,FALSE)*(1-$E57),0)),VLOOKUP($C57,'[2]2.행정구역별 급수인구'!$C$7:$AD$997,25,FALSE)))</f>
        <v>99</v>
      </c>
      <c r="I57" s="302">
        <f>IF($D57="A",ROUND(VLOOKUP($C57,'[2]2.행정구역별 급수인구'!$C$7:$AD$997,26,FALSE)*$E57,0),IF($D57="B",(ROUND(VLOOKUP($C57,'[2]2.행정구역별 급수인구'!$C$7:$AD$997,26,FALSE)-VLOOKUP($C57,'[2]2.행정구역별 급수인구'!$C$7:$AD$997,26,FALSE)*(1-$E57),0)),VLOOKUP($C57,'[2]2.행정구역별 급수인구'!$C$7:$AD$997,26,FALSE)))</f>
        <v>104</v>
      </c>
      <c r="J57" s="302">
        <f>IF($D57="A",ROUND(VLOOKUP($C57,'[2]2.행정구역별 급수인구'!$C$7:$AD$997,27,FALSE)*$E57,0),IF($D57="B",(ROUND(VLOOKUP($C57,'[2]2.행정구역별 급수인구'!$C$7:$AD$997,27,FALSE)-VLOOKUP($C57,'[2]2.행정구역별 급수인구'!$C$7:$AD$997,27,FALSE)*(1-$E57),0)),VLOOKUP($C57,'[2]2.행정구역별 급수인구'!$C$7:$AD$997,27,FALSE)))</f>
        <v>113</v>
      </c>
      <c r="K57" s="302">
        <f>IF($D57="A",ROUND(VLOOKUP($C57,'[2]2.행정구역별 급수인구'!$C$7:$AD$997,28,FALSE)*$E57,0),IF($D57="B",(ROUND(VLOOKUP($C57,'[2]2.행정구역별 급수인구'!$C$7:$AD$997,28,FALSE)-VLOOKUP($C57,'[2]2.행정구역별 급수인구'!$C$7:$AD$997,28,FALSE)*(1-$E57),0)),VLOOKUP($C57,'[2]2.행정구역별 급수인구'!$C$7:$AD$997,28,FALSE)))</f>
        <v>115</v>
      </c>
      <c r="L57" s="302">
        <f>VLOOKUP($F57,'[3]5.급수원단위'!$B$31:$G$35,2,FALSE)</f>
        <v>272</v>
      </c>
      <c r="M57" s="302">
        <f>VLOOKUP($F57,'[3]5.급수원단위'!$B$31:$G$35,3,FALSE)</f>
        <v>304</v>
      </c>
      <c r="N57" s="302">
        <f>VLOOKUP($F57,'[3]5.급수원단위'!$B$31:$G$35,4,FALSE)</f>
        <v>308</v>
      </c>
      <c r="O57" s="302">
        <f>VLOOKUP($F57,'[3]5.급수원단위'!$B$31:$G$35,5,FALSE)</f>
        <v>310</v>
      </c>
      <c r="P57" s="302">
        <f>VLOOKUP($F57,'[3]5.급수원단위'!$B$31:$G$35,6,FALSE)</f>
        <v>310</v>
      </c>
      <c r="Q57" s="302">
        <f>ROUND(IF(G57=0,0,VLOOKUP(C57,'2013실사용량 정리'!$D$6:$F$381,3,FALSE)),0)</f>
        <v>21</v>
      </c>
      <c r="R57" s="302">
        <f t="shared" si="7"/>
        <v>30</v>
      </c>
      <c r="S57" s="302">
        <f t="shared" si="7"/>
        <v>32</v>
      </c>
      <c r="T57" s="302">
        <f t="shared" si="7"/>
        <v>35</v>
      </c>
      <c r="U57" s="302">
        <f t="shared" si="7"/>
        <v>36</v>
      </c>
      <c r="W57" s="343">
        <f t="shared" si="2"/>
        <v>1.7142857142857142</v>
      </c>
    </row>
    <row r="58" spans="1:23" ht="20.100000000000001" customHeight="1">
      <c r="A58" s="419"/>
      <c r="B58" s="340"/>
      <c r="C58" s="406" t="s">
        <v>1489</v>
      </c>
      <c r="D58" s="330" t="s">
        <v>1300</v>
      </c>
      <c r="E58" s="527">
        <f>1-'2.생활용수(연무)'!E32</f>
        <v>1</v>
      </c>
      <c r="F58" s="527" t="s">
        <v>756</v>
      </c>
      <c r="G58" s="302">
        <f>IF($D58="A",ROUND(VLOOKUP($C58,'[2]2.행정구역별 급수인구'!$C$7:$AD$997,17,FALSE)*$E58,0),IF($D58="B",(ROUND(VLOOKUP($C58,'[2]2.행정구역별 급수인구'!$C$7:$AD$997,17,FALSE)-VLOOKUP($C58,'[2]2.행정구역별 급수인구'!$C$7:$AD$997,17,FALSE)*(1-$E58),0)),VLOOKUP($C58,'[2]2.행정구역별 급수인구'!$C$7:$AD$997,17,FALSE)))</f>
        <v>254</v>
      </c>
      <c r="H58" s="302">
        <f>IF($D58="A",ROUND(VLOOKUP($C58,'[2]2.행정구역별 급수인구'!$C$7:$AD$997,25,FALSE)*$E58,0),IF($D58="B",(ROUND(VLOOKUP($C58,'[2]2.행정구역별 급수인구'!$C$7:$AD$997,25,FALSE)-VLOOKUP($C58,'[2]2.행정구역별 급수인구'!$C$7:$AD$997,25,FALSE)*(1-$E58),0)),VLOOKUP($C58,'[2]2.행정구역별 급수인구'!$C$7:$AD$997,25,FALSE)))</f>
        <v>283</v>
      </c>
      <c r="I58" s="302">
        <f>IF($D58="A",ROUND(VLOOKUP($C58,'[2]2.행정구역별 급수인구'!$C$7:$AD$997,26,FALSE)*$E58,0),IF($D58="B",(ROUND(VLOOKUP($C58,'[2]2.행정구역별 급수인구'!$C$7:$AD$997,26,FALSE)-VLOOKUP($C58,'[2]2.행정구역별 급수인구'!$C$7:$AD$997,26,FALSE)*(1-$E58),0)),VLOOKUP($C58,'[2]2.행정구역별 급수인구'!$C$7:$AD$997,26,FALSE)))</f>
        <v>297</v>
      </c>
      <c r="J58" s="302">
        <f>IF($D58="A",ROUND(VLOOKUP($C58,'[2]2.행정구역별 급수인구'!$C$7:$AD$997,27,FALSE)*$E58,0),IF($D58="B",(ROUND(VLOOKUP($C58,'[2]2.행정구역별 급수인구'!$C$7:$AD$997,27,FALSE)-VLOOKUP($C58,'[2]2.행정구역별 급수인구'!$C$7:$AD$997,27,FALSE)*(1-$E58),0)),VLOOKUP($C58,'[2]2.행정구역별 급수인구'!$C$7:$AD$997,27,FALSE)))</f>
        <v>321</v>
      </c>
      <c r="K58" s="302">
        <f>IF($D58="A",ROUND(VLOOKUP($C58,'[2]2.행정구역별 급수인구'!$C$7:$AD$997,28,FALSE)*$E58,0),IF($D58="B",(ROUND(VLOOKUP($C58,'[2]2.행정구역별 급수인구'!$C$7:$AD$997,28,FALSE)-VLOOKUP($C58,'[2]2.행정구역별 급수인구'!$C$7:$AD$997,28,FALSE)*(1-$E58),0)),VLOOKUP($C58,'[2]2.행정구역별 급수인구'!$C$7:$AD$997,28,FALSE)))</f>
        <v>327</v>
      </c>
      <c r="L58" s="302">
        <f>VLOOKUP($F58,'[3]5.급수원단위'!$B$31:$G$35,2,FALSE)</f>
        <v>272</v>
      </c>
      <c r="M58" s="302">
        <f>VLOOKUP($F58,'[3]5.급수원단위'!$B$31:$G$35,3,FALSE)</f>
        <v>304</v>
      </c>
      <c r="N58" s="302">
        <f>VLOOKUP($F58,'[3]5.급수원단위'!$B$31:$G$35,4,FALSE)</f>
        <v>308</v>
      </c>
      <c r="O58" s="302">
        <f>VLOOKUP($F58,'[3]5.급수원단위'!$B$31:$G$35,5,FALSE)</f>
        <v>310</v>
      </c>
      <c r="P58" s="302">
        <f>VLOOKUP($F58,'[3]5.급수원단위'!$B$31:$G$35,6,FALSE)</f>
        <v>310</v>
      </c>
      <c r="Q58" s="302">
        <f>ROUND(IF(G58=0,0,VLOOKUP(C58,'2013실사용량 정리'!$D$6:$F$381,3,FALSE)),0)</f>
        <v>75</v>
      </c>
      <c r="R58" s="302">
        <f t="shared" si="7"/>
        <v>86</v>
      </c>
      <c r="S58" s="302">
        <f t="shared" si="7"/>
        <v>91</v>
      </c>
      <c r="T58" s="302">
        <f t="shared" si="7"/>
        <v>100</v>
      </c>
      <c r="U58" s="302">
        <f t="shared" si="7"/>
        <v>101</v>
      </c>
      <c r="W58" s="343">
        <f t="shared" si="2"/>
        <v>1.3466666666666667</v>
      </c>
    </row>
    <row r="59" spans="1:23" ht="20.100000000000001" customHeight="1">
      <c r="A59" s="419"/>
      <c r="B59" s="386"/>
      <c r="C59" s="406" t="s">
        <v>1490</v>
      </c>
      <c r="D59" s="330" t="s">
        <v>1300</v>
      </c>
      <c r="E59" s="527">
        <f>1-'2.생활용수(연무)'!E33</f>
        <v>0.19999999999999996</v>
      </c>
      <c r="F59" s="527" t="s">
        <v>756</v>
      </c>
      <c r="G59" s="302">
        <f>IF($D59="A",ROUND(VLOOKUP($C59,'[2]2.행정구역별 급수인구'!$C$7:$AD$997,17,FALSE)*$E59,0),IF($D59="B",(ROUND(VLOOKUP($C59,'[2]2.행정구역별 급수인구'!$C$7:$AD$997,17,FALSE)-VLOOKUP($C59,'[2]2.행정구역별 급수인구'!$C$7:$AD$997,17,FALSE)*(1-$E59),0)),VLOOKUP($C59,'[2]2.행정구역별 급수인구'!$C$7:$AD$997,17,FALSE)))</f>
        <v>11</v>
      </c>
      <c r="H59" s="302">
        <f>IF($D59="A",ROUND(VLOOKUP($C59,'[2]2.행정구역별 급수인구'!$C$7:$AD$997,25,FALSE)*$E59,0),IF($D59="B",(ROUND(VLOOKUP($C59,'[2]2.행정구역별 급수인구'!$C$7:$AD$997,25,FALSE)-VLOOKUP($C59,'[2]2.행정구역별 급수인구'!$C$7:$AD$997,25,FALSE)*(1-$E59),0)),VLOOKUP($C59,'[2]2.행정구역별 급수인구'!$C$7:$AD$997,25,FALSE)))</f>
        <v>12</v>
      </c>
      <c r="I59" s="302">
        <f>IF($D59="A",ROUND(VLOOKUP($C59,'[2]2.행정구역별 급수인구'!$C$7:$AD$997,26,FALSE)*$E59,0),IF($D59="B",(ROUND(VLOOKUP($C59,'[2]2.행정구역별 급수인구'!$C$7:$AD$997,26,FALSE)-VLOOKUP($C59,'[2]2.행정구역별 급수인구'!$C$7:$AD$997,26,FALSE)*(1-$E59),0)),VLOOKUP($C59,'[2]2.행정구역별 급수인구'!$C$7:$AD$997,26,FALSE)))</f>
        <v>12</v>
      </c>
      <c r="J59" s="302">
        <f>IF($D59="A",ROUND(VLOOKUP($C59,'[2]2.행정구역별 급수인구'!$C$7:$AD$997,27,FALSE)*$E59,0),IF($D59="B",(ROUND(VLOOKUP($C59,'[2]2.행정구역별 급수인구'!$C$7:$AD$997,27,FALSE)-VLOOKUP($C59,'[2]2.행정구역별 급수인구'!$C$7:$AD$997,27,FALSE)*(1-$E59),0)),VLOOKUP($C59,'[2]2.행정구역별 급수인구'!$C$7:$AD$997,27,FALSE)))</f>
        <v>13</v>
      </c>
      <c r="K59" s="302">
        <f>IF($D59="A",ROUND(VLOOKUP($C59,'[2]2.행정구역별 급수인구'!$C$7:$AD$997,28,FALSE)*$E59,0),IF($D59="B",(ROUND(VLOOKUP($C59,'[2]2.행정구역별 급수인구'!$C$7:$AD$997,28,FALSE)-VLOOKUP($C59,'[2]2.행정구역별 급수인구'!$C$7:$AD$997,28,FALSE)*(1-$E59),0)),VLOOKUP($C59,'[2]2.행정구역별 급수인구'!$C$7:$AD$997,28,FALSE)))</f>
        <v>14</v>
      </c>
      <c r="L59" s="302">
        <f>VLOOKUP($F59,'[3]5.급수원단위'!$B$31:$G$35,2,FALSE)</f>
        <v>272</v>
      </c>
      <c r="M59" s="302">
        <f>VLOOKUP($F59,'[3]5.급수원단위'!$B$31:$G$35,3,FALSE)</f>
        <v>304</v>
      </c>
      <c r="N59" s="302">
        <f>VLOOKUP($F59,'[3]5.급수원단위'!$B$31:$G$35,4,FALSE)</f>
        <v>308</v>
      </c>
      <c r="O59" s="302">
        <f>VLOOKUP($F59,'[3]5.급수원단위'!$B$31:$G$35,5,FALSE)</f>
        <v>310</v>
      </c>
      <c r="P59" s="302">
        <f>VLOOKUP($F59,'[3]5.급수원단위'!$B$31:$G$35,6,FALSE)</f>
        <v>310</v>
      </c>
      <c r="Q59" s="302">
        <f>ROUND(IF(G59=0,0,VLOOKUP(C59,'2013실사용량 정리'!$D$6:$F$381,3,FALSE)),0)</f>
        <v>24</v>
      </c>
      <c r="R59" s="302">
        <f t="shared" si="7"/>
        <v>4</v>
      </c>
      <c r="S59" s="302">
        <f t="shared" si="7"/>
        <v>4</v>
      </c>
      <c r="T59" s="302">
        <f t="shared" si="7"/>
        <v>4</v>
      </c>
      <c r="U59" s="302">
        <f t="shared" si="7"/>
        <v>4</v>
      </c>
      <c r="W59" s="343">
        <f t="shared" si="2"/>
        <v>0.16666666666666666</v>
      </c>
    </row>
    <row r="60" spans="1:23" ht="20.100000000000001" customHeight="1">
      <c r="A60" s="419"/>
      <c r="B60" s="694" t="s">
        <v>700</v>
      </c>
      <c r="C60" s="694"/>
      <c r="D60" s="694"/>
      <c r="E60" s="331"/>
      <c r="F60" s="331"/>
      <c r="G60" s="336">
        <f>SUM(G61:G63)</f>
        <v>365</v>
      </c>
      <c r="H60" s="336">
        <f>SUM(H61:H63)</f>
        <v>359</v>
      </c>
      <c r="I60" s="336">
        <f>SUM(I61:I63)</f>
        <v>370</v>
      </c>
      <c r="J60" s="336">
        <f>SUM(J61:J63)</f>
        <v>380</v>
      </c>
      <c r="K60" s="336">
        <f>SUM(K61:K63)</f>
        <v>387</v>
      </c>
      <c r="L60" s="336"/>
      <c r="M60" s="336"/>
      <c r="N60" s="336"/>
      <c r="O60" s="336"/>
      <c r="P60" s="336"/>
      <c r="Q60" s="336">
        <f>SUM(Q61:Q63)</f>
        <v>75</v>
      </c>
      <c r="R60" s="336">
        <f>SUM(R61:R63)</f>
        <v>139</v>
      </c>
      <c r="S60" s="336">
        <f>SUM(S61:S63)</f>
        <v>154</v>
      </c>
      <c r="T60" s="336">
        <f>SUM(T61:T63)</f>
        <v>167</v>
      </c>
      <c r="U60" s="336">
        <f>SUM(U61:U63)</f>
        <v>176</v>
      </c>
      <c r="V60" s="343">
        <f>VLOOKUP(B60,'2013년도 용수량 비율'!$A$5:$F$20,6,FALSE)</f>
        <v>-0.31</v>
      </c>
      <c r="W60" s="343"/>
    </row>
    <row r="61" spans="1:23" ht="20.100000000000001" customHeight="1">
      <c r="A61" s="419"/>
      <c r="B61" s="340"/>
      <c r="C61" s="406" t="s">
        <v>1492</v>
      </c>
      <c r="D61" s="330"/>
      <c r="E61" s="527"/>
      <c r="F61" s="527" t="s">
        <v>754</v>
      </c>
      <c r="G61" s="302">
        <f>IF($D61="A",ROUND(VLOOKUP($C61,'[2]2.행정구역별 급수인구'!$C$7:$AD$997,17,FALSE)*$E61,0),IF($D61="B",(ROUND(VLOOKUP($C61,'[2]2.행정구역별 급수인구'!$C$7:$AD$997,17,FALSE)-VLOOKUP($C61,'[2]2.행정구역별 급수인구'!$C$7:$AD$997,17,FALSE)*(1-$E61),0)),VLOOKUP($C61,'[2]2.행정구역별 급수인구'!$C$7:$AD$997,17,FALSE)))</f>
        <v>186</v>
      </c>
      <c r="H61" s="302">
        <f>IF($D61="A",ROUND(VLOOKUP($C61,'[2]2.행정구역별 급수인구'!$C$7:$AD$997,25,FALSE)*$E61,0),IF($D61="B",(ROUND(VLOOKUP($C61,'[2]2.행정구역별 급수인구'!$C$7:$AD$997,25,FALSE)-VLOOKUP($C61,'[2]2.행정구역별 급수인구'!$C$7:$AD$997,25,FALSE)*(1-$E61),0)),VLOOKUP($C61,'[2]2.행정구역별 급수인구'!$C$7:$AD$997,25,FALSE)))</f>
        <v>183</v>
      </c>
      <c r="I61" s="302">
        <f>IF($D61="A",ROUND(VLOOKUP($C61,'[2]2.행정구역별 급수인구'!$C$7:$AD$997,26,FALSE)*$E61,0),IF($D61="B",(ROUND(VLOOKUP($C61,'[2]2.행정구역별 급수인구'!$C$7:$AD$997,26,FALSE)-VLOOKUP($C61,'[2]2.행정구역별 급수인구'!$C$7:$AD$997,26,FALSE)*(1-$E61),0)),VLOOKUP($C61,'[2]2.행정구역별 급수인구'!$C$7:$AD$997,26,FALSE)))</f>
        <v>189</v>
      </c>
      <c r="J61" s="302">
        <f>IF($D61="A",ROUND(VLOOKUP($C61,'[2]2.행정구역별 급수인구'!$C$7:$AD$997,27,FALSE)*$E61,0),IF($D61="B",(ROUND(VLOOKUP($C61,'[2]2.행정구역별 급수인구'!$C$7:$AD$997,27,FALSE)-VLOOKUP($C61,'[2]2.행정구역별 급수인구'!$C$7:$AD$997,27,FALSE)*(1-$E61),0)),VLOOKUP($C61,'[2]2.행정구역별 급수인구'!$C$7:$AD$997,27,FALSE)))</f>
        <v>194</v>
      </c>
      <c r="K61" s="302">
        <f>IF($D61="A",ROUND(VLOOKUP($C61,'[2]2.행정구역별 급수인구'!$C$7:$AD$997,28,FALSE)*$E61,0),IF($D61="B",(ROUND(VLOOKUP($C61,'[2]2.행정구역별 급수인구'!$C$7:$AD$997,28,FALSE)-VLOOKUP($C61,'[2]2.행정구역별 급수인구'!$C$7:$AD$997,28,FALSE)*(1-$E61),0)),VLOOKUP($C61,'[2]2.행정구역별 급수인구'!$C$7:$AD$997,28,FALSE)))</f>
        <v>198</v>
      </c>
      <c r="L61" s="302">
        <f>VLOOKUP($F61,'[3]5.급수원단위'!$B$31:$G$35,2,FALSE)</f>
        <v>365</v>
      </c>
      <c r="M61" s="302">
        <f>VLOOKUP($F61,'[3]5.급수원단위'!$B$31:$G$35,3,FALSE)</f>
        <v>390</v>
      </c>
      <c r="N61" s="302">
        <f>VLOOKUP($F61,'[3]5.급수원단위'!$B$31:$G$35,4,FALSE)</f>
        <v>417</v>
      </c>
      <c r="O61" s="302">
        <f>VLOOKUP($F61,'[3]5.급수원단위'!$B$31:$G$35,5,FALSE)</f>
        <v>439</v>
      </c>
      <c r="P61" s="302">
        <f>VLOOKUP($F61,'[3]5.급수원단위'!$B$31:$G$35,6,FALSE)</f>
        <v>454</v>
      </c>
      <c r="Q61" s="302">
        <f>ROUND(IF(G61=0,0,VLOOKUP(C61,'2013실사용량 정리'!$D$6:$F$381,3,FALSE)),0)</f>
        <v>38</v>
      </c>
      <c r="R61" s="302">
        <f t="shared" ref="R61:U63" si="8">ROUND(H61*M61/1000,0)</f>
        <v>71</v>
      </c>
      <c r="S61" s="302">
        <f t="shared" si="8"/>
        <v>79</v>
      </c>
      <c r="T61" s="302">
        <f t="shared" si="8"/>
        <v>85</v>
      </c>
      <c r="U61" s="302">
        <f t="shared" si="8"/>
        <v>90</v>
      </c>
      <c r="W61" s="343">
        <f t="shared" si="2"/>
        <v>2.3684210526315788</v>
      </c>
    </row>
    <row r="62" spans="1:23" ht="20.100000000000001" customHeight="1">
      <c r="A62" s="419"/>
      <c r="B62" s="340"/>
      <c r="C62" s="406" t="s">
        <v>1491</v>
      </c>
      <c r="D62" s="330"/>
      <c r="E62" s="527"/>
      <c r="F62" s="527" t="s">
        <v>754</v>
      </c>
      <c r="G62" s="302">
        <f>IF($D62="A",ROUND(VLOOKUP($C62,'[2]2.행정구역별 급수인구'!$C$7:$AD$997,17,FALSE)*$E62,0),IF($D62="B",(ROUND(VLOOKUP($C62,'[2]2.행정구역별 급수인구'!$C$7:$AD$997,17,FALSE)-VLOOKUP($C62,'[2]2.행정구역별 급수인구'!$C$7:$AD$997,17,FALSE)*(1-$E62),0)),VLOOKUP($C62,'[2]2.행정구역별 급수인구'!$C$7:$AD$997,17,FALSE)))</f>
        <v>98</v>
      </c>
      <c r="H62" s="302">
        <f>IF($D62="A",ROUND(VLOOKUP($C62,'[2]2.행정구역별 급수인구'!$C$7:$AD$997,25,FALSE)*$E62,0),IF($D62="B",(ROUND(VLOOKUP($C62,'[2]2.행정구역별 급수인구'!$C$7:$AD$997,25,FALSE)-VLOOKUP($C62,'[2]2.행정구역별 급수인구'!$C$7:$AD$997,25,FALSE)*(1-$E62),0)),VLOOKUP($C62,'[2]2.행정구역별 급수인구'!$C$7:$AD$997,25,FALSE)))</f>
        <v>96</v>
      </c>
      <c r="I62" s="302">
        <f>IF($D62="A",ROUND(VLOOKUP($C62,'[2]2.행정구역별 급수인구'!$C$7:$AD$997,26,FALSE)*$E62,0),IF($D62="B",(ROUND(VLOOKUP($C62,'[2]2.행정구역별 급수인구'!$C$7:$AD$997,26,FALSE)-VLOOKUP($C62,'[2]2.행정구역별 급수인구'!$C$7:$AD$997,26,FALSE)*(1-$E62),0)),VLOOKUP($C62,'[2]2.행정구역별 급수인구'!$C$7:$AD$997,26,FALSE)))</f>
        <v>99</v>
      </c>
      <c r="J62" s="302">
        <f>IF($D62="A",ROUND(VLOOKUP($C62,'[2]2.행정구역별 급수인구'!$C$7:$AD$997,27,FALSE)*$E62,0),IF($D62="B",(ROUND(VLOOKUP($C62,'[2]2.행정구역별 급수인구'!$C$7:$AD$997,27,FALSE)-VLOOKUP($C62,'[2]2.행정구역별 급수인구'!$C$7:$AD$997,27,FALSE)*(1-$E62),0)),VLOOKUP($C62,'[2]2.행정구역별 급수인구'!$C$7:$AD$997,27,FALSE)))</f>
        <v>102</v>
      </c>
      <c r="K62" s="302">
        <f>IF($D62="A",ROUND(VLOOKUP($C62,'[2]2.행정구역별 급수인구'!$C$7:$AD$997,28,FALSE)*$E62,0),IF($D62="B",(ROUND(VLOOKUP($C62,'[2]2.행정구역별 급수인구'!$C$7:$AD$997,28,FALSE)-VLOOKUP($C62,'[2]2.행정구역별 급수인구'!$C$7:$AD$997,28,FALSE)*(1-$E62),0)),VLOOKUP($C62,'[2]2.행정구역별 급수인구'!$C$7:$AD$997,28,FALSE)))</f>
        <v>104</v>
      </c>
      <c r="L62" s="302">
        <f>VLOOKUP($F62,'[3]5.급수원단위'!$B$31:$G$35,2,FALSE)</f>
        <v>365</v>
      </c>
      <c r="M62" s="302">
        <f>VLOOKUP($F62,'[3]5.급수원단위'!$B$31:$G$35,3,FALSE)</f>
        <v>390</v>
      </c>
      <c r="N62" s="302">
        <f>VLOOKUP($F62,'[3]5.급수원단위'!$B$31:$G$35,4,FALSE)</f>
        <v>417</v>
      </c>
      <c r="O62" s="302">
        <f>VLOOKUP($F62,'[3]5.급수원단위'!$B$31:$G$35,5,FALSE)</f>
        <v>439</v>
      </c>
      <c r="P62" s="302">
        <f>VLOOKUP($F62,'[3]5.급수원단위'!$B$31:$G$35,6,FALSE)</f>
        <v>454</v>
      </c>
      <c r="Q62" s="302">
        <f>ROUND(IF(G62=0,0,VLOOKUP(C62,'2013실사용량 정리'!$D$6:$F$381,3,FALSE)),0)</f>
        <v>20</v>
      </c>
      <c r="R62" s="302">
        <f t="shared" si="8"/>
        <v>37</v>
      </c>
      <c r="S62" s="302">
        <f t="shared" si="8"/>
        <v>41</v>
      </c>
      <c r="T62" s="302">
        <f t="shared" si="8"/>
        <v>45</v>
      </c>
      <c r="U62" s="302">
        <f t="shared" si="8"/>
        <v>47</v>
      </c>
      <c r="W62" s="343">
        <f t="shared" si="2"/>
        <v>2.35</v>
      </c>
    </row>
    <row r="63" spans="1:23" ht="20.100000000000001" customHeight="1">
      <c r="A63" s="420"/>
      <c r="B63" s="386"/>
      <c r="C63" s="406" t="s">
        <v>1493</v>
      </c>
      <c r="D63" s="330"/>
      <c r="E63" s="527"/>
      <c r="F63" s="527" t="s">
        <v>754</v>
      </c>
      <c r="G63" s="302">
        <f>IF($D63="A",ROUND(VLOOKUP($C63,'[2]2.행정구역별 급수인구'!$C$7:$AD$997,17,FALSE)*$E63,0),IF($D63="B",(ROUND(VLOOKUP($C63,'[2]2.행정구역별 급수인구'!$C$7:$AD$997,17,FALSE)-VLOOKUP($C63,'[2]2.행정구역별 급수인구'!$C$7:$AD$997,17,FALSE)*(1-$E63),0)),VLOOKUP($C63,'[2]2.행정구역별 급수인구'!$C$7:$AD$997,17,FALSE)))</f>
        <v>81</v>
      </c>
      <c r="H63" s="302">
        <f>IF($D63="A",ROUND(VLOOKUP($C63,'[2]2.행정구역별 급수인구'!$C$7:$AD$997,25,FALSE)*$E63,0),IF($D63="B",(ROUND(VLOOKUP($C63,'[2]2.행정구역별 급수인구'!$C$7:$AD$997,25,FALSE)-VLOOKUP($C63,'[2]2.행정구역별 급수인구'!$C$7:$AD$997,25,FALSE)*(1-$E63),0)),VLOOKUP($C63,'[2]2.행정구역별 급수인구'!$C$7:$AD$997,25,FALSE)))</f>
        <v>80</v>
      </c>
      <c r="I63" s="302">
        <f>IF($D63="A",ROUND(VLOOKUP($C63,'[2]2.행정구역별 급수인구'!$C$7:$AD$997,26,FALSE)*$E63,0),IF($D63="B",(ROUND(VLOOKUP($C63,'[2]2.행정구역별 급수인구'!$C$7:$AD$997,26,FALSE)-VLOOKUP($C63,'[2]2.행정구역별 급수인구'!$C$7:$AD$997,26,FALSE)*(1-$E63),0)),VLOOKUP($C63,'[2]2.행정구역별 급수인구'!$C$7:$AD$997,26,FALSE)))</f>
        <v>82</v>
      </c>
      <c r="J63" s="302">
        <f>IF($D63="A",ROUND(VLOOKUP($C63,'[2]2.행정구역별 급수인구'!$C$7:$AD$997,27,FALSE)*$E63,0),IF($D63="B",(ROUND(VLOOKUP($C63,'[2]2.행정구역별 급수인구'!$C$7:$AD$997,27,FALSE)-VLOOKUP($C63,'[2]2.행정구역별 급수인구'!$C$7:$AD$997,27,FALSE)*(1-$E63),0)),VLOOKUP($C63,'[2]2.행정구역별 급수인구'!$C$7:$AD$997,27,FALSE)))</f>
        <v>84</v>
      </c>
      <c r="K63" s="302">
        <f>IF($D63="A",ROUND(VLOOKUP($C63,'[2]2.행정구역별 급수인구'!$C$7:$AD$997,28,FALSE)*$E63,0),IF($D63="B",(ROUND(VLOOKUP($C63,'[2]2.행정구역별 급수인구'!$C$7:$AD$997,28,FALSE)-VLOOKUP($C63,'[2]2.행정구역별 급수인구'!$C$7:$AD$997,28,FALSE)*(1-$E63),0)),VLOOKUP($C63,'[2]2.행정구역별 급수인구'!$C$7:$AD$997,28,FALSE)))</f>
        <v>85</v>
      </c>
      <c r="L63" s="302">
        <f>VLOOKUP($F63,'[3]5.급수원단위'!$B$31:$G$35,2,FALSE)</f>
        <v>365</v>
      </c>
      <c r="M63" s="302">
        <f>VLOOKUP($F63,'[3]5.급수원단위'!$B$31:$G$35,3,FALSE)</f>
        <v>390</v>
      </c>
      <c r="N63" s="302">
        <f>VLOOKUP($F63,'[3]5.급수원단위'!$B$31:$G$35,4,FALSE)</f>
        <v>417</v>
      </c>
      <c r="O63" s="302">
        <f>VLOOKUP($F63,'[3]5.급수원단위'!$B$31:$G$35,5,FALSE)</f>
        <v>439</v>
      </c>
      <c r="P63" s="302">
        <f>VLOOKUP($F63,'[3]5.급수원단위'!$B$31:$G$35,6,FALSE)</f>
        <v>454</v>
      </c>
      <c r="Q63" s="302">
        <f>ROUND(IF(G63=0,0,VLOOKUP(C63,'2013실사용량 정리'!$D$6:$F$381,3,FALSE)),0)</f>
        <v>17</v>
      </c>
      <c r="R63" s="302">
        <f t="shared" si="8"/>
        <v>31</v>
      </c>
      <c r="S63" s="302">
        <f t="shared" si="8"/>
        <v>34</v>
      </c>
      <c r="T63" s="302">
        <f t="shared" si="8"/>
        <v>37</v>
      </c>
      <c r="U63" s="302">
        <f t="shared" si="8"/>
        <v>39</v>
      </c>
      <c r="W63" s="343">
        <f t="shared" si="2"/>
        <v>2.2941176470588234</v>
      </c>
    </row>
    <row r="64" spans="1:23" ht="20.100000000000001" customHeight="1">
      <c r="A64" s="405"/>
      <c r="B64" s="405"/>
      <c r="C64" s="405"/>
      <c r="D64" s="405"/>
      <c r="E64" s="405"/>
      <c r="F64" s="405"/>
      <c r="G64" s="405"/>
      <c r="H64" s="405"/>
      <c r="I64" s="405"/>
      <c r="J64" s="405"/>
      <c r="K64" s="405"/>
      <c r="L64" s="405"/>
      <c r="M64" s="405"/>
      <c r="N64" s="405"/>
      <c r="O64" s="405"/>
      <c r="P64" s="405"/>
      <c r="Q64" s="405"/>
      <c r="R64" s="405"/>
      <c r="S64" s="405"/>
      <c r="T64" s="405"/>
      <c r="U64" s="405"/>
    </row>
  </sheetData>
  <autoFilter ref="A4:Z63">
    <filterColumn colId="0" showButton="0"/>
    <filterColumn colId="1" showButton="0"/>
    <filterColumn colId="2" showButton="0"/>
    <filterColumn colId="4"/>
    <filterColumn colId="6"/>
  </autoFilter>
  <mergeCells count="11">
    <mergeCell ref="A5:D5"/>
    <mergeCell ref="B6:D6"/>
    <mergeCell ref="B32:D32"/>
    <mergeCell ref="B60:D60"/>
    <mergeCell ref="A3:D4"/>
    <mergeCell ref="W2:Y2"/>
    <mergeCell ref="E3:E4"/>
    <mergeCell ref="F3:F4"/>
    <mergeCell ref="G3:K3"/>
    <mergeCell ref="L3:P3"/>
    <mergeCell ref="Q3:U3"/>
  </mergeCells>
  <phoneticPr fontId="3" type="noConversion"/>
  <printOptions horizontalCentered="1"/>
  <pageMargins left="0.62992125984251968" right="0.62992125984251968" top="0.62992125984251968" bottom="0.62992125984251968" header="0.31496062992125984" footer="0.31496062992125984"/>
  <pageSetup paperSize="9" scale="9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C000"/>
  </sheetPr>
  <dimension ref="A1:AA61"/>
  <sheetViews>
    <sheetView view="pageBreakPreview" zoomScale="85" zoomScaleNormal="100" zoomScaleSheetLayoutView="85" workbookViewId="0">
      <selection activeCell="AD22" sqref="AD22"/>
    </sheetView>
  </sheetViews>
  <sheetFormatPr defaultColWidth="7.6640625" defaultRowHeight="20.100000000000001" customHeight="1" outlineLevelCol="1"/>
  <cols>
    <col min="1" max="2" width="1.77734375" style="327" customWidth="1"/>
    <col min="3" max="3" width="6.33203125" style="327" customWidth="1"/>
    <col min="4" max="4" width="2.33203125" style="327" customWidth="1"/>
    <col min="5" max="6" width="6.77734375" style="327" hidden="1" customWidth="1" outlineLevel="1"/>
    <col min="7" max="7" width="6.33203125" style="327" hidden="1" customWidth="1" outlineLevel="1"/>
    <col min="8" max="8" width="6.33203125" style="327" customWidth="1" collapsed="1"/>
    <col min="9" max="11" width="6.33203125" style="327" customWidth="1"/>
    <col min="12" max="12" width="4.33203125" style="327" hidden="1" customWidth="1" outlineLevel="1"/>
    <col min="13" max="13" width="4.33203125" style="327" customWidth="1" collapsed="1"/>
    <col min="14" max="16" width="4.33203125" style="327" customWidth="1"/>
    <col min="17" max="17" width="6.33203125" style="327" hidden="1" customWidth="1" outlineLevel="1"/>
    <col min="18" max="18" width="6.33203125" style="327" customWidth="1" collapsed="1"/>
    <col min="19" max="21" width="6.33203125" style="327" customWidth="1"/>
    <col min="22" max="22" width="8" style="327" bestFit="1" customWidth="1"/>
    <col min="23" max="16384" width="7.6640625" style="327"/>
  </cols>
  <sheetData>
    <row r="1" spans="1:27" s="204" customFormat="1" ht="20.100000000000001" customHeight="1">
      <c r="A1" s="204" t="s">
        <v>804</v>
      </c>
    </row>
    <row r="2" spans="1:27" s="208" customFormat="1" ht="19.5" customHeight="1">
      <c r="A2" s="207" t="s">
        <v>1405</v>
      </c>
      <c r="G2" s="209"/>
      <c r="H2" s="209"/>
      <c r="J2" s="209"/>
      <c r="K2" s="209"/>
      <c r="L2" s="209"/>
      <c r="V2" s="334"/>
      <c r="W2" s="692" t="s">
        <v>1919</v>
      </c>
      <c r="X2" s="692"/>
      <c r="Y2" s="692"/>
      <c r="Z2" s="440" t="s">
        <v>2405</v>
      </c>
    </row>
    <row r="3" spans="1:27" ht="20.100000000000001" customHeight="1">
      <c r="A3" s="707" t="s">
        <v>1246</v>
      </c>
      <c r="B3" s="708"/>
      <c r="C3" s="708"/>
      <c r="D3" s="709"/>
      <c r="E3" s="696" t="s">
        <v>1290</v>
      </c>
      <c r="F3" s="696" t="s">
        <v>1280</v>
      </c>
      <c r="G3" s="693" t="s">
        <v>1281</v>
      </c>
      <c r="H3" s="693"/>
      <c r="I3" s="693"/>
      <c r="J3" s="693"/>
      <c r="K3" s="693"/>
      <c r="L3" s="693" t="s">
        <v>1282</v>
      </c>
      <c r="M3" s="693"/>
      <c r="N3" s="693"/>
      <c r="O3" s="693"/>
      <c r="P3" s="693"/>
      <c r="Q3" s="693" t="s">
        <v>1283</v>
      </c>
      <c r="R3" s="693"/>
      <c r="S3" s="693"/>
      <c r="T3" s="693"/>
      <c r="U3" s="693"/>
      <c r="W3" s="434">
        <v>5919</v>
      </c>
      <c r="X3" s="439">
        <v>6381</v>
      </c>
      <c r="Y3" s="440">
        <f>X3/W3</f>
        <v>1.0780537252914344</v>
      </c>
      <c r="Z3" s="440">
        <f>ROUND(AVERAGE(W6:W60),2)</f>
        <v>1.21</v>
      </c>
      <c r="AA3" s="441"/>
    </row>
    <row r="4" spans="1:27" ht="20.100000000000001" customHeight="1">
      <c r="A4" s="710"/>
      <c r="B4" s="711"/>
      <c r="C4" s="711"/>
      <c r="D4" s="712"/>
      <c r="E4" s="693"/>
      <c r="F4" s="693"/>
      <c r="G4" s="527">
        <v>2013</v>
      </c>
      <c r="H4" s="527">
        <v>2015</v>
      </c>
      <c r="I4" s="527">
        <v>2020</v>
      </c>
      <c r="J4" s="527">
        <v>2025</v>
      </c>
      <c r="K4" s="527">
        <v>2030</v>
      </c>
      <c r="L4" s="527">
        <v>2013</v>
      </c>
      <c r="M4" s="527">
        <v>2015</v>
      </c>
      <c r="N4" s="527">
        <v>2020</v>
      </c>
      <c r="O4" s="527">
        <v>2025</v>
      </c>
      <c r="P4" s="527">
        <v>2030</v>
      </c>
      <c r="Q4" s="527">
        <v>2013</v>
      </c>
      <c r="R4" s="527">
        <v>2015</v>
      </c>
      <c r="S4" s="527">
        <v>2020</v>
      </c>
      <c r="T4" s="527">
        <v>2025</v>
      </c>
      <c r="U4" s="527">
        <v>2030</v>
      </c>
    </row>
    <row r="5" spans="1:27" ht="20.100000000000001" customHeight="1">
      <c r="A5" s="704" t="s">
        <v>1406</v>
      </c>
      <c r="B5" s="705"/>
      <c r="C5" s="705"/>
      <c r="D5" s="706"/>
      <c r="E5" s="407"/>
      <c r="F5" s="407"/>
      <c r="G5" s="408">
        <f>G6+G35</f>
        <v>10897</v>
      </c>
      <c r="H5" s="408">
        <f t="shared" ref="H5:K5" si="0">H6+H35</f>
        <v>10801</v>
      </c>
      <c r="I5" s="408">
        <f t="shared" si="0"/>
        <v>10728</v>
      </c>
      <c r="J5" s="408">
        <f t="shared" si="0"/>
        <v>10988</v>
      </c>
      <c r="K5" s="408">
        <f t="shared" si="0"/>
        <v>11169</v>
      </c>
      <c r="L5" s="408"/>
      <c r="M5" s="408"/>
      <c r="N5" s="408"/>
      <c r="O5" s="408"/>
      <c r="P5" s="408"/>
      <c r="Q5" s="408">
        <f t="shared" ref="Q5:U5" si="1">Q6+Q35</f>
        <v>4473</v>
      </c>
      <c r="R5" s="408">
        <f t="shared" si="1"/>
        <v>4182</v>
      </c>
      <c r="S5" s="408">
        <f t="shared" si="1"/>
        <v>4429</v>
      </c>
      <c r="T5" s="408">
        <f t="shared" si="1"/>
        <v>4770</v>
      </c>
      <c r="U5" s="408">
        <f t="shared" si="1"/>
        <v>5012</v>
      </c>
      <c r="V5" s="341"/>
      <c r="W5" s="335"/>
    </row>
    <row r="6" spans="1:27" ht="20.100000000000001" customHeight="1">
      <c r="A6" s="339"/>
      <c r="B6" s="694" t="s">
        <v>699</v>
      </c>
      <c r="C6" s="694"/>
      <c r="D6" s="694"/>
      <c r="E6" s="331"/>
      <c r="F6" s="331"/>
      <c r="G6" s="336">
        <f>SUM(G7:G34)</f>
        <v>10575</v>
      </c>
      <c r="H6" s="336">
        <f t="shared" ref="H6:K6" si="2">SUM(H7:H34)</f>
        <v>10421</v>
      </c>
      <c r="I6" s="336">
        <f t="shared" si="2"/>
        <v>10332</v>
      </c>
      <c r="J6" s="336">
        <f t="shared" si="2"/>
        <v>10581</v>
      </c>
      <c r="K6" s="336">
        <f t="shared" si="2"/>
        <v>10756</v>
      </c>
      <c r="L6" s="336"/>
      <c r="M6" s="336"/>
      <c r="N6" s="336"/>
      <c r="O6" s="336"/>
      <c r="P6" s="336"/>
      <c r="Q6" s="336">
        <f t="shared" ref="Q6:U6" si="3">SUM(Q7:Q34)</f>
        <v>4330</v>
      </c>
      <c r="R6" s="336">
        <f t="shared" si="3"/>
        <v>4066</v>
      </c>
      <c r="S6" s="336">
        <f t="shared" si="3"/>
        <v>4307</v>
      </c>
      <c r="T6" s="336">
        <f t="shared" si="3"/>
        <v>4643</v>
      </c>
      <c r="U6" s="336">
        <f t="shared" si="3"/>
        <v>4883</v>
      </c>
      <c r="V6" s="343">
        <f>VLOOKUP(B6,'2013년도 용수량 비율'!$A$5:$F$20,6,FALSE)</f>
        <v>1.07</v>
      </c>
    </row>
    <row r="7" spans="1:27" ht="20.100000000000001" customHeight="1">
      <c r="A7" s="340"/>
      <c r="B7" s="339"/>
      <c r="C7" s="406" t="s">
        <v>1407</v>
      </c>
      <c r="D7" s="330"/>
      <c r="E7" s="527"/>
      <c r="F7" s="527" t="s">
        <v>754</v>
      </c>
      <c r="G7" s="302">
        <f>IF($D7="A",ROUND(VLOOKUP($C7,'[2]2.행정구역별 급수인구'!$C$7:$AD$997,17,FALSE)*$E7,0),IF($D7="B",(ROUND(VLOOKUP($C7,'[2]2.행정구역별 급수인구'!$C$7:$AD$997,17,FALSE)-VLOOKUP($C7,'[2]2.행정구역별 급수인구'!$C$7:$AD$997,17,FALSE)*(1-$E7),0)),VLOOKUP($C7,'[2]2.행정구역별 급수인구'!$C$7:$AD$997,17,FALSE)))</f>
        <v>512</v>
      </c>
      <c r="H7" s="302">
        <f>IF($D7="A",ROUND(VLOOKUP($C7,'[2]2.행정구역별 급수인구'!$C$7:$AD$997,25,FALSE)*$E7,0),IF($D7="B",(ROUND(VLOOKUP($C7,'[2]2.행정구역별 급수인구'!$C$7:$AD$997,25,FALSE)-VLOOKUP($C7,'[2]2.행정구역별 급수인구'!$C$7:$AD$997,25,FALSE)*(1-$E7),0)),VLOOKUP($C7,'[2]2.행정구역별 급수인구'!$C$7:$AD$997,25,FALSE)))</f>
        <v>499</v>
      </c>
      <c r="I7" s="302">
        <f>IF($D7="A",ROUND(VLOOKUP($C7,'[2]2.행정구역별 급수인구'!$C$7:$AD$997,26,FALSE)*$E7,0),IF($D7="B",(ROUND(VLOOKUP($C7,'[2]2.행정구역별 급수인구'!$C$7:$AD$997,26,FALSE)-VLOOKUP($C7,'[2]2.행정구역별 급수인구'!$C$7:$AD$997,26,FALSE)*(1-$E7),0)),VLOOKUP($C7,'[2]2.행정구역별 급수인구'!$C$7:$AD$997,26,FALSE)))</f>
        <v>511</v>
      </c>
      <c r="J7" s="302">
        <f>IF($D7="A",ROUND(VLOOKUP($C7,'[2]2.행정구역별 급수인구'!$C$7:$AD$997,27,FALSE)*$E7,0),IF($D7="B",(ROUND(VLOOKUP($C7,'[2]2.행정구역별 급수인구'!$C$7:$AD$997,27,FALSE)-VLOOKUP($C7,'[2]2.행정구역별 급수인구'!$C$7:$AD$997,27,FALSE)*(1-$E7),0)),VLOOKUP($C7,'[2]2.행정구역별 급수인구'!$C$7:$AD$997,27,FALSE)))</f>
        <v>526</v>
      </c>
      <c r="K7" s="302">
        <f>IF($D7="A",ROUND(VLOOKUP($C7,'[2]2.행정구역별 급수인구'!$C$7:$AD$997,28,FALSE)*$E7,0),IF($D7="B",(ROUND(VLOOKUP($C7,'[2]2.행정구역별 급수인구'!$C$7:$AD$997,28,FALSE)-VLOOKUP($C7,'[2]2.행정구역별 급수인구'!$C$7:$AD$997,28,FALSE)*(1-$E7),0)),VLOOKUP($C7,'[2]2.행정구역별 급수인구'!$C$7:$AD$997,28,FALSE)))</f>
        <v>516</v>
      </c>
      <c r="L7" s="302">
        <f>VLOOKUP($F7,'[3]5.급수원단위'!$B$31:$G$35,2,FALSE)</f>
        <v>365</v>
      </c>
      <c r="M7" s="302">
        <f>VLOOKUP($F7,'[3]5.급수원단위'!$B$31:$G$35,3,FALSE)</f>
        <v>390</v>
      </c>
      <c r="N7" s="302">
        <f>VLOOKUP($F7,'[3]5.급수원단위'!$B$31:$G$35,4,FALSE)</f>
        <v>417</v>
      </c>
      <c r="O7" s="302">
        <f>VLOOKUP($F7,'[3]5.급수원단위'!$B$31:$G$35,5,FALSE)</f>
        <v>439</v>
      </c>
      <c r="P7" s="302">
        <f>VLOOKUP($F7,'[3]5.급수원단위'!$B$31:$G$35,6,FALSE)</f>
        <v>454</v>
      </c>
      <c r="Q7" s="302">
        <f>ROUND(IF(G7=0,0,VLOOKUP(C7,'2013실사용량 정리'!$D$6:$F$381,3,FALSE)),0)</f>
        <v>258</v>
      </c>
      <c r="R7" s="302">
        <f>ROUND(H7*M7/1000,0)</f>
        <v>195</v>
      </c>
      <c r="S7" s="302">
        <f>ROUND(I7*N7/1000,0)</f>
        <v>213</v>
      </c>
      <c r="T7" s="302">
        <f>ROUND(J7*O7/1000,0)</f>
        <v>231</v>
      </c>
      <c r="U7" s="302">
        <f>ROUND(K7*P7/1000,0)</f>
        <v>234</v>
      </c>
      <c r="W7" s="343">
        <f t="shared" ref="W7:W60" si="4">IF(ISERROR(U7/Q7),"",U7/Q7)</f>
        <v>0.90697674418604646</v>
      </c>
    </row>
    <row r="8" spans="1:27" ht="20.100000000000001" customHeight="1">
      <c r="A8" s="340"/>
      <c r="B8" s="340"/>
      <c r="C8" s="406" t="s">
        <v>1408</v>
      </c>
      <c r="D8" s="330"/>
      <c r="E8" s="527"/>
      <c r="F8" s="527" t="s">
        <v>754</v>
      </c>
      <c r="G8" s="302">
        <f>IF($D8="A",ROUND(VLOOKUP($C8,'[2]2.행정구역별 급수인구'!$C$7:$AD$997,17,FALSE)*$E8,0),IF($D8="B",(ROUND(VLOOKUP($C8,'[2]2.행정구역별 급수인구'!$C$7:$AD$997,17,FALSE)-VLOOKUP($C8,'[2]2.행정구역별 급수인구'!$C$7:$AD$997,17,FALSE)*(1-$E8),0)),VLOOKUP($C8,'[2]2.행정구역별 급수인구'!$C$7:$AD$997,17,FALSE)))</f>
        <v>321</v>
      </c>
      <c r="H8" s="302">
        <f>IF($D8="A",ROUND(VLOOKUP($C8,'[2]2.행정구역별 급수인구'!$C$7:$AD$997,25,FALSE)*$E8,0),IF($D8="B",(ROUND(VLOOKUP($C8,'[2]2.행정구역별 급수인구'!$C$7:$AD$997,25,FALSE)-VLOOKUP($C8,'[2]2.행정구역별 급수인구'!$C$7:$AD$997,25,FALSE)*(1-$E8),0)),VLOOKUP($C8,'[2]2.행정구역별 급수인구'!$C$7:$AD$997,25,FALSE)))</f>
        <v>317</v>
      </c>
      <c r="I8" s="302">
        <f>IF($D8="A",ROUND(VLOOKUP($C8,'[2]2.행정구역별 급수인구'!$C$7:$AD$997,26,FALSE)*$E8,0),IF($D8="B",(ROUND(VLOOKUP($C8,'[2]2.행정구역별 급수인구'!$C$7:$AD$997,26,FALSE)-VLOOKUP($C8,'[2]2.행정구역별 급수인구'!$C$7:$AD$997,26,FALSE)*(1-$E8),0)),VLOOKUP($C8,'[2]2.행정구역별 급수인구'!$C$7:$AD$997,26,FALSE)))</f>
        <v>314</v>
      </c>
      <c r="J8" s="302">
        <f>IF($D8="A",ROUND(VLOOKUP($C8,'[2]2.행정구역별 급수인구'!$C$7:$AD$997,27,FALSE)*$E8,0),IF($D8="B",(ROUND(VLOOKUP($C8,'[2]2.행정구역별 급수인구'!$C$7:$AD$997,27,FALSE)-VLOOKUP($C8,'[2]2.행정구역별 급수인구'!$C$7:$AD$997,27,FALSE)*(1-$E8),0)),VLOOKUP($C8,'[2]2.행정구역별 급수인구'!$C$7:$AD$997,27,FALSE)))</f>
        <v>321</v>
      </c>
      <c r="K8" s="302">
        <f>IF($D8="A",ROUND(VLOOKUP($C8,'[2]2.행정구역별 급수인구'!$C$7:$AD$997,28,FALSE)*$E8,0),IF($D8="B",(ROUND(VLOOKUP($C8,'[2]2.행정구역별 급수인구'!$C$7:$AD$997,28,FALSE)-VLOOKUP($C8,'[2]2.행정구역별 급수인구'!$C$7:$AD$997,28,FALSE)*(1-$E8),0)),VLOOKUP($C8,'[2]2.행정구역별 급수인구'!$C$7:$AD$997,28,FALSE)))</f>
        <v>327</v>
      </c>
      <c r="L8" s="302">
        <f>VLOOKUP($F8,'[3]5.급수원단위'!$B$31:$G$35,2,FALSE)</f>
        <v>365</v>
      </c>
      <c r="M8" s="302">
        <f>VLOOKUP($F8,'[3]5.급수원단위'!$B$31:$G$35,3,FALSE)</f>
        <v>390</v>
      </c>
      <c r="N8" s="302">
        <f>VLOOKUP($F8,'[3]5.급수원단위'!$B$31:$G$35,4,FALSE)</f>
        <v>417</v>
      </c>
      <c r="O8" s="302">
        <f>VLOOKUP($F8,'[3]5.급수원단위'!$B$31:$G$35,5,FALSE)</f>
        <v>439</v>
      </c>
      <c r="P8" s="302">
        <f>VLOOKUP($F8,'[3]5.급수원단위'!$B$31:$G$35,6,FALSE)</f>
        <v>454</v>
      </c>
      <c r="Q8" s="302">
        <f>ROUND(IF(G8=0,0,VLOOKUP(C8,'2013실사용량 정리'!$D$6:$F$381,3,FALSE)),0)</f>
        <v>102</v>
      </c>
      <c r="R8" s="302">
        <f t="shared" ref="R8:U34" si="5">ROUND(H8*M8/1000,0)</f>
        <v>124</v>
      </c>
      <c r="S8" s="302">
        <f t="shared" si="5"/>
        <v>131</v>
      </c>
      <c r="T8" s="302">
        <f t="shared" si="5"/>
        <v>141</v>
      </c>
      <c r="U8" s="302">
        <f t="shared" si="5"/>
        <v>148</v>
      </c>
      <c r="W8" s="343">
        <f t="shared" si="4"/>
        <v>1.4509803921568627</v>
      </c>
    </row>
    <row r="9" spans="1:27" ht="20.100000000000001" customHeight="1">
      <c r="A9" s="340"/>
      <c r="B9" s="340"/>
      <c r="C9" s="406" t="s">
        <v>1409</v>
      </c>
      <c r="D9" s="330"/>
      <c r="E9" s="527"/>
      <c r="F9" s="527" t="s">
        <v>754</v>
      </c>
      <c r="G9" s="302">
        <f>IF($D9="A",ROUND(VLOOKUP($C9,'[2]2.행정구역별 급수인구'!$C$7:$AD$997,17,FALSE)*$E9,0),IF($D9="B",(ROUND(VLOOKUP($C9,'[2]2.행정구역별 급수인구'!$C$7:$AD$997,17,FALSE)-VLOOKUP($C9,'[2]2.행정구역별 급수인구'!$C$7:$AD$997,17,FALSE)*(1-$E9),0)),VLOOKUP($C9,'[2]2.행정구역별 급수인구'!$C$7:$AD$997,17,FALSE)))</f>
        <v>301</v>
      </c>
      <c r="H9" s="302">
        <f>IF($D9="A",ROUND(VLOOKUP($C9,'[2]2.행정구역별 급수인구'!$C$7:$AD$997,25,FALSE)*$E9,0),IF($D9="B",(ROUND(VLOOKUP($C9,'[2]2.행정구역별 급수인구'!$C$7:$AD$997,25,FALSE)-VLOOKUP($C9,'[2]2.행정구역별 급수인구'!$C$7:$AD$997,25,FALSE)*(1-$E9),0)),VLOOKUP($C9,'[2]2.행정구역별 급수인구'!$C$7:$AD$997,25,FALSE)))</f>
        <v>297</v>
      </c>
      <c r="I9" s="302">
        <f>IF($D9="A",ROUND(VLOOKUP($C9,'[2]2.행정구역별 급수인구'!$C$7:$AD$997,26,FALSE)*$E9,0),IF($D9="B",(ROUND(VLOOKUP($C9,'[2]2.행정구역별 급수인구'!$C$7:$AD$997,26,FALSE)-VLOOKUP($C9,'[2]2.행정구역별 급수인구'!$C$7:$AD$997,26,FALSE)*(1-$E9),0)),VLOOKUP($C9,'[2]2.행정구역별 급수인구'!$C$7:$AD$997,26,FALSE)))</f>
        <v>294</v>
      </c>
      <c r="J9" s="302">
        <f>IF($D9="A",ROUND(VLOOKUP($C9,'[2]2.행정구역별 급수인구'!$C$7:$AD$997,27,FALSE)*$E9,0),IF($D9="B",(ROUND(VLOOKUP($C9,'[2]2.행정구역별 급수인구'!$C$7:$AD$997,27,FALSE)-VLOOKUP($C9,'[2]2.행정구역별 급수인구'!$C$7:$AD$997,27,FALSE)*(1-$E9),0)),VLOOKUP($C9,'[2]2.행정구역별 급수인구'!$C$7:$AD$997,27,FALSE)))</f>
        <v>301</v>
      </c>
      <c r="K9" s="302">
        <f>IF($D9="A",ROUND(VLOOKUP($C9,'[2]2.행정구역별 급수인구'!$C$7:$AD$997,28,FALSE)*$E9,0),IF($D9="B",(ROUND(VLOOKUP($C9,'[2]2.행정구역별 급수인구'!$C$7:$AD$997,28,FALSE)-VLOOKUP($C9,'[2]2.행정구역별 급수인구'!$C$7:$AD$997,28,FALSE)*(1-$E9),0)),VLOOKUP($C9,'[2]2.행정구역별 급수인구'!$C$7:$AD$997,28,FALSE)))</f>
        <v>306</v>
      </c>
      <c r="L9" s="302">
        <f>VLOOKUP($F9,'[3]5.급수원단위'!$B$31:$G$35,2,FALSE)</f>
        <v>365</v>
      </c>
      <c r="M9" s="302">
        <f>VLOOKUP($F9,'[3]5.급수원단위'!$B$31:$G$35,3,FALSE)</f>
        <v>390</v>
      </c>
      <c r="N9" s="302">
        <f>VLOOKUP($F9,'[3]5.급수원단위'!$B$31:$G$35,4,FALSE)</f>
        <v>417</v>
      </c>
      <c r="O9" s="302">
        <f>VLOOKUP($F9,'[3]5.급수원단위'!$B$31:$G$35,5,FALSE)</f>
        <v>439</v>
      </c>
      <c r="P9" s="302">
        <f>VLOOKUP($F9,'[3]5.급수원단위'!$B$31:$G$35,6,FALSE)</f>
        <v>454</v>
      </c>
      <c r="Q9" s="302">
        <f>ROUND(IF(G9=0,0,VLOOKUP(C9,'2013실사용량 정리'!$D$6:$F$381,3,FALSE)),0)</f>
        <v>95</v>
      </c>
      <c r="R9" s="302">
        <f t="shared" si="5"/>
        <v>116</v>
      </c>
      <c r="S9" s="302">
        <f t="shared" si="5"/>
        <v>123</v>
      </c>
      <c r="T9" s="302">
        <f t="shared" si="5"/>
        <v>132</v>
      </c>
      <c r="U9" s="302">
        <f t="shared" si="5"/>
        <v>139</v>
      </c>
      <c r="W9" s="343">
        <f t="shared" si="4"/>
        <v>1.4631578947368422</v>
      </c>
    </row>
    <row r="10" spans="1:27" ht="20.100000000000001" customHeight="1">
      <c r="A10" s="340"/>
      <c r="B10" s="340"/>
      <c r="C10" s="406" t="s">
        <v>1411</v>
      </c>
      <c r="D10" s="330"/>
      <c r="E10" s="527"/>
      <c r="F10" s="527" t="s">
        <v>754</v>
      </c>
      <c r="G10" s="302">
        <f>IF($D10="A",ROUND(VLOOKUP($C10,'[2]2.행정구역별 급수인구'!$C$7:$AD$997,17,FALSE)*$E10,0),IF($D10="B",(ROUND(VLOOKUP($C10,'[2]2.행정구역별 급수인구'!$C$7:$AD$997,17,FALSE)-VLOOKUP($C10,'[2]2.행정구역별 급수인구'!$C$7:$AD$997,17,FALSE)*(1-$E10),0)),VLOOKUP($C10,'[2]2.행정구역별 급수인구'!$C$7:$AD$997,17,FALSE)))</f>
        <v>210</v>
      </c>
      <c r="H10" s="302">
        <f>IF($D10="A",ROUND(VLOOKUP($C10,'[2]2.행정구역별 급수인구'!$C$7:$AD$997,25,FALSE)*$E10,0),IF($D10="B",(ROUND(VLOOKUP($C10,'[2]2.행정구역별 급수인구'!$C$7:$AD$997,25,FALSE)-VLOOKUP($C10,'[2]2.행정구역별 급수인구'!$C$7:$AD$997,25,FALSE)*(1-$E10),0)),VLOOKUP($C10,'[2]2.행정구역별 급수인구'!$C$7:$AD$997,25,FALSE)))</f>
        <v>207</v>
      </c>
      <c r="I10" s="302">
        <f>IF($D10="A",ROUND(VLOOKUP($C10,'[2]2.행정구역별 급수인구'!$C$7:$AD$997,26,FALSE)*$E10,0),IF($D10="B",(ROUND(VLOOKUP($C10,'[2]2.행정구역별 급수인구'!$C$7:$AD$997,26,FALSE)-VLOOKUP($C10,'[2]2.행정구역별 급수인구'!$C$7:$AD$997,26,FALSE)*(1-$E10),0)),VLOOKUP($C10,'[2]2.행정구역별 급수인구'!$C$7:$AD$997,26,FALSE)))</f>
        <v>205</v>
      </c>
      <c r="J10" s="302">
        <f>IF($D10="A",ROUND(VLOOKUP($C10,'[2]2.행정구역별 급수인구'!$C$7:$AD$997,27,FALSE)*$E10,0),IF($D10="B",(ROUND(VLOOKUP($C10,'[2]2.행정구역별 급수인구'!$C$7:$AD$997,27,FALSE)-VLOOKUP($C10,'[2]2.행정구역별 급수인구'!$C$7:$AD$997,27,FALSE)*(1-$E10),0)),VLOOKUP($C10,'[2]2.행정구역별 급수인구'!$C$7:$AD$997,27,FALSE)))</f>
        <v>210</v>
      </c>
      <c r="K10" s="302">
        <f>IF($D10="A",ROUND(VLOOKUP($C10,'[2]2.행정구역별 급수인구'!$C$7:$AD$997,28,FALSE)*$E10,0),IF($D10="B",(ROUND(VLOOKUP($C10,'[2]2.행정구역별 급수인구'!$C$7:$AD$997,28,FALSE)-VLOOKUP($C10,'[2]2.행정구역별 급수인구'!$C$7:$AD$997,28,FALSE)*(1-$E10),0)),VLOOKUP($C10,'[2]2.행정구역별 급수인구'!$C$7:$AD$997,28,FALSE)))</f>
        <v>214</v>
      </c>
      <c r="L10" s="302">
        <f>VLOOKUP($F10,'[3]5.급수원단위'!$B$31:$G$35,2,FALSE)</f>
        <v>365</v>
      </c>
      <c r="M10" s="302">
        <f>VLOOKUP($F10,'[3]5.급수원단위'!$B$31:$G$35,3,FALSE)</f>
        <v>390</v>
      </c>
      <c r="N10" s="302">
        <f>VLOOKUP($F10,'[3]5.급수원단위'!$B$31:$G$35,4,FALSE)</f>
        <v>417</v>
      </c>
      <c r="O10" s="302">
        <f>VLOOKUP($F10,'[3]5.급수원단위'!$B$31:$G$35,5,FALSE)</f>
        <v>439</v>
      </c>
      <c r="P10" s="302">
        <f>VLOOKUP($F10,'[3]5.급수원단위'!$B$31:$G$35,6,FALSE)</f>
        <v>454</v>
      </c>
      <c r="Q10" s="302">
        <f>ROUND(IF(G10=0,0,VLOOKUP(C10,'2013실사용량 정리'!$D$6:$F$381,3,FALSE)),0)</f>
        <v>68</v>
      </c>
      <c r="R10" s="302">
        <f t="shared" si="5"/>
        <v>81</v>
      </c>
      <c r="S10" s="302">
        <f t="shared" si="5"/>
        <v>85</v>
      </c>
      <c r="T10" s="302">
        <f t="shared" si="5"/>
        <v>92</v>
      </c>
      <c r="U10" s="302">
        <f t="shared" si="5"/>
        <v>97</v>
      </c>
      <c r="W10" s="343">
        <f t="shared" si="4"/>
        <v>1.4264705882352942</v>
      </c>
    </row>
    <row r="11" spans="1:27" ht="20.100000000000001" customHeight="1">
      <c r="A11" s="340"/>
      <c r="B11" s="340"/>
      <c r="C11" s="406" t="s">
        <v>1410</v>
      </c>
      <c r="D11" s="330"/>
      <c r="E11" s="527"/>
      <c r="F11" s="527" t="s">
        <v>754</v>
      </c>
      <c r="G11" s="302">
        <f>IF($D11="A",ROUND(VLOOKUP($C11,'[2]2.행정구역별 급수인구'!$C$7:$AD$997,17,FALSE)*$E11,0),IF($D11="B",(ROUND(VLOOKUP($C11,'[2]2.행정구역별 급수인구'!$C$7:$AD$997,17,FALSE)-VLOOKUP($C11,'[2]2.행정구역별 급수인구'!$C$7:$AD$997,17,FALSE)*(1-$E11),0)),VLOOKUP($C11,'[2]2.행정구역별 급수인구'!$C$7:$AD$997,17,FALSE)))</f>
        <v>266</v>
      </c>
      <c r="H11" s="302">
        <f>IF($D11="A",ROUND(VLOOKUP($C11,'[2]2.행정구역별 급수인구'!$C$7:$AD$997,25,FALSE)*$E11,0),IF($D11="B",(ROUND(VLOOKUP($C11,'[2]2.행정구역별 급수인구'!$C$7:$AD$997,25,FALSE)-VLOOKUP($C11,'[2]2.행정구역별 급수인구'!$C$7:$AD$997,25,FALSE)*(1-$E11),0)),VLOOKUP($C11,'[2]2.행정구역별 급수인구'!$C$7:$AD$997,25,FALSE)))</f>
        <v>262</v>
      </c>
      <c r="I11" s="302">
        <f>IF($D11="A",ROUND(VLOOKUP($C11,'[2]2.행정구역별 급수인구'!$C$7:$AD$997,26,FALSE)*$E11,0),IF($D11="B",(ROUND(VLOOKUP($C11,'[2]2.행정구역별 급수인구'!$C$7:$AD$997,26,FALSE)-VLOOKUP($C11,'[2]2.행정구역별 급수인구'!$C$7:$AD$997,26,FALSE)*(1-$E11),0)),VLOOKUP($C11,'[2]2.행정구역별 급수인구'!$C$7:$AD$997,26,FALSE)))</f>
        <v>260</v>
      </c>
      <c r="J11" s="302">
        <f>IF($D11="A",ROUND(VLOOKUP($C11,'[2]2.행정구역별 급수인구'!$C$7:$AD$997,27,FALSE)*$E11,0),IF($D11="B",(ROUND(VLOOKUP($C11,'[2]2.행정구역별 급수인구'!$C$7:$AD$997,27,FALSE)-VLOOKUP($C11,'[2]2.행정구역별 급수인구'!$C$7:$AD$997,27,FALSE)*(1-$E11),0)),VLOOKUP($C11,'[2]2.행정구역별 급수인구'!$C$7:$AD$997,27,FALSE)))</f>
        <v>266</v>
      </c>
      <c r="K11" s="302">
        <f>IF($D11="A",ROUND(VLOOKUP($C11,'[2]2.행정구역별 급수인구'!$C$7:$AD$997,28,FALSE)*$E11,0),IF($D11="B",(ROUND(VLOOKUP($C11,'[2]2.행정구역별 급수인구'!$C$7:$AD$997,28,FALSE)-VLOOKUP($C11,'[2]2.행정구역별 급수인구'!$C$7:$AD$997,28,FALSE)*(1-$E11),0)),VLOOKUP($C11,'[2]2.행정구역별 급수인구'!$C$7:$AD$997,28,FALSE)))</f>
        <v>271</v>
      </c>
      <c r="L11" s="302">
        <f>VLOOKUP($F11,'[3]5.급수원단위'!$B$31:$G$35,2,FALSE)</f>
        <v>365</v>
      </c>
      <c r="M11" s="302">
        <f>VLOOKUP($F11,'[3]5.급수원단위'!$B$31:$G$35,3,FALSE)</f>
        <v>390</v>
      </c>
      <c r="N11" s="302">
        <f>VLOOKUP($F11,'[3]5.급수원단위'!$B$31:$G$35,4,FALSE)</f>
        <v>417</v>
      </c>
      <c r="O11" s="302">
        <f>VLOOKUP($F11,'[3]5.급수원단위'!$B$31:$G$35,5,FALSE)</f>
        <v>439</v>
      </c>
      <c r="P11" s="302">
        <f>VLOOKUP($F11,'[3]5.급수원단위'!$B$31:$G$35,6,FALSE)</f>
        <v>454</v>
      </c>
      <c r="Q11" s="302">
        <f>ROUND(IF(G11=0,0,VLOOKUP(C11,'2013실사용량 정리'!$D$6:$F$381,3,FALSE)),0)</f>
        <v>107</v>
      </c>
      <c r="R11" s="302">
        <f t="shared" si="5"/>
        <v>102</v>
      </c>
      <c r="S11" s="302">
        <f t="shared" si="5"/>
        <v>108</v>
      </c>
      <c r="T11" s="302">
        <f t="shared" si="5"/>
        <v>117</v>
      </c>
      <c r="U11" s="302">
        <f t="shared" si="5"/>
        <v>123</v>
      </c>
      <c r="W11" s="343">
        <f t="shared" si="4"/>
        <v>1.1495327102803738</v>
      </c>
    </row>
    <row r="12" spans="1:27" ht="20.100000000000001" customHeight="1">
      <c r="A12" s="340"/>
      <c r="B12" s="340"/>
      <c r="C12" s="406" t="s">
        <v>1412</v>
      </c>
      <c r="D12" s="330"/>
      <c r="E12" s="527"/>
      <c r="F12" s="527" t="s">
        <v>754</v>
      </c>
      <c r="G12" s="302">
        <f>IF($D12="A",ROUND(VLOOKUP($C12,'[2]2.행정구역별 급수인구'!$C$7:$AD$997,17,FALSE)*$E12,0),IF($D12="B",(ROUND(VLOOKUP($C12,'[2]2.행정구역별 급수인구'!$C$7:$AD$997,17,FALSE)-VLOOKUP($C12,'[2]2.행정구역별 급수인구'!$C$7:$AD$997,17,FALSE)*(1-$E12),0)),VLOOKUP($C12,'[2]2.행정구역별 급수인구'!$C$7:$AD$997,17,FALSE)))</f>
        <v>521</v>
      </c>
      <c r="H12" s="302">
        <f>IF($D12="A",ROUND(VLOOKUP($C12,'[2]2.행정구역별 급수인구'!$C$7:$AD$997,25,FALSE)*$E12,0),IF($D12="B",(ROUND(VLOOKUP($C12,'[2]2.행정구역별 급수인구'!$C$7:$AD$997,25,FALSE)-VLOOKUP($C12,'[2]2.행정구역별 급수인구'!$C$7:$AD$997,25,FALSE)*(1-$E12),0)),VLOOKUP($C12,'[2]2.행정구역별 급수인구'!$C$7:$AD$997,25,FALSE)))</f>
        <v>514</v>
      </c>
      <c r="I12" s="302">
        <f>IF($D12="A",ROUND(VLOOKUP($C12,'[2]2.행정구역별 급수인구'!$C$7:$AD$997,26,FALSE)*$E12,0),IF($D12="B",(ROUND(VLOOKUP($C12,'[2]2.행정구역별 급수인구'!$C$7:$AD$997,26,FALSE)-VLOOKUP($C12,'[2]2.행정구역별 급수인구'!$C$7:$AD$997,26,FALSE)*(1-$E12),0)),VLOOKUP($C12,'[2]2.행정구역별 급수인구'!$C$7:$AD$997,26,FALSE)))</f>
        <v>508</v>
      </c>
      <c r="J12" s="302">
        <f>IF($D12="A",ROUND(VLOOKUP($C12,'[2]2.행정구역별 급수인구'!$C$7:$AD$997,27,FALSE)*$E12,0),IF($D12="B",(ROUND(VLOOKUP($C12,'[2]2.행정구역별 급수인구'!$C$7:$AD$997,27,FALSE)-VLOOKUP($C12,'[2]2.행정구역별 급수인구'!$C$7:$AD$997,27,FALSE)*(1-$E12),0)),VLOOKUP($C12,'[2]2.행정구역별 급수인구'!$C$7:$AD$997,27,FALSE)))</f>
        <v>520</v>
      </c>
      <c r="K12" s="302">
        <f>IF($D12="A",ROUND(VLOOKUP($C12,'[2]2.행정구역별 급수인구'!$C$7:$AD$997,28,FALSE)*$E12,0),IF($D12="B",(ROUND(VLOOKUP($C12,'[2]2.행정구역별 급수인구'!$C$7:$AD$997,28,FALSE)-VLOOKUP($C12,'[2]2.행정구역별 급수인구'!$C$7:$AD$997,28,FALSE)*(1-$E12),0)),VLOOKUP($C12,'[2]2.행정구역별 급수인구'!$C$7:$AD$997,28,FALSE)))</f>
        <v>530</v>
      </c>
      <c r="L12" s="302">
        <f>VLOOKUP($F12,'[3]5.급수원단위'!$B$31:$G$35,2,FALSE)</f>
        <v>365</v>
      </c>
      <c r="M12" s="302">
        <f>VLOOKUP($F12,'[3]5.급수원단위'!$B$31:$G$35,3,FALSE)</f>
        <v>390</v>
      </c>
      <c r="N12" s="302">
        <f>VLOOKUP($F12,'[3]5.급수원단위'!$B$31:$G$35,4,FALSE)</f>
        <v>417</v>
      </c>
      <c r="O12" s="302">
        <f>VLOOKUP($F12,'[3]5.급수원단위'!$B$31:$G$35,5,FALSE)</f>
        <v>439</v>
      </c>
      <c r="P12" s="302">
        <f>VLOOKUP($F12,'[3]5.급수원단위'!$B$31:$G$35,6,FALSE)</f>
        <v>454</v>
      </c>
      <c r="Q12" s="302">
        <f>ROUND(IF(G12=0,0,VLOOKUP(C12,'2013실사용량 정리'!$D$6:$F$381,3,FALSE)),0)</f>
        <v>157</v>
      </c>
      <c r="R12" s="302">
        <f t="shared" si="5"/>
        <v>200</v>
      </c>
      <c r="S12" s="302">
        <f t="shared" si="5"/>
        <v>212</v>
      </c>
      <c r="T12" s="302">
        <f t="shared" si="5"/>
        <v>228</v>
      </c>
      <c r="U12" s="302">
        <f t="shared" si="5"/>
        <v>241</v>
      </c>
      <c r="W12" s="343">
        <f t="shared" si="4"/>
        <v>1.5350318471337581</v>
      </c>
    </row>
    <row r="13" spans="1:27" ht="20.100000000000001" customHeight="1">
      <c r="A13" s="340"/>
      <c r="B13" s="340"/>
      <c r="C13" s="406" t="s">
        <v>1413</v>
      </c>
      <c r="D13" s="330"/>
      <c r="E13" s="527"/>
      <c r="F13" s="527" t="s">
        <v>754</v>
      </c>
      <c r="G13" s="302">
        <f>IF($D13="A",ROUND(VLOOKUP($C13,'[2]2.행정구역별 급수인구'!$C$7:$AD$997,17,FALSE)*$E13,0),IF($D13="B",(ROUND(VLOOKUP($C13,'[2]2.행정구역별 급수인구'!$C$7:$AD$997,17,FALSE)-VLOOKUP($C13,'[2]2.행정구역별 급수인구'!$C$7:$AD$997,17,FALSE)*(1-$E13),0)),VLOOKUP($C13,'[2]2.행정구역별 급수인구'!$C$7:$AD$997,17,FALSE)))</f>
        <v>373</v>
      </c>
      <c r="H13" s="302">
        <f>IF($D13="A",ROUND(VLOOKUP($C13,'[2]2.행정구역별 급수인구'!$C$7:$AD$997,25,FALSE)*$E13,0),IF($D13="B",(ROUND(VLOOKUP($C13,'[2]2.행정구역별 급수인구'!$C$7:$AD$997,25,FALSE)-VLOOKUP($C13,'[2]2.행정구역별 급수인구'!$C$7:$AD$997,25,FALSE)*(1-$E13),0)),VLOOKUP($C13,'[2]2.행정구역별 급수인구'!$C$7:$AD$997,25,FALSE)))</f>
        <v>367</v>
      </c>
      <c r="I13" s="302">
        <f>IF($D13="A",ROUND(VLOOKUP($C13,'[2]2.행정구역별 급수인구'!$C$7:$AD$997,26,FALSE)*$E13,0),IF($D13="B",(ROUND(VLOOKUP($C13,'[2]2.행정구역별 급수인구'!$C$7:$AD$997,26,FALSE)-VLOOKUP($C13,'[2]2.행정구역별 급수인구'!$C$7:$AD$997,26,FALSE)*(1-$E13),0)),VLOOKUP($C13,'[2]2.행정구역별 급수인구'!$C$7:$AD$997,26,FALSE)))</f>
        <v>364</v>
      </c>
      <c r="J13" s="302">
        <f>IF($D13="A",ROUND(VLOOKUP($C13,'[2]2.행정구역별 급수인구'!$C$7:$AD$997,27,FALSE)*$E13,0),IF($D13="B",(ROUND(VLOOKUP($C13,'[2]2.행정구역별 급수인구'!$C$7:$AD$997,27,FALSE)-VLOOKUP($C13,'[2]2.행정구역별 급수인구'!$C$7:$AD$997,27,FALSE)*(1-$E13),0)),VLOOKUP($C13,'[2]2.행정구역별 급수인구'!$C$7:$AD$997,27,FALSE)))</f>
        <v>373</v>
      </c>
      <c r="K13" s="302">
        <f>IF($D13="A",ROUND(VLOOKUP($C13,'[2]2.행정구역별 급수인구'!$C$7:$AD$997,28,FALSE)*$E13,0),IF($D13="B",(ROUND(VLOOKUP($C13,'[2]2.행정구역별 급수인구'!$C$7:$AD$997,28,FALSE)-VLOOKUP($C13,'[2]2.행정구역별 급수인구'!$C$7:$AD$997,28,FALSE)*(1-$E13),0)),VLOOKUP($C13,'[2]2.행정구역별 급수인구'!$C$7:$AD$997,28,FALSE)))</f>
        <v>380</v>
      </c>
      <c r="L13" s="302">
        <f>VLOOKUP($F13,'[3]5.급수원단위'!$B$31:$G$35,2,FALSE)</f>
        <v>365</v>
      </c>
      <c r="M13" s="302">
        <f>VLOOKUP($F13,'[3]5.급수원단위'!$B$31:$G$35,3,FALSE)</f>
        <v>390</v>
      </c>
      <c r="N13" s="302">
        <f>VLOOKUP($F13,'[3]5.급수원단위'!$B$31:$G$35,4,FALSE)</f>
        <v>417</v>
      </c>
      <c r="O13" s="302">
        <f>VLOOKUP($F13,'[3]5.급수원단위'!$B$31:$G$35,5,FALSE)</f>
        <v>439</v>
      </c>
      <c r="P13" s="302">
        <f>VLOOKUP($F13,'[3]5.급수원단위'!$B$31:$G$35,6,FALSE)</f>
        <v>454</v>
      </c>
      <c r="Q13" s="302">
        <f>ROUND(IF(G13=0,0,VLOOKUP(C13,'2013실사용량 정리'!$D$6:$F$381,3,FALSE)),0)</f>
        <v>146</v>
      </c>
      <c r="R13" s="302">
        <f t="shared" si="5"/>
        <v>143</v>
      </c>
      <c r="S13" s="302">
        <f t="shared" si="5"/>
        <v>152</v>
      </c>
      <c r="T13" s="302">
        <f t="shared" si="5"/>
        <v>164</v>
      </c>
      <c r="U13" s="302">
        <f t="shared" si="5"/>
        <v>173</v>
      </c>
      <c r="W13" s="343">
        <f t="shared" si="4"/>
        <v>1.1849315068493151</v>
      </c>
    </row>
    <row r="14" spans="1:27" ht="20.100000000000001" customHeight="1">
      <c r="A14" s="340"/>
      <c r="B14" s="340"/>
      <c r="C14" s="406" t="s">
        <v>1414</v>
      </c>
      <c r="D14" s="330"/>
      <c r="E14" s="527"/>
      <c r="F14" s="527" t="s">
        <v>754</v>
      </c>
      <c r="G14" s="302">
        <f>IF($D14="A",ROUND(VLOOKUP($C14,'[2]2.행정구역별 급수인구'!$C$7:$AD$997,17,FALSE)*$E14,0),IF($D14="B",(ROUND(VLOOKUP($C14,'[2]2.행정구역별 급수인구'!$C$7:$AD$997,17,FALSE)-VLOOKUP($C14,'[2]2.행정구역별 급수인구'!$C$7:$AD$997,17,FALSE)*(1-$E14),0)),VLOOKUP($C14,'[2]2.행정구역별 급수인구'!$C$7:$AD$997,17,FALSE)))</f>
        <v>198</v>
      </c>
      <c r="H14" s="302">
        <f>IF($D14="A",ROUND(VLOOKUP($C14,'[2]2.행정구역별 급수인구'!$C$7:$AD$997,25,FALSE)*$E14,0),IF($D14="B",(ROUND(VLOOKUP($C14,'[2]2.행정구역별 급수인구'!$C$7:$AD$997,25,FALSE)-VLOOKUP($C14,'[2]2.행정구역별 급수인구'!$C$7:$AD$997,25,FALSE)*(1-$E14),0)),VLOOKUP($C14,'[2]2.행정구역별 급수인구'!$C$7:$AD$997,25,FALSE)))</f>
        <v>195</v>
      </c>
      <c r="I14" s="302">
        <f>IF($D14="A",ROUND(VLOOKUP($C14,'[2]2.행정구역별 급수인구'!$C$7:$AD$997,26,FALSE)*$E14,0),IF($D14="B",(ROUND(VLOOKUP($C14,'[2]2.행정구역별 급수인구'!$C$7:$AD$997,26,FALSE)-VLOOKUP($C14,'[2]2.행정구역별 급수인구'!$C$7:$AD$997,26,FALSE)*(1-$E14),0)),VLOOKUP($C14,'[2]2.행정구역별 급수인구'!$C$7:$AD$997,26,FALSE)))</f>
        <v>194</v>
      </c>
      <c r="J14" s="302">
        <f>IF($D14="A",ROUND(VLOOKUP($C14,'[2]2.행정구역별 급수인구'!$C$7:$AD$997,27,FALSE)*$E14,0),IF($D14="B",(ROUND(VLOOKUP($C14,'[2]2.행정구역별 급수인구'!$C$7:$AD$997,27,FALSE)-VLOOKUP($C14,'[2]2.행정구역별 급수인구'!$C$7:$AD$997,27,FALSE)*(1-$E14),0)),VLOOKUP($C14,'[2]2.행정구역별 급수인구'!$C$7:$AD$997,27,FALSE)))</f>
        <v>198</v>
      </c>
      <c r="K14" s="302">
        <f>IF($D14="A",ROUND(VLOOKUP($C14,'[2]2.행정구역별 급수인구'!$C$7:$AD$997,28,FALSE)*$E14,0),IF($D14="B",(ROUND(VLOOKUP($C14,'[2]2.행정구역별 급수인구'!$C$7:$AD$997,28,FALSE)-VLOOKUP($C14,'[2]2.행정구역별 급수인구'!$C$7:$AD$997,28,FALSE)*(1-$E14),0)),VLOOKUP($C14,'[2]2.행정구역별 급수인구'!$C$7:$AD$997,28,FALSE)))</f>
        <v>202</v>
      </c>
      <c r="L14" s="302">
        <f>VLOOKUP($F14,'[3]5.급수원단위'!$B$31:$G$35,2,FALSE)</f>
        <v>365</v>
      </c>
      <c r="M14" s="302">
        <f>VLOOKUP($F14,'[3]5.급수원단위'!$B$31:$G$35,3,FALSE)</f>
        <v>390</v>
      </c>
      <c r="N14" s="302">
        <f>VLOOKUP($F14,'[3]5.급수원단위'!$B$31:$G$35,4,FALSE)</f>
        <v>417</v>
      </c>
      <c r="O14" s="302">
        <f>VLOOKUP($F14,'[3]5.급수원단위'!$B$31:$G$35,5,FALSE)</f>
        <v>439</v>
      </c>
      <c r="P14" s="302">
        <f>VLOOKUP($F14,'[3]5.급수원단위'!$B$31:$G$35,6,FALSE)</f>
        <v>454</v>
      </c>
      <c r="Q14" s="302">
        <f>ROUND(IF(G14=0,0,VLOOKUP(C14,'2013실사용량 정리'!$D$6:$F$381,3,FALSE)),0)</f>
        <v>78</v>
      </c>
      <c r="R14" s="302">
        <f t="shared" si="5"/>
        <v>76</v>
      </c>
      <c r="S14" s="302">
        <f t="shared" si="5"/>
        <v>81</v>
      </c>
      <c r="T14" s="302">
        <f t="shared" si="5"/>
        <v>87</v>
      </c>
      <c r="U14" s="302">
        <f t="shared" si="5"/>
        <v>92</v>
      </c>
      <c r="W14" s="343">
        <f t="shared" si="4"/>
        <v>1.1794871794871795</v>
      </c>
    </row>
    <row r="15" spans="1:27" ht="20.100000000000001" customHeight="1">
      <c r="A15" s="340"/>
      <c r="B15" s="340"/>
      <c r="C15" s="406" t="s">
        <v>1415</v>
      </c>
      <c r="D15" s="330"/>
      <c r="E15" s="527"/>
      <c r="F15" s="527" t="s">
        <v>754</v>
      </c>
      <c r="G15" s="302">
        <f>IF($D15="A",ROUND(VLOOKUP($C15,'[2]2.행정구역별 급수인구'!$C$7:$AD$997,17,FALSE)*$E15,0),IF($D15="B",(ROUND(VLOOKUP($C15,'[2]2.행정구역별 급수인구'!$C$7:$AD$997,17,FALSE)-VLOOKUP($C15,'[2]2.행정구역별 급수인구'!$C$7:$AD$997,17,FALSE)*(1-$E15),0)),VLOOKUP($C15,'[2]2.행정구역별 급수인구'!$C$7:$AD$997,17,FALSE)))</f>
        <v>202</v>
      </c>
      <c r="H15" s="302">
        <f>IF($D15="A",ROUND(VLOOKUP($C15,'[2]2.행정구역별 급수인구'!$C$7:$AD$997,25,FALSE)*$E15,0),IF($D15="B",(ROUND(VLOOKUP($C15,'[2]2.행정구역별 급수인구'!$C$7:$AD$997,25,FALSE)-VLOOKUP($C15,'[2]2.행정구역별 급수인구'!$C$7:$AD$997,25,FALSE)*(1-$E15),0)),VLOOKUP($C15,'[2]2.행정구역별 급수인구'!$C$7:$AD$997,25,FALSE)))</f>
        <v>199</v>
      </c>
      <c r="I15" s="302">
        <f>IF($D15="A",ROUND(VLOOKUP($C15,'[2]2.행정구역별 급수인구'!$C$7:$AD$997,26,FALSE)*$E15,0),IF($D15="B",(ROUND(VLOOKUP($C15,'[2]2.행정구역별 급수인구'!$C$7:$AD$997,26,FALSE)-VLOOKUP($C15,'[2]2.행정구역별 급수인구'!$C$7:$AD$997,26,FALSE)*(1-$E15),0)),VLOOKUP($C15,'[2]2.행정구역별 급수인구'!$C$7:$AD$997,26,FALSE)))</f>
        <v>197</v>
      </c>
      <c r="J15" s="302">
        <f>IF($D15="A",ROUND(VLOOKUP($C15,'[2]2.행정구역별 급수인구'!$C$7:$AD$997,27,FALSE)*$E15,0),IF($D15="B",(ROUND(VLOOKUP($C15,'[2]2.행정구역별 급수인구'!$C$7:$AD$997,27,FALSE)-VLOOKUP($C15,'[2]2.행정구역별 급수인구'!$C$7:$AD$997,27,FALSE)*(1-$E15),0)),VLOOKUP($C15,'[2]2.행정구역별 급수인구'!$C$7:$AD$997,27,FALSE)))</f>
        <v>201</v>
      </c>
      <c r="K15" s="302">
        <f>IF($D15="A",ROUND(VLOOKUP($C15,'[2]2.행정구역별 급수인구'!$C$7:$AD$997,28,FALSE)*$E15,0),IF($D15="B",(ROUND(VLOOKUP($C15,'[2]2.행정구역별 급수인구'!$C$7:$AD$997,28,FALSE)-VLOOKUP($C15,'[2]2.행정구역별 급수인구'!$C$7:$AD$997,28,FALSE)*(1-$E15),0)),VLOOKUP($C15,'[2]2.행정구역별 급수인구'!$C$7:$AD$997,28,FALSE)))</f>
        <v>205</v>
      </c>
      <c r="L15" s="302">
        <f>VLOOKUP($F15,'[3]5.급수원단위'!$B$31:$G$35,2,FALSE)</f>
        <v>365</v>
      </c>
      <c r="M15" s="302">
        <f>VLOOKUP($F15,'[3]5.급수원단위'!$B$31:$G$35,3,FALSE)</f>
        <v>390</v>
      </c>
      <c r="N15" s="302">
        <f>VLOOKUP($F15,'[3]5.급수원단위'!$B$31:$G$35,4,FALSE)</f>
        <v>417</v>
      </c>
      <c r="O15" s="302">
        <f>VLOOKUP($F15,'[3]5.급수원단위'!$B$31:$G$35,5,FALSE)</f>
        <v>439</v>
      </c>
      <c r="P15" s="302">
        <f>VLOOKUP($F15,'[3]5.급수원단위'!$B$31:$G$35,6,FALSE)</f>
        <v>454</v>
      </c>
      <c r="Q15" s="302">
        <f>ROUND(IF(G15=0,0,VLOOKUP(C15,'2013실사용량 정리'!$D$6:$F$381,3,FALSE)),0)</f>
        <v>93</v>
      </c>
      <c r="R15" s="302">
        <f t="shared" si="5"/>
        <v>78</v>
      </c>
      <c r="S15" s="302">
        <f t="shared" si="5"/>
        <v>82</v>
      </c>
      <c r="T15" s="302">
        <f t="shared" si="5"/>
        <v>88</v>
      </c>
      <c r="U15" s="302">
        <f t="shared" si="5"/>
        <v>93</v>
      </c>
      <c r="W15" s="343">
        <f t="shared" si="4"/>
        <v>1</v>
      </c>
    </row>
    <row r="16" spans="1:27" ht="20.100000000000001" customHeight="1">
      <c r="A16" s="340"/>
      <c r="B16" s="340"/>
      <c r="C16" s="406" t="s">
        <v>1416</v>
      </c>
      <c r="D16" s="330"/>
      <c r="E16" s="527"/>
      <c r="F16" s="527" t="s">
        <v>754</v>
      </c>
      <c r="G16" s="302">
        <f>IF($D16="A",ROUND(VLOOKUP($C16,'[2]2.행정구역별 급수인구'!$C$7:$AD$997,17,FALSE)*$E16,0),IF($D16="B",(ROUND(VLOOKUP($C16,'[2]2.행정구역별 급수인구'!$C$7:$AD$997,17,FALSE)-VLOOKUP($C16,'[2]2.행정구역별 급수인구'!$C$7:$AD$997,17,FALSE)*(1-$E16),0)),VLOOKUP($C16,'[2]2.행정구역별 급수인구'!$C$7:$AD$997,17,FALSE)))</f>
        <v>244</v>
      </c>
      <c r="H16" s="302">
        <f>IF($D16="A",ROUND(VLOOKUP($C16,'[2]2.행정구역별 급수인구'!$C$7:$AD$997,25,FALSE)*$E16,0),IF($D16="B",(ROUND(VLOOKUP($C16,'[2]2.행정구역별 급수인구'!$C$7:$AD$997,25,FALSE)-VLOOKUP($C16,'[2]2.행정구역별 급수인구'!$C$7:$AD$997,25,FALSE)*(1-$E16),0)),VLOOKUP($C16,'[2]2.행정구역별 급수인구'!$C$7:$AD$997,25,FALSE)))</f>
        <v>241</v>
      </c>
      <c r="I16" s="302">
        <f>IF($D16="A",ROUND(VLOOKUP($C16,'[2]2.행정구역별 급수인구'!$C$7:$AD$997,26,FALSE)*$E16,0),IF($D16="B",(ROUND(VLOOKUP($C16,'[2]2.행정구역별 급수인구'!$C$7:$AD$997,26,FALSE)-VLOOKUP($C16,'[2]2.행정구역별 급수인구'!$C$7:$AD$997,26,FALSE)*(1-$E16),0)),VLOOKUP($C16,'[2]2.행정구역별 급수인구'!$C$7:$AD$997,26,FALSE)))</f>
        <v>238</v>
      </c>
      <c r="J16" s="302">
        <f>IF($D16="A",ROUND(VLOOKUP($C16,'[2]2.행정구역별 급수인구'!$C$7:$AD$997,27,FALSE)*$E16,0),IF($D16="B",(ROUND(VLOOKUP($C16,'[2]2.행정구역별 급수인구'!$C$7:$AD$997,27,FALSE)-VLOOKUP($C16,'[2]2.행정구역별 급수인구'!$C$7:$AD$997,27,FALSE)*(1-$E16),0)),VLOOKUP($C16,'[2]2.행정구역별 급수인구'!$C$7:$AD$997,27,FALSE)))</f>
        <v>244</v>
      </c>
      <c r="K16" s="302">
        <f>IF($D16="A",ROUND(VLOOKUP($C16,'[2]2.행정구역별 급수인구'!$C$7:$AD$997,28,FALSE)*$E16,0),IF($D16="B",(ROUND(VLOOKUP($C16,'[2]2.행정구역별 급수인구'!$C$7:$AD$997,28,FALSE)-VLOOKUP($C16,'[2]2.행정구역별 급수인구'!$C$7:$AD$997,28,FALSE)*(1-$E16),0)),VLOOKUP($C16,'[2]2.행정구역별 급수인구'!$C$7:$AD$997,28,FALSE)))</f>
        <v>248</v>
      </c>
      <c r="L16" s="302">
        <f>VLOOKUP($F16,'[3]5.급수원단위'!$B$31:$G$35,2,FALSE)</f>
        <v>365</v>
      </c>
      <c r="M16" s="302">
        <f>VLOOKUP($F16,'[3]5.급수원단위'!$B$31:$G$35,3,FALSE)</f>
        <v>390</v>
      </c>
      <c r="N16" s="302">
        <f>VLOOKUP($F16,'[3]5.급수원단위'!$B$31:$G$35,4,FALSE)</f>
        <v>417</v>
      </c>
      <c r="O16" s="302">
        <f>VLOOKUP($F16,'[3]5.급수원단위'!$B$31:$G$35,5,FALSE)</f>
        <v>439</v>
      </c>
      <c r="P16" s="302">
        <f>VLOOKUP($F16,'[3]5.급수원단위'!$B$31:$G$35,6,FALSE)</f>
        <v>454</v>
      </c>
      <c r="Q16" s="302">
        <f>ROUND(IF(G16=0,0,VLOOKUP(C16,'2013실사용량 정리'!$D$6:$F$381,3,FALSE)),0)</f>
        <v>135</v>
      </c>
      <c r="R16" s="302">
        <f t="shared" si="5"/>
        <v>94</v>
      </c>
      <c r="S16" s="302">
        <f t="shared" si="5"/>
        <v>99</v>
      </c>
      <c r="T16" s="302">
        <f t="shared" si="5"/>
        <v>107</v>
      </c>
      <c r="U16" s="302">
        <f t="shared" si="5"/>
        <v>113</v>
      </c>
      <c r="W16" s="343">
        <f t="shared" si="4"/>
        <v>0.83703703703703702</v>
      </c>
    </row>
    <row r="17" spans="1:23" ht="20.100000000000001" customHeight="1">
      <c r="A17" s="340"/>
      <c r="B17" s="340"/>
      <c r="C17" s="406" t="s">
        <v>1417</v>
      </c>
      <c r="D17" s="330"/>
      <c r="E17" s="527"/>
      <c r="F17" s="527" t="s">
        <v>754</v>
      </c>
      <c r="G17" s="302">
        <f>IF($D17="A",ROUND(VLOOKUP($C17,'[2]2.행정구역별 급수인구'!$C$7:$AD$997,17,FALSE)*$E17,0),IF($D17="B",(ROUND(VLOOKUP($C17,'[2]2.행정구역별 급수인구'!$C$7:$AD$997,17,FALSE)-VLOOKUP($C17,'[2]2.행정구역별 급수인구'!$C$7:$AD$997,17,FALSE)*(1-$E17),0)),VLOOKUP($C17,'[2]2.행정구역별 급수인구'!$C$7:$AD$997,17,FALSE)))</f>
        <v>810</v>
      </c>
      <c r="H17" s="302">
        <f>IF($D17="A",ROUND(VLOOKUP($C17,'[2]2.행정구역별 급수인구'!$C$7:$AD$997,25,FALSE)*$E17,0),IF($D17="B",(ROUND(VLOOKUP($C17,'[2]2.행정구역별 급수인구'!$C$7:$AD$997,25,FALSE)-VLOOKUP($C17,'[2]2.행정구역별 급수인구'!$C$7:$AD$997,25,FALSE)*(1-$E17),0)),VLOOKUP($C17,'[2]2.행정구역별 급수인구'!$C$7:$AD$997,25,FALSE)))</f>
        <v>798</v>
      </c>
      <c r="I17" s="302">
        <f>IF($D17="A",ROUND(VLOOKUP($C17,'[2]2.행정구역별 급수인구'!$C$7:$AD$997,26,FALSE)*$E17,0),IF($D17="B",(ROUND(VLOOKUP($C17,'[2]2.행정구역별 급수인구'!$C$7:$AD$997,26,FALSE)-VLOOKUP($C17,'[2]2.행정구역별 급수인구'!$C$7:$AD$997,26,FALSE)*(1-$E17),0)),VLOOKUP($C17,'[2]2.행정구역별 급수인구'!$C$7:$AD$997,26,FALSE)))</f>
        <v>791</v>
      </c>
      <c r="J17" s="302">
        <f>IF($D17="A",ROUND(VLOOKUP($C17,'[2]2.행정구역별 급수인구'!$C$7:$AD$997,27,FALSE)*$E17,0),IF($D17="B",(ROUND(VLOOKUP($C17,'[2]2.행정구역별 급수인구'!$C$7:$AD$997,27,FALSE)-VLOOKUP($C17,'[2]2.행정구역별 급수인구'!$C$7:$AD$997,27,FALSE)*(1-$E17),0)),VLOOKUP($C17,'[2]2.행정구역별 급수인구'!$C$7:$AD$997,27,FALSE)))</f>
        <v>810</v>
      </c>
      <c r="K17" s="302">
        <f>IF($D17="A",ROUND(VLOOKUP($C17,'[2]2.행정구역별 급수인구'!$C$7:$AD$997,28,FALSE)*$E17,0),IF($D17="B",(ROUND(VLOOKUP($C17,'[2]2.행정구역별 급수인구'!$C$7:$AD$997,28,FALSE)-VLOOKUP($C17,'[2]2.행정구역별 급수인구'!$C$7:$AD$997,28,FALSE)*(1-$E17),0)),VLOOKUP($C17,'[2]2.행정구역별 급수인구'!$C$7:$AD$997,28,FALSE)))</f>
        <v>824</v>
      </c>
      <c r="L17" s="302">
        <f>VLOOKUP($F17,'[3]5.급수원단위'!$B$31:$G$35,2,FALSE)</f>
        <v>365</v>
      </c>
      <c r="M17" s="302">
        <f>VLOOKUP($F17,'[3]5.급수원단위'!$B$31:$G$35,3,FALSE)</f>
        <v>390</v>
      </c>
      <c r="N17" s="302">
        <f>VLOOKUP($F17,'[3]5.급수원단위'!$B$31:$G$35,4,FALSE)</f>
        <v>417</v>
      </c>
      <c r="O17" s="302">
        <f>VLOOKUP($F17,'[3]5.급수원단위'!$B$31:$G$35,5,FALSE)</f>
        <v>439</v>
      </c>
      <c r="P17" s="302">
        <f>VLOOKUP($F17,'[3]5.급수원단위'!$B$31:$G$35,6,FALSE)</f>
        <v>454</v>
      </c>
      <c r="Q17" s="302">
        <f>ROUND(IF(G17=0,0,VLOOKUP(C17,'2013실사용량 정리'!$D$6:$F$381,3,FALSE)),0)</f>
        <v>385</v>
      </c>
      <c r="R17" s="302">
        <f t="shared" si="5"/>
        <v>311</v>
      </c>
      <c r="S17" s="302">
        <f t="shared" si="5"/>
        <v>330</v>
      </c>
      <c r="T17" s="302">
        <f t="shared" si="5"/>
        <v>356</v>
      </c>
      <c r="U17" s="302">
        <f t="shared" si="5"/>
        <v>374</v>
      </c>
      <c r="W17" s="343">
        <f t="shared" si="4"/>
        <v>0.97142857142857142</v>
      </c>
    </row>
    <row r="18" spans="1:23" ht="20.100000000000001" customHeight="1">
      <c r="A18" s="340"/>
      <c r="B18" s="340"/>
      <c r="C18" s="406" t="s">
        <v>1418</v>
      </c>
      <c r="D18" s="330"/>
      <c r="E18" s="527"/>
      <c r="F18" s="527" t="s">
        <v>754</v>
      </c>
      <c r="G18" s="302">
        <f>IF($D18="A",ROUND(VLOOKUP($C18,'[2]2.행정구역별 급수인구'!$C$7:$AD$997,17,FALSE)*$E18,0),IF($D18="B",(ROUND(VLOOKUP($C18,'[2]2.행정구역별 급수인구'!$C$7:$AD$997,17,FALSE)-VLOOKUP($C18,'[2]2.행정구역별 급수인구'!$C$7:$AD$997,17,FALSE)*(1-$E18),0)),VLOOKUP($C18,'[2]2.행정구역별 급수인구'!$C$7:$AD$997,17,FALSE)))</f>
        <v>346</v>
      </c>
      <c r="H18" s="302">
        <f>IF($D18="A",ROUND(VLOOKUP($C18,'[2]2.행정구역별 급수인구'!$C$7:$AD$997,25,FALSE)*$E18,0),IF($D18="B",(ROUND(VLOOKUP($C18,'[2]2.행정구역별 급수인구'!$C$7:$AD$997,25,FALSE)-VLOOKUP($C18,'[2]2.행정구역별 급수인구'!$C$7:$AD$997,25,FALSE)*(1-$E18),0)),VLOOKUP($C18,'[2]2.행정구역별 급수인구'!$C$7:$AD$997,25,FALSE)))</f>
        <v>341</v>
      </c>
      <c r="I18" s="302">
        <f>IF($D18="A",ROUND(VLOOKUP($C18,'[2]2.행정구역별 급수인구'!$C$7:$AD$997,26,FALSE)*$E18,0),IF($D18="B",(ROUND(VLOOKUP($C18,'[2]2.행정구역별 급수인구'!$C$7:$AD$997,26,FALSE)-VLOOKUP($C18,'[2]2.행정구역별 급수인구'!$C$7:$AD$997,26,FALSE)*(1-$E18),0)),VLOOKUP($C18,'[2]2.행정구역별 급수인구'!$C$7:$AD$997,26,FALSE)))</f>
        <v>337</v>
      </c>
      <c r="J18" s="302">
        <f>IF($D18="A",ROUND(VLOOKUP($C18,'[2]2.행정구역별 급수인구'!$C$7:$AD$997,27,FALSE)*$E18,0),IF($D18="B",(ROUND(VLOOKUP($C18,'[2]2.행정구역별 급수인구'!$C$7:$AD$997,27,FALSE)-VLOOKUP($C18,'[2]2.행정구역별 급수인구'!$C$7:$AD$997,27,FALSE)*(1-$E18),0)),VLOOKUP($C18,'[2]2.행정구역별 급수인구'!$C$7:$AD$997,27,FALSE)))</f>
        <v>345</v>
      </c>
      <c r="K18" s="302">
        <f>IF($D18="A",ROUND(VLOOKUP($C18,'[2]2.행정구역별 급수인구'!$C$7:$AD$997,28,FALSE)*$E18,0),IF($D18="B",(ROUND(VLOOKUP($C18,'[2]2.행정구역별 급수인구'!$C$7:$AD$997,28,FALSE)-VLOOKUP($C18,'[2]2.행정구역별 급수인구'!$C$7:$AD$997,28,FALSE)*(1-$E18),0)),VLOOKUP($C18,'[2]2.행정구역별 급수인구'!$C$7:$AD$997,28,FALSE)))</f>
        <v>352</v>
      </c>
      <c r="L18" s="302">
        <f>VLOOKUP($F18,'[3]5.급수원단위'!$B$31:$G$35,2,FALSE)</f>
        <v>365</v>
      </c>
      <c r="M18" s="302">
        <f>VLOOKUP($F18,'[3]5.급수원단위'!$B$31:$G$35,3,FALSE)</f>
        <v>390</v>
      </c>
      <c r="N18" s="302">
        <f>VLOOKUP($F18,'[3]5.급수원단위'!$B$31:$G$35,4,FALSE)</f>
        <v>417</v>
      </c>
      <c r="O18" s="302">
        <f>VLOOKUP($F18,'[3]5.급수원단위'!$B$31:$G$35,5,FALSE)</f>
        <v>439</v>
      </c>
      <c r="P18" s="302">
        <f>VLOOKUP($F18,'[3]5.급수원단위'!$B$31:$G$35,6,FALSE)</f>
        <v>454</v>
      </c>
      <c r="Q18" s="302">
        <f>ROUND(IF(G18=0,0,VLOOKUP(C18,'2013실사용량 정리'!$D$6:$F$381,3,FALSE)),0)</f>
        <v>164</v>
      </c>
      <c r="R18" s="302">
        <f t="shared" si="5"/>
        <v>133</v>
      </c>
      <c r="S18" s="302">
        <f t="shared" si="5"/>
        <v>141</v>
      </c>
      <c r="T18" s="302">
        <f t="shared" si="5"/>
        <v>151</v>
      </c>
      <c r="U18" s="302">
        <f t="shared" si="5"/>
        <v>160</v>
      </c>
      <c r="W18" s="343">
        <f t="shared" si="4"/>
        <v>0.97560975609756095</v>
      </c>
    </row>
    <row r="19" spans="1:23" ht="20.100000000000001" customHeight="1">
      <c r="A19" s="340"/>
      <c r="B19" s="340"/>
      <c r="C19" s="406" t="s">
        <v>1419</v>
      </c>
      <c r="D19" s="330"/>
      <c r="E19" s="527"/>
      <c r="F19" s="527" t="s">
        <v>754</v>
      </c>
      <c r="G19" s="302">
        <f>IF($D19="A",ROUND(VLOOKUP($C19,'[2]2.행정구역별 급수인구'!$C$7:$AD$997,17,FALSE)*$E19,0),IF($D19="B",(ROUND(VLOOKUP($C19,'[2]2.행정구역별 급수인구'!$C$7:$AD$997,17,FALSE)-VLOOKUP($C19,'[2]2.행정구역별 급수인구'!$C$7:$AD$997,17,FALSE)*(1-$E19),0)),VLOOKUP($C19,'[2]2.행정구역별 급수인구'!$C$7:$AD$997,17,FALSE)))</f>
        <v>928</v>
      </c>
      <c r="H19" s="302">
        <f>IF($D19="A",ROUND(VLOOKUP($C19,'[2]2.행정구역별 급수인구'!$C$7:$AD$997,25,FALSE)*$E19,0),IF($D19="B",(ROUND(VLOOKUP($C19,'[2]2.행정구역별 급수인구'!$C$7:$AD$997,25,FALSE)-VLOOKUP($C19,'[2]2.행정구역별 급수인구'!$C$7:$AD$997,25,FALSE)*(1-$E19),0)),VLOOKUP($C19,'[2]2.행정구역별 급수인구'!$C$7:$AD$997,25,FALSE)))</f>
        <v>915</v>
      </c>
      <c r="I19" s="302">
        <f>IF($D19="A",ROUND(VLOOKUP($C19,'[2]2.행정구역별 급수인구'!$C$7:$AD$997,26,FALSE)*$E19,0),IF($D19="B",(ROUND(VLOOKUP($C19,'[2]2.행정구역별 급수인구'!$C$7:$AD$997,26,FALSE)-VLOOKUP($C19,'[2]2.행정구역별 급수인구'!$C$7:$AD$997,26,FALSE)*(1-$E19),0)),VLOOKUP($C19,'[2]2.행정구역별 급수인구'!$C$7:$AD$997,26,FALSE)))</f>
        <v>905</v>
      </c>
      <c r="J19" s="302">
        <f>IF($D19="A",ROUND(VLOOKUP($C19,'[2]2.행정구역별 급수인구'!$C$7:$AD$997,27,FALSE)*$E19,0),IF($D19="B",(ROUND(VLOOKUP($C19,'[2]2.행정구역별 급수인구'!$C$7:$AD$997,27,FALSE)-VLOOKUP($C19,'[2]2.행정구역별 급수인구'!$C$7:$AD$997,27,FALSE)*(1-$E19),0)),VLOOKUP($C19,'[2]2.행정구역별 급수인구'!$C$7:$AD$997,27,FALSE)))</f>
        <v>927</v>
      </c>
      <c r="K19" s="302">
        <f>IF($D19="A",ROUND(VLOOKUP($C19,'[2]2.행정구역별 급수인구'!$C$7:$AD$997,28,FALSE)*$E19,0),IF($D19="B",(ROUND(VLOOKUP($C19,'[2]2.행정구역별 급수인구'!$C$7:$AD$997,28,FALSE)-VLOOKUP($C19,'[2]2.행정구역별 급수인구'!$C$7:$AD$997,28,FALSE)*(1-$E19),0)),VLOOKUP($C19,'[2]2.행정구역별 급수인구'!$C$7:$AD$997,28,FALSE)))</f>
        <v>944</v>
      </c>
      <c r="L19" s="302">
        <f>VLOOKUP($F19,'[3]5.급수원단위'!$B$31:$G$35,2,FALSE)</f>
        <v>365</v>
      </c>
      <c r="M19" s="302">
        <f>VLOOKUP($F19,'[3]5.급수원단위'!$B$31:$G$35,3,FALSE)</f>
        <v>390</v>
      </c>
      <c r="N19" s="302">
        <f>VLOOKUP($F19,'[3]5.급수원단위'!$B$31:$G$35,4,FALSE)</f>
        <v>417</v>
      </c>
      <c r="O19" s="302">
        <f>VLOOKUP($F19,'[3]5.급수원단위'!$B$31:$G$35,5,FALSE)</f>
        <v>439</v>
      </c>
      <c r="P19" s="302">
        <f>VLOOKUP($F19,'[3]5.급수원단위'!$B$31:$G$35,6,FALSE)</f>
        <v>454</v>
      </c>
      <c r="Q19" s="302">
        <f>ROUND(IF(G19=0,0,VLOOKUP(C19,'2013실사용량 정리'!$D$6:$F$381,3,FALSE)),0)</f>
        <v>441</v>
      </c>
      <c r="R19" s="302">
        <f t="shared" si="5"/>
        <v>357</v>
      </c>
      <c r="S19" s="302">
        <f t="shared" si="5"/>
        <v>377</v>
      </c>
      <c r="T19" s="302">
        <f t="shared" si="5"/>
        <v>407</v>
      </c>
      <c r="U19" s="302">
        <f t="shared" si="5"/>
        <v>429</v>
      </c>
      <c r="W19" s="343">
        <f t="shared" si="4"/>
        <v>0.97278911564625847</v>
      </c>
    </row>
    <row r="20" spans="1:23" ht="20.100000000000001" customHeight="1">
      <c r="A20" s="340"/>
      <c r="B20" s="340"/>
      <c r="C20" s="406" t="s">
        <v>1420</v>
      </c>
      <c r="D20" s="330"/>
      <c r="E20" s="527"/>
      <c r="F20" s="527" t="s">
        <v>754</v>
      </c>
      <c r="G20" s="302">
        <f>IF($D20="A",ROUND(VLOOKUP($C20,'[2]2.행정구역별 급수인구'!$C$7:$AD$997,17,FALSE)*$E20,0),IF($D20="B",(ROUND(VLOOKUP($C20,'[2]2.행정구역별 급수인구'!$C$7:$AD$997,17,FALSE)-VLOOKUP($C20,'[2]2.행정구역별 급수인구'!$C$7:$AD$997,17,FALSE)*(1-$E20),0)),VLOOKUP($C20,'[2]2.행정구역별 급수인구'!$C$7:$AD$997,17,FALSE)))</f>
        <v>257</v>
      </c>
      <c r="H20" s="302">
        <f>IF($D20="A",ROUND(VLOOKUP($C20,'[2]2.행정구역별 급수인구'!$C$7:$AD$997,25,FALSE)*$E20,0),IF($D20="B",(ROUND(VLOOKUP($C20,'[2]2.행정구역별 급수인구'!$C$7:$AD$997,25,FALSE)-VLOOKUP($C20,'[2]2.행정구역별 급수인구'!$C$7:$AD$997,25,FALSE)*(1-$E20),0)),VLOOKUP($C20,'[2]2.행정구역별 급수인구'!$C$7:$AD$997,25,FALSE)))</f>
        <v>253</v>
      </c>
      <c r="I20" s="302">
        <f>IF($D20="A",ROUND(VLOOKUP($C20,'[2]2.행정구역별 급수인구'!$C$7:$AD$997,26,FALSE)*$E20,0),IF($D20="B",(ROUND(VLOOKUP($C20,'[2]2.행정구역별 급수인구'!$C$7:$AD$997,26,FALSE)-VLOOKUP($C20,'[2]2.행정구역별 급수인구'!$C$7:$AD$997,26,FALSE)*(1-$E20),0)),VLOOKUP($C20,'[2]2.행정구역별 급수인구'!$C$7:$AD$997,26,FALSE)))</f>
        <v>250</v>
      </c>
      <c r="J20" s="302">
        <f>IF($D20="A",ROUND(VLOOKUP($C20,'[2]2.행정구역별 급수인구'!$C$7:$AD$997,27,FALSE)*$E20,0),IF($D20="B",(ROUND(VLOOKUP($C20,'[2]2.행정구역별 급수인구'!$C$7:$AD$997,27,FALSE)-VLOOKUP($C20,'[2]2.행정구역별 급수인구'!$C$7:$AD$997,27,FALSE)*(1-$E20),0)),VLOOKUP($C20,'[2]2.행정구역별 급수인구'!$C$7:$AD$997,27,FALSE)))</f>
        <v>256</v>
      </c>
      <c r="K20" s="302">
        <f>IF($D20="A",ROUND(VLOOKUP($C20,'[2]2.행정구역별 급수인구'!$C$7:$AD$997,28,FALSE)*$E20,0),IF($D20="B",(ROUND(VLOOKUP($C20,'[2]2.행정구역별 급수인구'!$C$7:$AD$997,28,FALSE)-VLOOKUP($C20,'[2]2.행정구역별 급수인구'!$C$7:$AD$997,28,FALSE)*(1-$E20),0)),VLOOKUP($C20,'[2]2.행정구역별 급수인구'!$C$7:$AD$997,28,FALSE)))</f>
        <v>261</v>
      </c>
      <c r="L20" s="302">
        <f>VLOOKUP($F20,'[3]5.급수원단위'!$B$31:$G$35,2,FALSE)</f>
        <v>365</v>
      </c>
      <c r="M20" s="302">
        <f>VLOOKUP($F20,'[3]5.급수원단위'!$B$31:$G$35,3,FALSE)</f>
        <v>390</v>
      </c>
      <c r="N20" s="302">
        <f>VLOOKUP($F20,'[3]5.급수원단위'!$B$31:$G$35,4,FALSE)</f>
        <v>417</v>
      </c>
      <c r="O20" s="302">
        <f>VLOOKUP($F20,'[3]5.급수원단위'!$B$31:$G$35,5,FALSE)</f>
        <v>439</v>
      </c>
      <c r="P20" s="302">
        <f>VLOOKUP($F20,'[3]5.급수원단위'!$B$31:$G$35,6,FALSE)</f>
        <v>454</v>
      </c>
      <c r="Q20" s="302">
        <f>ROUND(IF(G20=0,0,VLOOKUP(C20,'2013실사용량 정리'!$D$6:$F$381,3,FALSE)),0)</f>
        <v>121</v>
      </c>
      <c r="R20" s="302">
        <f t="shared" si="5"/>
        <v>99</v>
      </c>
      <c r="S20" s="302">
        <f t="shared" si="5"/>
        <v>104</v>
      </c>
      <c r="T20" s="302">
        <f t="shared" si="5"/>
        <v>112</v>
      </c>
      <c r="U20" s="302">
        <f t="shared" si="5"/>
        <v>118</v>
      </c>
      <c r="W20" s="343">
        <f t="shared" si="4"/>
        <v>0.97520661157024791</v>
      </c>
    </row>
    <row r="21" spans="1:23" ht="20.100000000000001" customHeight="1">
      <c r="A21" s="340"/>
      <c r="B21" s="340"/>
      <c r="C21" s="406" t="s">
        <v>1421</v>
      </c>
      <c r="D21" s="330"/>
      <c r="E21" s="527"/>
      <c r="F21" s="527" t="s">
        <v>754</v>
      </c>
      <c r="G21" s="302">
        <f>IF($D21="A",ROUND(VLOOKUP($C21,'[2]2.행정구역별 급수인구'!$C$7:$AD$997,17,FALSE)*$E21,0),IF($D21="B",(ROUND(VLOOKUP($C21,'[2]2.행정구역별 급수인구'!$C$7:$AD$997,17,FALSE)-VLOOKUP($C21,'[2]2.행정구역별 급수인구'!$C$7:$AD$997,17,FALSE)*(1-$E21),0)),VLOOKUP($C21,'[2]2.행정구역별 급수인구'!$C$7:$AD$997,17,FALSE)))</f>
        <v>151</v>
      </c>
      <c r="H21" s="302">
        <f>IF($D21="A",ROUND(VLOOKUP($C21,'[2]2.행정구역별 급수인구'!$C$7:$AD$997,25,FALSE)*$E21,0),IF($D21="B",(ROUND(VLOOKUP($C21,'[2]2.행정구역별 급수인구'!$C$7:$AD$997,25,FALSE)-VLOOKUP($C21,'[2]2.행정구역별 급수인구'!$C$7:$AD$997,25,FALSE)*(1-$E21),0)),VLOOKUP($C21,'[2]2.행정구역별 급수인구'!$C$7:$AD$997,25,FALSE)))</f>
        <v>149</v>
      </c>
      <c r="I21" s="302">
        <f>IF($D21="A",ROUND(VLOOKUP($C21,'[2]2.행정구역별 급수인구'!$C$7:$AD$997,26,FALSE)*$E21,0),IF($D21="B",(ROUND(VLOOKUP($C21,'[2]2.행정구역별 급수인구'!$C$7:$AD$997,26,FALSE)-VLOOKUP($C21,'[2]2.행정구역별 급수인구'!$C$7:$AD$997,26,FALSE)*(1-$E21),0)),VLOOKUP($C21,'[2]2.행정구역별 급수인구'!$C$7:$AD$997,26,FALSE)))</f>
        <v>147</v>
      </c>
      <c r="J21" s="302">
        <f>IF($D21="A",ROUND(VLOOKUP($C21,'[2]2.행정구역별 급수인구'!$C$7:$AD$997,27,FALSE)*$E21,0),IF($D21="B",(ROUND(VLOOKUP($C21,'[2]2.행정구역별 급수인구'!$C$7:$AD$997,27,FALSE)-VLOOKUP($C21,'[2]2.행정구역별 급수인구'!$C$7:$AD$997,27,FALSE)*(1-$E21),0)),VLOOKUP($C21,'[2]2.행정구역별 급수인구'!$C$7:$AD$997,27,FALSE)))</f>
        <v>150</v>
      </c>
      <c r="K21" s="302">
        <f>IF($D21="A",ROUND(VLOOKUP($C21,'[2]2.행정구역별 급수인구'!$C$7:$AD$997,28,FALSE)*$E21,0),IF($D21="B",(ROUND(VLOOKUP($C21,'[2]2.행정구역별 급수인구'!$C$7:$AD$997,28,FALSE)-VLOOKUP($C21,'[2]2.행정구역별 급수인구'!$C$7:$AD$997,28,FALSE)*(1-$E21),0)),VLOOKUP($C21,'[2]2.행정구역별 급수인구'!$C$7:$AD$997,28,FALSE)))</f>
        <v>153</v>
      </c>
      <c r="L21" s="302">
        <f>VLOOKUP($F21,'[3]5.급수원단위'!$B$31:$G$35,2,FALSE)</f>
        <v>365</v>
      </c>
      <c r="M21" s="302">
        <f>VLOOKUP($F21,'[3]5.급수원단위'!$B$31:$G$35,3,FALSE)</f>
        <v>390</v>
      </c>
      <c r="N21" s="302">
        <f>VLOOKUP($F21,'[3]5.급수원단위'!$B$31:$G$35,4,FALSE)</f>
        <v>417</v>
      </c>
      <c r="O21" s="302">
        <f>VLOOKUP($F21,'[3]5.급수원단위'!$B$31:$G$35,5,FALSE)</f>
        <v>439</v>
      </c>
      <c r="P21" s="302">
        <f>VLOOKUP($F21,'[3]5.급수원단위'!$B$31:$G$35,6,FALSE)</f>
        <v>454</v>
      </c>
      <c r="Q21" s="302">
        <f>ROUND(IF(G21=0,0,VLOOKUP(C21,'2013실사용량 정리'!$D$6:$F$381,3,FALSE)),0)</f>
        <v>71</v>
      </c>
      <c r="R21" s="302">
        <f t="shared" si="5"/>
        <v>58</v>
      </c>
      <c r="S21" s="302">
        <f t="shared" si="5"/>
        <v>61</v>
      </c>
      <c r="T21" s="302">
        <f t="shared" si="5"/>
        <v>66</v>
      </c>
      <c r="U21" s="302">
        <f t="shared" si="5"/>
        <v>69</v>
      </c>
      <c r="W21" s="343">
        <f t="shared" si="4"/>
        <v>0.971830985915493</v>
      </c>
    </row>
    <row r="22" spans="1:23" ht="20.100000000000001" customHeight="1">
      <c r="A22" s="340"/>
      <c r="B22" s="340"/>
      <c r="C22" s="406" t="s">
        <v>1422</v>
      </c>
      <c r="D22" s="330"/>
      <c r="E22" s="527"/>
      <c r="F22" s="527" t="s">
        <v>754</v>
      </c>
      <c r="G22" s="302">
        <f>IF($D22="A",ROUND(VLOOKUP($C22,'[2]2.행정구역별 급수인구'!$C$7:$AD$997,17,FALSE)*$E22,0),IF($D22="B",(ROUND(VLOOKUP($C22,'[2]2.행정구역별 급수인구'!$C$7:$AD$997,17,FALSE)-VLOOKUP($C22,'[2]2.행정구역별 급수인구'!$C$7:$AD$997,17,FALSE)*(1-$E22),0)),VLOOKUP($C22,'[2]2.행정구역별 급수인구'!$C$7:$AD$997,17,FALSE)))</f>
        <v>236</v>
      </c>
      <c r="H22" s="302">
        <f>IF($D22="A",ROUND(VLOOKUP($C22,'[2]2.행정구역별 급수인구'!$C$7:$AD$997,25,FALSE)*$E22,0),IF($D22="B",(ROUND(VLOOKUP($C22,'[2]2.행정구역별 급수인구'!$C$7:$AD$997,25,FALSE)-VLOOKUP($C22,'[2]2.행정구역별 급수인구'!$C$7:$AD$997,25,FALSE)*(1-$E22),0)),VLOOKUP($C22,'[2]2.행정구역별 급수인구'!$C$7:$AD$997,25,FALSE)))</f>
        <v>233</v>
      </c>
      <c r="I22" s="302">
        <f>IF($D22="A",ROUND(VLOOKUP($C22,'[2]2.행정구역별 급수인구'!$C$7:$AD$997,26,FALSE)*$E22,0),IF($D22="B",(ROUND(VLOOKUP($C22,'[2]2.행정구역별 급수인구'!$C$7:$AD$997,26,FALSE)-VLOOKUP($C22,'[2]2.행정구역별 급수인구'!$C$7:$AD$997,26,FALSE)*(1-$E22),0)),VLOOKUP($C22,'[2]2.행정구역별 급수인구'!$C$7:$AD$997,26,FALSE)))</f>
        <v>231</v>
      </c>
      <c r="J22" s="302">
        <f>IF($D22="A",ROUND(VLOOKUP($C22,'[2]2.행정구역별 급수인구'!$C$7:$AD$997,27,FALSE)*$E22,0),IF($D22="B",(ROUND(VLOOKUP($C22,'[2]2.행정구역별 급수인구'!$C$7:$AD$997,27,FALSE)-VLOOKUP($C22,'[2]2.행정구역별 급수인구'!$C$7:$AD$997,27,FALSE)*(1-$E22),0)),VLOOKUP($C22,'[2]2.행정구역별 급수인구'!$C$7:$AD$997,27,FALSE)))</f>
        <v>236</v>
      </c>
      <c r="K22" s="302">
        <f>IF($D22="A",ROUND(VLOOKUP($C22,'[2]2.행정구역별 급수인구'!$C$7:$AD$997,28,FALSE)*$E22,0),IF($D22="B",(ROUND(VLOOKUP($C22,'[2]2.행정구역별 급수인구'!$C$7:$AD$997,28,FALSE)-VLOOKUP($C22,'[2]2.행정구역별 급수인구'!$C$7:$AD$997,28,FALSE)*(1-$E22),0)),VLOOKUP($C22,'[2]2.행정구역별 급수인구'!$C$7:$AD$997,28,FALSE)))</f>
        <v>241</v>
      </c>
      <c r="L22" s="302">
        <f>VLOOKUP($F22,'[3]5.급수원단위'!$B$31:$G$35,2,FALSE)</f>
        <v>365</v>
      </c>
      <c r="M22" s="302">
        <f>VLOOKUP($F22,'[3]5.급수원단위'!$B$31:$G$35,3,FALSE)</f>
        <v>390</v>
      </c>
      <c r="N22" s="302">
        <f>VLOOKUP($F22,'[3]5.급수원단위'!$B$31:$G$35,4,FALSE)</f>
        <v>417</v>
      </c>
      <c r="O22" s="302">
        <f>VLOOKUP($F22,'[3]5.급수원단위'!$B$31:$G$35,5,FALSE)</f>
        <v>439</v>
      </c>
      <c r="P22" s="302">
        <f>VLOOKUP($F22,'[3]5.급수원단위'!$B$31:$G$35,6,FALSE)</f>
        <v>454</v>
      </c>
      <c r="Q22" s="302">
        <f>ROUND(IF(G22=0,0,VLOOKUP(C22,'2013실사용량 정리'!$D$6:$F$381,3,FALSE)),0)</f>
        <v>111</v>
      </c>
      <c r="R22" s="302">
        <f t="shared" si="5"/>
        <v>91</v>
      </c>
      <c r="S22" s="302">
        <f t="shared" si="5"/>
        <v>96</v>
      </c>
      <c r="T22" s="302">
        <f t="shared" si="5"/>
        <v>104</v>
      </c>
      <c r="U22" s="302">
        <f t="shared" si="5"/>
        <v>109</v>
      </c>
      <c r="W22" s="343">
        <f t="shared" si="4"/>
        <v>0.98198198198198194</v>
      </c>
    </row>
    <row r="23" spans="1:23" ht="20.100000000000001" customHeight="1">
      <c r="A23" s="340"/>
      <c r="B23" s="340"/>
      <c r="C23" s="406" t="s">
        <v>1423</v>
      </c>
      <c r="D23" s="330"/>
      <c r="E23" s="527"/>
      <c r="F23" s="527" t="s">
        <v>754</v>
      </c>
      <c r="G23" s="302">
        <f>IF($D23="A",ROUND(VLOOKUP($C23,'[2]2.행정구역별 급수인구'!$C$7:$AD$997,17,FALSE)*$E23,0),IF($D23="B",(ROUND(VLOOKUP($C23,'[2]2.행정구역별 급수인구'!$C$7:$AD$997,17,FALSE)-VLOOKUP($C23,'[2]2.행정구역별 급수인구'!$C$7:$AD$997,17,FALSE)*(1-$E23),0)),VLOOKUP($C23,'[2]2.행정구역별 급수인구'!$C$7:$AD$997,17,FALSE)))</f>
        <v>525</v>
      </c>
      <c r="H23" s="302">
        <f>IF($D23="A",ROUND(VLOOKUP($C23,'[2]2.행정구역별 급수인구'!$C$7:$AD$997,25,FALSE)*$E23,0),IF($D23="B",(ROUND(VLOOKUP($C23,'[2]2.행정구역별 급수인구'!$C$7:$AD$997,25,FALSE)-VLOOKUP($C23,'[2]2.행정구역별 급수인구'!$C$7:$AD$997,25,FALSE)*(1-$E23),0)),VLOOKUP($C23,'[2]2.행정구역별 급수인구'!$C$7:$AD$997,25,FALSE)))</f>
        <v>518</v>
      </c>
      <c r="I23" s="302">
        <f>IF($D23="A",ROUND(VLOOKUP($C23,'[2]2.행정구역별 급수인구'!$C$7:$AD$997,26,FALSE)*$E23,0),IF($D23="B",(ROUND(VLOOKUP($C23,'[2]2.행정구역별 급수인구'!$C$7:$AD$997,26,FALSE)-VLOOKUP($C23,'[2]2.행정구역별 급수인구'!$C$7:$AD$997,26,FALSE)*(1-$E23),0)),VLOOKUP($C23,'[2]2.행정구역별 급수인구'!$C$7:$AD$997,26,FALSE)))</f>
        <v>512</v>
      </c>
      <c r="J23" s="302">
        <f>IF($D23="A",ROUND(VLOOKUP($C23,'[2]2.행정구역별 급수인구'!$C$7:$AD$997,27,FALSE)*$E23,0),IF($D23="B",(ROUND(VLOOKUP($C23,'[2]2.행정구역별 급수인구'!$C$7:$AD$997,27,FALSE)-VLOOKUP($C23,'[2]2.행정구역별 급수인구'!$C$7:$AD$997,27,FALSE)*(1-$E23),0)),VLOOKUP($C23,'[2]2.행정구역별 급수인구'!$C$7:$AD$997,27,FALSE)))</f>
        <v>525</v>
      </c>
      <c r="K23" s="302">
        <f>IF($D23="A",ROUND(VLOOKUP($C23,'[2]2.행정구역별 급수인구'!$C$7:$AD$997,28,FALSE)*$E23,0),IF($D23="B",(ROUND(VLOOKUP($C23,'[2]2.행정구역별 급수인구'!$C$7:$AD$997,28,FALSE)-VLOOKUP($C23,'[2]2.행정구역별 급수인구'!$C$7:$AD$997,28,FALSE)*(1-$E23),0)),VLOOKUP($C23,'[2]2.행정구역별 급수인구'!$C$7:$AD$997,28,FALSE)))</f>
        <v>534</v>
      </c>
      <c r="L23" s="302">
        <f>VLOOKUP($F23,'[3]5.급수원단위'!$B$31:$G$35,2,FALSE)</f>
        <v>365</v>
      </c>
      <c r="M23" s="302">
        <f>VLOOKUP($F23,'[3]5.급수원단위'!$B$31:$G$35,3,FALSE)</f>
        <v>390</v>
      </c>
      <c r="N23" s="302">
        <f>VLOOKUP($F23,'[3]5.급수원단위'!$B$31:$G$35,4,FALSE)</f>
        <v>417</v>
      </c>
      <c r="O23" s="302">
        <f>VLOOKUP($F23,'[3]5.급수원단위'!$B$31:$G$35,5,FALSE)</f>
        <v>439</v>
      </c>
      <c r="P23" s="302">
        <f>VLOOKUP($F23,'[3]5.급수원단위'!$B$31:$G$35,6,FALSE)</f>
        <v>454</v>
      </c>
      <c r="Q23" s="302">
        <f>ROUND(IF(G23=0,0,VLOOKUP(C23,'2013실사용량 정리'!$D$6:$F$381,3,FALSE)),0)</f>
        <v>248</v>
      </c>
      <c r="R23" s="302">
        <f t="shared" si="5"/>
        <v>202</v>
      </c>
      <c r="S23" s="302">
        <f t="shared" si="5"/>
        <v>214</v>
      </c>
      <c r="T23" s="302">
        <f t="shared" si="5"/>
        <v>230</v>
      </c>
      <c r="U23" s="302">
        <f t="shared" si="5"/>
        <v>242</v>
      </c>
      <c r="W23" s="343">
        <f t="shared" si="4"/>
        <v>0.97580645161290325</v>
      </c>
    </row>
    <row r="24" spans="1:23" ht="20.100000000000001" customHeight="1">
      <c r="A24" s="340"/>
      <c r="B24" s="340"/>
      <c r="C24" s="406" t="s">
        <v>1424</v>
      </c>
      <c r="D24" s="330"/>
      <c r="E24" s="527"/>
      <c r="F24" s="527" t="s">
        <v>754</v>
      </c>
      <c r="G24" s="302">
        <f>IF($D24="A",ROUND(VLOOKUP($C24,'[2]2.행정구역별 급수인구'!$C$7:$AD$997,17,FALSE)*$E24,0),IF($D24="B",(ROUND(VLOOKUP($C24,'[2]2.행정구역별 급수인구'!$C$7:$AD$997,17,FALSE)-VLOOKUP($C24,'[2]2.행정구역별 급수인구'!$C$7:$AD$997,17,FALSE)*(1-$E24),0)),VLOOKUP($C24,'[2]2.행정구역별 급수인구'!$C$7:$AD$997,17,FALSE)))</f>
        <v>673</v>
      </c>
      <c r="H24" s="302">
        <f>IF($D24="A",ROUND(VLOOKUP($C24,'[2]2.행정구역별 급수인구'!$C$7:$AD$997,25,FALSE)*$E24,0),IF($D24="B",(ROUND(VLOOKUP($C24,'[2]2.행정구역별 급수인구'!$C$7:$AD$997,25,FALSE)-VLOOKUP($C24,'[2]2.행정구역별 급수인구'!$C$7:$AD$997,25,FALSE)*(1-$E24),0)),VLOOKUP($C24,'[2]2.행정구역별 급수인구'!$C$7:$AD$997,25,FALSE)))</f>
        <v>664</v>
      </c>
      <c r="I24" s="302">
        <f>IF($D24="A",ROUND(VLOOKUP($C24,'[2]2.행정구역별 급수인구'!$C$7:$AD$997,26,FALSE)*$E24,0),IF($D24="B",(ROUND(VLOOKUP($C24,'[2]2.행정구역별 급수인구'!$C$7:$AD$997,26,FALSE)-VLOOKUP($C24,'[2]2.행정구역별 급수인구'!$C$7:$AD$997,26,FALSE)*(1-$E24),0)),VLOOKUP($C24,'[2]2.행정구역별 급수인구'!$C$7:$AD$997,26,FALSE)))</f>
        <v>657</v>
      </c>
      <c r="J24" s="302">
        <f>IF($D24="A",ROUND(VLOOKUP($C24,'[2]2.행정구역별 급수인구'!$C$7:$AD$997,27,FALSE)*$E24,0),IF($D24="B",(ROUND(VLOOKUP($C24,'[2]2.행정구역별 급수인구'!$C$7:$AD$997,27,FALSE)-VLOOKUP($C24,'[2]2.행정구역별 급수인구'!$C$7:$AD$997,27,FALSE)*(1-$E24),0)),VLOOKUP($C24,'[2]2.행정구역별 급수인구'!$C$7:$AD$997,27,FALSE)))</f>
        <v>673</v>
      </c>
      <c r="K24" s="302">
        <f>IF($D24="A",ROUND(VLOOKUP($C24,'[2]2.행정구역별 급수인구'!$C$7:$AD$997,28,FALSE)*$E24,0),IF($D24="B",(ROUND(VLOOKUP($C24,'[2]2.행정구역별 급수인구'!$C$7:$AD$997,28,FALSE)-VLOOKUP($C24,'[2]2.행정구역별 급수인구'!$C$7:$AD$997,28,FALSE)*(1-$E24),0)),VLOOKUP($C24,'[2]2.행정구역별 급수인구'!$C$7:$AD$997,28,FALSE)))</f>
        <v>685</v>
      </c>
      <c r="L24" s="302">
        <f>VLOOKUP($F24,'[3]5.급수원단위'!$B$31:$G$35,2,FALSE)</f>
        <v>365</v>
      </c>
      <c r="M24" s="302">
        <f>VLOOKUP($F24,'[3]5.급수원단위'!$B$31:$G$35,3,FALSE)</f>
        <v>390</v>
      </c>
      <c r="N24" s="302">
        <f>VLOOKUP($F24,'[3]5.급수원단위'!$B$31:$G$35,4,FALSE)</f>
        <v>417</v>
      </c>
      <c r="O24" s="302">
        <f>VLOOKUP($F24,'[3]5.급수원단위'!$B$31:$G$35,5,FALSE)</f>
        <v>439</v>
      </c>
      <c r="P24" s="302">
        <f>VLOOKUP($F24,'[3]5.급수원단위'!$B$31:$G$35,6,FALSE)</f>
        <v>454</v>
      </c>
      <c r="Q24" s="302">
        <f>ROUND(IF(G24=0,0,VLOOKUP(C24,'2013실사용량 정리'!$D$6:$F$381,3,FALSE)),0)</f>
        <v>318</v>
      </c>
      <c r="R24" s="302">
        <f t="shared" si="5"/>
        <v>259</v>
      </c>
      <c r="S24" s="302">
        <f t="shared" si="5"/>
        <v>274</v>
      </c>
      <c r="T24" s="302">
        <f t="shared" si="5"/>
        <v>295</v>
      </c>
      <c r="U24" s="302">
        <f t="shared" si="5"/>
        <v>311</v>
      </c>
      <c r="W24" s="343">
        <f t="shared" si="4"/>
        <v>0.9779874213836478</v>
      </c>
    </row>
    <row r="25" spans="1:23" ht="20.100000000000001" customHeight="1">
      <c r="A25" s="340"/>
      <c r="B25" s="340"/>
      <c r="C25" s="406" t="s">
        <v>1425</v>
      </c>
      <c r="D25" s="330"/>
      <c r="E25" s="527"/>
      <c r="F25" s="527" t="s">
        <v>754</v>
      </c>
      <c r="G25" s="302">
        <f>IF($D25="A",ROUND(VLOOKUP($C25,'[2]2.행정구역별 급수인구'!$C$7:$AD$997,17,FALSE)*$E25,0),IF($D25="B",(ROUND(VLOOKUP($C25,'[2]2.행정구역별 급수인구'!$C$7:$AD$997,17,FALSE)-VLOOKUP($C25,'[2]2.행정구역별 급수인구'!$C$7:$AD$997,17,FALSE)*(1-$E25),0)),VLOOKUP($C25,'[2]2.행정구역별 급수인구'!$C$7:$AD$997,17,FALSE)))</f>
        <v>191</v>
      </c>
      <c r="H25" s="302">
        <f>IF($D25="A",ROUND(VLOOKUP($C25,'[2]2.행정구역별 급수인구'!$C$7:$AD$997,25,FALSE)*$E25,0),IF($D25="B",(ROUND(VLOOKUP($C25,'[2]2.행정구역별 급수인구'!$C$7:$AD$997,25,FALSE)-VLOOKUP($C25,'[2]2.행정구역별 급수인구'!$C$7:$AD$997,25,FALSE)*(1-$E25),0)),VLOOKUP($C25,'[2]2.행정구역별 급수인구'!$C$7:$AD$997,25,FALSE)))</f>
        <v>188</v>
      </c>
      <c r="I25" s="302">
        <f>IF($D25="A",ROUND(VLOOKUP($C25,'[2]2.행정구역별 급수인구'!$C$7:$AD$997,26,FALSE)*$E25,0),IF($D25="B",(ROUND(VLOOKUP($C25,'[2]2.행정구역별 급수인구'!$C$7:$AD$997,26,FALSE)-VLOOKUP($C25,'[2]2.행정구역별 급수인구'!$C$7:$AD$997,26,FALSE)*(1-$E25),0)),VLOOKUP($C25,'[2]2.행정구역별 급수인구'!$C$7:$AD$997,26,FALSE)))</f>
        <v>186</v>
      </c>
      <c r="J25" s="302">
        <f>IF($D25="A",ROUND(VLOOKUP($C25,'[2]2.행정구역별 급수인구'!$C$7:$AD$997,27,FALSE)*$E25,0),IF($D25="B",(ROUND(VLOOKUP($C25,'[2]2.행정구역별 급수인구'!$C$7:$AD$997,27,FALSE)-VLOOKUP($C25,'[2]2.행정구역별 급수인구'!$C$7:$AD$997,27,FALSE)*(1-$E25),0)),VLOOKUP($C25,'[2]2.행정구역별 급수인구'!$C$7:$AD$997,27,FALSE)))</f>
        <v>191</v>
      </c>
      <c r="K25" s="302">
        <f>IF($D25="A",ROUND(VLOOKUP($C25,'[2]2.행정구역별 급수인구'!$C$7:$AD$997,28,FALSE)*$E25,0),IF($D25="B",(ROUND(VLOOKUP($C25,'[2]2.행정구역별 급수인구'!$C$7:$AD$997,28,FALSE)-VLOOKUP($C25,'[2]2.행정구역별 급수인구'!$C$7:$AD$997,28,FALSE)*(1-$E25),0)),VLOOKUP($C25,'[2]2.행정구역별 급수인구'!$C$7:$AD$997,28,FALSE)))</f>
        <v>194</v>
      </c>
      <c r="L25" s="302">
        <f>VLOOKUP($F25,'[3]5.급수원단위'!$B$31:$G$35,2,FALSE)</f>
        <v>365</v>
      </c>
      <c r="M25" s="302">
        <f>VLOOKUP($F25,'[3]5.급수원단위'!$B$31:$G$35,3,FALSE)</f>
        <v>390</v>
      </c>
      <c r="N25" s="302">
        <f>VLOOKUP($F25,'[3]5.급수원단위'!$B$31:$G$35,4,FALSE)</f>
        <v>417</v>
      </c>
      <c r="O25" s="302">
        <f>VLOOKUP($F25,'[3]5.급수원단위'!$B$31:$G$35,5,FALSE)</f>
        <v>439</v>
      </c>
      <c r="P25" s="302">
        <f>VLOOKUP($F25,'[3]5.급수원단위'!$B$31:$G$35,6,FALSE)</f>
        <v>454</v>
      </c>
      <c r="Q25" s="302">
        <f>ROUND(IF(G25=0,0,VLOOKUP(C25,'2013실사용량 정리'!$D$6:$F$381,3,FALSE)),0)</f>
        <v>58</v>
      </c>
      <c r="R25" s="302">
        <f t="shared" si="5"/>
        <v>73</v>
      </c>
      <c r="S25" s="302">
        <f t="shared" si="5"/>
        <v>78</v>
      </c>
      <c r="T25" s="302">
        <f t="shared" si="5"/>
        <v>84</v>
      </c>
      <c r="U25" s="302">
        <f t="shared" si="5"/>
        <v>88</v>
      </c>
      <c r="W25" s="343">
        <f t="shared" si="4"/>
        <v>1.5172413793103448</v>
      </c>
    </row>
    <row r="26" spans="1:23" ht="20.100000000000001" customHeight="1">
      <c r="A26" s="340"/>
      <c r="B26" s="340"/>
      <c r="C26" s="406" t="s">
        <v>1426</v>
      </c>
      <c r="D26" s="330"/>
      <c r="E26" s="527"/>
      <c r="F26" s="527" t="s">
        <v>754</v>
      </c>
      <c r="G26" s="302">
        <f>IF($D26="A",ROUND(VLOOKUP($C26,'[2]2.행정구역별 급수인구'!$C$7:$AD$997,17,FALSE)*$E26,0),IF($D26="B",(ROUND(VLOOKUP($C26,'[2]2.행정구역별 급수인구'!$C$7:$AD$997,17,FALSE)-VLOOKUP($C26,'[2]2.행정구역별 급수인구'!$C$7:$AD$997,17,FALSE)*(1-$E26),0)),VLOOKUP($C26,'[2]2.행정구역별 급수인구'!$C$7:$AD$997,17,FALSE)))</f>
        <v>364</v>
      </c>
      <c r="H26" s="302">
        <f>IF($D26="A",ROUND(VLOOKUP($C26,'[2]2.행정구역별 급수인구'!$C$7:$AD$997,25,FALSE)*$E26,0),IF($D26="B",(ROUND(VLOOKUP($C26,'[2]2.행정구역별 급수인구'!$C$7:$AD$997,25,FALSE)-VLOOKUP($C26,'[2]2.행정구역별 급수인구'!$C$7:$AD$997,25,FALSE)*(1-$E26),0)),VLOOKUP($C26,'[2]2.행정구역별 급수인구'!$C$7:$AD$997,25,FALSE)))</f>
        <v>359</v>
      </c>
      <c r="I26" s="302">
        <f>IF($D26="A",ROUND(VLOOKUP($C26,'[2]2.행정구역별 급수인구'!$C$7:$AD$997,26,FALSE)*$E26,0),IF($D26="B",(ROUND(VLOOKUP($C26,'[2]2.행정구역별 급수인구'!$C$7:$AD$997,26,FALSE)-VLOOKUP($C26,'[2]2.행정구역별 급수인구'!$C$7:$AD$997,26,FALSE)*(1-$E26),0)),VLOOKUP($C26,'[2]2.행정구역별 급수인구'!$C$7:$AD$997,26,FALSE)))</f>
        <v>355</v>
      </c>
      <c r="J26" s="302">
        <f>IF($D26="A",ROUND(VLOOKUP($C26,'[2]2.행정구역별 급수인구'!$C$7:$AD$997,27,FALSE)*$E26,0),IF($D26="B",(ROUND(VLOOKUP($C26,'[2]2.행정구역별 급수인구'!$C$7:$AD$997,27,FALSE)-VLOOKUP($C26,'[2]2.행정구역별 급수인구'!$C$7:$AD$997,27,FALSE)*(1-$E26),0)),VLOOKUP($C26,'[2]2.행정구역별 급수인구'!$C$7:$AD$997,27,FALSE)))</f>
        <v>363</v>
      </c>
      <c r="K26" s="302">
        <f>IF($D26="A",ROUND(VLOOKUP($C26,'[2]2.행정구역별 급수인구'!$C$7:$AD$997,28,FALSE)*$E26,0),IF($D26="B",(ROUND(VLOOKUP($C26,'[2]2.행정구역별 급수인구'!$C$7:$AD$997,28,FALSE)-VLOOKUP($C26,'[2]2.행정구역별 급수인구'!$C$7:$AD$997,28,FALSE)*(1-$E26),0)),VLOOKUP($C26,'[2]2.행정구역별 급수인구'!$C$7:$AD$997,28,FALSE)))</f>
        <v>370</v>
      </c>
      <c r="L26" s="302">
        <f>VLOOKUP($F26,'[3]5.급수원단위'!$B$31:$G$35,2,FALSE)</f>
        <v>365</v>
      </c>
      <c r="M26" s="302">
        <f>VLOOKUP($F26,'[3]5.급수원단위'!$B$31:$G$35,3,FALSE)</f>
        <v>390</v>
      </c>
      <c r="N26" s="302">
        <f>VLOOKUP($F26,'[3]5.급수원단위'!$B$31:$G$35,4,FALSE)</f>
        <v>417</v>
      </c>
      <c r="O26" s="302">
        <f>VLOOKUP($F26,'[3]5.급수원단위'!$B$31:$G$35,5,FALSE)</f>
        <v>439</v>
      </c>
      <c r="P26" s="302">
        <f>VLOOKUP($F26,'[3]5.급수원단위'!$B$31:$G$35,6,FALSE)</f>
        <v>454</v>
      </c>
      <c r="Q26" s="302">
        <f>ROUND(IF(G26=0,0,VLOOKUP(C26,'2013실사용량 정리'!$D$6:$F$381,3,FALSE)),0)</f>
        <v>111</v>
      </c>
      <c r="R26" s="302">
        <f t="shared" si="5"/>
        <v>140</v>
      </c>
      <c r="S26" s="302">
        <f t="shared" si="5"/>
        <v>148</v>
      </c>
      <c r="T26" s="302">
        <f t="shared" si="5"/>
        <v>159</v>
      </c>
      <c r="U26" s="302">
        <f t="shared" si="5"/>
        <v>168</v>
      </c>
      <c r="W26" s="343">
        <f t="shared" si="4"/>
        <v>1.5135135135135136</v>
      </c>
    </row>
    <row r="27" spans="1:23" ht="20.100000000000001" customHeight="1">
      <c r="A27" s="340"/>
      <c r="B27" s="340"/>
      <c r="C27" s="406" t="s">
        <v>1427</v>
      </c>
      <c r="D27" s="330"/>
      <c r="E27" s="527"/>
      <c r="F27" s="527" t="s">
        <v>754</v>
      </c>
      <c r="G27" s="302">
        <f>IF($D27="A",ROUND(VLOOKUP($C27,'[2]2.행정구역별 급수인구'!$C$7:$AD$997,17,FALSE)*$E27,0),IF($D27="B",(ROUND(VLOOKUP($C27,'[2]2.행정구역별 급수인구'!$C$7:$AD$997,17,FALSE)-VLOOKUP($C27,'[2]2.행정구역별 급수인구'!$C$7:$AD$997,17,FALSE)*(1-$E27),0)),VLOOKUP($C27,'[2]2.행정구역별 급수인구'!$C$7:$AD$997,17,FALSE)))</f>
        <v>223</v>
      </c>
      <c r="H27" s="302">
        <f>IF($D27="A",ROUND(VLOOKUP($C27,'[2]2.행정구역별 급수인구'!$C$7:$AD$997,25,FALSE)*$E27,0),IF($D27="B",(ROUND(VLOOKUP($C27,'[2]2.행정구역별 급수인구'!$C$7:$AD$997,25,FALSE)-VLOOKUP($C27,'[2]2.행정구역별 급수인구'!$C$7:$AD$997,25,FALSE)*(1-$E27),0)),VLOOKUP($C27,'[2]2.행정구역별 급수인구'!$C$7:$AD$997,25,FALSE)))</f>
        <v>220</v>
      </c>
      <c r="I27" s="302">
        <f>IF($D27="A",ROUND(VLOOKUP($C27,'[2]2.행정구역별 급수인구'!$C$7:$AD$997,26,FALSE)*$E27,0),IF($D27="B",(ROUND(VLOOKUP($C27,'[2]2.행정구역별 급수인구'!$C$7:$AD$997,26,FALSE)-VLOOKUP($C27,'[2]2.행정구역별 급수인구'!$C$7:$AD$997,26,FALSE)*(1-$E27),0)),VLOOKUP($C27,'[2]2.행정구역별 급수인구'!$C$7:$AD$997,26,FALSE)))</f>
        <v>217</v>
      </c>
      <c r="J27" s="302">
        <f>IF($D27="A",ROUND(VLOOKUP($C27,'[2]2.행정구역별 급수인구'!$C$7:$AD$997,27,FALSE)*$E27,0),IF($D27="B",(ROUND(VLOOKUP($C27,'[2]2.행정구역별 급수인구'!$C$7:$AD$997,27,FALSE)-VLOOKUP($C27,'[2]2.행정구역별 급수인구'!$C$7:$AD$997,27,FALSE)*(1-$E27),0)),VLOOKUP($C27,'[2]2.행정구역별 급수인구'!$C$7:$AD$997,27,FALSE)))</f>
        <v>223</v>
      </c>
      <c r="K27" s="302">
        <f>IF($D27="A",ROUND(VLOOKUP($C27,'[2]2.행정구역별 급수인구'!$C$7:$AD$997,28,FALSE)*$E27,0),IF($D27="B",(ROUND(VLOOKUP($C27,'[2]2.행정구역별 급수인구'!$C$7:$AD$997,28,FALSE)-VLOOKUP($C27,'[2]2.행정구역별 급수인구'!$C$7:$AD$997,28,FALSE)*(1-$E27),0)),VLOOKUP($C27,'[2]2.행정구역별 급수인구'!$C$7:$AD$997,28,FALSE)))</f>
        <v>227</v>
      </c>
      <c r="L27" s="302">
        <f>VLOOKUP($F27,'[3]5.급수원단위'!$B$31:$G$35,2,FALSE)</f>
        <v>365</v>
      </c>
      <c r="M27" s="302">
        <f>VLOOKUP($F27,'[3]5.급수원단위'!$B$31:$G$35,3,FALSE)</f>
        <v>390</v>
      </c>
      <c r="N27" s="302">
        <f>VLOOKUP($F27,'[3]5.급수원단위'!$B$31:$G$35,4,FALSE)</f>
        <v>417</v>
      </c>
      <c r="O27" s="302">
        <f>VLOOKUP($F27,'[3]5.급수원단위'!$B$31:$G$35,5,FALSE)</f>
        <v>439</v>
      </c>
      <c r="P27" s="302">
        <f>VLOOKUP($F27,'[3]5.급수원단위'!$B$31:$G$35,6,FALSE)</f>
        <v>454</v>
      </c>
      <c r="Q27" s="302">
        <f>ROUND(IF(G27=0,0,VLOOKUP(C27,'2013실사용량 정리'!$D$6:$F$381,3,FALSE)),0)</f>
        <v>68</v>
      </c>
      <c r="R27" s="302">
        <f t="shared" si="5"/>
        <v>86</v>
      </c>
      <c r="S27" s="302">
        <f t="shared" si="5"/>
        <v>90</v>
      </c>
      <c r="T27" s="302">
        <f t="shared" si="5"/>
        <v>98</v>
      </c>
      <c r="U27" s="302">
        <f t="shared" si="5"/>
        <v>103</v>
      </c>
      <c r="W27" s="343">
        <f t="shared" si="4"/>
        <v>1.5147058823529411</v>
      </c>
    </row>
    <row r="28" spans="1:23" ht="20.100000000000001" customHeight="1">
      <c r="A28" s="340"/>
      <c r="B28" s="340"/>
      <c r="C28" s="406" t="s">
        <v>1428</v>
      </c>
      <c r="D28" s="330"/>
      <c r="E28" s="527"/>
      <c r="F28" s="527" t="s">
        <v>754</v>
      </c>
      <c r="G28" s="302">
        <f>IF($D28="A",ROUND(VLOOKUP($C28,'[2]2.행정구역별 급수인구'!$C$7:$AD$997,17,FALSE)*$E28,0),IF($D28="B",(ROUND(VLOOKUP($C28,'[2]2.행정구역별 급수인구'!$C$7:$AD$997,17,FALSE)-VLOOKUP($C28,'[2]2.행정구역별 급수인구'!$C$7:$AD$997,17,FALSE)*(1-$E28),0)),VLOOKUP($C28,'[2]2.행정구역별 급수인구'!$C$7:$AD$997,17,FALSE)))</f>
        <v>305</v>
      </c>
      <c r="H28" s="302">
        <f>IF($D28="A",ROUND(VLOOKUP($C28,'[2]2.행정구역별 급수인구'!$C$7:$AD$997,25,FALSE)*$E28,0),IF($D28="B",(ROUND(VLOOKUP($C28,'[2]2.행정구역별 급수인구'!$C$7:$AD$997,25,FALSE)-VLOOKUP($C28,'[2]2.행정구역별 급수인구'!$C$7:$AD$997,25,FALSE)*(1-$E28),0)),VLOOKUP($C28,'[2]2.행정구역별 급수인구'!$C$7:$AD$997,25,FALSE)))</f>
        <v>301</v>
      </c>
      <c r="I28" s="302">
        <f>IF($D28="A",ROUND(VLOOKUP($C28,'[2]2.행정구역별 급수인구'!$C$7:$AD$997,26,FALSE)*$E28,0),IF($D28="B",(ROUND(VLOOKUP($C28,'[2]2.행정구역별 급수인구'!$C$7:$AD$997,26,FALSE)-VLOOKUP($C28,'[2]2.행정구역별 급수인구'!$C$7:$AD$997,26,FALSE)*(1-$E28),0)),VLOOKUP($C28,'[2]2.행정구역별 급수인구'!$C$7:$AD$997,26,FALSE)))</f>
        <v>298</v>
      </c>
      <c r="J28" s="302">
        <f>IF($D28="A",ROUND(VLOOKUP($C28,'[2]2.행정구역별 급수인구'!$C$7:$AD$997,27,FALSE)*$E28,0),IF($D28="B",(ROUND(VLOOKUP($C28,'[2]2.행정구역별 급수인구'!$C$7:$AD$997,27,FALSE)-VLOOKUP($C28,'[2]2.행정구역별 급수인구'!$C$7:$AD$997,27,FALSE)*(1-$E28),0)),VLOOKUP($C28,'[2]2.행정구역별 급수인구'!$C$7:$AD$997,27,FALSE)))</f>
        <v>305</v>
      </c>
      <c r="K28" s="302">
        <f>IF($D28="A",ROUND(VLOOKUP($C28,'[2]2.행정구역별 급수인구'!$C$7:$AD$997,28,FALSE)*$E28,0),IF($D28="B",(ROUND(VLOOKUP($C28,'[2]2.행정구역별 급수인구'!$C$7:$AD$997,28,FALSE)-VLOOKUP($C28,'[2]2.행정구역별 급수인구'!$C$7:$AD$997,28,FALSE)*(1-$E28),0)),VLOOKUP($C28,'[2]2.행정구역별 급수인구'!$C$7:$AD$997,28,FALSE)))</f>
        <v>311</v>
      </c>
      <c r="L28" s="302">
        <f>VLOOKUP($F28,'[3]5.급수원단위'!$B$31:$G$35,2,FALSE)</f>
        <v>365</v>
      </c>
      <c r="M28" s="302">
        <f>VLOOKUP($F28,'[3]5.급수원단위'!$B$31:$G$35,3,FALSE)</f>
        <v>390</v>
      </c>
      <c r="N28" s="302">
        <f>VLOOKUP($F28,'[3]5.급수원단위'!$B$31:$G$35,4,FALSE)</f>
        <v>417</v>
      </c>
      <c r="O28" s="302">
        <f>VLOOKUP($F28,'[3]5.급수원단위'!$B$31:$G$35,5,FALSE)</f>
        <v>439</v>
      </c>
      <c r="P28" s="302">
        <f>VLOOKUP($F28,'[3]5.급수원단위'!$B$31:$G$35,6,FALSE)</f>
        <v>454</v>
      </c>
      <c r="Q28" s="302">
        <f>ROUND(IF(G28=0,0,VLOOKUP(C28,'2013실사용량 정리'!$D$6:$F$381,3,FALSE)),0)</f>
        <v>93</v>
      </c>
      <c r="R28" s="302">
        <f t="shared" si="5"/>
        <v>117</v>
      </c>
      <c r="S28" s="302">
        <f t="shared" si="5"/>
        <v>124</v>
      </c>
      <c r="T28" s="302">
        <f t="shared" si="5"/>
        <v>134</v>
      </c>
      <c r="U28" s="302">
        <f t="shared" si="5"/>
        <v>141</v>
      </c>
      <c r="W28" s="343">
        <f t="shared" si="4"/>
        <v>1.5161290322580645</v>
      </c>
    </row>
    <row r="29" spans="1:23" ht="20.100000000000001" customHeight="1">
      <c r="A29" s="340"/>
      <c r="B29" s="340"/>
      <c r="C29" s="406" t="s">
        <v>1429</v>
      </c>
      <c r="D29" s="330"/>
      <c r="E29" s="527"/>
      <c r="F29" s="527" t="s">
        <v>754</v>
      </c>
      <c r="G29" s="302">
        <f>IF($D29="A",ROUND(VLOOKUP($C29,'[2]2.행정구역별 급수인구'!$C$7:$AD$997,17,FALSE)*$E29,0),IF($D29="B",(ROUND(VLOOKUP($C29,'[2]2.행정구역별 급수인구'!$C$7:$AD$997,17,FALSE)-VLOOKUP($C29,'[2]2.행정구역별 급수인구'!$C$7:$AD$997,17,FALSE)*(1-$E29),0)),VLOOKUP($C29,'[2]2.행정구역별 급수인구'!$C$7:$AD$997,17,FALSE)))</f>
        <v>416</v>
      </c>
      <c r="H29" s="302">
        <f>IF($D29="A",ROUND(VLOOKUP($C29,'[2]2.행정구역별 급수인구'!$C$7:$AD$997,25,FALSE)*$E29,0),IF($D29="B",(ROUND(VLOOKUP($C29,'[2]2.행정구역별 급수인구'!$C$7:$AD$997,25,FALSE)-VLOOKUP($C29,'[2]2.행정구역별 급수인구'!$C$7:$AD$997,25,FALSE)*(1-$E29),0)),VLOOKUP($C29,'[2]2.행정구역별 급수인구'!$C$7:$AD$997,25,FALSE)))</f>
        <v>410</v>
      </c>
      <c r="I29" s="302">
        <f>IF($D29="A",ROUND(VLOOKUP($C29,'[2]2.행정구역별 급수인구'!$C$7:$AD$997,26,FALSE)*$E29,0),IF($D29="B",(ROUND(VLOOKUP($C29,'[2]2.행정구역별 급수인구'!$C$7:$AD$997,26,FALSE)-VLOOKUP($C29,'[2]2.행정구역별 급수인구'!$C$7:$AD$997,26,FALSE)*(1-$E29),0)),VLOOKUP($C29,'[2]2.행정구역별 급수인구'!$C$7:$AD$997,26,FALSE)))</f>
        <v>406</v>
      </c>
      <c r="J29" s="302">
        <f>IF($D29="A",ROUND(VLOOKUP($C29,'[2]2.행정구역별 급수인구'!$C$7:$AD$997,27,FALSE)*$E29,0),IF($D29="B",(ROUND(VLOOKUP($C29,'[2]2.행정구역별 급수인구'!$C$7:$AD$997,27,FALSE)-VLOOKUP($C29,'[2]2.행정구역별 급수인구'!$C$7:$AD$997,27,FALSE)*(1-$E29),0)),VLOOKUP($C29,'[2]2.행정구역별 급수인구'!$C$7:$AD$997,27,FALSE)))</f>
        <v>415</v>
      </c>
      <c r="K29" s="302">
        <f>IF($D29="A",ROUND(VLOOKUP($C29,'[2]2.행정구역별 급수인구'!$C$7:$AD$997,28,FALSE)*$E29,0),IF($D29="B",(ROUND(VLOOKUP($C29,'[2]2.행정구역별 급수인구'!$C$7:$AD$997,28,FALSE)-VLOOKUP($C29,'[2]2.행정구역별 급수인구'!$C$7:$AD$997,28,FALSE)*(1-$E29),0)),VLOOKUP($C29,'[2]2.행정구역별 급수인구'!$C$7:$AD$997,28,FALSE)))</f>
        <v>423</v>
      </c>
      <c r="L29" s="302">
        <f>VLOOKUP($F29,'[3]5.급수원단위'!$B$31:$G$35,2,FALSE)</f>
        <v>365</v>
      </c>
      <c r="M29" s="302">
        <f>VLOOKUP($F29,'[3]5.급수원단위'!$B$31:$G$35,3,FALSE)</f>
        <v>390</v>
      </c>
      <c r="N29" s="302">
        <f>VLOOKUP($F29,'[3]5.급수원단위'!$B$31:$G$35,4,FALSE)</f>
        <v>417</v>
      </c>
      <c r="O29" s="302">
        <f>VLOOKUP($F29,'[3]5.급수원단위'!$B$31:$G$35,5,FALSE)</f>
        <v>439</v>
      </c>
      <c r="P29" s="302">
        <f>VLOOKUP($F29,'[3]5.급수원단위'!$B$31:$G$35,6,FALSE)</f>
        <v>454</v>
      </c>
      <c r="Q29" s="302">
        <f>ROUND(IF(G29=0,0,VLOOKUP(C29,'2013실사용량 정리'!$D$6:$F$381,3,FALSE)),0)</f>
        <v>125</v>
      </c>
      <c r="R29" s="302">
        <f t="shared" si="5"/>
        <v>160</v>
      </c>
      <c r="S29" s="302">
        <f t="shared" si="5"/>
        <v>169</v>
      </c>
      <c r="T29" s="302">
        <f t="shared" si="5"/>
        <v>182</v>
      </c>
      <c r="U29" s="302">
        <f t="shared" si="5"/>
        <v>192</v>
      </c>
      <c r="W29" s="343">
        <f t="shared" si="4"/>
        <v>1.536</v>
      </c>
    </row>
    <row r="30" spans="1:23" ht="20.100000000000001" customHeight="1">
      <c r="A30" s="340"/>
      <c r="B30" s="340"/>
      <c r="C30" s="406" t="s">
        <v>1430</v>
      </c>
      <c r="D30" s="330"/>
      <c r="E30" s="527"/>
      <c r="F30" s="527" t="s">
        <v>754</v>
      </c>
      <c r="G30" s="302">
        <f>IF($D30="A",ROUND(VLOOKUP($C30,'[2]2.행정구역별 급수인구'!$C$7:$AD$997,17,FALSE)*$E30,0),IF($D30="B",(ROUND(VLOOKUP($C30,'[2]2.행정구역별 급수인구'!$C$7:$AD$997,17,FALSE)-VLOOKUP($C30,'[2]2.행정구역별 급수인구'!$C$7:$AD$997,17,FALSE)*(1-$E30),0)),VLOOKUP($C30,'[2]2.행정구역별 급수인구'!$C$7:$AD$997,17,FALSE)))</f>
        <v>246</v>
      </c>
      <c r="H30" s="302">
        <f>IF($D30="A",ROUND(VLOOKUP($C30,'[2]2.행정구역별 급수인구'!$C$7:$AD$997,25,FALSE)*$E30,0),IF($D30="B",(ROUND(VLOOKUP($C30,'[2]2.행정구역별 급수인구'!$C$7:$AD$997,25,FALSE)-VLOOKUP($C30,'[2]2.행정구역별 급수인구'!$C$7:$AD$997,25,FALSE)*(1-$E30),0)),VLOOKUP($C30,'[2]2.행정구역별 급수인구'!$C$7:$AD$997,25,FALSE)))</f>
        <v>243</v>
      </c>
      <c r="I30" s="302">
        <f>IF($D30="A",ROUND(VLOOKUP($C30,'[2]2.행정구역별 급수인구'!$C$7:$AD$997,26,FALSE)*$E30,0),IF($D30="B",(ROUND(VLOOKUP($C30,'[2]2.행정구역별 급수인구'!$C$7:$AD$997,26,FALSE)-VLOOKUP($C30,'[2]2.행정구역별 급수인구'!$C$7:$AD$997,26,FALSE)*(1-$E30),0)),VLOOKUP($C30,'[2]2.행정구역별 급수인구'!$C$7:$AD$997,26,FALSE)))</f>
        <v>240</v>
      </c>
      <c r="J30" s="302">
        <f>IF($D30="A",ROUND(VLOOKUP($C30,'[2]2.행정구역별 급수인구'!$C$7:$AD$997,27,FALSE)*$E30,0),IF($D30="B",(ROUND(VLOOKUP($C30,'[2]2.행정구역별 급수인구'!$C$7:$AD$997,27,FALSE)-VLOOKUP($C30,'[2]2.행정구역별 급수인구'!$C$7:$AD$997,27,FALSE)*(1-$E30),0)),VLOOKUP($C30,'[2]2.행정구역별 급수인구'!$C$7:$AD$997,27,FALSE)))</f>
        <v>246</v>
      </c>
      <c r="K30" s="302">
        <f>IF($D30="A",ROUND(VLOOKUP($C30,'[2]2.행정구역별 급수인구'!$C$7:$AD$997,28,FALSE)*$E30,0),IF($D30="B",(ROUND(VLOOKUP($C30,'[2]2.행정구역별 급수인구'!$C$7:$AD$997,28,FALSE)-VLOOKUP($C30,'[2]2.행정구역별 급수인구'!$C$7:$AD$997,28,FALSE)*(1-$E30),0)),VLOOKUP($C30,'[2]2.행정구역별 급수인구'!$C$7:$AD$997,28,FALSE)))</f>
        <v>250</v>
      </c>
      <c r="L30" s="302">
        <f>VLOOKUP($F30,'[3]5.급수원단위'!$B$31:$G$35,2,FALSE)</f>
        <v>365</v>
      </c>
      <c r="M30" s="302">
        <f>VLOOKUP($F30,'[3]5.급수원단위'!$B$31:$G$35,3,FALSE)</f>
        <v>390</v>
      </c>
      <c r="N30" s="302">
        <f>VLOOKUP($F30,'[3]5.급수원단위'!$B$31:$G$35,4,FALSE)</f>
        <v>417</v>
      </c>
      <c r="O30" s="302">
        <f>VLOOKUP($F30,'[3]5.급수원단위'!$B$31:$G$35,5,FALSE)</f>
        <v>439</v>
      </c>
      <c r="P30" s="302">
        <f>VLOOKUP($F30,'[3]5.급수원단위'!$B$31:$G$35,6,FALSE)</f>
        <v>454</v>
      </c>
      <c r="Q30" s="302">
        <f>ROUND(IF(G30=0,0,VLOOKUP(C30,'2013실사용량 정리'!$D$6:$F$381,3,FALSE)),0)</f>
        <v>109</v>
      </c>
      <c r="R30" s="302">
        <f t="shared" si="5"/>
        <v>95</v>
      </c>
      <c r="S30" s="302">
        <f t="shared" si="5"/>
        <v>100</v>
      </c>
      <c r="T30" s="302">
        <f t="shared" si="5"/>
        <v>108</v>
      </c>
      <c r="U30" s="302">
        <f t="shared" si="5"/>
        <v>114</v>
      </c>
      <c r="W30" s="343">
        <f t="shared" si="4"/>
        <v>1.0458715596330275</v>
      </c>
    </row>
    <row r="31" spans="1:23" ht="20.100000000000001" customHeight="1">
      <c r="A31" s="340"/>
      <c r="B31" s="340"/>
      <c r="C31" s="406" t="s">
        <v>1431</v>
      </c>
      <c r="D31" s="330"/>
      <c r="E31" s="527"/>
      <c r="F31" s="527" t="s">
        <v>754</v>
      </c>
      <c r="G31" s="302">
        <f>IF($D31="A",ROUND(VLOOKUP($C31,'[2]2.행정구역별 급수인구'!$C$7:$AD$997,17,FALSE)*$E31,0),IF($D31="B",(ROUND(VLOOKUP($C31,'[2]2.행정구역별 급수인구'!$C$7:$AD$997,17,FALSE)-VLOOKUP($C31,'[2]2.행정구역별 급수인구'!$C$7:$AD$997,17,FALSE)*(1-$E31),0)),VLOOKUP($C31,'[2]2.행정구역별 급수인구'!$C$7:$AD$997,17,FALSE)))</f>
        <v>597</v>
      </c>
      <c r="H31" s="302">
        <f>IF($D31="A",ROUND(VLOOKUP($C31,'[2]2.행정구역별 급수인구'!$C$7:$AD$997,25,FALSE)*$E31,0),IF($D31="B",(ROUND(VLOOKUP($C31,'[2]2.행정구역별 급수인구'!$C$7:$AD$997,25,FALSE)-VLOOKUP($C31,'[2]2.행정구역별 급수인구'!$C$7:$AD$997,25,FALSE)*(1-$E31),0)),VLOOKUP($C31,'[2]2.행정구역별 급수인구'!$C$7:$AD$997,25,FALSE)))</f>
        <v>589</v>
      </c>
      <c r="I31" s="302">
        <f>IF($D31="A",ROUND(VLOOKUP($C31,'[2]2.행정구역별 급수인구'!$C$7:$AD$997,26,FALSE)*$E31,0),IF($D31="B",(ROUND(VLOOKUP($C31,'[2]2.행정구역별 급수인구'!$C$7:$AD$997,26,FALSE)-VLOOKUP($C31,'[2]2.행정구역별 급수인구'!$C$7:$AD$997,26,FALSE)*(1-$E31),0)),VLOOKUP($C31,'[2]2.행정구역별 급수인구'!$C$7:$AD$997,26,FALSE)))</f>
        <v>583</v>
      </c>
      <c r="J31" s="302">
        <f>IF($D31="A",ROUND(VLOOKUP($C31,'[2]2.행정구역별 급수인구'!$C$7:$AD$997,27,FALSE)*$E31,0),IF($D31="B",(ROUND(VLOOKUP($C31,'[2]2.행정구역별 급수인구'!$C$7:$AD$997,27,FALSE)-VLOOKUP($C31,'[2]2.행정구역별 급수인구'!$C$7:$AD$997,27,FALSE)*(1-$E31),0)),VLOOKUP($C31,'[2]2.행정구역별 급수인구'!$C$7:$AD$997,27,FALSE)))</f>
        <v>597</v>
      </c>
      <c r="K31" s="302">
        <f>IF($D31="A",ROUND(VLOOKUP($C31,'[2]2.행정구역별 급수인구'!$C$7:$AD$997,28,FALSE)*$E31,0),IF($D31="B",(ROUND(VLOOKUP($C31,'[2]2.행정구역별 급수인구'!$C$7:$AD$997,28,FALSE)-VLOOKUP($C31,'[2]2.행정구역별 급수인구'!$C$7:$AD$997,28,FALSE)*(1-$E31),0)),VLOOKUP($C31,'[2]2.행정구역별 급수인구'!$C$7:$AD$997,28,FALSE)))</f>
        <v>607</v>
      </c>
      <c r="L31" s="302">
        <f>VLOOKUP($F31,'[3]5.급수원단위'!$B$31:$G$35,2,FALSE)</f>
        <v>365</v>
      </c>
      <c r="M31" s="302">
        <f>VLOOKUP($F31,'[3]5.급수원단위'!$B$31:$G$35,3,FALSE)</f>
        <v>390</v>
      </c>
      <c r="N31" s="302">
        <f>VLOOKUP($F31,'[3]5.급수원단위'!$B$31:$G$35,4,FALSE)</f>
        <v>417</v>
      </c>
      <c r="O31" s="302">
        <f>VLOOKUP($F31,'[3]5.급수원단위'!$B$31:$G$35,5,FALSE)</f>
        <v>439</v>
      </c>
      <c r="P31" s="302">
        <f>VLOOKUP($F31,'[3]5.급수원단위'!$B$31:$G$35,6,FALSE)</f>
        <v>454</v>
      </c>
      <c r="Q31" s="302">
        <f>ROUND(IF(G31=0,0,VLOOKUP(C31,'2013실사용량 정리'!$D$6:$F$381,3,FALSE)),0)</f>
        <v>263</v>
      </c>
      <c r="R31" s="302">
        <f t="shared" si="5"/>
        <v>230</v>
      </c>
      <c r="S31" s="302">
        <f t="shared" si="5"/>
        <v>243</v>
      </c>
      <c r="T31" s="302">
        <f t="shared" si="5"/>
        <v>262</v>
      </c>
      <c r="U31" s="302">
        <f t="shared" si="5"/>
        <v>276</v>
      </c>
      <c r="W31" s="343">
        <f t="shared" si="4"/>
        <v>1.0494296577946769</v>
      </c>
    </row>
    <row r="32" spans="1:23" ht="20.100000000000001" customHeight="1">
      <c r="A32" s="340"/>
      <c r="B32" s="340"/>
      <c r="C32" s="406" t="s">
        <v>1432</v>
      </c>
      <c r="D32" s="330"/>
      <c r="E32" s="527"/>
      <c r="F32" s="527" t="s">
        <v>754</v>
      </c>
      <c r="G32" s="302">
        <f>IF($D32="A",ROUND(VLOOKUP($C32,'[2]2.행정구역별 급수인구'!$C$7:$AD$997,17,FALSE)*$E32,0),IF($D32="B",(ROUND(VLOOKUP($C32,'[2]2.행정구역별 급수인구'!$C$7:$AD$997,17,FALSE)-VLOOKUP($C32,'[2]2.행정구역별 급수인구'!$C$7:$AD$997,17,FALSE)*(1-$E32),0)),VLOOKUP($C32,'[2]2.행정구역별 급수인구'!$C$7:$AD$997,17,FALSE)))</f>
        <v>779</v>
      </c>
      <c r="H32" s="302">
        <f>IF($D32="A",ROUND(VLOOKUP($C32,'[2]2.행정구역별 급수인구'!$C$7:$AD$997,25,FALSE)*$E32,0),IF($D32="B",(ROUND(VLOOKUP($C32,'[2]2.행정구역별 급수인구'!$C$7:$AD$997,25,FALSE)-VLOOKUP($C32,'[2]2.행정구역별 급수인구'!$C$7:$AD$997,25,FALSE)*(1-$E32),0)),VLOOKUP($C32,'[2]2.행정구역별 급수인구'!$C$7:$AD$997,25,FALSE)))</f>
        <v>768</v>
      </c>
      <c r="I32" s="302">
        <f>IF($D32="A",ROUND(VLOOKUP($C32,'[2]2.행정구역별 급수인구'!$C$7:$AD$997,26,FALSE)*$E32,0),IF($D32="B",(ROUND(VLOOKUP($C32,'[2]2.행정구역별 급수인구'!$C$7:$AD$997,26,FALSE)-VLOOKUP($C32,'[2]2.행정구역별 급수인구'!$C$7:$AD$997,26,FALSE)*(1-$E32),0)),VLOOKUP($C32,'[2]2.행정구역별 급수인구'!$C$7:$AD$997,26,FALSE)))</f>
        <v>761</v>
      </c>
      <c r="J32" s="302">
        <f>IF($D32="A",ROUND(VLOOKUP($C32,'[2]2.행정구역별 급수인구'!$C$7:$AD$997,27,FALSE)*$E32,0),IF($D32="B",(ROUND(VLOOKUP($C32,'[2]2.행정구역별 급수인구'!$C$7:$AD$997,27,FALSE)-VLOOKUP($C32,'[2]2.행정구역별 급수인구'!$C$7:$AD$997,27,FALSE)*(1-$E32),0)),VLOOKUP($C32,'[2]2.행정구역별 급수인구'!$C$7:$AD$997,27,FALSE)))</f>
        <v>779</v>
      </c>
      <c r="K32" s="302">
        <f>IF($D32="A",ROUND(VLOOKUP($C32,'[2]2.행정구역별 급수인구'!$C$7:$AD$997,28,FALSE)*$E32,0),IF($D32="B",(ROUND(VLOOKUP($C32,'[2]2.행정구역별 급수인구'!$C$7:$AD$997,28,FALSE)-VLOOKUP($C32,'[2]2.행정구역별 급수인구'!$C$7:$AD$997,28,FALSE)*(1-$E32),0)),VLOOKUP($C32,'[2]2.행정구역별 급수인구'!$C$7:$AD$997,28,FALSE)))</f>
        <v>793</v>
      </c>
      <c r="L32" s="302">
        <f>VLOOKUP($F32,'[3]5.급수원단위'!$B$31:$G$35,2,FALSE)</f>
        <v>365</v>
      </c>
      <c r="M32" s="302">
        <f>VLOOKUP($F32,'[3]5.급수원단위'!$B$31:$G$35,3,FALSE)</f>
        <v>390</v>
      </c>
      <c r="N32" s="302">
        <f>VLOOKUP($F32,'[3]5.급수원단위'!$B$31:$G$35,4,FALSE)</f>
        <v>417</v>
      </c>
      <c r="O32" s="302">
        <f>VLOOKUP($F32,'[3]5.급수원단위'!$B$31:$G$35,5,FALSE)</f>
        <v>439</v>
      </c>
      <c r="P32" s="302">
        <f>VLOOKUP($F32,'[3]5.급수원단위'!$B$31:$G$35,6,FALSE)</f>
        <v>454</v>
      </c>
      <c r="Q32" s="302">
        <f>ROUND(IF(G32=0,0,VLOOKUP(C32,'2013실사용량 정리'!$D$6:$F$381,3,FALSE)),0)</f>
        <v>343</v>
      </c>
      <c r="R32" s="302">
        <f t="shared" si="5"/>
        <v>300</v>
      </c>
      <c r="S32" s="302">
        <f t="shared" si="5"/>
        <v>317</v>
      </c>
      <c r="T32" s="302">
        <f t="shared" si="5"/>
        <v>342</v>
      </c>
      <c r="U32" s="302">
        <f t="shared" si="5"/>
        <v>360</v>
      </c>
      <c r="W32" s="343">
        <f t="shared" si="4"/>
        <v>1.0495626822157433</v>
      </c>
    </row>
    <row r="33" spans="1:23" ht="20.100000000000001" customHeight="1">
      <c r="A33" s="340"/>
      <c r="B33" s="340"/>
      <c r="C33" s="406" t="s">
        <v>1433</v>
      </c>
      <c r="D33" s="330"/>
      <c r="E33" s="527"/>
      <c r="F33" s="527" t="s">
        <v>754</v>
      </c>
      <c r="G33" s="302">
        <f>IF($D33="A",ROUND(VLOOKUP($C33,'[2]2.행정구역별 급수인구'!$C$7:$AD$997,17,FALSE)*$E33,0),IF($D33="B",(ROUND(VLOOKUP($C33,'[2]2.행정구역별 급수인구'!$C$7:$AD$997,17,FALSE)-VLOOKUP($C33,'[2]2.행정구역별 급수인구'!$C$7:$AD$997,17,FALSE)*(1-$E33),0)),VLOOKUP($C33,'[2]2.행정구역별 급수인구'!$C$7:$AD$997,17,FALSE)))</f>
        <v>197</v>
      </c>
      <c r="H33" s="302">
        <f>IF($D33="A",ROUND(VLOOKUP($C33,'[2]2.행정구역별 급수인구'!$C$7:$AD$997,25,FALSE)*$E33,0),IF($D33="B",(ROUND(VLOOKUP($C33,'[2]2.행정구역별 급수인구'!$C$7:$AD$997,25,FALSE)-VLOOKUP($C33,'[2]2.행정구역별 급수인구'!$C$7:$AD$997,25,FALSE)*(1-$E33),0)),VLOOKUP($C33,'[2]2.행정구역별 급수인구'!$C$7:$AD$997,25,FALSE)))</f>
        <v>194</v>
      </c>
      <c r="I33" s="302">
        <f>IF($D33="A",ROUND(VLOOKUP($C33,'[2]2.행정구역별 급수인구'!$C$7:$AD$997,26,FALSE)*$E33,0),IF($D33="B",(ROUND(VLOOKUP($C33,'[2]2.행정구역별 급수인구'!$C$7:$AD$997,26,FALSE)-VLOOKUP($C33,'[2]2.행정구역별 급수인구'!$C$7:$AD$997,26,FALSE)*(1-$E33),0)),VLOOKUP($C33,'[2]2.행정구역별 급수인구'!$C$7:$AD$997,26,FALSE)))</f>
        <v>192</v>
      </c>
      <c r="J33" s="302">
        <f>IF($D33="A",ROUND(VLOOKUP($C33,'[2]2.행정구역별 급수인구'!$C$7:$AD$997,27,FALSE)*$E33,0),IF($D33="B",(ROUND(VLOOKUP($C33,'[2]2.행정구역별 급수인구'!$C$7:$AD$997,27,FALSE)-VLOOKUP($C33,'[2]2.행정구역별 급수인구'!$C$7:$AD$997,27,FALSE)*(1-$E33),0)),VLOOKUP($C33,'[2]2.행정구역별 급수인구'!$C$7:$AD$997,27,FALSE)))</f>
        <v>197</v>
      </c>
      <c r="K33" s="302">
        <f>IF($D33="A",ROUND(VLOOKUP($C33,'[2]2.행정구역별 급수인구'!$C$7:$AD$997,28,FALSE)*$E33,0),IF($D33="B",(ROUND(VLOOKUP($C33,'[2]2.행정구역별 급수인구'!$C$7:$AD$997,28,FALSE)-VLOOKUP($C33,'[2]2.행정구역별 급수인구'!$C$7:$AD$997,28,FALSE)*(1-$E33),0)),VLOOKUP($C33,'[2]2.행정구역별 급수인구'!$C$7:$AD$997,28,FALSE)))</f>
        <v>201</v>
      </c>
      <c r="L33" s="302">
        <f>VLOOKUP($F33,'[3]5.급수원단위'!$B$31:$G$35,2,FALSE)</f>
        <v>365</v>
      </c>
      <c r="M33" s="302">
        <f>VLOOKUP($F33,'[3]5.급수원단위'!$B$31:$G$35,3,FALSE)</f>
        <v>390</v>
      </c>
      <c r="N33" s="302">
        <f>VLOOKUP($F33,'[3]5.급수원단위'!$B$31:$G$35,4,FALSE)</f>
        <v>417</v>
      </c>
      <c r="O33" s="302">
        <f>VLOOKUP($F33,'[3]5.급수원단위'!$B$31:$G$35,5,FALSE)</f>
        <v>439</v>
      </c>
      <c r="P33" s="302">
        <f>VLOOKUP($F33,'[3]5.급수원단위'!$B$31:$G$35,6,FALSE)</f>
        <v>454</v>
      </c>
      <c r="Q33" s="302">
        <f>ROUND(IF(G33=0,0,VLOOKUP(C33,'2013실사용량 정리'!$D$6:$F$381,3,FALSE)),0)</f>
        <v>32</v>
      </c>
      <c r="R33" s="302">
        <f t="shared" si="5"/>
        <v>76</v>
      </c>
      <c r="S33" s="302">
        <f t="shared" si="5"/>
        <v>80</v>
      </c>
      <c r="T33" s="302">
        <f t="shared" si="5"/>
        <v>86</v>
      </c>
      <c r="U33" s="302">
        <f t="shared" si="5"/>
        <v>91</v>
      </c>
      <c r="W33" s="343">
        <f t="shared" si="4"/>
        <v>2.84375</v>
      </c>
    </row>
    <row r="34" spans="1:23" ht="20.100000000000001" customHeight="1">
      <c r="A34" s="340"/>
      <c r="B34" s="386"/>
      <c r="C34" s="406" t="s">
        <v>1434</v>
      </c>
      <c r="D34" s="330"/>
      <c r="E34" s="527"/>
      <c r="F34" s="527" t="s">
        <v>754</v>
      </c>
      <c r="G34" s="302">
        <f>IF($D34="A",ROUND(VLOOKUP($C34,'[2]2.행정구역별 급수인구'!$C$7:$AD$997,17,FALSE)*$E34,0),IF($D34="B",(ROUND(VLOOKUP($C34,'[2]2.행정구역별 급수인구'!$C$7:$AD$997,17,FALSE)-VLOOKUP($C34,'[2]2.행정구역별 급수인구'!$C$7:$AD$997,17,FALSE)*(1-$E34),0)),VLOOKUP($C34,'[2]2.행정구역별 급수인구'!$C$7:$AD$997,17,FALSE)))</f>
        <v>183</v>
      </c>
      <c r="H34" s="302">
        <f>IF($D34="A",ROUND(VLOOKUP($C34,'[2]2.행정구역별 급수인구'!$C$7:$AD$997,25,FALSE)*$E34,0),IF($D34="B",(ROUND(VLOOKUP($C34,'[2]2.행정구역별 급수인구'!$C$7:$AD$997,25,FALSE)-VLOOKUP($C34,'[2]2.행정구역별 급수인구'!$C$7:$AD$997,25,FALSE)*(1-$E34),0)),VLOOKUP($C34,'[2]2.행정구역별 급수인구'!$C$7:$AD$997,25,FALSE)))</f>
        <v>180</v>
      </c>
      <c r="I34" s="302">
        <f>IF($D34="A",ROUND(VLOOKUP($C34,'[2]2.행정구역별 급수인구'!$C$7:$AD$997,26,FALSE)*$E34,0),IF($D34="B",(ROUND(VLOOKUP($C34,'[2]2.행정구역별 급수인구'!$C$7:$AD$997,26,FALSE)-VLOOKUP($C34,'[2]2.행정구역별 급수인구'!$C$7:$AD$997,26,FALSE)*(1-$E34),0)),VLOOKUP($C34,'[2]2.행정구역별 급수인구'!$C$7:$AD$997,26,FALSE)))</f>
        <v>179</v>
      </c>
      <c r="J34" s="302">
        <f>IF($D34="A",ROUND(VLOOKUP($C34,'[2]2.행정구역별 급수인구'!$C$7:$AD$997,27,FALSE)*$E34,0),IF($D34="B",(ROUND(VLOOKUP($C34,'[2]2.행정구역별 급수인구'!$C$7:$AD$997,27,FALSE)-VLOOKUP($C34,'[2]2.행정구역별 급수인구'!$C$7:$AD$997,27,FALSE)*(1-$E34),0)),VLOOKUP($C34,'[2]2.행정구역별 급수인구'!$C$7:$AD$997,27,FALSE)))</f>
        <v>183</v>
      </c>
      <c r="K34" s="302">
        <f>IF($D34="A",ROUND(VLOOKUP($C34,'[2]2.행정구역별 급수인구'!$C$7:$AD$997,28,FALSE)*$E34,0),IF($D34="B",(ROUND(VLOOKUP($C34,'[2]2.행정구역별 급수인구'!$C$7:$AD$997,28,FALSE)-VLOOKUP($C34,'[2]2.행정구역별 급수인구'!$C$7:$AD$997,28,FALSE)*(1-$E34),0)),VLOOKUP($C34,'[2]2.행정구역별 급수인구'!$C$7:$AD$997,28,FALSE)))</f>
        <v>187</v>
      </c>
      <c r="L34" s="302">
        <f>VLOOKUP($F34,'[3]5.급수원단위'!$B$31:$G$35,2,FALSE)</f>
        <v>365</v>
      </c>
      <c r="M34" s="302">
        <f>VLOOKUP($F34,'[3]5.급수원단위'!$B$31:$G$35,3,FALSE)</f>
        <v>390</v>
      </c>
      <c r="N34" s="302">
        <f>VLOOKUP($F34,'[3]5.급수원단위'!$B$31:$G$35,4,FALSE)</f>
        <v>417</v>
      </c>
      <c r="O34" s="302">
        <f>VLOOKUP($F34,'[3]5.급수원단위'!$B$31:$G$35,5,FALSE)</f>
        <v>439</v>
      </c>
      <c r="P34" s="302">
        <f>VLOOKUP($F34,'[3]5.급수원단위'!$B$31:$G$35,6,FALSE)</f>
        <v>454</v>
      </c>
      <c r="Q34" s="302">
        <f>ROUND(IF(G34=0,0,VLOOKUP(C34,'2013실사용량 정리'!$D$6:$F$381,3,FALSE)),0)</f>
        <v>30</v>
      </c>
      <c r="R34" s="302">
        <f t="shared" si="5"/>
        <v>70</v>
      </c>
      <c r="S34" s="302">
        <f t="shared" si="5"/>
        <v>75</v>
      </c>
      <c r="T34" s="302">
        <f t="shared" si="5"/>
        <v>80</v>
      </c>
      <c r="U34" s="302">
        <f t="shared" si="5"/>
        <v>85</v>
      </c>
      <c r="W34" s="343">
        <f t="shared" si="4"/>
        <v>2.8333333333333335</v>
      </c>
    </row>
    <row r="35" spans="1:23" ht="20.100000000000001" customHeight="1">
      <c r="A35" s="340"/>
      <c r="B35" s="694" t="s">
        <v>711</v>
      </c>
      <c r="C35" s="694"/>
      <c r="D35" s="694"/>
      <c r="E35" s="331"/>
      <c r="F35" s="331"/>
      <c r="G35" s="336">
        <f>SUM(G36:G60)</f>
        <v>322</v>
      </c>
      <c r="H35" s="336">
        <f t="shared" ref="H35:K35" si="6">SUM(H36:H60)</f>
        <v>380</v>
      </c>
      <c r="I35" s="336">
        <f t="shared" si="6"/>
        <v>396</v>
      </c>
      <c r="J35" s="336">
        <f t="shared" si="6"/>
        <v>407</v>
      </c>
      <c r="K35" s="336">
        <f t="shared" si="6"/>
        <v>413</v>
      </c>
      <c r="L35" s="336"/>
      <c r="M35" s="336"/>
      <c r="N35" s="336"/>
      <c r="O35" s="336"/>
      <c r="P35" s="336"/>
      <c r="Q35" s="336">
        <f t="shared" ref="Q35:U35" si="7">SUM(Q36:Q60)</f>
        <v>143</v>
      </c>
      <c r="R35" s="336">
        <f t="shared" si="7"/>
        <v>116</v>
      </c>
      <c r="S35" s="336">
        <f t="shared" si="7"/>
        <v>122</v>
      </c>
      <c r="T35" s="336">
        <f t="shared" si="7"/>
        <v>127</v>
      </c>
      <c r="U35" s="336">
        <f t="shared" si="7"/>
        <v>129</v>
      </c>
      <c r="V35" s="343">
        <f>VLOOKUP(B35,'2013년도 용수량 비율'!$A$5:$F$20,6,FALSE)</f>
        <v>0.47</v>
      </c>
      <c r="W35" s="343"/>
    </row>
    <row r="36" spans="1:23" ht="20.100000000000001" customHeight="1">
      <c r="A36" s="340"/>
      <c r="B36" s="339"/>
      <c r="C36" s="406" t="s">
        <v>1467</v>
      </c>
      <c r="D36" s="330" t="s">
        <v>1300</v>
      </c>
      <c r="E36" s="527">
        <f>1-'2.생활용수(채운)'!E7</f>
        <v>0</v>
      </c>
      <c r="F36" s="527" t="s">
        <v>756</v>
      </c>
      <c r="G36" s="302">
        <f>IF($D36="A",ROUND(VLOOKUP($C36,'[2]2.행정구역별 급수인구'!$C$7:$AD$997,17,FALSE)*$E36,0),IF($D36="B",(ROUND(VLOOKUP($C36,'[2]2.행정구역별 급수인구'!$C$7:$AD$997,17,FALSE)-VLOOKUP($C36,'[2]2.행정구역별 급수인구'!$C$7:$AD$997,17,FALSE)*(1-$E36),0)),VLOOKUP($C36,'[2]2.행정구역별 급수인구'!$C$7:$AD$997,17,FALSE)))</f>
        <v>0</v>
      </c>
      <c r="H36" s="302">
        <f>IF($D36="A",ROUND(VLOOKUP($C36,'[2]2.행정구역별 급수인구'!$C$7:$AD$997,25,FALSE)*$E36,0),IF($D36="B",(ROUND(VLOOKUP($C36,'[2]2.행정구역별 급수인구'!$C$7:$AD$997,25,FALSE)-VLOOKUP($C36,'[2]2.행정구역별 급수인구'!$C$7:$AD$997,25,FALSE)*(1-$E36),0)),VLOOKUP($C36,'[2]2.행정구역별 급수인구'!$C$7:$AD$997,25,FALSE)))</f>
        <v>0</v>
      </c>
      <c r="I36" s="302">
        <f>IF($D36="A",ROUND(VLOOKUP($C36,'[2]2.행정구역별 급수인구'!$C$7:$AD$997,26,FALSE)*$E36,0),IF($D36="B",(ROUND(VLOOKUP($C36,'[2]2.행정구역별 급수인구'!$C$7:$AD$997,26,FALSE)-VLOOKUP($C36,'[2]2.행정구역별 급수인구'!$C$7:$AD$997,26,FALSE)*(1-$E36),0)),VLOOKUP($C36,'[2]2.행정구역별 급수인구'!$C$7:$AD$997,26,FALSE)))</f>
        <v>0</v>
      </c>
      <c r="J36" s="302">
        <f>IF($D36="A",ROUND(VLOOKUP($C36,'[2]2.행정구역별 급수인구'!$C$7:$AD$997,27,FALSE)*$E36,0),IF($D36="B",(ROUND(VLOOKUP($C36,'[2]2.행정구역별 급수인구'!$C$7:$AD$997,27,FALSE)-VLOOKUP($C36,'[2]2.행정구역별 급수인구'!$C$7:$AD$997,27,FALSE)*(1-$E36),0)),VLOOKUP($C36,'[2]2.행정구역별 급수인구'!$C$7:$AD$997,27,FALSE)))</f>
        <v>0</v>
      </c>
      <c r="K36" s="302">
        <f>IF($D36="A",ROUND(VLOOKUP($C36,'[2]2.행정구역별 급수인구'!$C$7:$AD$997,28,FALSE)*$E36,0),IF($D36="B",(ROUND(VLOOKUP($C36,'[2]2.행정구역별 급수인구'!$C$7:$AD$997,28,FALSE)-VLOOKUP($C36,'[2]2.행정구역별 급수인구'!$C$7:$AD$997,28,FALSE)*(1-$E36),0)),VLOOKUP($C36,'[2]2.행정구역별 급수인구'!$C$7:$AD$997,28,FALSE)))</f>
        <v>0</v>
      </c>
      <c r="L36" s="302">
        <f>VLOOKUP($F36,'[3]5.급수원단위'!$B$31:$G$35,2,FALSE)</f>
        <v>272</v>
      </c>
      <c r="M36" s="302">
        <f>VLOOKUP($F36,'[3]5.급수원단위'!$B$31:$G$35,3,FALSE)</f>
        <v>304</v>
      </c>
      <c r="N36" s="302">
        <f>VLOOKUP($F36,'[3]5.급수원단위'!$B$31:$G$35,4,FALSE)</f>
        <v>308</v>
      </c>
      <c r="O36" s="302">
        <f>VLOOKUP($F36,'[3]5.급수원단위'!$B$31:$G$35,5,FALSE)</f>
        <v>310</v>
      </c>
      <c r="P36" s="302">
        <f>VLOOKUP($F36,'[3]5.급수원단위'!$B$31:$G$35,6,FALSE)</f>
        <v>310</v>
      </c>
      <c r="Q36" s="302">
        <f>ROUND(IF(G36=0,0,VLOOKUP(C36,'2013실사용량 정리'!$D$6:$F$381,3,FALSE)),0)</f>
        <v>0</v>
      </c>
      <c r="R36" s="302">
        <f>ROUND(H36*M36/1000,0)</f>
        <v>0</v>
      </c>
      <c r="S36" s="302">
        <f>ROUND(I36*N36/1000,0)</f>
        <v>0</v>
      </c>
      <c r="T36" s="302">
        <f>ROUND(J36*O36/1000,0)</f>
        <v>0</v>
      </c>
      <c r="U36" s="302">
        <f>ROUND(K36*P36/1000,0)</f>
        <v>0</v>
      </c>
      <c r="W36" s="343" t="str">
        <f t="shared" si="4"/>
        <v/>
      </c>
    </row>
    <row r="37" spans="1:23" ht="20.100000000000001" customHeight="1">
      <c r="A37" s="340"/>
      <c r="B37" s="340"/>
      <c r="C37" s="406" t="s">
        <v>1468</v>
      </c>
      <c r="D37" s="330" t="s">
        <v>1300</v>
      </c>
      <c r="E37" s="527">
        <f>1-'2.생활용수(채운)'!E8</f>
        <v>0</v>
      </c>
      <c r="F37" s="527" t="s">
        <v>756</v>
      </c>
      <c r="G37" s="302">
        <f>IF($D37="A",ROUND(VLOOKUP($C37,'[2]2.행정구역별 급수인구'!$C$7:$AD$997,17,FALSE)*$E37,0),IF($D37="B",(ROUND(VLOOKUP($C37,'[2]2.행정구역별 급수인구'!$C$7:$AD$997,17,FALSE)-VLOOKUP($C37,'[2]2.행정구역별 급수인구'!$C$7:$AD$997,17,FALSE)*(1-$E37),0)),VLOOKUP($C37,'[2]2.행정구역별 급수인구'!$C$7:$AD$997,17,FALSE)))</f>
        <v>0</v>
      </c>
      <c r="H37" s="302">
        <f>IF($D37="A",ROUND(VLOOKUP($C37,'[2]2.행정구역별 급수인구'!$C$7:$AD$997,25,FALSE)*$E37,0),IF($D37="B",(ROUND(VLOOKUP($C37,'[2]2.행정구역별 급수인구'!$C$7:$AD$997,25,FALSE)-VLOOKUP($C37,'[2]2.행정구역별 급수인구'!$C$7:$AD$997,25,FALSE)*(1-$E37),0)),VLOOKUP($C37,'[2]2.행정구역별 급수인구'!$C$7:$AD$997,25,FALSE)))</f>
        <v>0</v>
      </c>
      <c r="I37" s="302">
        <f>IF($D37="A",ROUND(VLOOKUP($C37,'[2]2.행정구역별 급수인구'!$C$7:$AD$997,26,FALSE)*$E37,0),IF($D37="B",(ROUND(VLOOKUP($C37,'[2]2.행정구역별 급수인구'!$C$7:$AD$997,26,FALSE)-VLOOKUP($C37,'[2]2.행정구역별 급수인구'!$C$7:$AD$997,26,FALSE)*(1-$E37),0)),VLOOKUP($C37,'[2]2.행정구역별 급수인구'!$C$7:$AD$997,26,FALSE)))</f>
        <v>0</v>
      </c>
      <c r="J37" s="302">
        <f>IF($D37="A",ROUND(VLOOKUP($C37,'[2]2.행정구역별 급수인구'!$C$7:$AD$997,27,FALSE)*$E37,0),IF($D37="B",(ROUND(VLOOKUP($C37,'[2]2.행정구역별 급수인구'!$C$7:$AD$997,27,FALSE)-VLOOKUP($C37,'[2]2.행정구역별 급수인구'!$C$7:$AD$997,27,FALSE)*(1-$E37),0)),VLOOKUP($C37,'[2]2.행정구역별 급수인구'!$C$7:$AD$997,27,FALSE)))</f>
        <v>0</v>
      </c>
      <c r="K37" s="302">
        <f>IF($D37="A",ROUND(VLOOKUP($C37,'[2]2.행정구역별 급수인구'!$C$7:$AD$997,28,FALSE)*$E37,0),IF($D37="B",(ROUND(VLOOKUP($C37,'[2]2.행정구역별 급수인구'!$C$7:$AD$997,28,FALSE)-VLOOKUP($C37,'[2]2.행정구역별 급수인구'!$C$7:$AD$997,28,FALSE)*(1-$E37),0)),VLOOKUP($C37,'[2]2.행정구역별 급수인구'!$C$7:$AD$997,28,FALSE)))</f>
        <v>0</v>
      </c>
      <c r="L37" s="302">
        <f>VLOOKUP($F37,'[3]5.급수원단위'!$B$31:$G$35,2,FALSE)</f>
        <v>272</v>
      </c>
      <c r="M37" s="302">
        <f>VLOOKUP($F37,'[3]5.급수원단위'!$B$31:$G$35,3,FALSE)</f>
        <v>304</v>
      </c>
      <c r="N37" s="302">
        <f>VLOOKUP($F37,'[3]5.급수원단위'!$B$31:$G$35,4,FALSE)</f>
        <v>308</v>
      </c>
      <c r="O37" s="302">
        <f>VLOOKUP($F37,'[3]5.급수원단위'!$B$31:$G$35,5,FALSE)</f>
        <v>310</v>
      </c>
      <c r="P37" s="302">
        <f>VLOOKUP($F37,'[3]5.급수원단위'!$B$31:$G$35,6,FALSE)</f>
        <v>310</v>
      </c>
      <c r="Q37" s="302">
        <f>ROUND(IF(G37=0,0,VLOOKUP(C37,'2013실사용량 정리'!$D$6:$F$381,3,FALSE)),0)</f>
        <v>0</v>
      </c>
      <c r="R37" s="302">
        <f t="shared" ref="R37:U52" si="8">ROUND(H37*M37/1000,0)</f>
        <v>0</v>
      </c>
      <c r="S37" s="302">
        <f t="shared" si="8"/>
        <v>0</v>
      </c>
      <c r="T37" s="302">
        <f t="shared" si="8"/>
        <v>0</v>
      </c>
      <c r="U37" s="302">
        <f t="shared" si="8"/>
        <v>0</v>
      </c>
      <c r="W37" s="343" t="str">
        <f t="shared" si="4"/>
        <v/>
      </c>
    </row>
    <row r="38" spans="1:23" ht="20.100000000000001" customHeight="1">
      <c r="A38" s="340"/>
      <c r="B38" s="340"/>
      <c r="C38" s="406" t="s">
        <v>1469</v>
      </c>
      <c r="D38" s="330" t="s">
        <v>1300</v>
      </c>
      <c r="E38" s="527">
        <f>1-'2.생활용수(채운)'!E9</f>
        <v>0</v>
      </c>
      <c r="F38" s="527" t="s">
        <v>756</v>
      </c>
      <c r="G38" s="302">
        <f>IF($D38="A",ROUND(VLOOKUP($C38,'[2]2.행정구역별 급수인구'!$C$7:$AD$997,17,FALSE)*$E38,0),IF($D38="B",(ROUND(VLOOKUP($C38,'[2]2.행정구역별 급수인구'!$C$7:$AD$997,17,FALSE)-VLOOKUP($C38,'[2]2.행정구역별 급수인구'!$C$7:$AD$997,17,FALSE)*(1-$E38),0)),VLOOKUP($C38,'[2]2.행정구역별 급수인구'!$C$7:$AD$997,17,FALSE)))</f>
        <v>0</v>
      </c>
      <c r="H38" s="302">
        <f>IF($D38="A",ROUND(VLOOKUP($C38,'[2]2.행정구역별 급수인구'!$C$7:$AD$997,25,FALSE)*$E38,0),IF($D38="B",(ROUND(VLOOKUP($C38,'[2]2.행정구역별 급수인구'!$C$7:$AD$997,25,FALSE)-VLOOKUP($C38,'[2]2.행정구역별 급수인구'!$C$7:$AD$997,25,FALSE)*(1-$E38),0)),VLOOKUP($C38,'[2]2.행정구역별 급수인구'!$C$7:$AD$997,25,FALSE)))</f>
        <v>0</v>
      </c>
      <c r="I38" s="302">
        <f>IF($D38="A",ROUND(VLOOKUP($C38,'[2]2.행정구역별 급수인구'!$C$7:$AD$997,26,FALSE)*$E38,0),IF($D38="B",(ROUND(VLOOKUP($C38,'[2]2.행정구역별 급수인구'!$C$7:$AD$997,26,FALSE)-VLOOKUP($C38,'[2]2.행정구역별 급수인구'!$C$7:$AD$997,26,FALSE)*(1-$E38),0)),VLOOKUP($C38,'[2]2.행정구역별 급수인구'!$C$7:$AD$997,26,FALSE)))</f>
        <v>0</v>
      </c>
      <c r="J38" s="302">
        <f>IF($D38="A",ROUND(VLOOKUP($C38,'[2]2.행정구역별 급수인구'!$C$7:$AD$997,27,FALSE)*$E38,0),IF($D38="B",(ROUND(VLOOKUP($C38,'[2]2.행정구역별 급수인구'!$C$7:$AD$997,27,FALSE)-VLOOKUP($C38,'[2]2.행정구역별 급수인구'!$C$7:$AD$997,27,FALSE)*(1-$E38),0)),VLOOKUP($C38,'[2]2.행정구역별 급수인구'!$C$7:$AD$997,27,FALSE)))</f>
        <v>0</v>
      </c>
      <c r="K38" s="302">
        <f>IF($D38="A",ROUND(VLOOKUP($C38,'[2]2.행정구역별 급수인구'!$C$7:$AD$997,28,FALSE)*$E38,0),IF($D38="B",(ROUND(VLOOKUP($C38,'[2]2.행정구역별 급수인구'!$C$7:$AD$997,28,FALSE)-VLOOKUP($C38,'[2]2.행정구역별 급수인구'!$C$7:$AD$997,28,FALSE)*(1-$E38),0)),VLOOKUP($C38,'[2]2.행정구역별 급수인구'!$C$7:$AD$997,28,FALSE)))</f>
        <v>0</v>
      </c>
      <c r="L38" s="302">
        <f>VLOOKUP($F38,'[3]5.급수원단위'!$B$31:$G$35,2,FALSE)</f>
        <v>272</v>
      </c>
      <c r="M38" s="302">
        <f>VLOOKUP($F38,'[3]5.급수원단위'!$B$31:$G$35,3,FALSE)</f>
        <v>304</v>
      </c>
      <c r="N38" s="302">
        <f>VLOOKUP($F38,'[3]5.급수원단위'!$B$31:$G$35,4,FALSE)</f>
        <v>308</v>
      </c>
      <c r="O38" s="302">
        <f>VLOOKUP($F38,'[3]5.급수원단위'!$B$31:$G$35,5,FALSE)</f>
        <v>310</v>
      </c>
      <c r="P38" s="302">
        <f>VLOOKUP($F38,'[3]5.급수원단위'!$B$31:$G$35,6,FALSE)</f>
        <v>310</v>
      </c>
      <c r="Q38" s="302">
        <f>ROUND(IF(G38=0,0,VLOOKUP(C38,'2013실사용량 정리'!$D$6:$F$381,3,FALSE)),0)</f>
        <v>0</v>
      </c>
      <c r="R38" s="302">
        <f t="shared" si="8"/>
        <v>0</v>
      </c>
      <c r="S38" s="302">
        <f t="shared" si="8"/>
        <v>0</v>
      </c>
      <c r="T38" s="302">
        <f t="shared" si="8"/>
        <v>0</v>
      </c>
      <c r="U38" s="302">
        <f t="shared" si="8"/>
        <v>0</v>
      </c>
      <c r="W38" s="343" t="str">
        <f t="shared" si="4"/>
        <v/>
      </c>
    </row>
    <row r="39" spans="1:23" ht="20.100000000000001" customHeight="1">
      <c r="A39" s="386"/>
      <c r="B39" s="386"/>
      <c r="C39" s="406" t="s">
        <v>1470</v>
      </c>
      <c r="D39" s="330" t="s">
        <v>1300</v>
      </c>
      <c r="E39" s="527">
        <f>1-'2.생활용수(채운)'!E10</f>
        <v>0</v>
      </c>
      <c r="F39" s="527" t="s">
        <v>756</v>
      </c>
      <c r="G39" s="302">
        <f>IF($D39="A",ROUND(VLOOKUP($C39,'[2]2.행정구역별 급수인구'!$C$7:$AD$997,17,FALSE)*$E39,0),IF($D39="B",(ROUND(VLOOKUP($C39,'[2]2.행정구역별 급수인구'!$C$7:$AD$997,17,FALSE)-VLOOKUP($C39,'[2]2.행정구역별 급수인구'!$C$7:$AD$997,17,FALSE)*(1-$E39),0)),VLOOKUP($C39,'[2]2.행정구역별 급수인구'!$C$7:$AD$997,17,FALSE)))</f>
        <v>0</v>
      </c>
      <c r="H39" s="302">
        <f>IF($D39="A",ROUND(VLOOKUP($C39,'[2]2.행정구역별 급수인구'!$C$7:$AD$997,25,FALSE)*$E39,0),IF($D39="B",(ROUND(VLOOKUP($C39,'[2]2.행정구역별 급수인구'!$C$7:$AD$997,25,FALSE)-VLOOKUP($C39,'[2]2.행정구역별 급수인구'!$C$7:$AD$997,25,FALSE)*(1-$E39),0)),VLOOKUP($C39,'[2]2.행정구역별 급수인구'!$C$7:$AD$997,25,FALSE)))</f>
        <v>0</v>
      </c>
      <c r="I39" s="302">
        <f>IF($D39="A",ROUND(VLOOKUP($C39,'[2]2.행정구역별 급수인구'!$C$7:$AD$997,26,FALSE)*$E39,0),IF($D39="B",(ROUND(VLOOKUP($C39,'[2]2.행정구역별 급수인구'!$C$7:$AD$997,26,FALSE)-VLOOKUP($C39,'[2]2.행정구역별 급수인구'!$C$7:$AD$997,26,FALSE)*(1-$E39),0)),VLOOKUP($C39,'[2]2.행정구역별 급수인구'!$C$7:$AD$997,26,FALSE)))</f>
        <v>0</v>
      </c>
      <c r="J39" s="302">
        <f>IF($D39="A",ROUND(VLOOKUP($C39,'[2]2.행정구역별 급수인구'!$C$7:$AD$997,27,FALSE)*$E39,0),IF($D39="B",(ROUND(VLOOKUP($C39,'[2]2.행정구역별 급수인구'!$C$7:$AD$997,27,FALSE)-VLOOKUP($C39,'[2]2.행정구역별 급수인구'!$C$7:$AD$997,27,FALSE)*(1-$E39),0)),VLOOKUP($C39,'[2]2.행정구역별 급수인구'!$C$7:$AD$997,27,FALSE)))</f>
        <v>0</v>
      </c>
      <c r="K39" s="302">
        <f>IF($D39="A",ROUND(VLOOKUP($C39,'[2]2.행정구역별 급수인구'!$C$7:$AD$997,28,FALSE)*$E39,0),IF($D39="B",(ROUND(VLOOKUP($C39,'[2]2.행정구역별 급수인구'!$C$7:$AD$997,28,FALSE)-VLOOKUP($C39,'[2]2.행정구역별 급수인구'!$C$7:$AD$997,28,FALSE)*(1-$E39),0)),VLOOKUP($C39,'[2]2.행정구역별 급수인구'!$C$7:$AD$997,28,FALSE)))</f>
        <v>0</v>
      </c>
      <c r="L39" s="302">
        <f>VLOOKUP($F39,'[3]5.급수원단위'!$B$31:$G$35,2,FALSE)</f>
        <v>272</v>
      </c>
      <c r="M39" s="302">
        <f>VLOOKUP($F39,'[3]5.급수원단위'!$B$31:$G$35,3,FALSE)</f>
        <v>304</v>
      </c>
      <c r="N39" s="302">
        <f>VLOOKUP($F39,'[3]5.급수원단위'!$B$31:$G$35,4,FALSE)</f>
        <v>308</v>
      </c>
      <c r="O39" s="302">
        <f>VLOOKUP($F39,'[3]5.급수원단위'!$B$31:$G$35,5,FALSE)</f>
        <v>310</v>
      </c>
      <c r="P39" s="302">
        <f>VLOOKUP($F39,'[3]5.급수원단위'!$B$31:$G$35,6,FALSE)</f>
        <v>310</v>
      </c>
      <c r="Q39" s="302">
        <f>ROUND(IF(G39=0,0,VLOOKUP(C39,'2013실사용량 정리'!$D$6:$F$381,3,FALSE)),0)</f>
        <v>0</v>
      </c>
      <c r="R39" s="302">
        <f t="shared" si="8"/>
        <v>0</v>
      </c>
      <c r="S39" s="302">
        <f t="shared" si="8"/>
        <v>0</v>
      </c>
      <c r="T39" s="302">
        <f t="shared" si="8"/>
        <v>0</v>
      </c>
      <c r="U39" s="302">
        <f t="shared" si="8"/>
        <v>0</v>
      </c>
      <c r="W39" s="343" t="str">
        <f t="shared" si="4"/>
        <v/>
      </c>
    </row>
    <row r="40" spans="1:23" ht="20.100000000000001" customHeight="1">
      <c r="A40" s="339"/>
      <c r="B40" s="339"/>
      <c r="C40" s="406" t="s">
        <v>1471</v>
      </c>
      <c r="D40" s="330" t="s">
        <v>1300</v>
      </c>
      <c r="E40" s="527">
        <f>1-'2.생활용수(채운)'!E11</f>
        <v>0</v>
      </c>
      <c r="F40" s="527" t="s">
        <v>756</v>
      </c>
      <c r="G40" s="302">
        <f>IF($D40="A",ROUND(VLOOKUP($C40,'[2]2.행정구역별 급수인구'!$C$7:$AD$997,17,FALSE)*$E40,0),IF($D40="B",(ROUND(VLOOKUP($C40,'[2]2.행정구역별 급수인구'!$C$7:$AD$997,17,FALSE)-VLOOKUP($C40,'[2]2.행정구역별 급수인구'!$C$7:$AD$997,17,FALSE)*(1-$E40),0)),VLOOKUP($C40,'[2]2.행정구역별 급수인구'!$C$7:$AD$997,17,FALSE)))</f>
        <v>0</v>
      </c>
      <c r="H40" s="302">
        <f>IF($D40="A",ROUND(VLOOKUP($C40,'[2]2.행정구역별 급수인구'!$C$7:$AD$997,25,FALSE)*$E40,0),IF($D40="B",(ROUND(VLOOKUP($C40,'[2]2.행정구역별 급수인구'!$C$7:$AD$997,25,FALSE)-VLOOKUP($C40,'[2]2.행정구역별 급수인구'!$C$7:$AD$997,25,FALSE)*(1-$E40),0)),VLOOKUP($C40,'[2]2.행정구역별 급수인구'!$C$7:$AD$997,25,FALSE)))</f>
        <v>0</v>
      </c>
      <c r="I40" s="302">
        <f>IF($D40="A",ROUND(VLOOKUP($C40,'[2]2.행정구역별 급수인구'!$C$7:$AD$997,26,FALSE)*$E40,0),IF($D40="B",(ROUND(VLOOKUP($C40,'[2]2.행정구역별 급수인구'!$C$7:$AD$997,26,FALSE)-VLOOKUP($C40,'[2]2.행정구역별 급수인구'!$C$7:$AD$997,26,FALSE)*(1-$E40),0)),VLOOKUP($C40,'[2]2.행정구역별 급수인구'!$C$7:$AD$997,26,FALSE)))</f>
        <v>0</v>
      </c>
      <c r="J40" s="302">
        <f>IF($D40="A",ROUND(VLOOKUP($C40,'[2]2.행정구역별 급수인구'!$C$7:$AD$997,27,FALSE)*$E40,0),IF($D40="B",(ROUND(VLOOKUP($C40,'[2]2.행정구역별 급수인구'!$C$7:$AD$997,27,FALSE)-VLOOKUP($C40,'[2]2.행정구역별 급수인구'!$C$7:$AD$997,27,FALSE)*(1-$E40),0)),VLOOKUP($C40,'[2]2.행정구역별 급수인구'!$C$7:$AD$997,27,FALSE)))</f>
        <v>0</v>
      </c>
      <c r="K40" s="302">
        <f>IF($D40="A",ROUND(VLOOKUP($C40,'[2]2.행정구역별 급수인구'!$C$7:$AD$997,28,FALSE)*$E40,0),IF($D40="B",(ROUND(VLOOKUP($C40,'[2]2.행정구역별 급수인구'!$C$7:$AD$997,28,FALSE)-VLOOKUP($C40,'[2]2.행정구역별 급수인구'!$C$7:$AD$997,28,FALSE)*(1-$E40),0)),VLOOKUP($C40,'[2]2.행정구역별 급수인구'!$C$7:$AD$997,28,FALSE)))</f>
        <v>0</v>
      </c>
      <c r="L40" s="302">
        <f>VLOOKUP($F40,'[3]5.급수원단위'!$B$31:$G$35,2,FALSE)</f>
        <v>272</v>
      </c>
      <c r="M40" s="302">
        <f>VLOOKUP($F40,'[3]5.급수원단위'!$B$31:$G$35,3,FALSE)</f>
        <v>304</v>
      </c>
      <c r="N40" s="302">
        <f>VLOOKUP($F40,'[3]5.급수원단위'!$B$31:$G$35,4,FALSE)</f>
        <v>308</v>
      </c>
      <c r="O40" s="302">
        <f>VLOOKUP($F40,'[3]5.급수원단위'!$B$31:$G$35,5,FALSE)</f>
        <v>310</v>
      </c>
      <c r="P40" s="302">
        <f>VLOOKUP($F40,'[3]5.급수원단위'!$B$31:$G$35,6,FALSE)</f>
        <v>310</v>
      </c>
      <c r="Q40" s="302">
        <f>ROUND(IF(G40=0,0,VLOOKUP(C40,'2013실사용량 정리'!$D$6:$F$381,3,FALSE)),0)</f>
        <v>0</v>
      </c>
      <c r="R40" s="302">
        <f t="shared" si="8"/>
        <v>0</v>
      </c>
      <c r="S40" s="302">
        <f t="shared" si="8"/>
        <v>0</v>
      </c>
      <c r="T40" s="302">
        <f t="shared" si="8"/>
        <v>0</v>
      </c>
      <c r="U40" s="302">
        <f t="shared" si="8"/>
        <v>0</v>
      </c>
      <c r="W40" s="343" t="str">
        <f t="shared" si="4"/>
        <v/>
      </c>
    </row>
    <row r="41" spans="1:23" ht="20.100000000000001" customHeight="1">
      <c r="A41" s="340"/>
      <c r="B41" s="340"/>
      <c r="C41" s="406" t="s">
        <v>1472</v>
      </c>
      <c r="D41" s="330" t="s">
        <v>1300</v>
      </c>
      <c r="E41" s="527">
        <f>1-'2.생활용수(채운)'!E12</f>
        <v>0</v>
      </c>
      <c r="F41" s="527" t="s">
        <v>756</v>
      </c>
      <c r="G41" s="302">
        <f>IF($D41="A",ROUND(VLOOKUP($C41,'[2]2.행정구역별 급수인구'!$C$7:$AD$997,17,FALSE)*$E41,0),IF($D41="B",(ROUND(VLOOKUP($C41,'[2]2.행정구역별 급수인구'!$C$7:$AD$997,17,FALSE)-VLOOKUP($C41,'[2]2.행정구역별 급수인구'!$C$7:$AD$997,17,FALSE)*(1-$E41),0)),VLOOKUP($C41,'[2]2.행정구역별 급수인구'!$C$7:$AD$997,17,FALSE)))</f>
        <v>0</v>
      </c>
      <c r="H41" s="302">
        <f>IF($D41="A",ROUND(VLOOKUP($C41,'[2]2.행정구역별 급수인구'!$C$7:$AD$997,25,FALSE)*$E41,0),IF($D41="B",(ROUND(VLOOKUP($C41,'[2]2.행정구역별 급수인구'!$C$7:$AD$997,25,FALSE)-VLOOKUP($C41,'[2]2.행정구역별 급수인구'!$C$7:$AD$997,25,FALSE)*(1-$E41),0)),VLOOKUP($C41,'[2]2.행정구역별 급수인구'!$C$7:$AD$997,25,FALSE)))</f>
        <v>0</v>
      </c>
      <c r="I41" s="302">
        <f>IF($D41="A",ROUND(VLOOKUP($C41,'[2]2.행정구역별 급수인구'!$C$7:$AD$997,26,FALSE)*$E41,0),IF($D41="B",(ROUND(VLOOKUP($C41,'[2]2.행정구역별 급수인구'!$C$7:$AD$997,26,FALSE)-VLOOKUP($C41,'[2]2.행정구역별 급수인구'!$C$7:$AD$997,26,FALSE)*(1-$E41),0)),VLOOKUP($C41,'[2]2.행정구역별 급수인구'!$C$7:$AD$997,26,FALSE)))</f>
        <v>0</v>
      </c>
      <c r="J41" s="302">
        <f>IF($D41="A",ROUND(VLOOKUP($C41,'[2]2.행정구역별 급수인구'!$C$7:$AD$997,27,FALSE)*$E41,0),IF($D41="B",(ROUND(VLOOKUP($C41,'[2]2.행정구역별 급수인구'!$C$7:$AD$997,27,FALSE)-VLOOKUP($C41,'[2]2.행정구역별 급수인구'!$C$7:$AD$997,27,FALSE)*(1-$E41),0)),VLOOKUP($C41,'[2]2.행정구역별 급수인구'!$C$7:$AD$997,27,FALSE)))</f>
        <v>0</v>
      </c>
      <c r="K41" s="302">
        <f>IF($D41="A",ROUND(VLOOKUP($C41,'[2]2.행정구역별 급수인구'!$C$7:$AD$997,28,FALSE)*$E41,0),IF($D41="B",(ROUND(VLOOKUP($C41,'[2]2.행정구역별 급수인구'!$C$7:$AD$997,28,FALSE)-VLOOKUP($C41,'[2]2.행정구역별 급수인구'!$C$7:$AD$997,28,FALSE)*(1-$E41),0)),VLOOKUP($C41,'[2]2.행정구역별 급수인구'!$C$7:$AD$997,28,FALSE)))</f>
        <v>0</v>
      </c>
      <c r="L41" s="302">
        <f>VLOOKUP($F41,'[3]5.급수원단위'!$B$31:$G$35,2,FALSE)</f>
        <v>272</v>
      </c>
      <c r="M41" s="302">
        <f>VLOOKUP($F41,'[3]5.급수원단위'!$B$31:$G$35,3,FALSE)</f>
        <v>304</v>
      </c>
      <c r="N41" s="302">
        <f>VLOOKUP($F41,'[3]5.급수원단위'!$B$31:$G$35,4,FALSE)</f>
        <v>308</v>
      </c>
      <c r="O41" s="302">
        <f>VLOOKUP($F41,'[3]5.급수원단위'!$B$31:$G$35,5,FALSE)</f>
        <v>310</v>
      </c>
      <c r="P41" s="302">
        <f>VLOOKUP($F41,'[3]5.급수원단위'!$B$31:$G$35,6,FALSE)</f>
        <v>310</v>
      </c>
      <c r="Q41" s="302">
        <f>ROUND(IF(G41=0,0,VLOOKUP(C41,'2013실사용량 정리'!$D$6:$F$381,3,FALSE)),0)</f>
        <v>0</v>
      </c>
      <c r="R41" s="302">
        <f t="shared" si="8"/>
        <v>0</v>
      </c>
      <c r="S41" s="302">
        <f t="shared" si="8"/>
        <v>0</v>
      </c>
      <c r="T41" s="302">
        <f t="shared" si="8"/>
        <v>0</v>
      </c>
      <c r="U41" s="302">
        <f t="shared" si="8"/>
        <v>0</v>
      </c>
      <c r="W41" s="343" t="str">
        <f t="shared" si="4"/>
        <v/>
      </c>
    </row>
    <row r="42" spans="1:23" ht="20.100000000000001" customHeight="1">
      <c r="A42" s="340"/>
      <c r="B42" s="340"/>
      <c r="C42" s="406" t="s">
        <v>1473</v>
      </c>
      <c r="D42" s="330" t="s">
        <v>1300</v>
      </c>
      <c r="E42" s="527">
        <f>1-'2.생활용수(채운)'!E13</f>
        <v>0</v>
      </c>
      <c r="F42" s="527" t="s">
        <v>756</v>
      </c>
      <c r="G42" s="302">
        <f>IF($D42="A",ROUND(VLOOKUP($C42,'[2]2.행정구역별 급수인구'!$C$7:$AD$997,17,FALSE)*$E42,0),IF($D42="B",(ROUND(VLOOKUP($C42,'[2]2.행정구역별 급수인구'!$C$7:$AD$997,17,FALSE)-VLOOKUP($C42,'[2]2.행정구역별 급수인구'!$C$7:$AD$997,17,FALSE)*(1-$E42),0)),VLOOKUP($C42,'[2]2.행정구역별 급수인구'!$C$7:$AD$997,17,FALSE)))</f>
        <v>0</v>
      </c>
      <c r="H42" s="302">
        <f>IF($D42="A",ROUND(VLOOKUP($C42,'[2]2.행정구역별 급수인구'!$C$7:$AD$997,25,FALSE)*$E42,0),IF($D42="B",(ROUND(VLOOKUP($C42,'[2]2.행정구역별 급수인구'!$C$7:$AD$997,25,FALSE)-VLOOKUP($C42,'[2]2.행정구역별 급수인구'!$C$7:$AD$997,25,FALSE)*(1-$E42),0)),VLOOKUP($C42,'[2]2.행정구역별 급수인구'!$C$7:$AD$997,25,FALSE)))</f>
        <v>0</v>
      </c>
      <c r="I42" s="302">
        <f>IF($D42="A",ROUND(VLOOKUP($C42,'[2]2.행정구역별 급수인구'!$C$7:$AD$997,26,FALSE)*$E42,0),IF($D42="B",(ROUND(VLOOKUP($C42,'[2]2.행정구역별 급수인구'!$C$7:$AD$997,26,FALSE)-VLOOKUP($C42,'[2]2.행정구역별 급수인구'!$C$7:$AD$997,26,FALSE)*(1-$E42),0)),VLOOKUP($C42,'[2]2.행정구역별 급수인구'!$C$7:$AD$997,26,FALSE)))</f>
        <v>0</v>
      </c>
      <c r="J42" s="302">
        <f>IF($D42="A",ROUND(VLOOKUP($C42,'[2]2.행정구역별 급수인구'!$C$7:$AD$997,27,FALSE)*$E42,0),IF($D42="B",(ROUND(VLOOKUP($C42,'[2]2.행정구역별 급수인구'!$C$7:$AD$997,27,FALSE)-VLOOKUP($C42,'[2]2.행정구역별 급수인구'!$C$7:$AD$997,27,FALSE)*(1-$E42),0)),VLOOKUP($C42,'[2]2.행정구역별 급수인구'!$C$7:$AD$997,27,FALSE)))</f>
        <v>0</v>
      </c>
      <c r="K42" s="302">
        <f>IF($D42="A",ROUND(VLOOKUP($C42,'[2]2.행정구역별 급수인구'!$C$7:$AD$997,28,FALSE)*$E42,0),IF($D42="B",(ROUND(VLOOKUP($C42,'[2]2.행정구역별 급수인구'!$C$7:$AD$997,28,FALSE)-VLOOKUP($C42,'[2]2.행정구역별 급수인구'!$C$7:$AD$997,28,FALSE)*(1-$E42),0)),VLOOKUP($C42,'[2]2.행정구역별 급수인구'!$C$7:$AD$997,28,FALSE)))</f>
        <v>0</v>
      </c>
      <c r="L42" s="302">
        <f>VLOOKUP($F42,'[3]5.급수원단위'!$B$31:$G$35,2,FALSE)</f>
        <v>272</v>
      </c>
      <c r="M42" s="302">
        <f>VLOOKUP($F42,'[3]5.급수원단위'!$B$31:$G$35,3,FALSE)</f>
        <v>304</v>
      </c>
      <c r="N42" s="302">
        <f>VLOOKUP($F42,'[3]5.급수원단위'!$B$31:$G$35,4,FALSE)</f>
        <v>308</v>
      </c>
      <c r="O42" s="302">
        <f>VLOOKUP($F42,'[3]5.급수원단위'!$B$31:$G$35,5,FALSE)</f>
        <v>310</v>
      </c>
      <c r="P42" s="302">
        <f>VLOOKUP($F42,'[3]5.급수원단위'!$B$31:$G$35,6,FALSE)</f>
        <v>310</v>
      </c>
      <c r="Q42" s="302">
        <f>ROUND(IF(G42=0,0,VLOOKUP(C42,'2013실사용량 정리'!$D$6:$F$381,3,FALSE)),0)</f>
        <v>0</v>
      </c>
      <c r="R42" s="302">
        <f t="shared" si="8"/>
        <v>0</v>
      </c>
      <c r="S42" s="302">
        <f t="shared" si="8"/>
        <v>0</v>
      </c>
      <c r="T42" s="302">
        <f t="shared" si="8"/>
        <v>0</v>
      </c>
      <c r="U42" s="302">
        <f t="shared" si="8"/>
        <v>0</v>
      </c>
      <c r="W42" s="343" t="str">
        <f t="shared" si="4"/>
        <v/>
      </c>
    </row>
    <row r="43" spans="1:23" ht="20.100000000000001" customHeight="1">
      <c r="A43" s="340"/>
      <c r="B43" s="340"/>
      <c r="C43" s="406" t="s">
        <v>1474</v>
      </c>
      <c r="D43" s="330" t="s">
        <v>1300</v>
      </c>
      <c r="E43" s="527">
        <f>1-'2.생활용수(채운)'!E14</f>
        <v>0</v>
      </c>
      <c r="F43" s="527" t="s">
        <v>756</v>
      </c>
      <c r="G43" s="302">
        <f>IF($D43="A",ROUND(VLOOKUP($C43,'[2]2.행정구역별 급수인구'!$C$7:$AD$997,17,FALSE)*$E43,0),IF($D43="B",(ROUND(VLOOKUP($C43,'[2]2.행정구역별 급수인구'!$C$7:$AD$997,17,FALSE)-VLOOKUP($C43,'[2]2.행정구역별 급수인구'!$C$7:$AD$997,17,FALSE)*(1-$E43),0)),VLOOKUP($C43,'[2]2.행정구역별 급수인구'!$C$7:$AD$997,17,FALSE)))</f>
        <v>0</v>
      </c>
      <c r="H43" s="302">
        <f>IF($D43="A",ROUND(VLOOKUP($C43,'[2]2.행정구역별 급수인구'!$C$7:$AD$997,25,FALSE)*$E43,0),IF($D43="B",(ROUND(VLOOKUP($C43,'[2]2.행정구역별 급수인구'!$C$7:$AD$997,25,FALSE)-VLOOKUP($C43,'[2]2.행정구역별 급수인구'!$C$7:$AD$997,25,FALSE)*(1-$E43),0)),VLOOKUP($C43,'[2]2.행정구역별 급수인구'!$C$7:$AD$997,25,FALSE)))</f>
        <v>0</v>
      </c>
      <c r="I43" s="302">
        <f>IF($D43="A",ROUND(VLOOKUP($C43,'[2]2.행정구역별 급수인구'!$C$7:$AD$997,26,FALSE)*$E43,0),IF($D43="B",(ROUND(VLOOKUP($C43,'[2]2.행정구역별 급수인구'!$C$7:$AD$997,26,FALSE)-VLOOKUP($C43,'[2]2.행정구역별 급수인구'!$C$7:$AD$997,26,FALSE)*(1-$E43),0)),VLOOKUP($C43,'[2]2.행정구역별 급수인구'!$C$7:$AD$997,26,FALSE)))</f>
        <v>0</v>
      </c>
      <c r="J43" s="302">
        <f>IF($D43="A",ROUND(VLOOKUP($C43,'[2]2.행정구역별 급수인구'!$C$7:$AD$997,27,FALSE)*$E43,0),IF($D43="B",(ROUND(VLOOKUP($C43,'[2]2.행정구역별 급수인구'!$C$7:$AD$997,27,FALSE)-VLOOKUP($C43,'[2]2.행정구역별 급수인구'!$C$7:$AD$997,27,FALSE)*(1-$E43),0)),VLOOKUP($C43,'[2]2.행정구역별 급수인구'!$C$7:$AD$997,27,FALSE)))</f>
        <v>0</v>
      </c>
      <c r="K43" s="302">
        <f>IF($D43="A",ROUND(VLOOKUP($C43,'[2]2.행정구역별 급수인구'!$C$7:$AD$997,28,FALSE)*$E43,0),IF($D43="B",(ROUND(VLOOKUP($C43,'[2]2.행정구역별 급수인구'!$C$7:$AD$997,28,FALSE)-VLOOKUP($C43,'[2]2.행정구역별 급수인구'!$C$7:$AD$997,28,FALSE)*(1-$E43),0)),VLOOKUP($C43,'[2]2.행정구역별 급수인구'!$C$7:$AD$997,28,FALSE)))</f>
        <v>0</v>
      </c>
      <c r="L43" s="302">
        <f>VLOOKUP($F43,'[3]5.급수원단위'!$B$31:$G$35,2,FALSE)</f>
        <v>272</v>
      </c>
      <c r="M43" s="302">
        <f>VLOOKUP($F43,'[3]5.급수원단위'!$B$31:$G$35,3,FALSE)</f>
        <v>304</v>
      </c>
      <c r="N43" s="302">
        <f>VLOOKUP($F43,'[3]5.급수원단위'!$B$31:$G$35,4,FALSE)</f>
        <v>308</v>
      </c>
      <c r="O43" s="302">
        <f>VLOOKUP($F43,'[3]5.급수원단위'!$B$31:$G$35,5,FALSE)</f>
        <v>310</v>
      </c>
      <c r="P43" s="302">
        <f>VLOOKUP($F43,'[3]5.급수원단위'!$B$31:$G$35,6,FALSE)</f>
        <v>310</v>
      </c>
      <c r="Q43" s="302">
        <f>ROUND(IF(G43=0,0,VLOOKUP(C43,'2013실사용량 정리'!$D$6:$F$381,3,FALSE)),0)</f>
        <v>0</v>
      </c>
      <c r="R43" s="302">
        <f t="shared" si="8"/>
        <v>0</v>
      </c>
      <c r="S43" s="302">
        <f t="shared" si="8"/>
        <v>0</v>
      </c>
      <c r="T43" s="302">
        <f t="shared" si="8"/>
        <v>0</v>
      </c>
      <c r="U43" s="302">
        <f t="shared" si="8"/>
        <v>0</v>
      </c>
      <c r="W43" s="343" t="str">
        <f t="shared" si="4"/>
        <v/>
      </c>
    </row>
    <row r="44" spans="1:23" ht="20.100000000000001" customHeight="1">
      <c r="A44" s="340"/>
      <c r="B44" s="340"/>
      <c r="C44" s="406" t="s">
        <v>1475</v>
      </c>
      <c r="D44" s="330" t="s">
        <v>1300</v>
      </c>
      <c r="E44" s="527">
        <f>1-'2.생활용수(채운)'!E15</f>
        <v>0</v>
      </c>
      <c r="F44" s="527" t="s">
        <v>756</v>
      </c>
      <c r="G44" s="302">
        <f>IF($D44="A",ROUND(VLOOKUP($C44,'[2]2.행정구역별 급수인구'!$C$7:$AD$997,17,FALSE)*$E44,0),IF($D44="B",(ROUND(VLOOKUP($C44,'[2]2.행정구역별 급수인구'!$C$7:$AD$997,17,FALSE)-VLOOKUP($C44,'[2]2.행정구역별 급수인구'!$C$7:$AD$997,17,FALSE)*(1-$E44),0)),VLOOKUP($C44,'[2]2.행정구역별 급수인구'!$C$7:$AD$997,17,FALSE)))</f>
        <v>0</v>
      </c>
      <c r="H44" s="302">
        <f>IF($D44="A",ROUND(VLOOKUP($C44,'[2]2.행정구역별 급수인구'!$C$7:$AD$997,25,FALSE)*$E44,0),IF($D44="B",(ROUND(VLOOKUP($C44,'[2]2.행정구역별 급수인구'!$C$7:$AD$997,25,FALSE)-VLOOKUP($C44,'[2]2.행정구역별 급수인구'!$C$7:$AD$997,25,FALSE)*(1-$E44),0)),VLOOKUP($C44,'[2]2.행정구역별 급수인구'!$C$7:$AD$997,25,FALSE)))</f>
        <v>0</v>
      </c>
      <c r="I44" s="302">
        <f>IF($D44="A",ROUND(VLOOKUP($C44,'[2]2.행정구역별 급수인구'!$C$7:$AD$997,26,FALSE)*$E44,0),IF($D44="B",(ROUND(VLOOKUP($C44,'[2]2.행정구역별 급수인구'!$C$7:$AD$997,26,FALSE)-VLOOKUP($C44,'[2]2.행정구역별 급수인구'!$C$7:$AD$997,26,FALSE)*(1-$E44),0)),VLOOKUP($C44,'[2]2.행정구역별 급수인구'!$C$7:$AD$997,26,FALSE)))</f>
        <v>0</v>
      </c>
      <c r="J44" s="302">
        <f>IF($D44="A",ROUND(VLOOKUP($C44,'[2]2.행정구역별 급수인구'!$C$7:$AD$997,27,FALSE)*$E44,0),IF($D44="B",(ROUND(VLOOKUP($C44,'[2]2.행정구역별 급수인구'!$C$7:$AD$997,27,FALSE)-VLOOKUP($C44,'[2]2.행정구역별 급수인구'!$C$7:$AD$997,27,FALSE)*(1-$E44),0)),VLOOKUP($C44,'[2]2.행정구역별 급수인구'!$C$7:$AD$997,27,FALSE)))</f>
        <v>0</v>
      </c>
      <c r="K44" s="302">
        <f>IF($D44="A",ROUND(VLOOKUP($C44,'[2]2.행정구역별 급수인구'!$C$7:$AD$997,28,FALSE)*$E44,0),IF($D44="B",(ROUND(VLOOKUP($C44,'[2]2.행정구역별 급수인구'!$C$7:$AD$997,28,FALSE)-VLOOKUP($C44,'[2]2.행정구역별 급수인구'!$C$7:$AD$997,28,FALSE)*(1-$E44),0)),VLOOKUP($C44,'[2]2.행정구역별 급수인구'!$C$7:$AD$997,28,FALSE)))</f>
        <v>0</v>
      </c>
      <c r="L44" s="302">
        <f>VLOOKUP($F44,'[3]5.급수원단위'!$B$31:$G$35,2,FALSE)</f>
        <v>272</v>
      </c>
      <c r="M44" s="302">
        <f>VLOOKUP($F44,'[3]5.급수원단위'!$B$31:$G$35,3,FALSE)</f>
        <v>304</v>
      </c>
      <c r="N44" s="302">
        <f>VLOOKUP($F44,'[3]5.급수원단위'!$B$31:$G$35,4,FALSE)</f>
        <v>308</v>
      </c>
      <c r="O44" s="302">
        <f>VLOOKUP($F44,'[3]5.급수원단위'!$B$31:$G$35,5,FALSE)</f>
        <v>310</v>
      </c>
      <c r="P44" s="302">
        <f>VLOOKUP($F44,'[3]5.급수원단위'!$B$31:$G$35,6,FALSE)</f>
        <v>310</v>
      </c>
      <c r="Q44" s="302">
        <f>ROUND(IF(G44=0,0,VLOOKUP(C44,'2013실사용량 정리'!$D$6:$F$381,3,FALSE)),0)</f>
        <v>0</v>
      </c>
      <c r="R44" s="302">
        <f t="shared" si="8"/>
        <v>0</v>
      </c>
      <c r="S44" s="302">
        <f t="shared" si="8"/>
        <v>0</v>
      </c>
      <c r="T44" s="302">
        <f t="shared" si="8"/>
        <v>0</v>
      </c>
      <c r="U44" s="302">
        <f t="shared" si="8"/>
        <v>0</v>
      </c>
      <c r="W44" s="343" t="str">
        <f t="shared" si="4"/>
        <v/>
      </c>
    </row>
    <row r="45" spans="1:23" ht="20.100000000000001" customHeight="1">
      <c r="A45" s="419"/>
      <c r="B45" s="340"/>
      <c r="C45" s="406" t="s">
        <v>1476</v>
      </c>
      <c r="D45" s="330" t="s">
        <v>1300</v>
      </c>
      <c r="E45" s="527">
        <f>1-'2.생활용수(채운)'!E16</f>
        <v>0</v>
      </c>
      <c r="F45" s="527" t="s">
        <v>756</v>
      </c>
      <c r="G45" s="302">
        <f>IF($D45="A",ROUND(VLOOKUP($C45,'[2]2.행정구역별 급수인구'!$C$7:$AD$997,17,FALSE)*$E45,0),IF($D45="B",(ROUND(VLOOKUP($C45,'[2]2.행정구역별 급수인구'!$C$7:$AD$997,17,FALSE)-VLOOKUP($C45,'[2]2.행정구역별 급수인구'!$C$7:$AD$997,17,FALSE)*(1-$E45),0)),VLOOKUP($C45,'[2]2.행정구역별 급수인구'!$C$7:$AD$997,17,FALSE)))</f>
        <v>0</v>
      </c>
      <c r="H45" s="302">
        <f>IF($D45="A",ROUND(VLOOKUP($C45,'[2]2.행정구역별 급수인구'!$C$7:$AD$997,25,FALSE)*$E45,0),IF($D45="B",(ROUND(VLOOKUP($C45,'[2]2.행정구역별 급수인구'!$C$7:$AD$997,25,FALSE)-VLOOKUP($C45,'[2]2.행정구역별 급수인구'!$C$7:$AD$997,25,FALSE)*(1-$E45),0)),VLOOKUP($C45,'[2]2.행정구역별 급수인구'!$C$7:$AD$997,25,FALSE)))</f>
        <v>0</v>
      </c>
      <c r="I45" s="302">
        <f>IF($D45="A",ROUND(VLOOKUP($C45,'[2]2.행정구역별 급수인구'!$C$7:$AD$997,26,FALSE)*$E45,0),IF($D45="B",(ROUND(VLOOKUP($C45,'[2]2.행정구역별 급수인구'!$C$7:$AD$997,26,FALSE)-VLOOKUP($C45,'[2]2.행정구역별 급수인구'!$C$7:$AD$997,26,FALSE)*(1-$E45),0)),VLOOKUP($C45,'[2]2.행정구역별 급수인구'!$C$7:$AD$997,26,FALSE)))</f>
        <v>0</v>
      </c>
      <c r="J45" s="302">
        <f>IF($D45="A",ROUND(VLOOKUP($C45,'[2]2.행정구역별 급수인구'!$C$7:$AD$997,27,FALSE)*$E45,0),IF($D45="B",(ROUND(VLOOKUP($C45,'[2]2.행정구역별 급수인구'!$C$7:$AD$997,27,FALSE)-VLOOKUP($C45,'[2]2.행정구역별 급수인구'!$C$7:$AD$997,27,FALSE)*(1-$E45),0)),VLOOKUP($C45,'[2]2.행정구역별 급수인구'!$C$7:$AD$997,27,FALSE)))</f>
        <v>0</v>
      </c>
      <c r="K45" s="302">
        <f>IF($D45="A",ROUND(VLOOKUP($C45,'[2]2.행정구역별 급수인구'!$C$7:$AD$997,28,FALSE)*$E45,0),IF($D45="B",(ROUND(VLOOKUP($C45,'[2]2.행정구역별 급수인구'!$C$7:$AD$997,28,FALSE)-VLOOKUP($C45,'[2]2.행정구역별 급수인구'!$C$7:$AD$997,28,FALSE)*(1-$E45),0)),VLOOKUP($C45,'[2]2.행정구역별 급수인구'!$C$7:$AD$997,28,FALSE)))</f>
        <v>0</v>
      </c>
      <c r="L45" s="302">
        <f>VLOOKUP($F45,'[3]5.급수원단위'!$B$31:$G$35,2,FALSE)</f>
        <v>272</v>
      </c>
      <c r="M45" s="302">
        <f>VLOOKUP($F45,'[3]5.급수원단위'!$B$31:$G$35,3,FALSE)</f>
        <v>304</v>
      </c>
      <c r="N45" s="302">
        <f>VLOOKUP($F45,'[3]5.급수원단위'!$B$31:$G$35,4,FALSE)</f>
        <v>308</v>
      </c>
      <c r="O45" s="302">
        <f>VLOOKUP($F45,'[3]5.급수원단위'!$B$31:$G$35,5,FALSE)</f>
        <v>310</v>
      </c>
      <c r="P45" s="302">
        <f>VLOOKUP($F45,'[3]5.급수원단위'!$B$31:$G$35,6,FALSE)</f>
        <v>310</v>
      </c>
      <c r="Q45" s="302">
        <f>ROUND(IF(G45=0,0,VLOOKUP(C45,'2013실사용량 정리'!$D$6:$F$381,3,FALSE)),0)</f>
        <v>0</v>
      </c>
      <c r="R45" s="302">
        <f t="shared" si="8"/>
        <v>0</v>
      </c>
      <c r="S45" s="302">
        <f t="shared" si="8"/>
        <v>0</v>
      </c>
      <c r="T45" s="302">
        <f t="shared" si="8"/>
        <v>0</v>
      </c>
      <c r="U45" s="302">
        <f t="shared" si="8"/>
        <v>0</v>
      </c>
      <c r="W45" s="343" t="str">
        <f t="shared" si="4"/>
        <v/>
      </c>
    </row>
    <row r="46" spans="1:23" ht="20.100000000000001" customHeight="1">
      <c r="A46" s="419"/>
      <c r="B46" s="340"/>
      <c r="C46" s="406" t="s">
        <v>1477</v>
      </c>
      <c r="D46" s="330" t="s">
        <v>1300</v>
      </c>
      <c r="E46" s="527">
        <f>1-'2.생활용수(채운)'!E17</f>
        <v>0</v>
      </c>
      <c r="F46" s="527" t="s">
        <v>756</v>
      </c>
      <c r="G46" s="302">
        <f>IF($D46="A",ROUND(VLOOKUP($C46,'[2]2.행정구역별 급수인구'!$C$7:$AD$997,17,FALSE)*$E46,0),IF($D46="B",(ROUND(VLOOKUP($C46,'[2]2.행정구역별 급수인구'!$C$7:$AD$997,17,FALSE)-VLOOKUP($C46,'[2]2.행정구역별 급수인구'!$C$7:$AD$997,17,FALSE)*(1-$E46),0)),VLOOKUP($C46,'[2]2.행정구역별 급수인구'!$C$7:$AD$997,17,FALSE)))</f>
        <v>0</v>
      </c>
      <c r="H46" s="302">
        <f>IF($D46="A",ROUND(VLOOKUP($C46,'[2]2.행정구역별 급수인구'!$C$7:$AD$997,25,FALSE)*$E46,0),IF($D46="B",(ROUND(VLOOKUP($C46,'[2]2.행정구역별 급수인구'!$C$7:$AD$997,25,FALSE)-VLOOKUP($C46,'[2]2.행정구역별 급수인구'!$C$7:$AD$997,25,FALSE)*(1-$E46),0)),VLOOKUP($C46,'[2]2.행정구역별 급수인구'!$C$7:$AD$997,25,FALSE)))</f>
        <v>0</v>
      </c>
      <c r="I46" s="302">
        <f>IF($D46="A",ROUND(VLOOKUP($C46,'[2]2.행정구역별 급수인구'!$C$7:$AD$997,26,FALSE)*$E46,0),IF($D46="B",(ROUND(VLOOKUP($C46,'[2]2.행정구역별 급수인구'!$C$7:$AD$997,26,FALSE)-VLOOKUP($C46,'[2]2.행정구역별 급수인구'!$C$7:$AD$997,26,FALSE)*(1-$E46),0)),VLOOKUP($C46,'[2]2.행정구역별 급수인구'!$C$7:$AD$997,26,FALSE)))</f>
        <v>0</v>
      </c>
      <c r="J46" s="302">
        <f>IF($D46="A",ROUND(VLOOKUP($C46,'[2]2.행정구역별 급수인구'!$C$7:$AD$997,27,FALSE)*$E46,0),IF($D46="B",(ROUND(VLOOKUP($C46,'[2]2.행정구역별 급수인구'!$C$7:$AD$997,27,FALSE)-VLOOKUP($C46,'[2]2.행정구역별 급수인구'!$C$7:$AD$997,27,FALSE)*(1-$E46),0)),VLOOKUP($C46,'[2]2.행정구역별 급수인구'!$C$7:$AD$997,27,FALSE)))</f>
        <v>0</v>
      </c>
      <c r="K46" s="302">
        <f>IF($D46="A",ROUND(VLOOKUP($C46,'[2]2.행정구역별 급수인구'!$C$7:$AD$997,28,FALSE)*$E46,0),IF($D46="B",(ROUND(VLOOKUP($C46,'[2]2.행정구역별 급수인구'!$C$7:$AD$997,28,FALSE)-VLOOKUP($C46,'[2]2.행정구역별 급수인구'!$C$7:$AD$997,28,FALSE)*(1-$E46),0)),VLOOKUP($C46,'[2]2.행정구역별 급수인구'!$C$7:$AD$997,28,FALSE)))</f>
        <v>0</v>
      </c>
      <c r="L46" s="302">
        <f>VLOOKUP($F46,'[3]5.급수원단위'!$B$31:$G$35,2,FALSE)</f>
        <v>272</v>
      </c>
      <c r="M46" s="302">
        <f>VLOOKUP($F46,'[3]5.급수원단위'!$B$31:$G$35,3,FALSE)</f>
        <v>304</v>
      </c>
      <c r="N46" s="302">
        <f>VLOOKUP($F46,'[3]5.급수원단위'!$B$31:$G$35,4,FALSE)</f>
        <v>308</v>
      </c>
      <c r="O46" s="302">
        <f>VLOOKUP($F46,'[3]5.급수원단위'!$B$31:$G$35,5,FALSE)</f>
        <v>310</v>
      </c>
      <c r="P46" s="302">
        <f>VLOOKUP($F46,'[3]5.급수원단위'!$B$31:$G$35,6,FALSE)</f>
        <v>310</v>
      </c>
      <c r="Q46" s="302">
        <f>ROUND(IF(G46=0,0,VLOOKUP(C46,'2013실사용량 정리'!$D$6:$F$381,3,FALSE)),0)</f>
        <v>0</v>
      </c>
      <c r="R46" s="302">
        <f t="shared" si="8"/>
        <v>0</v>
      </c>
      <c r="S46" s="302">
        <f t="shared" si="8"/>
        <v>0</v>
      </c>
      <c r="T46" s="302">
        <f t="shared" si="8"/>
        <v>0</v>
      </c>
      <c r="U46" s="302">
        <f t="shared" si="8"/>
        <v>0</v>
      </c>
      <c r="W46" s="343" t="str">
        <f t="shared" si="4"/>
        <v/>
      </c>
    </row>
    <row r="47" spans="1:23" ht="20.100000000000001" customHeight="1">
      <c r="A47" s="419"/>
      <c r="B47" s="340"/>
      <c r="C47" s="406" t="s">
        <v>1496</v>
      </c>
      <c r="D47" s="330" t="s">
        <v>1300</v>
      </c>
      <c r="E47" s="527">
        <f>1-'2.생활용수(채운)'!E18</f>
        <v>0</v>
      </c>
      <c r="F47" s="527" t="s">
        <v>756</v>
      </c>
      <c r="G47" s="302">
        <f>IF($D47="A",ROUND(VLOOKUP($C47,'[2]2.행정구역별 급수인구'!$C$7:$AD$997,17,FALSE)*$E47,0),IF($D47="B",(ROUND(VLOOKUP($C47,'[2]2.행정구역별 급수인구'!$C$7:$AD$997,17,FALSE)-VLOOKUP($C47,'[2]2.행정구역별 급수인구'!$C$7:$AD$997,17,FALSE)*(1-$E47),0)),VLOOKUP($C47,'[2]2.행정구역별 급수인구'!$C$7:$AD$997,17,FALSE)))</f>
        <v>0</v>
      </c>
      <c r="H47" s="302">
        <f>IF($D47="A",ROUND(VLOOKUP($C47,'[2]2.행정구역별 급수인구'!$C$7:$AD$997,25,FALSE)*$E47,0),IF($D47="B",(ROUND(VLOOKUP($C47,'[2]2.행정구역별 급수인구'!$C$7:$AD$997,25,FALSE)-VLOOKUP($C47,'[2]2.행정구역별 급수인구'!$C$7:$AD$997,25,FALSE)*(1-$E47),0)),VLOOKUP($C47,'[2]2.행정구역별 급수인구'!$C$7:$AD$997,25,FALSE)))</f>
        <v>0</v>
      </c>
      <c r="I47" s="302">
        <f>IF($D47="A",ROUND(VLOOKUP($C47,'[2]2.행정구역별 급수인구'!$C$7:$AD$997,26,FALSE)*$E47,0),IF($D47="B",(ROUND(VLOOKUP($C47,'[2]2.행정구역별 급수인구'!$C$7:$AD$997,26,FALSE)-VLOOKUP($C47,'[2]2.행정구역별 급수인구'!$C$7:$AD$997,26,FALSE)*(1-$E47),0)),VLOOKUP($C47,'[2]2.행정구역별 급수인구'!$C$7:$AD$997,26,FALSE)))</f>
        <v>0</v>
      </c>
      <c r="J47" s="302">
        <f>IF($D47="A",ROUND(VLOOKUP($C47,'[2]2.행정구역별 급수인구'!$C$7:$AD$997,27,FALSE)*$E47,0),IF($D47="B",(ROUND(VLOOKUP($C47,'[2]2.행정구역별 급수인구'!$C$7:$AD$997,27,FALSE)-VLOOKUP($C47,'[2]2.행정구역별 급수인구'!$C$7:$AD$997,27,FALSE)*(1-$E47),0)),VLOOKUP($C47,'[2]2.행정구역별 급수인구'!$C$7:$AD$997,27,FALSE)))</f>
        <v>0</v>
      </c>
      <c r="K47" s="302">
        <f>IF($D47="A",ROUND(VLOOKUP($C47,'[2]2.행정구역별 급수인구'!$C$7:$AD$997,28,FALSE)*$E47,0),IF($D47="B",(ROUND(VLOOKUP($C47,'[2]2.행정구역별 급수인구'!$C$7:$AD$997,28,FALSE)-VLOOKUP($C47,'[2]2.행정구역별 급수인구'!$C$7:$AD$997,28,FALSE)*(1-$E47),0)),VLOOKUP($C47,'[2]2.행정구역별 급수인구'!$C$7:$AD$997,28,FALSE)))</f>
        <v>0</v>
      </c>
      <c r="L47" s="302">
        <f>VLOOKUP($F47,'[3]5.급수원단위'!$B$31:$G$35,2,FALSE)</f>
        <v>272</v>
      </c>
      <c r="M47" s="302">
        <f>VLOOKUP($F47,'[3]5.급수원단위'!$B$31:$G$35,3,FALSE)</f>
        <v>304</v>
      </c>
      <c r="N47" s="302">
        <f>VLOOKUP($F47,'[3]5.급수원단위'!$B$31:$G$35,4,FALSE)</f>
        <v>308</v>
      </c>
      <c r="O47" s="302">
        <f>VLOOKUP($F47,'[3]5.급수원단위'!$B$31:$G$35,5,FALSE)</f>
        <v>310</v>
      </c>
      <c r="P47" s="302">
        <f>VLOOKUP($F47,'[3]5.급수원단위'!$B$31:$G$35,6,FALSE)</f>
        <v>310</v>
      </c>
      <c r="Q47" s="302">
        <f>ROUND(IF(G47=0,0,VLOOKUP(C47,'2013실사용량 정리'!$D$6:$F$381,3,FALSE)),0)</f>
        <v>0</v>
      </c>
      <c r="R47" s="302">
        <f t="shared" si="8"/>
        <v>0</v>
      </c>
      <c r="S47" s="302">
        <f t="shared" si="8"/>
        <v>0</v>
      </c>
      <c r="T47" s="302">
        <f t="shared" si="8"/>
        <v>0</v>
      </c>
      <c r="U47" s="302">
        <f t="shared" si="8"/>
        <v>0</v>
      </c>
      <c r="W47" s="343" t="str">
        <f t="shared" si="4"/>
        <v/>
      </c>
    </row>
    <row r="48" spans="1:23" ht="20.100000000000001" customHeight="1">
      <c r="A48" s="419"/>
      <c r="B48" s="340"/>
      <c r="C48" s="406" t="s">
        <v>1478</v>
      </c>
      <c r="D48" s="330" t="s">
        <v>1300</v>
      </c>
      <c r="E48" s="527">
        <f>1-'2.생활용수(채운)'!E19</f>
        <v>0</v>
      </c>
      <c r="F48" s="527" t="s">
        <v>756</v>
      </c>
      <c r="G48" s="302">
        <f>IF($D48="A",ROUND(VLOOKUP($C48,'[2]2.행정구역별 급수인구'!$C$7:$AD$997,17,FALSE)*$E48,0),IF($D48="B",(ROUND(VLOOKUP($C48,'[2]2.행정구역별 급수인구'!$C$7:$AD$997,17,FALSE)-VLOOKUP($C48,'[2]2.행정구역별 급수인구'!$C$7:$AD$997,17,FALSE)*(1-$E48),0)),VLOOKUP($C48,'[2]2.행정구역별 급수인구'!$C$7:$AD$997,17,FALSE)))</f>
        <v>0</v>
      </c>
      <c r="H48" s="302">
        <f>IF($D48="A",ROUND(VLOOKUP($C48,'[2]2.행정구역별 급수인구'!$C$7:$AD$997,25,FALSE)*$E48,0),IF($D48="B",(ROUND(VLOOKUP($C48,'[2]2.행정구역별 급수인구'!$C$7:$AD$997,25,FALSE)-VLOOKUP($C48,'[2]2.행정구역별 급수인구'!$C$7:$AD$997,25,FALSE)*(1-$E48),0)),VLOOKUP($C48,'[2]2.행정구역별 급수인구'!$C$7:$AD$997,25,FALSE)))</f>
        <v>0</v>
      </c>
      <c r="I48" s="302">
        <f>IF($D48="A",ROUND(VLOOKUP($C48,'[2]2.행정구역별 급수인구'!$C$7:$AD$997,26,FALSE)*$E48,0),IF($D48="B",(ROUND(VLOOKUP($C48,'[2]2.행정구역별 급수인구'!$C$7:$AD$997,26,FALSE)-VLOOKUP($C48,'[2]2.행정구역별 급수인구'!$C$7:$AD$997,26,FALSE)*(1-$E48),0)),VLOOKUP($C48,'[2]2.행정구역별 급수인구'!$C$7:$AD$997,26,FALSE)))</f>
        <v>0</v>
      </c>
      <c r="J48" s="302">
        <f>IF($D48="A",ROUND(VLOOKUP($C48,'[2]2.행정구역별 급수인구'!$C$7:$AD$997,27,FALSE)*$E48,0),IF($D48="B",(ROUND(VLOOKUP($C48,'[2]2.행정구역별 급수인구'!$C$7:$AD$997,27,FALSE)-VLOOKUP($C48,'[2]2.행정구역별 급수인구'!$C$7:$AD$997,27,FALSE)*(1-$E48),0)),VLOOKUP($C48,'[2]2.행정구역별 급수인구'!$C$7:$AD$997,27,FALSE)))</f>
        <v>0</v>
      </c>
      <c r="K48" s="302">
        <f>IF($D48="A",ROUND(VLOOKUP($C48,'[2]2.행정구역별 급수인구'!$C$7:$AD$997,28,FALSE)*$E48,0),IF($D48="B",(ROUND(VLOOKUP($C48,'[2]2.행정구역별 급수인구'!$C$7:$AD$997,28,FALSE)-VLOOKUP($C48,'[2]2.행정구역별 급수인구'!$C$7:$AD$997,28,FALSE)*(1-$E48),0)),VLOOKUP($C48,'[2]2.행정구역별 급수인구'!$C$7:$AD$997,28,FALSE)))</f>
        <v>0</v>
      </c>
      <c r="L48" s="302">
        <f>VLOOKUP($F48,'[3]5.급수원단위'!$B$31:$G$35,2,FALSE)</f>
        <v>272</v>
      </c>
      <c r="M48" s="302">
        <f>VLOOKUP($F48,'[3]5.급수원단위'!$B$31:$G$35,3,FALSE)</f>
        <v>304</v>
      </c>
      <c r="N48" s="302">
        <f>VLOOKUP($F48,'[3]5.급수원단위'!$B$31:$G$35,4,FALSE)</f>
        <v>308</v>
      </c>
      <c r="O48" s="302">
        <f>VLOOKUP($F48,'[3]5.급수원단위'!$B$31:$G$35,5,FALSE)</f>
        <v>310</v>
      </c>
      <c r="P48" s="302">
        <f>VLOOKUP($F48,'[3]5.급수원단위'!$B$31:$G$35,6,FALSE)</f>
        <v>310</v>
      </c>
      <c r="Q48" s="302">
        <f>ROUND(IF(G48=0,0,VLOOKUP(C48,'2013실사용량 정리'!$D$6:$F$381,3,FALSE)),0)</f>
        <v>0</v>
      </c>
      <c r="R48" s="302">
        <f t="shared" si="8"/>
        <v>0</v>
      </c>
      <c r="S48" s="302">
        <f t="shared" si="8"/>
        <v>0</v>
      </c>
      <c r="T48" s="302">
        <f t="shared" si="8"/>
        <v>0</v>
      </c>
      <c r="U48" s="302">
        <f t="shared" si="8"/>
        <v>0</v>
      </c>
      <c r="W48" s="343" t="str">
        <f t="shared" si="4"/>
        <v/>
      </c>
    </row>
    <row r="49" spans="1:23" ht="20.100000000000001" customHeight="1">
      <c r="A49" s="419"/>
      <c r="B49" s="340"/>
      <c r="C49" s="406" t="s">
        <v>1479</v>
      </c>
      <c r="D49" s="330" t="s">
        <v>1300</v>
      </c>
      <c r="E49" s="527">
        <f>1-'2.생활용수(채운)'!E20</f>
        <v>0</v>
      </c>
      <c r="F49" s="527" t="s">
        <v>756</v>
      </c>
      <c r="G49" s="302">
        <f>IF($D49="A",ROUND(VLOOKUP($C49,'[2]2.행정구역별 급수인구'!$C$7:$AD$997,17,FALSE)*$E49,0),IF($D49="B",(ROUND(VLOOKUP($C49,'[2]2.행정구역별 급수인구'!$C$7:$AD$997,17,FALSE)-VLOOKUP($C49,'[2]2.행정구역별 급수인구'!$C$7:$AD$997,17,FALSE)*(1-$E49),0)),VLOOKUP($C49,'[2]2.행정구역별 급수인구'!$C$7:$AD$997,17,FALSE)))</f>
        <v>0</v>
      </c>
      <c r="H49" s="302">
        <f>IF($D49="A",ROUND(VLOOKUP($C49,'[2]2.행정구역별 급수인구'!$C$7:$AD$997,25,FALSE)*$E49,0),IF($D49="B",(ROUND(VLOOKUP($C49,'[2]2.행정구역별 급수인구'!$C$7:$AD$997,25,FALSE)-VLOOKUP($C49,'[2]2.행정구역별 급수인구'!$C$7:$AD$997,25,FALSE)*(1-$E49),0)),VLOOKUP($C49,'[2]2.행정구역별 급수인구'!$C$7:$AD$997,25,FALSE)))</f>
        <v>0</v>
      </c>
      <c r="I49" s="302">
        <f>IF($D49="A",ROUND(VLOOKUP($C49,'[2]2.행정구역별 급수인구'!$C$7:$AD$997,26,FALSE)*$E49,0),IF($D49="B",(ROUND(VLOOKUP($C49,'[2]2.행정구역별 급수인구'!$C$7:$AD$997,26,FALSE)-VLOOKUP($C49,'[2]2.행정구역별 급수인구'!$C$7:$AD$997,26,FALSE)*(1-$E49),0)),VLOOKUP($C49,'[2]2.행정구역별 급수인구'!$C$7:$AD$997,26,FALSE)))</f>
        <v>0</v>
      </c>
      <c r="J49" s="302">
        <f>IF($D49="A",ROUND(VLOOKUP($C49,'[2]2.행정구역별 급수인구'!$C$7:$AD$997,27,FALSE)*$E49,0),IF($D49="B",(ROUND(VLOOKUP($C49,'[2]2.행정구역별 급수인구'!$C$7:$AD$997,27,FALSE)-VLOOKUP($C49,'[2]2.행정구역별 급수인구'!$C$7:$AD$997,27,FALSE)*(1-$E49),0)),VLOOKUP($C49,'[2]2.행정구역별 급수인구'!$C$7:$AD$997,27,FALSE)))</f>
        <v>0</v>
      </c>
      <c r="K49" s="302">
        <f>IF($D49="A",ROUND(VLOOKUP($C49,'[2]2.행정구역별 급수인구'!$C$7:$AD$997,28,FALSE)*$E49,0),IF($D49="B",(ROUND(VLOOKUP($C49,'[2]2.행정구역별 급수인구'!$C$7:$AD$997,28,FALSE)-VLOOKUP($C49,'[2]2.행정구역별 급수인구'!$C$7:$AD$997,28,FALSE)*(1-$E49),0)),VLOOKUP($C49,'[2]2.행정구역별 급수인구'!$C$7:$AD$997,28,FALSE)))</f>
        <v>0</v>
      </c>
      <c r="L49" s="302">
        <f>VLOOKUP($F49,'[3]5.급수원단위'!$B$31:$G$35,2,FALSE)</f>
        <v>272</v>
      </c>
      <c r="M49" s="302">
        <f>VLOOKUP($F49,'[3]5.급수원단위'!$B$31:$G$35,3,FALSE)</f>
        <v>304</v>
      </c>
      <c r="N49" s="302">
        <f>VLOOKUP($F49,'[3]5.급수원단위'!$B$31:$G$35,4,FALSE)</f>
        <v>308</v>
      </c>
      <c r="O49" s="302">
        <f>VLOOKUP($F49,'[3]5.급수원단위'!$B$31:$G$35,5,FALSE)</f>
        <v>310</v>
      </c>
      <c r="P49" s="302">
        <f>VLOOKUP($F49,'[3]5.급수원단위'!$B$31:$G$35,6,FALSE)</f>
        <v>310</v>
      </c>
      <c r="Q49" s="302">
        <f>ROUND(IF(G49=0,0,VLOOKUP(C49,'2013실사용량 정리'!$D$6:$F$381,3,FALSE)),0)</f>
        <v>0</v>
      </c>
      <c r="R49" s="302">
        <f t="shared" si="8"/>
        <v>0</v>
      </c>
      <c r="S49" s="302">
        <f t="shared" si="8"/>
        <v>0</v>
      </c>
      <c r="T49" s="302">
        <f t="shared" si="8"/>
        <v>0</v>
      </c>
      <c r="U49" s="302">
        <f t="shared" si="8"/>
        <v>0</v>
      </c>
      <c r="W49" s="343" t="str">
        <f t="shared" si="4"/>
        <v/>
      </c>
    </row>
    <row r="50" spans="1:23" ht="20.100000000000001" customHeight="1">
      <c r="A50" s="419"/>
      <c r="B50" s="340"/>
      <c r="C50" s="406" t="s">
        <v>1480</v>
      </c>
      <c r="D50" s="330" t="s">
        <v>1300</v>
      </c>
      <c r="E50" s="527">
        <f>1-'2.생활용수(채운)'!E21</f>
        <v>0</v>
      </c>
      <c r="F50" s="527" t="s">
        <v>756</v>
      </c>
      <c r="G50" s="302">
        <f>IF($D50="A",ROUND(VLOOKUP($C50,'[2]2.행정구역별 급수인구'!$C$7:$AD$997,17,FALSE)*$E50,0),IF($D50="B",(ROUND(VLOOKUP($C50,'[2]2.행정구역별 급수인구'!$C$7:$AD$997,17,FALSE)-VLOOKUP($C50,'[2]2.행정구역별 급수인구'!$C$7:$AD$997,17,FALSE)*(1-$E50),0)),VLOOKUP($C50,'[2]2.행정구역별 급수인구'!$C$7:$AD$997,17,FALSE)))</f>
        <v>0</v>
      </c>
      <c r="H50" s="302">
        <f>IF($D50="A",ROUND(VLOOKUP($C50,'[2]2.행정구역별 급수인구'!$C$7:$AD$997,25,FALSE)*$E50,0),IF($D50="B",(ROUND(VLOOKUP($C50,'[2]2.행정구역별 급수인구'!$C$7:$AD$997,25,FALSE)-VLOOKUP($C50,'[2]2.행정구역별 급수인구'!$C$7:$AD$997,25,FALSE)*(1-$E50),0)),VLOOKUP($C50,'[2]2.행정구역별 급수인구'!$C$7:$AD$997,25,FALSE)))</f>
        <v>0</v>
      </c>
      <c r="I50" s="302">
        <f>IF($D50="A",ROUND(VLOOKUP($C50,'[2]2.행정구역별 급수인구'!$C$7:$AD$997,26,FALSE)*$E50,0),IF($D50="B",(ROUND(VLOOKUP($C50,'[2]2.행정구역별 급수인구'!$C$7:$AD$997,26,FALSE)-VLOOKUP($C50,'[2]2.행정구역별 급수인구'!$C$7:$AD$997,26,FALSE)*(1-$E50),0)),VLOOKUP($C50,'[2]2.행정구역별 급수인구'!$C$7:$AD$997,26,FALSE)))</f>
        <v>0</v>
      </c>
      <c r="J50" s="302">
        <f>IF($D50="A",ROUND(VLOOKUP($C50,'[2]2.행정구역별 급수인구'!$C$7:$AD$997,27,FALSE)*$E50,0),IF($D50="B",(ROUND(VLOOKUP($C50,'[2]2.행정구역별 급수인구'!$C$7:$AD$997,27,FALSE)-VLOOKUP($C50,'[2]2.행정구역별 급수인구'!$C$7:$AD$997,27,FALSE)*(1-$E50),0)),VLOOKUP($C50,'[2]2.행정구역별 급수인구'!$C$7:$AD$997,27,FALSE)))</f>
        <v>0</v>
      </c>
      <c r="K50" s="302">
        <f>IF($D50="A",ROUND(VLOOKUP($C50,'[2]2.행정구역별 급수인구'!$C$7:$AD$997,28,FALSE)*$E50,0),IF($D50="B",(ROUND(VLOOKUP($C50,'[2]2.행정구역별 급수인구'!$C$7:$AD$997,28,FALSE)-VLOOKUP($C50,'[2]2.행정구역별 급수인구'!$C$7:$AD$997,28,FALSE)*(1-$E50),0)),VLOOKUP($C50,'[2]2.행정구역별 급수인구'!$C$7:$AD$997,28,FALSE)))</f>
        <v>0</v>
      </c>
      <c r="L50" s="302">
        <f>VLOOKUP($F50,'[3]5.급수원단위'!$B$31:$G$35,2,FALSE)</f>
        <v>272</v>
      </c>
      <c r="M50" s="302">
        <f>VLOOKUP($F50,'[3]5.급수원단위'!$B$31:$G$35,3,FALSE)</f>
        <v>304</v>
      </c>
      <c r="N50" s="302">
        <f>VLOOKUP($F50,'[3]5.급수원단위'!$B$31:$G$35,4,FALSE)</f>
        <v>308</v>
      </c>
      <c r="O50" s="302">
        <f>VLOOKUP($F50,'[3]5.급수원단위'!$B$31:$G$35,5,FALSE)</f>
        <v>310</v>
      </c>
      <c r="P50" s="302">
        <f>VLOOKUP($F50,'[3]5.급수원단위'!$B$31:$G$35,6,FALSE)</f>
        <v>310</v>
      </c>
      <c r="Q50" s="302">
        <f>ROUND(IF(G50=0,0,VLOOKUP(C50,'2013실사용량 정리'!$D$6:$F$381,3,FALSE)),0)</f>
        <v>0</v>
      </c>
      <c r="R50" s="302">
        <f t="shared" si="8"/>
        <v>0</v>
      </c>
      <c r="S50" s="302">
        <f t="shared" si="8"/>
        <v>0</v>
      </c>
      <c r="T50" s="302">
        <f t="shared" si="8"/>
        <v>0</v>
      </c>
      <c r="U50" s="302">
        <f t="shared" si="8"/>
        <v>0</v>
      </c>
      <c r="W50" s="343" t="str">
        <f t="shared" si="4"/>
        <v/>
      </c>
    </row>
    <row r="51" spans="1:23" ht="20.100000000000001" customHeight="1">
      <c r="A51" s="419"/>
      <c r="B51" s="340"/>
      <c r="C51" s="406" t="s">
        <v>1481</v>
      </c>
      <c r="D51" s="330" t="s">
        <v>1300</v>
      </c>
      <c r="E51" s="527">
        <f>1-'2.생활용수(채운)'!E22</f>
        <v>0</v>
      </c>
      <c r="F51" s="527" t="s">
        <v>756</v>
      </c>
      <c r="G51" s="302">
        <f>IF($D51="A",ROUND(VLOOKUP($C51,'[2]2.행정구역별 급수인구'!$C$7:$AD$997,17,FALSE)*$E51,0),IF($D51="B",(ROUND(VLOOKUP($C51,'[2]2.행정구역별 급수인구'!$C$7:$AD$997,17,FALSE)-VLOOKUP($C51,'[2]2.행정구역별 급수인구'!$C$7:$AD$997,17,FALSE)*(1-$E51),0)),VLOOKUP($C51,'[2]2.행정구역별 급수인구'!$C$7:$AD$997,17,FALSE)))</f>
        <v>0</v>
      </c>
      <c r="H51" s="302">
        <f>IF($D51="A",ROUND(VLOOKUP($C51,'[2]2.행정구역별 급수인구'!$C$7:$AD$997,25,FALSE)*$E51,0),IF($D51="B",(ROUND(VLOOKUP($C51,'[2]2.행정구역별 급수인구'!$C$7:$AD$997,25,FALSE)-VLOOKUP($C51,'[2]2.행정구역별 급수인구'!$C$7:$AD$997,25,FALSE)*(1-$E51),0)),VLOOKUP($C51,'[2]2.행정구역별 급수인구'!$C$7:$AD$997,25,FALSE)))</f>
        <v>0</v>
      </c>
      <c r="I51" s="302">
        <f>IF($D51="A",ROUND(VLOOKUP($C51,'[2]2.행정구역별 급수인구'!$C$7:$AD$997,26,FALSE)*$E51,0),IF($D51="B",(ROUND(VLOOKUP($C51,'[2]2.행정구역별 급수인구'!$C$7:$AD$997,26,FALSE)-VLOOKUP($C51,'[2]2.행정구역별 급수인구'!$C$7:$AD$997,26,FALSE)*(1-$E51),0)),VLOOKUP($C51,'[2]2.행정구역별 급수인구'!$C$7:$AD$997,26,FALSE)))</f>
        <v>0</v>
      </c>
      <c r="J51" s="302">
        <f>IF($D51="A",ROUND(VLOOKUP($C51,'[2]2.행정구역별 급수인구'!$C$7:$AD$997,27,FALSE)*$E51,0),IF($D51="B",(ROUND(VLOOKUP($C51,'[2]2.행정구역별 급수인구'!$C$7:$AD$997,27,FALSE)-VLOOKUP($C51,'[2]2.행정구역별 급수인구'!$C$7:$AD$997,27,FALSE)*(1-$E51),0)),VLOOKUP($C51,'[2]2.행정구역별 급수인구'!$C$7:$AD$997,27,FALSE)))</f>
        <v>0</v>
      </c>
      <c r="K51" s="302">
        <f>IF($D51="A",ROUND(VLOOKUP($C51,'[2]2.행정구역별 급수인구'!$C$7:$AD$997,28,FALSE)*$E51,0),IF($D51="B",(ROUND(VLOOKUP($C51,'[2]2.행정구역별 급수인구'!$C$7:$AD$997,28,FALSE)-VLOOKUP($C51,'[2]2.행정구역별 급수인구'!$C$7:$AD$997,28,FALSE)*(1-$E51),0)),VLOOKUP($C51,'[2]2.행정구역별 급수인구'!$C$7:$AD$997,28,FALSE)))</f>
        <v>0</v>
      </c>
      <c r="L51" s="302">
        <f>VLOOKUP($F51,'[3]5.급수원단위'!$B$31:$G$35,2,FALSE)</f>
        <v>272</v>
      </c>
      <c r="M51" s="302">
        <f>VLOOKUP($F51,'[3]5.급수원단위'!$B$31:$G$35,3,FALSE)</f>
        <v>304</v>
      </c>
      <c r="N51" s="302">
        <f>VLOOKUP($F51,'[3]5.급수원단위'!$B$31:$G$35,4,FALSE)</f>
        <v>308</v>
      </c>
      <c r="O51" s="302">
        <f>VLOOKUP($F51,'[3]5.급수원단위'!$B$31:$G$35,5,FALSE)</f>
        <v>310</v>
      </c>
      <c r="P51" s="302">
        <f>VLOOKUP($F51,'[3]5.급수원단위'!$B$31:$G$35,6,FALSE)</f>
        <v>310</v>
      </c>
      <c r="Q51" s="302">
        <f>ROUND(IF(G51=0,0,VLOOKUP(C51,'2013실사용량 정리'!$D$6:$F$381,3,FALSE)),0)</f>
        <v>0</v>
      </c>
      <c r="R51" s="302">
        <f t="shared" si="8"/>
        <v>0</v>
      </c>
      <c r="S51" s="302">
        <f t="shared" si="8"/>
        <v>0</v>
      </c>
      <c r="T51" s="302">
        <f t="shared" si="8"/>
        <v>0</v>
      </c>
      <c r="U51" s="302">
        <f t="shared" si="8"/>
        <v>0</v>
      </c>
      <c r="W51" s="343" t="str">
        <f t="shared" si="4"/>
        <v/>
      </c>
    </row>
    <row r="52" spans="1:23" ht="20.100000000000001" customHeight="1">
      <c r="A52" s="419"/>
      <c r="B52" s="340"/>
      <c r="C52" s="406" t="s">
        <v>1435</v>
      </c>
      <c r="D52" s="330" t="s">
        <v>1300</v>
      </c>
      <c r="E52" s="527">
        <f>1-'2.생활용수(채운)'!E23</f>
        <v>1</v>
      </c>
      <c r="F52" s="527" t="s">
        <v>756</v>
      </c>
      <c r="G52" s="302">
        <f>IF($D52="A",ROUND(VLOOKUP($C52,'[2]2.행정구역별 급수인구'!$C$7:$AD$997,17,FALSE)*$E52,0),IF($D52="B",(ROUND(VLOOKUP($C52,'[2]2.행정구역별 급수인구'!$C$7:$AD$997,17,FALSE)-VLOOKUP($C52,'[2]2.행정구역별 급수인구'!$C$7:$AD$997,17,FALSE)*(1-$E52),0)),VLOOKUP($C52,'[2]2.행정구역별 급수인구'!$C$7:$AD$997,17,FALSE)))</f>
        <v>53</v>
      </c>
      <c r="H52" s="302">
        <f>IF($D52="A",ROUND(VLOOKUP($C52,'[2]2.행정구역별 급수인구'!$C$7:$AD$997,25,FALSE)*$E52,0),IF($D52="B",(ROUND(VLOOKUP($C52,'[2]2.행정구역별 급수인구'!$C$7:$AD$997,25,FALSE)-VLOOKUP($C52,'[2]2.행정구역별 급수인구'!$C$7:$AD$997,25,FALSE)*(1-$E52),0)),VLOOKUP($C52,'[2]2.행정구역별 급수인구'!$C$7:$AD$997,25,FALSE)))</f>
        <v>62</v>
      </c>
      <c r="I52" s="302">
        <f>IF($D52="A",ROUND(VLOOKUP($C52,'[2]2.행정구역별 급수인구'!$C$7:$AD$997,26,FALSE)*$E52,0),IF($D52="B",(ROUND(VLOOKUP($C52,'[2]2.행정구역별 급수인구'!$C$7:$AD$997,26,FALSE)-VLOOKUP($C52,'[2]2.행정구역별 급수인구'!$C$7:$AD$997,26,FALSE)*(1-$E52),0)),VLOOKUP($C52,'[2]2.행정구역별 급수인구'!$C$7:$AD$997,26,FALSE)))</f>
        <v>65</v>
      </c>
      <c r="J52" s="302">
        <f>IF($D52="A",ROUND(VLOOKUP($C52,'[2]2.행정구역별 급수인구'!$C$7:$AD$997,27,FALSE)*$E52,0),IF($D52="B",(ROUND(VLOOKUP($C52,'[2]2.행정구역별 급수인구'!$C$7:$AD$997,27,FALSE)-VLOOKUP($C52,'[2]2.행정구역별 급수인구'!$C$7:$AD$997,27,FALSE)*(1-$E52),0)),VLOOKUP($C52,'[2]2.행정구역별 급수인구'!$C$7:$AD$997,27,FALSE)))</f>
        <v>67</v>
      </c>
      <c r="K52" s="302">
        <f>IF($D52="A",ROUND(VLOOKUP($C52,'[2]2.행정구역별 급수인구'!$C$7:$AD$997,28,FALSE)*$E52,0),IF($D52="B",(ROUND(VLOOKUP($C52,'[2]2.행정구역별 급수인구'!$C$7:$AD$997,28,FALSE)-VLOOKUP($C52,'[2]2.행정구역별 급수인구'!$C$7:$AD$997,28,FALSE)*(1-$E52),0)),VLOOKUP($C52,'[2]2.행정구역별 급수인구'!$C$7:$AD$997,28,FALSE)))</f>
        <v>67</v>
      </c>
      <c r="L52" s="302">
        <f>VLOOKUP($F52,'[3]5.급수원단위'!$B$31:$G$35,2,FALSE)</f>
        <v>272</v>
      </c>
      <c r="M52" s="302">
        <f>VLOOKUP($F52,'[3]5.급수원단위'!$B$31:$G$35,3,FALSE)</f>
        <v>304</v>
      </c>
      <c r="N52" s="302">
        <f>VLOOKUP($F52,'[3]5.급수원단위'!$B$31:$G$35,4,FALSE)</f>
        <v>308</v>
      </c>
      <c r="O52" s="302">
        <f>VLOOKUP($F52,'[3]5.급수원단위'!$B$31:$G$35,5,FALSE)</f>
        <v>310</v>
      </c>
      <c r="P52" s="302">
        <f>VLOOKUP($F52,'[3]5.급수원단위'!$B$31:$G$35,6,FALSE)</f>
        <v>310</v>
      </c>
      <c r="Q52" s="302">
        <f>ROUND(IF(G52=0,0,VLOOKUP(C52,'2013실사용량 정리'!$D$6:$F$381,3,FALSE)),0)</f>
        <v>26</v>
      </c>
      <c r="R52" s="302">
        <f t="shared" si="8"/>
        <v>19</v>
      </c>
      <c r="S52" s="302">
        <f t="shared" si="8"/>
        <v>20</v>
      </c>
      <c r="T52" s="302">
        <f t="shared" si="8"/>
        <v>21</v>
      </c>
      <c r="U52" s="302">
        <f t="shared" si="8"/>
        <v>21</v>
      </c>
      <c r="W52" s="343">
        <f t="shared" si="4"/>
        <v>0.80769230769230771</v>
      </c>
    </row>
    <row r="53" spans="1:23" ht="20.100000000000001" customHeight="1">
      <c r="A53" s="419"/>
      <c r="B53" s="340"/>
      <c r="C53" s="406" t="s">
        <v>1436</v>
      </c>
      <c r="D53" s="330" t="s">
        <v>1300</v>
      </c>
      <c r="E53" s="527">
        <f>1-'2.생활용수(채운)'!E24</f>
        <v>1</v>
      </c>
      <c r="F53" s="527" t="s">
        <v>756</v>
      </c>
      <c r="G53" s="302">
        <f>IF($D53="A",ROUND(VLOOKUP($C53,'[2]2.행정구역별 급수인구'!$C$7:$AD$997,17,FALSE)*$E53,0),IF($D53="B",(ROUND(VLOOKUP($C53,'[2]2.행정구역별 급수인구'!$C$7:$AD$997,17,FALSE)-VLOOKUP($C53,'[2]2.행정구역별 급수인구'!$C$7:$AD$997,17,FALSE)*(1-$E53),0)),VLOOKUP($C53,'[2]2.행정구역별 급수인구'!$C$7:$AD$997,17,FALSE)))</f>
        <v>56</v>
      </c>
      <c r="H53" s="302">
        <f>IF($D53="A",ROUND(VLOOKUP($C53,'[2]2.행정구역별 급수인구'!$C$7:$AD$997,25,FALSE)*$E53,0),IF($D53="B",(ROUND(VLOOKUP($C53,'[2]2.행정구역별 급수인구'!$C$7:$AD$997,25,FALSE)-VLOOKUP($C53,'[2]2.행정구역별 급수인구'!$C$7:$AD$997,25,FALSE)*(1-$E53),0)),VLOOKUP($C53,'[2]2.행정구역별 급수인구'!$C$7:$AD$997,25,FALSE)))</f>
        <v>67</v>
      </c>
      <c r="I53" s="302">
        <f>IF($D53="A",ROUND(VLOOKUP($C53,'[2]2.행정구역별 급수인구'!$C$7:$AD$997,26,FALSE)*$E53,0),IF($D53="B",(ROUND(VLOOKUP($C53,'[2]2.행정구역별 급수인구'!$C$7:$AD$997,26,FALSE)-VLOOKUP($C53,'[2]2.행정구역별 급수인구'!$C$7:$AD$997,26,FALSE)*(1-$E53),0)),VLOOKUP($C53,'[2]2.행정구역별 급수인구'!$C$7:$AD$997,26,FALSE)))</f>
        <v>69</v>
      </c>
      <c r="J53" s="302">
        <f>IF($D53="A",ROUND(VLOOKUP($C53,'[2]2.행정구역별 급수인구'!$C$7:$AD$997,27,FALSE)*$E53,0),IF($D53="B",(ROUND(VLOOKUP($C53,'[2]2.행정구역별 급수인구'!$C$7:$AD$997,27,FALSE)-VLOOKUP($C53,'[2]2.행정구역별 급수인구'!$C$7:$AD$997,27,FALSE)*(1-$E53),0)),VLOOKUP($C53,'[2]2.행정구역별 급수인구'!$C$7:$AD$997,27,FALSE)))</f>
        <v>71</v>
      </c>
      <c r="K53" s="302">
        <f>IF($D53="A",ROUND(VLOOKUP($C53,'[2]2.행정구역별 급수인구'!$C$7:$AD$997,28,FALSE)*$E53,0),IF($D53="B",(ROUND(VLOOKUP($C53,'[2]2.행정구역별 급수인구'!$C$7:$AD$997,28,FALSE)-VLOOKUP($C53,'[2]2.행정구역별 급수인구'!$C$7:$AD$997,28,FALSE)*(1-$E53),0)),VLOOKUP($C53,'[2]2.행정구역별 급수인구'!$C$7:$AD$997,28,FALSE)))</f>
        <v>73</v>
      </c>
      <c r="L53" s="302">
        <f>VLOOKUP($F53,'[3]5.급수원단위'!$B$31:$G$35,2,FALSE)</f>
        <v>272</v>
      </c>
      <c r="M53" s="302">
        <f>VLOOKUP($F53,'[3]5.급수원단위'!$B$31:$G$35,3,FALSE)</f>
        <v>304</v>
      </c>
      <c r="N53" s="302">
        <f>VLOOKUP($F53,'[3]5.급수원단위'!$B$31:$G$35,4,FALSE)</f>
        <v>308</v>
      </c>
      <c r="O53" s="302">
        <f>VLOOKUP($F53,'[3]5.급수원단위'!$B$31:$G$35,5,FALSE)</f>
        <v>310</v>
      </c>
      <c r="P53" s="302">
        <f>VLOOKUP($F53,'[3]5.급수원단위'!$B$31:$G$35,6,FALSE)</f>
        <v>310</v>
      </c>
      <c r="Q53" s="302">
        <f>ROUND(IF(G53=0,0,VLOOKUP(C53,'2013실사용량 정리'!$D$6:$F$381,3,FALSE)),0)</f>
        <v>27</v>
      </c>
      <c r="R53" s="302">
        <f t="shared" ref="R53:U60" si="9">ROUND(H53*M53/1000,0)</f>
        <v>20</v>
      </c>
      <c r="S53" s="302">
        <f t="shared" si="9"/>
        <v>21</v>
      </c>
      <c r="T53" s="302">
        <f t="shared" si="9"/>
        <v>22</v>
      </c>
      <c r="U53" s="302">
        <f t="shared" si="9"/>
        <v>23</v>
      </c>
      <c r="W53" s="343">
        <f t="shared" si="4"/>
        <v>0.85185185185185186</v>
      </c>
    </row>
    <row r="54" spans="1:23" ht="20.100000000000001" customHeight="1">
      <c r="A54" s="419"/>
      <c r="B54" s="340"/>
      <c r="C54" s="406" t="s">
        <v>1437</v>
      </c>
      <c r="D54" s="330" t="s">
        <v>1300</v>
      </c>
      <c r="E54" s="527">
        <f>1-'2.생활용수(채운)'!E25</f>
        <v>1</v>
      </c>
      <c r="F54" s="527" t="s">
        <v>756</v>
      </c>
      <c r="G54" s="302">
        <f>IF($D54="A",ROUND(VLOOKUP($C54,'[2]2.행정구역별 급수인구'!$C$7:$AD$997,17,FALSE)*$E54,0),IF($D54="B",(ROUND(VLOOKUP($C54,'[2]2.행정구역별 급수인구'!$C$7:$AD$997,17,FALSE)-VLOOKUP($C54,'[2]2.행정구역별 급수인구'!$C$7:$AD$997,17,FALSE)*(1-$E54),0)),VLOOKUP($C54,'[2]2.행정구역별 급수인구'!$C$7:$AD$997,17,FALSE)))</f>
        <v>5</v>
      </c>
      <c r="H54" s="302">
        <f>IF($D54="A",ROUND(VLOOKUP($C54,'[2]2.행정구역별 급수인구'!$C$7:$AD$997,25,FALSE)*$E54,0),IF($D54="B",(ROUND(VLOOKUP($C54,'[2]2.행정구역별 급수인구'!$C$7:$AD$997,25,FALSE)-VLOOKUP($C54,'[2]2.행정구역별 급수인구'!$C$7:$AD$997,25,FALSE)*(1-$E54),0)),VLOOKUP($C54,'[2]2.행정구역별 급수인구'!$C$7:$AD$997,25,FALSE)))</f>
        <v>5</v>
      </c>
      <c r="I54" s="302">
        <f>IF($D54="A",ROUND(VLOOKUP($C54,'[2]2.행정구역별 급수인구'!$C$7:$AD$997,26,FALSE)*$E54,0),IF($D54="B",(ROUND(VLOOKUP($C54,'[2]2.행정구역별 급수인구'!$C$7:$AD$997,26,FALSE)-VLOOKUP($C54,'[2]2.행정구역별 급수인구'!$C$7:$AD$997,26,FALSE)*(1-$E54),0)),VLOOKUP($C54,'[2]2.행정구역별 급수인구'!$C$7:$AD$997,26,FALSE)))</f>
        <v>6</v>
      </c>
      <c r="J54" s="302">
        <f>IF($D54="A",ROUND(VLOOKUP($C54,'[2]2.행정구역별 급수인구'!$C$7:$AD$997,27,FALSE)*$E54,0),IF($D54="B",(ROUND(VLOOKUP($C54,'[2]2.행정구역별 급수인구'!$C$7:$AD$997,27,FALSE)-VLOOKUP($C54,'[2]2.행정구역별 급수인구'!$C$7:$AD$997,27,FALSE)*(1-$E54),0)),VLOOKUP($C54,'[2]2.행정구역별 급수인구'!$C$7:$AD$997,27,FALSE)))</f>
        <v>6</v>
      </c>
      <c r="K54" s="302">
        <f>IF($D54="A",ROUND(VLOOKUP($C54,'[2]2.행정구역별 급수인구'!$C$7:$AD$997,28,FALSE)*$E54,0),IF($D54="B",(ROUND(VLOOKUP($C54,'[2]2.행정구역별 급수인구'!$C$7:$AD$997,28,FALSE)-VLOOKUP($C54,'[2]2.행정구역별 급수인구'!$C$7:$AD$997,28,FALSE)*(1-$E54),0)),VLOOKUP($C54,'[2]2.행정구역별 급수인구'!$C$7:$AD$997,28,FALSE)))</f>
        <v>6</v>
      </c>
      <c r="L54" s="302">
        <f>VLOOKUP($F54,'[3]5.급수원단위'!$B$31:$G$35,2,FALSE)</f>
        <v>272</v>
      </c>
      <c r="M54" s="302">
        <f>VLOOKUP($F54,'[3]5.급수원단위'!$B$31:$G$35,3,FALSE)</f>
        <v>304</v>
      </c>
      <c r="N54" s="302">
        <f>VLOOKUP($F54,'[3]5.급수원단위'!$B$31:$G$35,4,FALSE)</f>
        <v>308</v>
      </c>
      <c r="O54" s="302">
        <f>VLOOKUP($F54,'[3]5.급수원단위'!$B$31:$G$35,5,FALSE)</f>
        <v>310</v>
      </c>
      <c r="P54" s="302">
        <f>VLOOKUP($F54,'[3]5.급수원단위'!$B$31:$G$35,6,FALSE)</f>
        <v>310</v>
      </c>
      <c r="Q54" s="302">
        <f>ROUND(IF(G54=0,0,VLOOKUP(C54,'2013실사용량 정리'!$D$6:$F$381,3,FALSE)),0)</f>
        <v>2</v>
      </c>
      <c r="R54" s="302">
        <f t="shared" si="9"/>
        <v>2</v>
      </c>
      <c r="S54" s="302">
        <f t="shared" si="9"/>
        <v>2</v>
      </c>
      <c r="T54" s="302">
        <f t="shared" si="9"/>
        <v>2</v>
      </c>
      <c r="U54" s="302">
        <f t="shared" si="9"/>
        <v>2</v>
      </c>
      <c r="W54" s="343">
        <f t="shared" si="4"/>
        <v>1</v>
      </c>
    </row>
    <row r="55" spans="1:23" ht="20.100000000000001" customHeight="1">
      <c r="A55" s="419"/>
      <c r="B55" s="340"/>
      <c r="C55" s="406" t="s">
        <v>1438</v>
      </c>
      <c r="D55" s="330" t="s">
        <v>1300</v>
      </c>
      <c r="E55" s="527">
        <f>1-'2.생활용수(채운)'!E26</f>
        <v>1</v>
      </c>
      <c r="F55" s="527" t="s">
        <v>756</v>
      </c>
      <c r="G55" s="302">
        <f>IF($D55="A",ROUND(VLOOKUP($C55,'[2]2.행정구역별 급수인구'!$C$7:$AD$997,17,FALSE)*$E55,0),IF($D55="B",(ROUND(VLOOKUP($C55,'[2]2.행정구역별 급수인구'!$C$7:$AD$997,17,FALSE)-VLOOKUP($C55,'[2]2.행정구역별 급수인구'!$C$7:$AD$997,17,FALSE)*(1-$E55),0)),VLOOKUP($C55,'[2]2.행정구역별 급수인구'!$C$7:$AD$997,17,FALSE)))</f>
        <v>56</v>
      </c>
      <c r="H55" s="302">
        <f>IF($D55="A",ROUND(VLOOKUP($C55,'[2]2.행정구역별 급수인구'!$C$7:$AD$997,25,FALSE)*$E55,0),IF($D55="B",(ROUND(VLOOKUP($C55,'[2]2.행정구역별 급수인구'!$C$7:$AD$997,25,FALSE)-VLOOKUP($C55,'[2]2.행정구역별 급수인구'!$C$7:$AD$997,25,FALSE)*(1-$E55),0)),VLOOKUP($C55,'[2]2.행정구역별 급수인구'!$C$7:$AD$997,25,FALSE)))</f>
        <v>66</v>
      </c>
      <c r="I55" s="302">
        <f>IF($D55="A",ROUND(VLOOKUP($C55,'[2]2.행정구역별 급수인구'!$C$7:$AD$997,26,FALSE)*$E55,0),IF($D55="B",(ROUND(VLOOKUP($C55,'[2]2.행정구역별 급수인구'!$C$7:$AD$997,26,FALSE)-VLOOKUP($C55,'[2]2.행정구역별 급수인구'!$C$7:$AD$997,26,FALSE)*(1-$E55),0)),VLOOKUP($C55,'[2]2.행정구역별 급수인구'!$C$7:$AD$997,26,FALSE)))</f>
        <v>68</v>
      </c>
      <c r="J55" s="302">
        <f>IF($D55="A",ROUND(VLOOKUP($C55,'[2]2.행정구역별 급수인구'!$C$7:$AD$997,27,FALSE)*$E55,0),IF($D55="B",(ROUND(VLOOKUP($C55,'[2]2.행정구역별 급수인구'!$C$7:$AD$997,27,FALSE)-VLOOKUP($C55,'[2]2.행정구역별 급수인구'!$C$7:$AD$997,27,FALSE)*(1-$E55),0)),VLOOKUP($C55,'[2]2.행정구역별 급수인구'!$C$7:$AD$997,27,FALSE)))</f>
        <v>70</v>
      </c>
      <c r="K55" s="302">
        <f>IF($D55="A",ROUND(VLOOKUP($C55,'[2]2.행정구역별 급수인구'!$C$7:$AD$997,28,FALSE)*$E55,0),IF($D55="B",(ROUND(VLOOKUP($C55,'[2]2.행정구역별 급수인구'!$C$7:$AD$997,28,FALSE)-VLOOKUP($C55,'[2]2.행정구역별 급수인구'!$C$7:$AD$997,28,FALSE)*(1-$E55),0)),VLOOKUP($C55,'[2]2.행정구역별 급수인구'!$C$7:$AD$997,28,FALSE)))</f>
        <v>72</v>
      </c>
      <c r="L55" s="302">
        <f>VLOOKUP($F55,'[3]5.급수원단위'!$B$31:$G$35,2,FALSE)</f>
        <v>272</v>
      </c>
      <c r="M55" s="302">
        <f>VLOOKUP($F55,'[3]5.급수원단위'!$B$31:$G$35,3,FALSE)</f>
        <v>304</v>
      </c>
      <c r="N55" s="302">
        <f>VLOOKUP($F55,'[3]5.급수원단위'!$B$31:$G$35,4,FALSE)</f>
        <v>308</v>
      </c>
      <c r="O55" s="302">
        <f>VLOOKUP($F55,'[3]5.급수원단위'!$B$31:$G$35,5,FALSE)</f>
        <v>310</v>
      </c>
      <c r="P55" s="302">
        <f>VLOOKUP($F55,'[3]5.급수원단위'!$B$31:$G$35,6,FALSE)</f>
        <v>310</v>
      </c>
      <c r="Q55" s="302">
        <f>ROUND(IF(G55=0,0,VLOOKUP(C55,'2013실사용량 정리'!$D$6:$F$381,3,FALSE)),0)</f>
        <v>25</v>
      </c>
      <c r="R55" s="302">
        <f t="shared" si="9"/>
        <v>20</v>
      </c>
      <c r="S55" s="302">
        <f t="shared" si="9"/>
        <v>21</v>
      </c>
      <c r="T55" s="302">
        <f t="shared" si="9"/>
        <v>22</v>
      </c>
      <c r="U55" s="302">
        <f t="shared" si="9"/>
        <v>22</v>
      </c>
      <c r="W55" s="343">
        <f t="shared" si="4"/>
        <v>0.88</v>
      </c>
    </row>
    <row r="56" spans="1:23" ht="20.100000000000001" customHeight="1">
      <c r="A56" s="419"/>
      <c r="B56" s="340"/>
      <c r="C56" s="406" t="s">
        <v>1439</v>
      </c>
      <c r="D56" s="330" t="s">
        <v>1300</v>
      </c>
      <c r="E56" s="527">
        <f>1-'2.생활용수(채운)'!E27</f>
        <v>1</v>
      </c>
      <c r="F56" s="527" t="s">
        <v>756</v>
      </c>
      <c r="G56" s="302">
        <f>IF($D56="A",ROUND(VLOOKUP($C56,'[2]2.행정구역별 급수인구'!$C$7:$AD$997,17,FALSE)*$E56,0),IF($D56="B",(ROUND(VLOOKUP($C56,'[2]2.행정구역별 급수인구'!$C$7:$AD$997,17,FALSE)-VLOOKUP($C56,'[2]2.행정구역별 급수인구'!$C$7:$AD$997,17,FALSE)*(1-$E56),0)),VLOOKUP($C56,'[2]2.행정구역별 급수인구'!$C$7:$AD$997,17,FALSE)))</f>
        <v>26</v>
      </c>
      <c r="H56" s="302">
        <f>IF($D56="A",ROUND(VLOOKUP($C56,'[2]2.행정구역별 급수인구'!$C$7:$AD$997,25,FALSE)*$E56,0),IF($D56="B",(ROUND(VLOOKUP($C56,'[2]2.행정구역별 급수인구'!$C$7:$AD$997,25,FALSE)-VLOOKUP($C56,'[2]2.행정구역별 급수인구'!$C$7:$AD$997,25,FALSE)*(1-$E56),0)),VLOOKUP($C56,'[2]2.행정구역별 급수인구'!$C$7:$AD$997,25,FALSE)))</f>
        <v>31</v>
      </c>
      <c r="I56" s="302">
        <f>IF($D56="A",ROUND(VLOOKUP($C56,'[2]2.행정구역별 급수인구'!$C$7:$AD$997,26,FALSE)*$E56,0),IF($D56="B",(ROUND(VLOOKUP($C56,'[2]2.행정구역별 급수인구'!$C$7:$AD$997,26,FALSE)-VLOOKUP($C56,'[2]2.행정구역별 급수인구'!$C$7:$AD$997,26,FALSE)*(1-$E56),0)),VLOOKUP($C56,'[2]2.행정구역별 급수인구'!$C$7:$AD$997,26,FALSE)))</f>
        <v>32</v>
      </c>
      <c r="J56" s="302">
        <f>IF($D56="A",ROUND(VLOOKUP($C56,'[2]2.행정구역별 급수인구'!$C$7:$AD$997,27,FALSE)*$E56,0),IF($D56="B",(ROUND(VLOOKUP($C56,'[2]2.행정구역별 급수인구'!$C$7:$AD$997,27,FALSE)-VLOOKUP($C56,'[2]2.행정구역별 급수인구'!$C$7:$AD$997,27,FALSE)*(1-$E56),0)),VLOOKUP($C56,'[2]2.행정구역별 급수인구'!$C$7:$AD$997,27,FALSE)))</f>
        <v>33</v>
      </c>
      <c r="K56" s="302">
        <f>IF($D56="A",ROUND(VLOOKUP($C56,'[2]2.행정구역별 급수인구'!$C$7:$AD$997,28,FALSE)*$E56,0),IF($D56="B",(ROUND(VLOOKUP($C56,'[2]2.행정구역별 급수인구'!$C$7:$AD$997,28,FALSE)-VLOOKUP($C56,'[2]2.행정구역별 급수인구'!$C$7:$AD$997,28,FALSE)*(1-$E56),0)),VLOOKUP($C56,'[2]2.행정구역별 급수인구'!$C$7:$AD$997,28,FALSE)))</f>
        <v>34</v>
      </c>
      <c r="L56" s="302">
        <f>VLOOKUP($F56,'[3]5.급수원단위'!$B$31:$G$35,2,FALSE)</f>
        <v>272</v>
      </c>
      <c r="M56" s="302">
        <f>VLOOKUP($F56,'[3]5.급수원단위'!$B$31:$G$35,3,FALSE)</f>
        <v>304</v>
      </c>
      <c r="N56" s="302">
        <f>VLOOKUP($F56,'[3]5.급수원단위'!$B$31:$G$35,4,FALSE)</f>
        <v>308</v>
      </c>
      <c r="O56" s="302">
        <f>VLOOKUP($F56,'[3]5.급수원단위'!$B$31:$G$35,5,FALSE)</f>
        <v>310</v>
      </c>
      <c r="P56" s="302">
        <f>VLOOKUP($F56,'[3]5.급수원단위'!$B$31:$G$35,6,FALSE)</f>
        <v>310</v>
      </c>
      <c r="Q56" s="302">
        <f>ROUND(IF(G56=0,0,VLOOKUP(C56,'2013실사용량 정리'!$D$6:$F$381,3,FALSE)),0)</f>
        <v>11</v>
      </c>
      <c r="R56" s="302">
        <f t="shared" si="9"/>
        <v>9</v>
      </c>
      <c r="S56" s="302">
        <f t="shared" si="9"/>
        <v>10</v>
      </c>
      <c r="T56" s="302">
        <f t="shared" si="9"/>
        <v>10</v>
      </c>
      <c r="U56" s="302">
        <f t="shared" si="9"/>
        <v>11</v>
      </c>
      <c r="W56" s="343">
        <f t="shared" si="4"/>
        <v>1</v>
      </c>
    </row>
    <row r="57" spans="1:23" ht="20.100000000000001" customHeight="1">
      <c r="A57" s="419"/>
      <c r="B57" s="340"/>
      <c r="C57" s="406" t="s">
        <v>1440</v>
      </c>
      <c r="D57" s="330" t="s">
        <v>1300</v>
      </c>
      <c r="E57" s="527">
        <f>1-'2.생활용수(채운)'!E28</f>
        <v>1</v>
      </c>
      <c r="F57" s="527" t="s">
        <v>756</v>
      </c>
      <c r="G57" s="302">
        <f>IF($D57="A",ROUND(VLOOKUP($C57,'[2]2.행정구역별 급수인구'!$C$7:$AD$997,17,FALSE)*$E57,0),IF($D57="B",(ROUND(VLOOKUP($C57,'[2]2.행정구역별 급수인구'!$C$7:$AD$997,17,FALSE)-VLOOKUP($C57,'[2]2.행정구역별 급수인구'!$C$7:$AD$997,17,FALSE)*(1-$E57),0)),VLOOKUP($C57,'[2]2.행정구역별 급수인구'!$C$7:$AD$997,17,FALSE)))</f>
        <v>30</v>
      </c>
      <c r="H57" s="302">
        <f>IF($D57="A",ROUND(VLOOKUP($C57,'[2]2.행정구역별 급수인구'!$C$7:$AD$997,25,FALSE)*$E57,0),IF($D57="B",(ROUND(VLOOKUP($C57,'[2]2.행정구역별 급수인구'!$C$7:$AD$997,25,FALSE)-VLOOKUP($C57,'[2]2.행정구역별 급수인구'!$C$7:$AD$997,25,FALSE)*(1-$E57),0)),VLOOKUP($C57,'[2]2.행정구역별 급수인구'!$C$7:$AD$997,25,FALSE)))</f>
        <v>35</v>
      </c>
      <c r="I57" s="302">
        <f>IF($D57="A",ROUND(VLOOKUP($C57,'[2]2.행정구역별 급수인구'!$C$7:$AD$997,26,FALSE)*$E57,0),IF($D57="B",(ROUND(VLOOKUP($C57,'[2]2.행정구역별 급수인구'!$C$7:$AD$997,26,FALSE)-VLOOKUP($C57,'[2]2.행정구역별 급수인구'!$C$7:$AD$997,26,FALSE)*(1-$E57),0)),VLOOKUP($C57,'[2]2.행정구역별 급수인구'!$C$7:$AD$997,26,FALSE)))</f>
        <v>37</v>
      </c>
      <c r="J57" s="302">
        <f>IF($D57="A",ROUND(VLOOKUP($C57,'[2]2.행정구역별 급수인구'!$C$7:$AD$997,27,FALSE)*$E57,0),IF($D57="B",(ROUND(VLOOKUP($C57,'[2]2.행정구역별 급수인구'!$C$7:$AD$997,27,FALSE)-VLOOKUP($C57,'[2]2.행정구역별 급수인구'!$C$7:$AD$997,27,FALSE)*(1-$E57),0)),VLOOKUP($C57,'[2]2.행정구역별 급수인구'!$C$7:$AD$997,27,FALSE)))</f>
        <v>38</v>
      </c>
      <c r="K57" s="302">
        <f>IF($D57="A",ROUND(VLOOKUP($C57,'[2]2.행정구역별 급수인구'!$C$7:$AD$997,28,FALSE)*$E57,0),IF($D57="B",(ROUND(VLOOKUP($C57,'[2]2.행정구역별 급수인구'!$C$7:$AD$997,28,FALSE)-VLOOKUP($C57,'[2]2.행정구역별 급수인구'!$C$7:$AD$997,28,FALSE)*(1-$E57),0)),VLOOKUP($C57,'[2]2.행정구역별 급수인구'!$C$7:$AD$997,28,FALSE)))</f>
        <v>39</v>
      </c>
      <c r="L57" s="302">
        <f>VLOOKUP($F57,'[3]5.급수원단위'!$B$31:$G$35,2,FALSE)</f>
        <v>272</v>
      </c>
      <c r="M57" s="302">
        <f>VLOOKUP($F57,'[3]5.급수원단위'!$B$31:$G$35,3,FALSE)</f>
        <v>304</v>
      </c>
      <c r="N57" s="302">
        <f>VLOOKUP($F57,'[3]5.급수원단위'!$B$31:$G$35,4,FALSE)</f>
        <v>308</v>
      </c>
      <c r="O57" s="302">
        <f>VLOOKUP($F57,'[3]5.급수원단위'!$B$31:$G$35,5,FALSE)</f>
        <v>310</v>
      </c>
      <c r="P57" s="302">
        <f>VLOOKUP($F57,'[3]5.급수원단위'!$B$31:$G$35,6,FALSE)</f>
        <v>310</v>
      </c>
      <c r="Q57" s="302">
        <f>ROUND(IF(G57=0,0,VLOOKUP(C57,'2013실사용량 정리'!$D$6:$F$381,3,FALSE)),0)</f>
        <v>12</v>
      </c>
      <c r="R57" s="302">
        <f t="shared" si="9"/>
        <v>11</v>
      </c>
      <c r="S57" s="302">
        <f t="shared" si="9"/>
        <v>11</v>
      </c>
      <c r="T57" s="302">
        <f t="shared" si="9"/>
        <v>12</v>
      </c>
      <c r="U57" s="302">
        <f t="shared" si="9"/>
        <v>12</v>
      </c>
      <c r="W57" s="343">
        <f t="shared" si="4"/>
        <v>1</v>
      </c>
    </row>
    <row r="58" spans="1:23" ht="20.100000000000001" customHeight="1">
      <c r="A58" s="419"/>
      <c r="B58" s="340"/>
      <c r="C58" s="406" t="s">
        <v>1441</v>
      </c>
      <c r="D58" s="330" t="s">
        <v>1300</v>
      </c>
      <c r="E58" s="527">
        <f>1-'2.생활용수(채운)'!E29</f>
        <v>1</v>
      </c>
      <c r="F58" s="527" t="s">
        <v>756</v>
      </c>
      <c r="G58" s="302">
        <f>IF($D58="A",ROUND(VLOOKUP($C58,'[2]2.행정구역별 급수인구'!$C$7:$AD$997,17,FALSE)*$E58,0),IF($D58="B",(ROUND(VLOOKUP($C58,'[2]2.행정구역별 급수인구'!$C$7:$AD$997,17,FALSE)-VLOOKUP($C58,'[2]2.행정구역별 급수인구'!$C$7:$AD$997,17,FALSE)*(1-$E58),0)),VLOOKUP($C58,'[2]2.행정구역별 급수인구'!$C$7:$AD$997,17,FALSE)))</f>
        <v>35</v>
      </c>
      <c r="H58" s="302">
        <f>IF($D58="A",ROUND(VLOOKUP($C58,'[2]2.행정구역별 급수인구'!$C$7:$AD$997,25,FALSE)*$E58,0),IF($D58="B",(ROUND(VLOOKUP($C58,'[2]2.행정구역별 급수인구'!$C$7:$AD$997,25,FALSE)-VLOOKUP($C58,'[2]2.행정구역별 급수인구'!$C$7:$AD$997,25,FALSE)*(1-$E58),0)),VLOOKUP($C58,'[2]2.행정구역별 급수인구'!$C$7:$AD$997,25,FALSE)))</f>
        <v>42</v>
      </c>
      <c r="I58" s="302">
        <f>IF($D58="A",ROUND(VLOOKUP($C58,'[2]2.행정구역별 급수인구'!$C$7:$AD$997,26,FALSE)*$E58,0),IF($D58="B",(ROUND(VLOOKUP($C58,'[2]2.행정구역별 급수인구'!$C$7:$AD$997,26,FALSE)-VLOOKUP($C58,'[2]2.행정구역별 급수인구'!$C$7:$AD$997,26,FALSE)*(1-$E58),0)),VLOOKUP($C58,'[2]2.행정구역별 급수인구'!$C$7:$AD$997,26,FALSE)))</f>
        <v>44</v>
      </c>
      <c r="J58" s="302">
        <f>IF($D58="A",ROUND(VLOOKUP($C58,'[2]2.행정구역별 급수인구'!$C$7:$AD$997,27,FALSE)*$E58,0),IF($D58="B",(ROUND(VLOOKUP($C58,'[2]2.행정구역별 급수인구'!$C$7:$AD$997,27,FALSE)-VLOOKUP($C58,'[2]2.행정구역별 급수인구'!$C$7:$AD$997,27,FALSE)*(1-$E58),0)),VLOOKUP($C58,'[2]2.행정구역별 급수인구'!$C$7:$AD$997,27,FALSE)))</f>
        <v>45</v>
      </c>
      <c r="K58" s="302">
        <f>IF($D58="A",ROUND(VLOOKUP($C58,'[2]2.행정구역별 급수인구'!$C$7:$AD$997,28,FALSE)*$E58,0),IF($D58="B",(ROUND(VLOOKUP($C58,'[2]2.행정구역별 급수인구'!$C$7:$AD$997,28,FALSE)-VLOOKUP($C58,'[2]2.행정구역별 급수인구'!$C$7:$AD$997,28,FALSE)*(1-$E58),0)),VLOOKUP($C58,'[2]2.행정구역별 급수인구'!$C$7:$AD$997,28,FALSE)))</f>
        <v>45</v>
      </c>
      <c r="L58" s="302">
        <f>VLOOKUP($F58,'[3]5.급수원단위'!$B$31:$G$35,2,FALSE)</f>
        <v>272</v>
      </c>
      <c r="M58" s="302">
        <f>VLOOKUP($F58,'[3]5.급수원단위'!$B$31:$G$35,3,FALSE)</f>
        <v>304</v>
      </c>
      <c r="N58" s="302">
        <f>VLOOKUP($F58,'[3]5.급수원단위'!$B$31:$G$35,4,FALSE)</f>
        <v>308</v>
      </c>
      <c r="O58" s="302">
        <f>VLOOKUP($F58,'[3]5.급수원단위'!$B$31:$G$35,5,FALSE)</f>
        <v>310</v>
      </c>
      <c r="P58" s="302">
        <f>VLOOKUP($F58,'[3]5.급수원단위'!$B$31:$G$35,6,FALSE)</f>
        <v>310</v>
      </c>
      <c r="Q58" s="302">
        <f>ROUND(IF(G58=0,0,VLOOKUP(C58,'2013실사용량 정리'!$D$6:$F$381,3,FALSE)),0)</f>
        <v>15</v>
      </c>
      <c r="R58" s="302">
        <f t="shared" si="9"/>
        <v>13</v>
      </c>
      <c r="S58" s="302">
        <f t="shared" si="9"/>
        <v>14</v>
      </c>
      <c r="T58" s="302">
        <f t="shared" si="9"/>
        <v>14</v>
      </c>
      <c r="U58" s="302">
        <f t="shared" si="9"/>
        <v>14</v>
      </c>
      <c r="W58" s="343">
        <f t="shared" si="4"/>
        <v>0.93333333333333335</v>
      </c>
    </row>
    <row r="59" spans="1:23" ht="20.100000000000001" customHeight="1">
      <c r="A59" s="419"/>
      <c r="B59" s="340"/>
      <c r="C59" s="406" t="s">
        <v>1442</v>
      </c>
      <c r="D59" s="330" t="s">
        <v>1300</v>
      </c>
      <c r="E59" s="527">
        <f>1-'2.생활용수(채운)'!E30</f>
        <v>1</v>
      </c>
      <c r="F59" s="527" t="s">
        <v>756</v>
      </c>
      <c r="G59" s="302">
        <f>IF($D59="A",ROUND(VLOOKUP($C59,'[2]2.행정구역별 급수인구'!$C$7:$AD$997,17,FALSE)*$E59,0),IF($D59="B",(ROUND(VLOOKUP($C59,'[2]2.행정구역별 급수인구'!$C$7:$AD$997,17,FALSE)-VLOOKUP($C59,'[2]2.행정구역별 급수인구'!$C$7:$AD$997,17,FALSE)*(1-$E59),0)),VLOOKUP($C59,'[2]2.행정구역별 급수인구'!$C$7:$AD$997,17,FALSE)))</f>
        <v>8</v>
      </c>
      <c r="H59" s="302">
        <f>IF($D59="A",ROUND(VLOOKUP($C59,'[2]2.행정구역별 급수인구'!$C$7:$AD$997,25,FALSE)*$E59,0),IF($D59="B",(ROUND(VLOOKUP($C59,'[2]2.행정구역별 급수인구'!$C$7:$AD$997,25,FALSE)-VLOOKUP($C59,'[2]2.행정구역별 급수인구'!$C$7:$AD$997,25,FALSE)*(1-$E59),0)),VLOOKUP($C59,'[2]2.행정구역별 급수인구'!$C$7:$AD$997,25,FALSE)))</f>
        <v>10</v>
      </c>
      <c r="I59" s="302">
        <f>IF($D59="A",ROUND(VLOOKUP($C59,'[2]2.행정구역별 급수인구'!$C$7:$AD$997,26,FALSE)*$E59,0),IF($D59="B",(ROUND(VLOOKUP($C59,'[2]2.행정구역별 급수인구'!$C$7:$AD$997,26,FALSE)-VLOOKUP($C59,'[2]2.행정구역별 급수인구'!$C$7:$AD$997,26,FALSE)*(1-$E59),0)),VLOOKUP($C59,'[2]2.행정구역별 급수인구'!$C$7:$AD$997,26,FALSE)))</f>
        <v>10</v>
      </c>
      <c r="J59" s="302">
        <f>IF($D59="A",ROUND(VLOOKUP($C59,'[2]2.행정구역별 급수인구'!$C$7:$AD$997,27,FALSE)*$E59,0),IF($D59="B",(ROUND(VLOOKUP($C59,'[2]2.행정구역별 급수인구'!$C$7:$AD$997,27,FALSE)-VLOOKUP($C59,'[2]2.행정구역별 급수인구'!$C$7:$AD$997,27,FALSE)*(1-$E59),0)),VLOOKUP($C59,'[2]2.행정구역별 급수인구'!$C$7:$AD$997,27,FALSE)))</f>
        <v>10</v>
      </c>
      <c r="K59" s="302">
        <f>IF($D59="A",ROUND(VLOOKUP($C59,'[2]2.행정구역별 급수인구'!$C$7:$AD$997,28,FALSE)*$E59,0),IF($D59="B",(ROUND(VLOOKUP($C59,'[2]2.행정구역별 급수인구'!$C$7:$AD$997,28,FALSE)-VLOOKUP($C59,'[2]2.행정구역별 급수인구'!$C$7:$AD$997,28,FALSE)*(1-$E59),0)),VLOOKUP($C59,'[2]2.행정구역별 급수인구'!$C$7:$AD$997,28,FALSE)))</f>
        <v>10</v>
      </c>
      <c r="L59" s="302">
        <f>VLOOKUP($F59,'[3]5.급수원단위'!$B$31:$G$35,2,FALSE)</f>
        <v>272</v>
      </c>
      <c r="M59" s="302">
        <f>VLOOKUP($F59,'[3]5.급수원단위'!$B$31:$G$35,3,FALSE)</f>
        <v>304</v>
      </c>
      <c r="N59" s="302">
        <f>VLOOKUP($F59,'[3]5.급수원단위'!$B$31:$G$35,4,FALSE)</f>
        <v>308</v>
      </c>
      <c r="O59" s="302">
        <f>VLOOKUP($F59,'[3]5.급수원단위'!$B$31:$G$35,5,FALSE)</f>
        <v>310</v>
      </c>
      <c r="P59" s="302">
        <f>VLOOKUP($F59,'[3]5.급수원단위'!$B$31:$G$35,6,FALSE)</f>
        <v>310</v>
      </c>
      <c r="Q59" s="302">
        <f>ROUND(IF(G59=0,0,VLOOKUP(C59,'2013실사용량 정리'!$D$6:$F$381,3,FALSE)),0)</f>
        <v>3</v>
      </c>
      <c r="R59" s="302">
        <f t="shared" si="9"/>
        <v>3</v>
      </c>
      <c r="S59" s="302">
        <f t="shared" si="9"/>
        <v>3</v>
      </c>
      <c r="T59" s="302">
        <f t="shared" si="9"/>
        <v>3</v>
      </c>
      <c r="U59" s="302">
        <f t="shared" si="9"/>
        <v>3</v>
      </c>
      <c r="W59" s="343">
        <f t="shared" si="4"/>
        <v>1</v>
      </c>
    </row>
    <row r="60" spans="1:23" ht="20.100000000000001" customHeight="1">
      <c r="A60" s="420"/>
      <c r="B60" s="386"/>
      <c r="C60" s="406" t="s">
        <v>1443</v>
      </c>
      <c r="D60" s="330" t="s">
        <v>1300</v>
      </c>
      <c r="E60" s="527">
        <f>1-'2.생활용수(채운)'!E31</f>
        <v>1</v>
      </c>
      <c r="F60" s="527" t="s">
        <v>756</v>
      </c>
      <c r="G60" s="302">
        <f>IF($D60="A",ROUND(VLOOKUP($C60,'[2]2.행정구역별 급수인구'!$C$7:$AD$997,17,FALSE)*$E60,0),IF($D60="B",(ROUND(VLOOKUP($C60,'[2]2.행정구역별 급수인구'!$C$7:$AD$997,17,FALSE)-VLOOKUP($C60,'[2]2.행정구역별 급수인구'!$C$7:$AD$997,17,FALSE)*(1-$E60),0)),VLOOKUP($C60,'[2]2.행정구역별 급수인구'!$C$7:$AD$997,17,FALSE)))</f>
        <v>53</v>
      </c>
      <c r="H60" s="302">
        <f>IF($D60="A",ROUND(VLOOKUP($C60,'[2]2.행정구역별 급수인구'!$C$7:$AD$997,25,FALSE)*$E60,0),IF($D60="B",(ROUND(VLOOKUP($C60,'[2]2.행정구역별 급수인구'!$C$7:$AD$997,25,FALSE)-VLOOKUP($C60,'[2]2.행정구역별 급수인구'!$C$7:$AD$997,25,FALSE)*(1-$E60),0)),VLOOKUP($C60,'[2]2.행정구역별 급수인구'!$C$7:$AD$997,25,FALSE)))</f>
        <v>62</v>
      </c>
      <c r="I60" s="302">
        <f>IF($D60="A",ROUND(VLOOKUP($C60,'[2]2.행정구역별 급수인구'!$C$7:$AD$997,26,FALSE)*$E60,0),IF($D60="B",(ROUND(VLOOKUP($C60,'[2]2.행정구역별 급수인구'!$C$7:$AD$997,26,FALSE)-VLOOKUP($C60,'[2]2.행정구역별 급수인구'!$C$7:$AD$997,26,FALSE)*(1-$E60),0)),VLOOKUP($C60,'[2]2.행정구역별 급수인구'!$C$7:$AD$997,26,FALSE)))</f>
        <v>65</v>
      </c>
      <c r="J60" s="302">
        <f>IF($D60="A",ROUND(VLOOKUP($C60,'[2]2.행정구역별 급수인구'!$C$7:$AD$997,27,FALSE)*$E60,0),IF($D60="B",(ROUND(VLOOKUP($C60,'[2]2.행정구역별 급수인구'!$C$7:$AD$997,27,FALSE)-VLOOKUP($C60,'[2]2.행정구역별 급수인구'!$C$7:$AD$997,27,FALSE)*(1-$E60),0)),VLOOKUP($C60,'[2]2.행정구역별 급수인구'!$C$7:$AD$997,27,FALSE)))</f>
        <v>67</v>
      </c>
      <c r="K60" s="302">
        <f>IF($D60="A",ROUND(VLOOKUP($C60,'[2]2.행정구역별 급수인구'!$C$7:$AD$997,28,FALSE)*$E60,0),IF($D60="B",(ROUND(VLOOKUP($C60,'[2]2.행정구역별 급수인구'!$C$7:$AD$997,28,FALSE)-VLOOKUP($C60,'[2]2.행정구역별 급수인구'!$C$7:$AD$997,28,FALSE)*(1-$E60),0)),VLOOKUP($C60,'[2]2.행정구역별 급수인구'!$C$7:$AD$997,28,FALSE)))</f>
        <v>67</v>
      </c>
      <c r="L60" s="302">
        <f>VLOOKUP($F60,'[3]5.급수원단위'!$B$31:$G$35,2,FALSE)</f>
        <v>272</v>
      </c>
      <c r="M60" s="302">
        <f>VLOOKUP($F60,'[3]5.급수원단위'!$B$31:$G$35,3,FALSE)</f>
        <v>304</v>
      </c>
      <c r="N60" s="302">
        <f>VLOOKUP($F60,'[3]5.급수원단위'!$B$31:$G$35,4,FALSE)</f>
        <v>308</v>
      </c>
      <c r="O60" s="302">
        <f>VLOOKUP($F60,'[3]5.급수원단위'!$B$31:$G$35,5,FALSE)</f>
        <v>310</v>
      </c>
      <c r="P60" s="302">
        <f>VLOOKUP($F60,'[3]5.급수원단위'!$B$31:$G$35,6,FALSE)</f>
        <v>310</v>
      </c>
      <c r="Q60" s="302">
        <f>ROUND(IF(G60=0,0,VLOOKUP(C60,'2013실사용량 정리'!$D$6:$F$381,3,FALSE)),0)</f>
        <v>22</v>
      </c>
      <c r="R60" s="302">
        <f t="shared" si="9"/>
        <v>19</v>
      </c>
      <c r="S60" s="302">
        <f t="shared" si="9"/>
        <v>20</v>
      </c>
      <c r="T60" s="302">
        <f t="shared" si="9"/>
        <v>21</v>
      </c>
      <c r="U60" s="302">
        <f t="shared" si="9"/>
        <v>21</v>
      </c>
      <c r="W60" s="343">
        <f t="shared" si="4"/>
        <v>0.95454545454545459</v>
      </c>
    </row>
    <row r="61" spans="1:23" ht="20.100000000000001" customHeight="1">
      <c r="A61" s="405"/>
      <c r="B61" s="405"/>
      <c r="C61" s="405"/>
      <c r="D61" s="405"/>
      <c r="E61" s="405"/>
      <c r="F61" s="405"/>
      <c r="G61" s="405"/>
      <c r="H61" s="405"/>
      <c r="I61" s="405"/>
      <c r="J61" s="405"/>
      <c r="K61" s="405"/>
      <c r="L61" s="405"/>
      <c r="M61" s="405"/>
      <c r="N61" s="405"/>
      <c r="O61" s="405"/>
      <c r="P61" s="405"/>
      <c r="Q61" s="405"/>
      <c r="R61" s="405"/>
      <c r="S61" s="405"/>
      <c r="T61" s="405"/>
      <c r="U61" s="405"/>
    </row>
  </sheetData>
  <autoFilter ref="A4:AA60">
    <filterColumn colId="0" showButton="0"/>
    <filterColumn colId="1" showButton="0"/>
    <filterColumn colId="2" showButton="0"/>
    <filterColumn colId="6"/>
  </autoFilter>
  <mergeCells count="10">
    <mergeCell ref="B35:D35"/>
    <mergeCell ref="A3:D4"/>
    <mergeCell ref="E3:E4"/>
    <mergeCell ref="F3:F4"/>
    <mergeCell ref="G3:K3"/>
    <mergeCell ref="W2:Y2"/>
    <mergeCell ref="L3:P3"/>
    <mergeCell ref="Q3:U3"/>
    <mergeCell ref="A5:D5"/>
    <mergeCell ref="B6:D6"/>
  </mergeCells>
  <phoneticPr fontId="3" type="noConversion"/>
  <printOptions horizontalCentered="1"/>
  <pageMargins left="0.62992125984251968" right="0.62992125984251968" top="0.62992125984251968" bottom="0.62992125984251968" header="0.31496062992125984" footer="0.31496062992125984"/>
  <pageSetup paperSize="9" scale="95" orientation="portrait" r:id="rId1"/>
  <ignoredErrors>
    <ignoredError sqref="G35:U35" formula="1"/>
  </ignoredErrors>
</worksheet>
</file>

<file path=xl/worksheets/sheet19.xml><?xml version="1.0" encoding="utf-8"?>
<worksheet xmlns="http://schemas.openxmlformats.org/spreadsheetml/2006/main" xmlns:r="http://schemas.openxmlformats.org/officeDocument/2006/relationships">
  <sheetPr filterMode="1">
    <tabColor rgb="FFFFC000"/>
  </sheetPr>
  <dimension ref="A1:AS100"/>
  <sheetViews>
    <sheetView view="pageBreakPreview" topLeftCell="M1" zoomScale="85" zoomScaleNormal="100" zoomScaleSheetLayoutView="85" workbookViewId="0">
      <selection activeCell="Y73" sqref="Y73"/>
    </sheetView>
  </sheetViews>
  <sheetFormatPr defaultColWidth="7.6640625" defaultRowHeight="20.100000000000001" customHeight="1" outlineLevelCol="1"/>
  <cols>
    <col min="1" max="2" width="1.77734375" style="327" customWidth="1"/>
    <col min="3" max="3" width="6.33203125" style="327" customWidth="1"/>
    <col min="4" max="4" width="2.33203125" style="327" customWidth="1"/>
    <col min="5" max="6" width="6.77734375" style="327" hidden="1" customWidth="1" outlineLevel="1"/>
    <col min="7" max="7" width="6.33203125" style="327" hidden="1" customWidth="1" outlineLevel="1"/>
    <col min="8" max="8" width="6.33203125" style="327" customWidth="1" collapsed="1"/>
    <col min="9" max="11" width="6.33203125" style="327" customWidth="1"/>
    <col min="12" max="12" width="4.33203125" style="327" hidden="1" customWidth="1" outlineLevel="1"/>
    <col min="13" max="13" width="4.33203125" style="327" customWidth="1" collapsed="1"/>
    <col min="14" max="16" width="4.33203125" style="327" customWidth="1"/>
    <col min="17" max="17" width="6.33203125" style="327" hidden="1" customWidth="1" outlineLevel="1"/>
    <col min="18" max="18" width="6.33203125" style="327" customWidth="1" collapsed="1"/>
    <col min="19" max="21" width="6.33203125" style="327" customWidth="1"/>
    <col min="22" max="22" width="8" style="327" bestFit="1" customWidth="1"/>
    <col min="23" max="25" width="7.6640625" style="327"/>
    <col min="46" max="16384" width="7.6640625" style="327"/>
  </cols>
  <sheetData>
    <row r="1" spans="1:26" s="204" customFormat="1" ht="20.100000000000001" customHeight="1">
      <c r="A1" s="204" t="s">
        <v>804</v>
      </c>
    </row>
    <row r="2" spans="1:26" s="208" customFormat="1" ht="19.5" customHeight="1">
      <c r="A2" s="207" t="s">
        <v>1747</v>
      </c>
      <c r="G2" s="209"/>
      <c r="H2" s="209"/>
      <c r="J2" s="209"/>
      <c r="K2" s="209"/>
      <c r="L2" s="209"/>
      <c r="V2" s="334"/>
      <c r="W2" s="440" t="s">
        <v>2441</v>
      </c>
    </row>
    <row r="3" spans="1:26" ht="20.100000000000001" customHeight="1">
      <c r="A3" s="693" t="s">
        <v>1246</v>
      </c>
      <c r="B3" s="693"/>
      <c r="C3" s="693"/>
      <c r="D3" s="693"/>
      <c r="E3" s="696" t="s">
        <v>1290</v>
      </c>
      <c r="F3" s="696" t="s">
        <v>1280</v>
      </c>
      <c r="G3" s="693" t="s">
        <v>1281</v>
      </c>
      <c r="H3" s="693"/>
      <c r="I3" s="693"/>
      <c r="J3" s="693"/>
      <c r="K3" s="693"/>
      <c r="L3" s="693" t="s">
        <v>1282</v>
      </c>
      <c r="M3" s="693"/>
      <c r="N3" s="693"/>
      <c r="O3" s="693"/>
      <c r="P3" s="693"/>
      <c r="Q3" s="693" t="s">
        <v>1283</v>
      </c>
      <c r="R3" s="693"/>
      <c r="S3" s="693"/>
      <c r="T3" s="693"/>
      <c r="U3" s="693"/>
      <c r="W3" s="469">
        <f>'2.생활용수(연산)'!AA3</f>
        <v>1</v>
      </c>
    </row>
    <row r="4" spans="1:26" ht="20.100000000000001" customHeight="1">
      <c r="A4" s="693"/>
      <c r="B4" s="693"/>
      <c r="C4" s="693"/>
      <c r="D4" s="693"/>
      <c r="E4" s="693"/>
      <c r="F4" s="693"/>
      <c r="G4" s="404">
        <v>2013</v>
      </c>
      <c r="H4" s="527">
        <v>2015</v>
      </c>
      <c r="I4" s="527">
        <v>2020</v>
      </c>
      <c r="J4" s="527">
        <v>2025</v>
      </c>
      <c r="K4" s="527">
        <v>2030</v>
      </c>
      <c r="L4" s="404">
        <v>2013</v>
      </c>
      <c r="M4" s="527">
        <v>2015</v>
      </c>
      <c r="N4" s="527">
        <v>2020</v>
      </c>
      <c r="O4" s="527">
        <v>2025</v>
      </c>
      <c r="P4" s="527">
        <v>2030</v>
      </c>
      <c r="Q4" s="404">
        <v>2013</v>
      </c>
      <c r="R4" s="527">
        <v>2015</v>
      </c>
      <c r="S4" s="527">
        <v>2020</v>
      </c>
      <c r="T4" s="527">
        <v>2025</v>
      </c>
      <c r="U4" s="527">
        <v>2030</v>
      </c>
    </row>
    <row r="5" spans="1:26" ht="20.100000000000001" customHeight="1">
      <c r="A5" s="695" t="s">
        <v>1748</v>
      </c>
      <c r="B5" s="695"/>
      <c r="C5" s="695"/>
      <c r="D5" s="695"/>
      <c r="E5" s="407"/>
      <c r="F5" s="407"/>
      <c r="G5" s="408">
        <f t="shared" ref="G5:K5" si="0">G6+G72</f>
        <v>0</v>
      </c>
      <c r="H5" s="408">
        <f t="shared" si="0"/>
        <v>4804</v>
      </c>
      <c r="I5" s="408">
        <f t="shared" si="0"/>
        <v>5159</v>
      </c>
      <c r="J5" s="408">
        <f t="shared" si="0"/>
        <v>5595</v>
      </c>
      <c r="K5" s="408">
        <f t="shared" si="0"/>
        <v>5701</v>
      </c>
      <c r="L5" s="408"/>
      <c r="M5" s="408"/>
      <c r="N5" s="408"/>
      <c r="O5" s="408"/>
      <c r="P5" s="408"/>
      <c r="Q5" s="408">
        <f t="shared" ref="Q5:T5" si="1">Q6+Q72</f>
        <v>0</v>
      </c>
      <c r="R5" s="408">
        <f t="shared" si="1"/>
        <v>1458</v>
      </c>
      <c r="S5" s="408">
        <f t="shared" si="1"/>
        <v>1589</v>
      </c>
      <c r="T5" s="408">
        <f t="shared" si="1"/>
        <v>1735</v>
      </c>
      <c r="U5" s="408">
        <f>U6+U72</f>
        <v>1769</v>
      </c>
      <c r="V5" s="341"/>
      <c r="W5" s="335"/>
    </row>
    <row r="6" spans="1:26" ht="20.100000000000001" customHeight="1">
      <c r="A6" s="719" t="s">
        <v>2428</v>
      </c>
      <c r="B6" s="719"/>
      <c r="C6" s="719"/>
      <c r="D6" s="719"/>
      <c r="E6" s="332"/>
      <c r="F6" s="332"/>
      <c r="G6" s="298">
        <f t="shared" ref="G6:K6" si="2">G7+G34+G45</f>
        <v>0</v>
      </c>
      <c r="H6" s="298">
        <f t="shared" si="2"/>
        <v>2873</v>
      </c>
      <c r="I6" s="298">
        <f t="shared" si="2"/>
        <v>5159</v>
      </c>
      <c r="J6" s="298">
        <f t="shared" si="2"/>
        <v>5595</v>
      </c>
      <c r="K6" s="298">
        <f t="shared" si="2"/>
        <v>5701</v>
      </c>
      <c r="L6" s="298"/>
      <c r="M6" s="298"/>
      <c r="N6" s="298"/>
      <c r="O6" s="298"/>
      <c r="P6" s="298"/>
      <c r="Q6" s="298">
        <f t="shared" ref="Q6:T6" si="3">Q7+Q34+Q45</f>
        <v>0</v>
      </c>
      <c r="R6" s="298">
        <f t="shared" si="3"/>
        <v>871</v>
      </c>
      <c r="S6" s="298">
        <f t="shared" si="3"/>
        <v>1589</v>
      </c>
      <c r="T6" s="298">
        <f t="shared" si="3"/>
        <v>1735</v>
      </c>
      <c r="U6" s="298">
        <f>U7+U34+U45</f>
        <v>1769</v>
      </c>
      <c r="W6" s="343" t="str">
        <f t="shared" ref="W6" si="4">IF(ISERROR(U6/Q6),"",U6/Q6)</f>
        <v/>
      </c>
    </row>
    <row r="7" spans="1:26" ht="20.100000000000001" customHeight="1">
      <c r="A7" s="339"/>
      <c r="B7" s="694" t="s">
        <v>703</v>
      </c>
      <c r="C7" s="694"/>
      <c r="D7" s="694"/>
      <c r="E7" s="331"/>
      <c r="F7" s="331"/>
      <c r="G7" s="336">
        <f>SUM(G8:G33)</f>
        <v>0</v>
      </c>
      <c r="H7" s="336">
        <f t="shared" ref="H7:K7" si="5">SUM(H8:H33)</f>
        <v>1623</v>
      </c>
      <c r="I7" s="336">
        <f t="shared" si="5"/>
        <v>2741</v>
      </c>
      <c r="J7" s="336">
        <f t="shared" si="5"/>
        <v>2973</v>
      </c>
      <c r="K7" s="336">
        <f t="shared" si="5"/>
        <v>3030</v>
      </c>
      <c r="L7" s="336"/>
      <c r="M7" s="336"/>
      <c r="N7" s="336"/>
      <c r="O7" s="336"/>
      <c r="P7" s="336"/>
      <c r="Q7" s="336">
        <f t="shared" ref="Q7:U7" si="6">SUM(Q8:Q33)</f>
        <v>0</v>
      </c>
      <c r="R7" s="336">
        <f t="shared" si="6"/>
        <v>493</v>
      </c>
      <c r="S7" s="336">
        <f t="shared" si="6"/>
        <v>846</v>
      </c>
      <c r="T7" s="336">
        <f t="shared" si="6"/>
        <v>922</v>
      </c>
      <c r="U7" s="336">
        <f t="shared" si="6"/>
        <v>941</v>
      </c>
      <c r="V7" s="343">
        <f>VLOOKUP(B7,'2013년도 용수량 비율'!$A$5:$F$20,6,FALSE)</f>
        <v>1</v>
      </c>
    </row>
    <row r="8" spans="1:26" ht="20.100000000000001" customHeight="1">
      <c r="A8" s="340"/>
      <c r="B8" s="339"/>
      <c r="C8" s="406" t="s">
        <v>1733</v>
      </c>
      <c r="D8" s="330" t="s">
        <v>1300</v>
      </c>
      <c r="E8" s="404">
        <f>1-'2.생활용수(광석)'!E31</f>
        <v>1</v>
      </c>
      <c r="F8" s="404" t="s">
        <v>756</v>
      </c>
      <c r="G8" s="302">
        <f>IF($D8="A",ROUND(VLOOKUP($C8,'[2]2.행정구역별 급수인구'!$C$7:$AD$997,17,FALSE)*$E8,0),IF($D8="B",(ROUND(VLOOKUP($C8,'[2]2.행정구역별 급수인구'!$C$7:$AD$997,17,FALSE)-VLOOKUP($C8,'[2]2.행정구역별 급수인구'!$C$7:$AD$997,17,FALSE)*(1-$E8),0)),VLOOKUP($C8,'[2]2.행정구역별 급수인구'!$C$7:$AD$997,17,FALSE)))</f>
        <v>0</v>
      </c>
      <c r="H8" s="302">
        <f>IF($D8="A",ROUND(VLOOKUP($C8,'[2]2.행정구역별 급수인구'!$C$7:$AD$997,25,FALSE)*$E8,0),IF($D8="B",(ROUND(VLOOKUP($C8,'[2]2.행정구역별 급수인구'!$C$7:$AD$997,25,FALSE)-VLOOKUP($C8,'[2]2.행정구역별 급수인구'!$C$7:$AD$997,25,FALSE)*(1-$E8),0)),VLOOKUP($C8,'[2]2.행정구역별 급수인구'!$C$7:$AD$997,25,FALSE)))</f>
        <v>0</v>
      </c>
      <c r="I8" s="302">
        <f>IF($D8="A",ROUND(VLOOKUP($C8,'[2]2.행정구역별 급수인구'!$C$7:$AD$997,26,FALSE)*$E8,0),IF($D8="B",(ROUND(VLOOKUP($C8,'[2]2.행정구역별 급수인구'!$C$7:$AD$997,26,FALSE)-VLOOKUP($C8,'[2]2.행정구역별 급수인구'!$C$7:$AD$997,26,FALSE)*(1-$E8),0)),VLOOKUP($C8,'[2]2.행정구역별 급수인구'!$C$7:$AD$997,26,FALSE)))</f>
        <v>94</v>
      </c>
      <c r="J8" s="302">
        <f>IF($D8="A",ROUND(VLOOKUP($C8,'[2]2.행정구역별 급수인구'!$C$7:$AD$997,27,FALSE)*$E8,0),IF($D8="B",(ROUND(VLOOKUP($C8,'[2]2.행정구역별 급수인구'!$C$7:$AD$997,27,FALSE)-VLOOKUP($C8,'[2]2.행정구역별 급수인구'!$C$7:$AD$997,27,FALSE)*(1-$E8),0)),VLOOKUP($C8,'[2]2.행정구역별 급수인구'!$C$7:$AD$997,27,FALSE)))</f>
        <v>101</v>
      </c>
      <c r="K8" s="302">
        <f>IF($D8="A",ROUND(VLOOKUP($C8,'[2]2.행정구역별 급수인구'!$C$7:$AD$997,28,FALSE)*$E8,0),IF($D8="B",(ROUND(VLOOKUP($C8,'[2]2.행정구역별 급수인구'!$C$7:$AD$997,28,FALSE)-VLOOKUP($C8,'[2]2.행정구역별 급수인구'!$C$7:$AD$997,28,FALSE)*(1-$E8),0)),VLOOKUP($C8,'[2]2.행정구역별 급수인구'!$C$7:$AD$997,28,FALSE)))</f>
        <v>103</v>
      </c>
      <c r="L8" s="302">
        <f>VLOOKUP($F8,'[3]5.급수원단위'!$B$31:$G$35,2,FALSE)</f>
        <v>272</v>
      </c>
      <c r="M8" s="302">
        <f>VLOOKUP($F8,'[3]5.급수원단위'!$B$31:$G$35,3,FALSE)</f>
        <v>304</v>
      </c>
      <c r="N8" s="302">
        <f>VLOOKUP($F8,'[3]5.급수원단위'!$B$31:$G$35,4,FALSE)</f>
        <v>308</v>
      </c>
      <c r="O8" s="302">
        <f>VLOOKUP($F8,'[3]5.급수원단위'!$B$31:$G$35,5,FALSE)</f>
        <v>310</v>
      </c>
      <c r="P8" s="302">
        <f>VLOOKUP($F8,'[3]5.급수원단위'!$B$31:$G$35,6,FALSE)</f>
        <v>310</v>
      </c>
      <c r="Q8" s="302">
        <f>ROUND(IF(G8=0,0,VLOOKUP(C8,'2013실사용량 정리'!$D$6:$F$381,3,FALSE)),0)</f>
        <v>0</v>
      </c>
      <c r="R8" s="302">
        <f t="shared" ref="R8:U33" si="7">ROUND(H8*M8/1000,0)</f>
        <v>0</v>
      </c>
      <c r="S8" s="302">
        <f t="shared" si="7"/>
        <v>29</v>
      </c>
      <c r="T8" s="302">
        <f t="shared" si="7"/>
        <v>31</v>
      </c>
      <c r="U8" s="302">
        <f t="shared" si="7"/>
        <v>32</v>
      </c>
    </row>
    <row r="9" spans="1:26" ht="20.100000000000001" customHeight="1">
      <c r="A9" s="340"/>
      <c r="B9" s="340"/>
      <c r="C9" s="406" t="s">
        <v>1734</v>
      </c>
      <c r="D9" s="330" t="s">
        <v>1300</v>
      </c>
      <c r="E9" s="404">
        <f>1-'2.생활용수(광석)'!E32</f>
        <v>1</v>
      </c>
      <c r="F9" s="404" t="s">
        <v>756</v>
      </c>
      <c r="G9" s="302">
        <f>IF($D9="A",ROUND(VLOOKUP($C9,'[2]2.행정구역별 급수인구'!$C$7:$AD$997,17,FALSE)*$E9,0),IF($D9="B",(ROUND(VLOOKUP($C9,'[2]2.행정구역별 급수인구'!$C$7:$AD$997,17,FALSE)-VLOOKUP($C9,'[2]2.행정구역별 급수인구'!$C$7:$AD$997,17,FALSE)*(1-$E9),0)),VLOOKUP($C9,'[2]2.행정구역별 급수인구'!$C$7:$AD$997,17,FALSE)))</f>
        <v>0</v>
      </c>
      <c r="H9" s="302">
        <f>IF($D9="A",ROUND(VLOOKUP($C9,'[2]2.행정구역별 급수인구'!$C$7:$AD$997,25,FALSE)*$E9,0),IF($D9="B",(ROUND(VLOOKUP($C9,'[2]2.행정구역별 급수인구'!$C$7:$AD$997,25,FALSE)-VLOOKUP($C9,'[2]2.행정구역별 급수인구'!$C$7:$AD$997,25,FALSE)*(1-$E9),0)),VLOOKUP($C9,'[2]2.행정구역별 급수인구'!$C$7:$AD$997,25,FALSE)))</f>
        <v>0</v>
      </c>
      <c r="I9" s="302">
        <f>IF($D9="A",ROUND(VLOOKUP($C9,'[2]2.행정구역별 급수인구'!$C$7:$AD$997,26,FALSE)*$E9,0),IF($D9="B",(ROUND(VLOOKUP($C9,'[2]2.행정구역별 급수인구'!$C$7:$AD$997,26,FALSE)-VLOOKUP($C9,'[2]2.행정구역별 급수인구'!$C$7:$AD$997,26,FALSE)*(1-$E9),0)),VLOOKUP($C9,'[2]2.행정구역별 급수인구'!$C$7:$AD$997,26,FALSE)))</f>
        <v>135</v>
      </c>
      <c r="J9" s="302">
        <f>IF($D9="A",ROUND(VLOOKUP($C9,'[2]2.행정구역별 급수인구'!$C$7:$AD$997,27,FALSE)*$E9,0),IF($D9="B",(ROUND(VLOOKUP($C9,'[2]2.행정구역별 급수인구'!$C$7:$AD$997,27,FALSE)-VLOOKUP($C9,'[2]2.행정구역별 급수인구'!$C$7:$AD$997,27,FALSE)*(1-$E9),0)),VLOOKUP($C9,'[2]2.행정구역별 급수인구'!$C$7:$AD$997,27,FALSE)))</f>
        <v>147</v>
      </c>
      <c r="K9" s="302">
        <f>IF($D9="A",ROUND(VLOOKUP($C9,'[2]2.행정구역별 급수인구'!$C$7:$AD$997,28,FALSE)*$E9,0),IF($D9="B",(ROUND(VLOOKUP($C9,'[2]2.행정구역별 급수인구'!$C$7:$AD$997,28,FALSE)-VLOOKUP($C9,'[2]2.행정구역별 급수인구'!$C$7:$AD$997,28,FALSE)*(1-$E9),0)),VLOOKUP($C9,'[2]2.행정구역별 급수인구'!$C$7:$AD$997,28,FALSE)))</f>
        <v>150</v>
      </c>
      <c r="L9" s="302">
        <f>VLOOKUP($F9,'[3]5.급수원단위'!$B$31:$G$35,2,FALSE)</f>
        <v>272</v>
      </c>
      <c r="M9" s="302">
        <f>VLOOKUP($F9,'[3]5.급수원단위'!$B$31:$G$35,3,FALSE)</f>
        <v>304</v>
      </c>
      <c r="N9" s="302">
        <f>VLOOKUP($F9,'[3]5.급수원단위'!$B$31:$G$35,4,FALSE)</f>
        <v>308</v>
      </c>
      <c r="O9" s="302">
        <f>VLOOKUP($F9,'[3]5.급수원단위'!$B$31:$G$35,5,FALSE)</f>
        <v>310</v>
      </c>
      <c r="P9" s="302">
        <f>VLOOKUP($F9,'[3]5.급수원단위'!$B$31:$G$35,6,FALSE)</f>
        <v>310</v>
      </c>
      <c r="Q9" s="302">
        <f>ROUND(IF(G9=0,0,VLOOKUP(C9,'2013실사용량 정리'!$D$6:$F$381,3,FALSE)),0)</f>
        <v>0</v>
      </c>
      <c r="R9" s="302">
        <f t="shared" si="7"/>
        <v>0</v>
      </c>
      <c r="S9" s="302">
        <f t="shared" si="7"/>
        <v>42</v>
      </c>
      <c r="T9" s="302">
        <f t="shared" si="7"/>
        <v>46</v>
      </c>
      <c r="U9" s="302">
        <f t="shared" si="7"/>
        <v>47</v>
      </c>
      <c r="X9" s="479"/>
    </row>
    <row r="10" spans="1:26" ht="20.100000000000001" customHeight="1">
      <c r="A10" s="340"/>
      <c r="B10" s="340"/>
      <c r="C10" s="406" t="s">
        <v>1735</v>
      </c>
      <c r="D10" s="330" t="s">
        <v>1300</v>
      </c>
      <c r="E10" s="404">
        <f>1-'2.생활용수(광석)'!E33</f>
        <v>1</v>
      </c>
      <c r="F10" s="404" t="s">
        <v>756</v>
      </c>
      <c r="G10" s="302">
        <f>IF($D10="A",ROUND(VLOOKUP($C10,'[2]2.행정구역별 급수인구'!$C$7:$AD$997,17,FALSE)*$E10,0),IF($D10="B",(ROUND(VLOOKUP($C10,'[2]2.행정구역별 급수인구'!$C$7:$AD$997,17,FALSE)-VLOOKUP($C10,'[2]2.행정구역별 급수인구'!$C$7:$AD$997,17,FALSE)*(1-$E10),0)),VLOOKUP($C10,'[2]2.행정구역별 급수인구'!$C$7:$AD$997,17,FALSE)))</f>
        <v>0</v>
      </c>
      <c r="H10" s="302">
        <f>IF($D10="A",ROUND(VLOOKUP($C10,'[2]2.행정구역별 급수인구'!$C$7:$AD$997,25,FALSE)*$E10,0),IF($D10="B",(ROUND(VLOOKUP($C10,'[2]2.행정구역별 급수인구'!$C$7:$AD$997,25,FALSE)-VLOOKUP($C10,'[2]2.행정구역별 급수인구'!$C$7:$AD$997,25,FALSE)*(1-$E10),0)),VLOOKUP($C10,'[2]2.행정구역별 급수인구'!$C$7:$AD$997,25,FALSE)))</f>
        <v>0</v>
      </c>
      <c r="I10" s="302">
        <f>IF($D10="A",ROUND(VLOOKUP($C10,'[2]2.행정구역별 급수인구'!$C$7:$AD$997,26,FALSE)*$E10,0),IF($D10="B",(ROUND(VLOOKUP($C10,'[2]2.행정구역별 급수인구'!$C$7:$AD$997,26,FALSE)-VLOOKUP($C10,'[2]2.행정구역별 급수인구'!$C$7:$AD$997,26,FALSE)*(1-$E10),0)),VLOOKUP($C10,'[2]2.행정구역별 급수인구'!$C$7:$AD$997,26,FALSE)))</f>
        <v>52</v>
      </c>
      <c r="J10" s="302">
        <f>IF($D10="A",ROUND(VLOOKUP($C10,'[2]2.행정구역별 급수인구'!$C$7:$AD$997,27,FALSE)*$E10,0),IF($D10="B",(ROUND(VLOOKUP($C10,'[2]2.행정구역별 급수인구'!$C$7:$AD$997,27,FALSE)-VLOOKUP($C10,'[2]2.행정구역별 급수인구'!$C$7:$AD$997,27,FALSE)*(1-$E10),0)),VLOOKUP($C10,'[2]2.행정구역별 급수인구'!$C$7:$AD$997,27,FALSE)))</f>
        <v>57</v>
      </c>
      <c r="K10" s="302">
        <f>IF($D10="A",ROUND(VLOOKUP($C10,'[2]2.행정구역별 급수인구'!$C$7:$AD$997,28,FALSE)*$E10,0),IF($D10="B",(ROUND(VLOOKUP($C10,'[2]2.행정구역별 급수인구'!$C$7:$AD$997,28,FALSE)-VLOOKUP($C10,'[2]2.행정구역별 급수인구'!$C$7:$AD$997,28,FALSE)*(1-$E10),0)),VLOOKUP($C10,'[2]2.행정구역별 급수인구'!$C$7:$AD$997,28,FALSE)))</f>
        <v>57</v>
      </c>
      <c r="L10" s="302">
        <f>VLOOKUP($F10,'[3]5.급수원단위'!$B$31:$G$35,2,FALSE)</f>
        <v>272</v>
      </c>
      <c r="M10" s="302">
        <f>VLOOKUP($F10,'[3]5.급수원단위'!$B$31:$G$35,3,FALSE)</f>
        <v>304</v>
      </c>
      <c r="N10" s="302">
        <f>VLOOKUP($F10,'[3]5.급수원단위'!$B$31:$G$35,4,FALSE)</f>
        <v>308</v>
      </c>
      <c r="O10" s="302">
        <f>VLOOKUP($F10,'[3]5.급수원단위'!$B$31:$G$35,5,FALSE)</f>
        <v>310</v>
      </c>
      <c r="P10" s="302">
        <f>VLOOKUP($F10,'[3]5.급수원단위'!$B$31:$G$35,6,FALSE)</f>
        <v>310</v>
      </c>
      <c r="Q10" s="302">
        <f>ROUND(IF(G10=0,0,VLOOKUP(C10,'2013실사용량 정리'!$D$6:$F$381,3,FALSE)),0)</f>
        <v>0</v>
      </c>
      <c r="R10" s="302">
        <f t="shared" si="7"/>
        <v>0</v>
      </c>
      <c r="S10" s="302">
        <f t="shared" si="7"/>
        <v>16</v>
      </c>
      <c r="T10" s="302">
        <f t="shared" si="7"/>
        <v>18</v>
      </c>
      <c r="U10" s="302">
        <f t="shared" si="7"/>
        <v>18</v>
      </c>
    </row>
    <row r="11" spans="1:26" ht="20.100000000000001" customHeight="1">
      <c r="A11" s="386"/>
      <c r="B11" s="386"/>
      <c r="C11" s="406" t="s">
        <v>1736</v>
      </c>
      <c r="D11" s="330" t="s">
        <v>1300</v>
      </c>
      <c r="E11" s="404">
        <f>1-'2.생활용수(광석)'!E34</f>
        <v>1</v>
      </c>
      <c r="F11" s="404" t="s">
        <v>756</v>
      </c>
      <c r="G11" s="302">
        <f>IF($D11="A",ROUND(VLOOKUP($C11,'[2]2.행정구역별 급수인구'!$C$7:$AD$997,17,FALSE)*$E11,0),IF($D11="B",(ROUND(VLOOKUP($C11,'[2]2.행정구역별 급수인구'!$C$7:$AD$997,17,FALSE)-VLOOKUP($C11,'[2]2.행정구역별 급수인구'!$C$7:$AD$997,17,FALSE)*(1-$E11),0)),VLOOKUP($C11,'[2]2.행정구역별 급수인구'!$C$7:$AD$997,17,FALSE)))</f>
        <v>0</v>
      </c>
      <c r="H11" s="302">
        <f>IF($D11="A",ROUND(VLOOKUP($C11,'[2]2.행정구역별 급수인구'!$C$7:$AD$997,25,FALSE)*$E11,0),IF($D11="B",(ROUND(VLOOKUP($C11,'[2]2.행정구역별 급수인구'!$C$7:$AD$997,25,FALSE)-VLOOKUP($C11,'[2]2.행정구역별 급수인구'!$C$7:$AD$997,25,FALSE)*(1-$E11),0)),VLOOKUP($C11,'[2]2.행정구역별 급수인구'!$C$7:$AD$997,25,FALSE)))</f>
        <v>0</v>
      </c>
      <c r="I11" s="302">
        <f>IF($D11="A",ROUND(VLOOKUP($C11,'[2]2.행정구역별 급수인구'!$C$7:$AD$997,26,FALSE)*$E11,0),IF($D11="B",(ROUND(VLOOKUP($C11,'[2]2.행정구역별 급수인구'!$C$7:$AD$997,26,FALSE)-VLOOKUP($C11,'[2]2.행정구역별 급수인구'!$C$7:$AD$997,26,FALSE)*(1-$E11),0)),VLOOKUP($C11,'[2]2.행정구역별 급수인구'!$C$7:$AD$997,26,FALSE)))</f>
        <v>76</v>
      </c>
      <c r="J11" s="302">
        <f>IF($D11="A",ROUND(VLOOKUP($C11,'[2]2.행정구역별 급수인구'!$C$7:$AD$997,27,FALSE)*$E11,0),IF($D11="B",(ROUND(VLOOKUP($C11,'[2]2.행정구역별 급수인구'!$C$7:$AD$997,27,FALSE)-VLOOKUP($C11,'[2]2.행정구역별 급수인구'!$C$7:$AD$997,27,FALSE)*(1-$E11),0)),VLOOKUP($C11,'[2]2.행정구역별 급수인구'!$C$7:$AD$997,27,FALSE)))</f>
        <v>82</v>
      </c>
      <c r="K11" s="302">
        <f>IF($D11="A",ROUND(VLOOKUP($C11,'[2]2.행정구역별 급수인구'!$C$7:$AD$997,28,FALSE)*$E11,0),IF($D11="B",(ROUND(VLOOKUP($C11,'[2]2.행정구역별 급수인구'!$C$7:$AD$997,28,FALSE)-VLOOKUP($C11,'[2]2.행정구역별 급수인구'!$C$7:$AD$997,28,FALSE)*(1-$E11),0)),VLOOKUP($C11,'[2]2.행정구역별 급수인구'!$C$7:$AD$997,28,FALSE)))</f>
        <v>84</v>
      </c>
      <c r="L11" s="302">
        <f>VLOOKUP($F11,'[3]5.급수원단위'!$B$31:$G$35,2,FALSE)</f>
        <v>272</v>
      </c>
      <c r="M11" s="302">
        <f>VLOOKUP($F11,'[3]5.급수원단위'!$B$31:$G$35,3,FALSE)</f>
        <v>304</v>
      </c>
      <c r="N11" s="302">
        <f>VLOOKUP($F11,'[3]5.급수원단위'!$B$31:$G$35,4,FALSE)</f>
        <v>308</v>
      </c>
      <c r="O11" s="302">
        <f>VLOOKUP($F11,'[3]5.급수원단위'!$B$31:$G$35,5,FALSE)</f>
        <v>310</v>
      </c>
      <c r="P11" s="302">
        <f>VLOOKUP($F11,'[3]5.급수원단위'!$B$31:$G$35,6,FALSE)</f>
        <v>310</v>
      </c>
      <c r="Q11" s="302">
        <f>ROUND(IF(G11=0,0,VLOOKUP(C11,'2013실사용량 정리'!$D$6:$F$381,3,FALSE)),0)</f>
        <v>0</v>
      </c>
      <c r="R11" s="302">
        <f t="shared" si="7"/>
        <v>0</v>
      </c>
      <c r="S11" s="302">
        <f t="shared" si="7"/>
        <v>23</v>
      </c>
      <c r="T11" s="302">
        <f t="shared" si="7"/>
        <v>25</v>
      </c>
      <c r="U11" s="302">
        <f t="shared" si="7"/>
        <v>26</v>
      </c>
    </row>
    <row r="12" spans="1:26" ht="20.100000000000001" hidden="1" customHeight="1">
      <c r="A12" s="340"/>
      <c r="B12" s="340"/>
      <c r="C12" s="537" t="s">
        <v>1774</v>
      </c>
      <c r="D12" s="532" t="s">
        <v>1300</v>
      </c>
      <c r="E12" s="404">
        <f>1-'2.생활용수(광석)'!E35</f>
        <v>0</v>
      </c>
      <c r="F12" s="404" t="s">
        <v>756</v>
      </c>
      <c r="G12" s="302">
        <f>IF($D12="A",ROUND(VLOOKUP($C12,'[2]2.행정구역별 급수인구'!$C$7:$AD$997,17,FALSE)*$E12,0),IF($D12="B",(ROUND(VLOOKUP($C12,'[2]2.행정구역별 급수인구'!$C$7:$AD$997,17,FALSE)-VLOOKUP($C12,'[2]2.행정구역별 급수인구'!$C$7:$AD$997,17,FALSE)*(1-$E12),0)),VLOOKUP($C12,'[2]2.행정구역별 급수인구'!$C$7:$AD$997,17,FALSE)))</f>
        <v>0</v>
      </c>
      <c r="H12" s="538">
        <f>IF($D12="A",ROUND(VLOOKUP($C12,'[2]2.행정구역별 급수인구'!$C$7:$AD$997,25,FALSE)*$E12,0),IF($D12="B",(ROUND(VLOOKUP($C12,'[2]2.행정구역별 급수인구'!$C$7:$AD$997,25,FALSE)-VLOOKUP($C12,'[2]2.행정구역별 급수인구'!$C$7:$AD$997,25,FALSE)*(1-$E12),0)),VLOOKUP($C12,'[2]2.행정구역별 급수인구'!$C$7:$AD$997,25,FALSE)))</f>
        <v>0</v>
      </c>
      <c r="I12" s="538">
        <f>IF($D12="A",ROUND(VLOOKUP($C12,'[2]2.행정구역별 급수인구'!$C$7:$AD$997,26,FALSE)*$E12,0),IF($D12="B",(ROUND(VLOOKUP($C12,'[2]2.행정구역별 급수인구'!$C$7:$AD$997,26,FALSE)-VLOOKUP($C12,'[2]2.행정구역별 급수인구'!$C$7:$AD$997,26,FALSE)*(1-$E12),0)),VLOOKUP($C12,'[2]2.행정구역별 급수인구'!$C$7:$AD$997,26,FALSE)))</f>
        <v>0</v>
      </c>
      <c r="J12" s="538">
        <f>IF($D12="A",ROUND(VLOOKUP($C12,'[2]2.행정구역별 급수인구'!$C$7:$AD$997,27,FALSE)*$E12,0),IF($D12="B",(ROUND(VLOOKUP($C12,'[2]2.행정구역별 급수인구'!$C$7:$AD$997,27,FALSE)-VLOOKUP($C12,'[2]2.행정구역별 급수인구'!$C$7:$AD$997,27,FALSE)*(1-$E12),0)),VLOOKUP($C12,'[2]2.행정구역별 급수인구'!$C$7:$AD$997,27,FALSE)))</f>
        <v>0</v>
      </c>
      <c r="K12" s="538">
        <f>IF($D12="A",ROUND(VLOOKUP($C12,'[2]2.행정구역별 급수인구'!$C$7:$AD$997,28,FALSE)*$E12,0),IF($D12="B",(ROUND(VLOOKUP($C12,'[2]2.행정구역별 급수인구'!$C$7:$AD$997,28,FALSE)-VLOOKUP($C12,'[2]2.행정구역별 급수인구'!$C$7:$AD$997,28,FALSE)*(1-$E12),0)),VLOOKUP($C12,'[2]2.행정구역별 급수인구'!$C$7:$AD$997,28,FALSE)))</f>
        <v>0</v>
      </c>
      <c r="L12" s="302">
        <f>VLOOKUP($F12,'[3]5.급수원단위'!$B$31:$G$35,2,FALSE)</f>
        <v>272</v>
      </c>
      <c r="M12" s="538">
        <f>VLOOKUP($F12,'[3]5.급수원단위'!$B$31:$G$35,3,FALSE)</f>
        <v>304</v>
      </c>
      <c r="N12" s="538">
        <f>VLOOKUP($F12,'[3]5.급수원단위'!$B$31:$G$35,4,FALSE)</f>
        <v>308</v>
      </c>
      <c r="O12" s="538">
        <f>VLOOKUP($F12,'[3]5.급수원단위'!$B$31:$G$35,5,FALSE)</f>
        <v>310</v>
      </c>
      <c r="P12" s="538">
        <f>VLOOKUP($F12,'[3]5.급수원단위'!$B$31:$G$35,6,FALSE)</f>
        <v>310</v>
      </c>
      <c r="Q12" s="302">
        <f>ROUND(IF(G12=0,0,VLOOKUP(C12,'2013실사용량 정리'!$D$6:$F$381,3,FALSE)),0)</f>
        <v>0</v>
      </c>
      <c r="R12" s="538">
        <f t="shared" si="7"/>
        <v>0</v>
      </c>
      <c r="S12" s="538">
        <f t="shared" si="7"/>
        <v>0</v>
      </c>
      <c r="T12" s="538">
        <f t="shared" si="7"/>
        <v>0</v>
      </c>
      <c r="U12" s="538">
        <f t="shared" si="7"/>
        <v>0</v>
      </c>
      <c r="V12" s="327" t="s">
        <v>1828</v>
      </c>
      <c r="Z12">
        <f>400*1.5</f>
        <v>600</v>
      </c>
    </row>
    <row r="13" spans="1:26" ht="20.100000000000001" hidden="1" customHeight="1">
      <c r="A13" s="340"/>
      <c r="B13" s="340"/>
      <c r="C13" s="406" t="s">
        <v>1775</v>
      </c>
      <c r="D13" s="330" t="s">
        <v>1300</v>
      </c>
      <c r="E13" s="404">
        <f>1-'2.생활용수(광석)'!E36</f>
        <v>0</v>
      </c>
      <c r="F13" s="404" t="s">
        <v>756</v>
      </c>
      <c r="G13" s="302">
        <f>IF($D13="A",ROUND(VLOOKUP($C13,'[2]2.행정구역별 급수인구'!$C$7:$AD$997,17,FALSE)*$E13,0),IF($D13="B",(ROUND(VLOOKUP($C13,'[2]2.행정구역별 급수인구'!$C$7:$AD$997,17,FALSE)-VLOOKUP($C13,'[2]2.행정구역별 급수인구'!$C$7:$AD$997,17,FALSE)*(1-$E13),0)),VLOOKUP($C13,'[2]2.행정구역별 급수인구'!$C$7:$AD$997,17,FALSE)))</f>
        <v>0</v>
      </c>
      <c r="H13" s="302">
        <f>IF($D13="A",ROUND(VLOOKUP($C13,'[2]2.행정구역별 급수인구'!$C$7:$AD$997,25,FALSE)*$E13,0),IF($D13="B",(ROUND(VLOOKUP($C13,'[2]2.행정구역별 급수인구'!$C$7:$AD$997,25,FALSE)-VLOOKUP($C13,'[2]2.행정구역별 급수인구'!$C$7:$AD$997,25,FALSE)*(1-$E13),0)),VLOOKUP($C13,'[2]2.행정구역별 급수인구'!$C$7:$AD$997,25,FALSE)))</f>
        <v>0</v>
      </c>
      <c r="I13" s="302">
        <f>IF($D13="A",ROUND(VLOOKUP($C13,'[2]2.행정구역별 급수인구'!$C$7:$AD$997,26,FALSE)*$E13,0),IF($D13="B",(ROUND(VLOOKUP($C13,'[2]2.행정구역별 급수인구'!$C$7:$AD$997,26,FALSE)-VLOOKUP($C13,'[2]2.행정구역별 급수인구'!$C$7:$AD$997,26,FALSE)*(1-$E13),0)),VLOOKUP($C13,'[2]2.행정구역별 급수인구'!$C$7:$AD$997,26,FALSE)))</f>
        <v>0</v>
      </c>
      <c r="J13" s="302">
        <f>IF($D13="A",ROUND(VLOOKUP($C13,'[2]2.행정구역별 급수인구'!$C$7:$AD$997,27,FALSE)*$E13,0),IF($D13="B",(ROUND(VLOOKUP($C13,'[2]2.행정구역별 급수인구'!$C$7:$AD$997,27,FALSE)-VLOOKUP($C13,'[2]2.행정구역별 급수인구'!$C$7:$AD$997,27,FALSE)*(1-$E13),0)),VLOOKUP($C13,'[2]2.행정구역별 급수인구'!$C$7:$AD$997,27,FALSE)))</f>
        <v>0</v>
      </c>
      <c r="K13" s="302">
        <f>IF($D13="A",ROUND(VLOOKUP($C13,'[2]2.행정구역별 급수인구'!$C$7:$AD$997,28,FALSE)*$E13,0),IF($D13="B",(ROUND(VLOOKUP($C13,'[2]2.행정구역별 급수인구'!$C$7:$AD$997,28,FALSE)-VLOOKUP($C13,'[2]2.행정구역별 급수인구'!$C$7:$AD$997,28,FALSE)*(1-$E13),0)),VLOOKUP($C13,'[2]2.행정구역별 급수인구'!$C$7:$AD$997,28,FALSE)))</f>
        <v>0</v>
      </c>
      <c r="L13" s="302">
        <f>VLOOKUP($F13,'[3]5.급수원단위'!$B$31:$G$35,2,FALSE)</f>
        <v>272</v>
      </c>
      <c r="M13" s="302">
        <f>VLOOKUP($F13,'[3]5.급수원단위'!$B$31:$G$35,3,FALSE)</f>
        <v>304</v>
      </c>
      <c r="N13" s="302">
        <f>VLOOKUP($F13,'[3]5.급수원단위'!$B$31:$G$35,4,FALSE)</f>
        <v>308</v>
      </c>
      <c r="O13" s="302">
        <f>VLOOKUP($F13,'[3]5.급수원단위'!$B$31:$G$35,5,FALSE)</f>
        <v>310</v>
      </c>
      <c r="P13" s="302">
        <f>VLOOKUP($F13,'[3]5.급수원단위'!$B$31:$G$35,6,FALSE)</f>
        <v>310</v>
      </c>
      <c r="Q13" s="302">
        <f>ROUND(IF(G13=0,0,VLOOKUP(C13,'2013실사용량 정리'!$D$6:$F$381,3,FALSE)),0)</f>
        <v>0</v>
      </c>
      <c r="R13" s="302">
        <f t="shared" si="7"/>
        <v>0</v>
      </c>
      <c r="S13" s="302">
        <f t="shared" si="7"/>
        <v>0</v>
      </c>
      <c r="T13" s="302">
        <f t="shared" si="7"/>
        <v>0</v>
      </c>
      <c r="U13" s="302">
        <f t="shared" si="7"/>
        <v>0</v>
      </c>
      <c r="V13" s="327" t="s">
        <v>1828</v>
      </c>
    </row>
    <row r="14" spans="1:26" ht="20.100000000000001" hidden="1" customHeight="1">
      <c r="A14" s="340"/>
      <c r="B14" s="340"/>
      <c r="C14" s="406" t="s">
        <v>1737</v>
      </c>
      <c r="D14" s="330" t="s">
        <v>1300</v>
      </c>
      <c r="E14" s="404">
        <f>1-'2.생활용수(광석)'!E37</f>
        <v>0</v>
      </c>
      <c r="F14" s="404" t="s">
        <v>756</v>
      </c>
      <c r="G14" s="302">
        <f>IF($D14="A",ROUND(VLOOKUP($C14,'[2]2.행정구역별 급수인구'!$C$7:$AD$997,17,FALSE)*$E14,0),IF($D14="B",(ROUND(VLOOKUP($C14,'[2]2.행정구역별 급수인구'!$C$7:$AD$997,17,FALSE)-VLOOKUP($C14,'[2]2.행정구역별 급수인구'!$C$7:$AD$997,17,FALSE)*(1-$E14),0)),VLOOKUP($C14,'[2]2.행정구역별 급수인구'!$C$7:$AD$997,17,FALSE)))</f>
        <v>0</v>
      </c>
      <c r="H14" s="302">
        <f>IF($D14="A",ROUND(VLOOKUP($C14,'[2]2.행정구역별 급수인구'!$C$7:$AD$997,25,FALSE)*$E14,0),IF($D14="B",(ROUND(VLOOKUP($C14,'[2]2.행정구역별 급수인구'!$C$7:$AD$997,25,FALSE)-VLOOKUP($C14,'[2]2.행정구역별 급수인구'!$C$7:$AD$997,25,FALSE)*(1-$E14),0)),VLOOKUP($C14,'[2]2.행정구역별 급수인구'!$C$7:$AD$997,25,FALSE)))</f>
        <v>0</v>
      </c>
      <c r="I14" s="302">
        <f>IF($D14="A",ROUND(VLOOKUP($C14,'[2]2.행정구역별 급수인구'!$C$7:$AD$997,26,FALSE)*$E14,0),IF($D14="B",(ROUND(VLOOKUP($C14,'[2]2.행정구역별 급수인구'!$C$7:$AD$997,26,FALSE)-VLOOKUP($C14,'[2]2.행정구역별 급수인구'!$C$7:$AD$997,26,FALSE)*(1-$E14),0)),VLOOKUP($C14,'[2]2.행정구역별 급수인구'!$C$7:$AD$997,26,FALSE)))</f>
        <v>0</v>
      </c>
      <c r="J14" s="302">
        <f>IF($D14="A",ROUND(VLOOKUP($C14,'[2]2.행정구역별 급수인구'!$C$7:$AD$997,27,FALSE)*$E14,0),IF($D14="B",(ROUND(VLOOKUP($C14,'[2]2.행정구역별 급수인구'!$C$7:$AD$997,27,FALSE)-VLOOKUP($C14,'[2]2.행정구역별 급수인구'!$C$7:$AD$997,27,FALSE)*(1-$E14),0)),VLOOKUP($C14,'[2]2.행정구역별 급수인구'!$C$7:$AD$997,27,FALSE)))</f>
        <v>0</v>
      </c>
      <c r="K14" s="302">
        <f>IF($D14="A",ROUND(VLOOKUP($C14,'[2]2.행정구역별 급수인구'!$C$7:$AD$997,28,FALSE)*$E14,0),IF($D14="B",(ROUND(VLOOKUP($C14,'[2]2.행정구역별 급수인구'!$C$7:$AD$997,28,FALSE)-VLOOKUP($C14,'[2]2.행정구역별 급수인구'!$C$7:$AD$997,28,FALSE)*(1-$E14),0)),VLOOKUP($C14,'[2]2.행정구역별 급수인구'!$C$7:$AD$997,28,FALSE)))</f>
        <v>0</v>
      </c>
      <c r="L14" s="302">
        <f>VLOOKUP($F14,'[3]5.급수원단위'!$B$31:$G$35,2,FALSE)</f>
        <v>272</v>
      </c>
      <c r="M14" s="302">
        <f>VLOOKUP($F14,'[3]5.급수원단위'!$B$31:$G$35,3,FALSE)</f>
        <v>304</v>
      </c>
      <c r="N14" s="302">
        <f>VLOOKUP($F14,'[3]5.급수원단위'!$B$31:$G$35,4,FALSE)</f>
        <v>308</v>
      </c>
      <c r="O14" s="302">
        <f>VLOOKUP($F14,'[3]5.급수원단위'!$B$31:$G$35,5,FALSE)</f>
        <v>310</v>
      </c>
      <c r="P14" s="302">
        <f>VLOOKUP($F14,'[3]5.급수원단위'!$B$31:$G$35,6,FALSE)</f>
        <v>310</v>
      </c>
      <c r="Q14" s="302">
        <f>ROUND(IF(G14=0,0,VLOOKUP(C14,'2013실사용량 정리'!$D$6:$F$381,3,FALSE)),0)</f>
        <v>0</v>
      </c>
      <c r="R14" s="302">
        <f t="shared" si="7"/>
        <v>0</v>
      </c>
      <c r="S14" s="302">
        <f t="shared" si="7"/>
        <v>0</v>
      </c>
      <c r="T14" s="302">
        <f t="shared" si="7"/>
        <v>0</v>
      </c>
      <c r="U14" s="302">
        <f t="shared" si="7"/>
        <v>0</v>
      </c>
      <c r="V14" s="327" t="s">
        <v>1828</v>
      </c>
    </row>
    <row r="15" spans="1:26" ht="20.100000000000001" hidden="1" customHeight="1">
      <c r="A15" s="340"/>
      <c r="B15" s="340"/>
      <c r="C15" s="535" t="s">
        <v>1738</v>
      </c>
      <c r="D15" s="530" t="s">
        <v>1300</v>
      </c>
      <c r="E15" s="404">
        <f>1-'2.생활용수(광석)'!E38</f>
        <v>0</v>
      </c>
      <c r="F15" s="404" t="s">
        <v>756</v>
      </c>
      <c r="G15" s="302">
        <f>IF($D15="A",ROUND(VLOOKUP($C15,'[2]2.행정구역별 급수인구'!$C$7:$AD$997,17,FALSE)*$E15,0),IF($D15="B",(ROUND(VLOOKUP($C15,'[2]2.행정구역별 급수인구'!$C$7:$AD$997,17,FALSE)-VLOOKUP($C15,'[2]2.행정구역별 급수인구'!$C$7:$AD$997,17,FALSE)*(1-$E15),0)),VLOOKUP($C15,'[2]2.행정구역별 급수인구'!$C$7:$AD$997,17,FALSE)))</f>
        <v>0</v>
      </c>
      <c r="H15" s="536">
        <f>IF($D15="A",ROUND(VLOOKUP($C15,'[2]2.행정구역별 급수인구'!$C$7:$AD$997,25,FALSE)*$E15,0),IF($D15="B",(ROUND(VLOOKUP($C15,'[2]2.행정구역별 급수인구'!$C$7:$AD$997,25,FALSE)-VLOOKUP($C15,'[2]2.행정구역별 급수인구'!$C$7:$AD$997,25,FALSE)*(1-$E15),0)),VLOOKUP($C15,'[2]2.행정구역별 급수인구'!$C$7:$AD$997,25,FALSE)))</f>
        <v>0</v>
      </c>
      <c r="I15" s="536">
        <f>IF($D15="A",ROUND(VLOOKUP($C15,'[2]2.행정구역별 급수인구'!$C$7:$AD$997,26,FALSE)*$E15,0),IF($D15="B",(ROUND(VLOOKUP($C15,'[2]2.행정구역별 급수인구'!$C$7:$AD$997,26,FALSE)-VLOOKUP($C15,'[2]2.행정구역별 급수인구'!$C$7:$AD$997,26,FALSE)*(1-$E15),0)),VLOOKUP($C15,'[2]2.행정구역별 급수인구'!$C$7:$AD$997,26,FALSE)))</f>
        <v>0</v>
      </c>
      <c r="J15" s="536">
        <f>IF($D15="A",ROUND(VLOOKUP($C15,'[2]2.행정구역별 급수인구'!$C$7:$AD$997,27,FALSE)*$E15,0),IF($D15="B",(ROUND(VLOOKUP($C15,'[2]2.행정구역별 급수인구'!$C$7:$AD$997,27,FALSE)-VLOOKUP($C15,'[2]2.행정구역별 급수인구'!$C$7:$AD$997,27,FALSE)*(1-$E15),0)),VLOOKUP($C15,'[2]2.행정구역별 급수인구'!$C$7:$AD$997,27,FALSE)))</f>
        <v>0</v>
      </c>
      <c r="K15" s="536">
        <f>IF($D15="A",ROUND(VLOOKUP($C15,'[2]2.행정구역별 급수인구'!$C$7:$AD$997,28,FALSE)*$E15,0),IF($D15="B",(ROUND(VLOOKUP($C15,'[2]2.행정구역별 급수인구'!$C$7:$AD$997,28,FALSE)-VLOOKUP($C15,'[2]2.행정구역별 급수인구'!$C$7:$AD$997,28,FALSE)*(1-$E15),0)),VLOOKUP($C15,'[2]2.행정구역별 급수인구'!$C$7:$AD$997,28,FALSE)))</f>
        <v>0</v>
      </c>
      <c r="L15" s="302">
        <f>VLOOKUP($F15,'[3]5.급수원단위'!$B$31:$G$35,2,FALSE)</f>
        <v>272</v>
      </c>
      <c r="M15" s="536">
        <f>VLOOKUP($F15,'[3]5.급수원단위'!$B$31:$G$35,3,FALSE)</f>
        <v>304</v>
      </c>
      <c r="N15" s="536">
        <f>VLOOKUP($F15,'[3]5.급수원단위'!$B$31:$G$35,4,FALSE)</f>
        <v>308</v>
      </c>
      <c r="O15" s="536">
        <f>VLOOKUP($F15,'[3]5.급수원단위'!$B$31:$G$35,5,FALSE)</f>
        <v>310</v>
      </c>
      <c r="P15" s="536">
        <f>VLOOKUP($F15,'[3]5.급수원단위'!$B$31:$G$35,6,FALSE)</f>
        <v>310</v>
      </c>
      <c r="Q15" s="302">
        <f>ROUND(IF(G15=0,0,VLOOKUP(C15,'2013실사용량 정리'!$D$6:$F$381,3,FALSE)),0)</f>
        <v>0</v>
      </c>
      <c r="R15" s="536">
        <f t="shared" si="7"/>
        <v>0</v>
      </c>
      <c r="S15" s="536">
        <f t="shared" si="7"/>
        <v>0</v>
      </c>
      <c r="T15" s="536">
        <f t="shared" si="7"/>
        <v>0</v>
      </c>
      <c r="U15" s="536">
        <f t="shared" si="7"/>
        <v>0</v>
      </c>
      <c r="V15" s="327" t="s">
        <v>1828</v>
      </c>
    </row>
    <row r="16" spans="1:26" ht="20.100000000000001" customHeight="1">
      <c r="A16" s="539"/>
      <c r="B16" s="539"/>
      <c r="C16" s="406" t="s">
        <v>1739</v>
      </c>
      <c r="D16" s="330" t="s">
        <v>1300</v>
      </c>
      <c r="E16" s="404">
        <f>1-'2.생활용수(광석)'!E39</f>
        <v>1</v>
      </c>
      <c r="F16" s="404" t="s">
        <v>756</v>
      </c>
      <c r="G16" s="302">
        <f>IF($D16="A",ROUND(VLOOKUP($C16,'[2]2.행정구역별 급수인구'!$C$7:$AD$997,17,FALSE)*$E16,0),IF($D16="B",(ROUND(VLOOKUP($C16,'[2]2.행정구역별 급수인구'!$C$7:$AD$997,17,FALSE)-VLOOKUP($C16,'[2]2.행정구역별 급수인구'!$C$7:$AD$997,17,FALSE)*(1-$E16),0)),VLOOKUP($C16,'[2]2.행정구역별 급수인구'!$C$7:$AD$997,17,FALSE)))</f>
        <v>0</v>
      </c>
      <c r="H16" s="302">
        <f>IF($D16="A",ROUND(VLOOKUP($C16,'[2]2.행정구역별 급수인구'!$C$7:$AD$997,25,FALSE)*$E16,0),IF($D16="B",(ROUND(VLOOKUP($C16,'[2]2.행정구역별 급수인구'!$C$7:$AD$997,25,FALSE)-VLOOKUP($C16,'[2]2.행정구역별 급수인구'!$C$7:$AD$997,25,FALSE)*(1-$E16),0)),VLOOKUP($C16,'[2]2.행정구역별 급수인구'!$C$7:$AD$997,25,FALSE)))</f>
        <v>0</v>
      </c>
      <c r="I16" s="302">
        <f>IF($D16="A",ROUND(VLOOKUP($C16,'[2]2.행정구역별 급수인구'!$C$7:$AD$997,26,FALSE)*$E16,0),IF($D16="B",(ROUND(VLOOKUP($C16,'[2]2.행정구역별 급수인구'!$C$7:$AD$997,26,FALSE)-VLOOKUP($C16,'[2]2.행정구역별 급수인구'!$C$7:$AD$997,26,FALSE)*(1-$E16),0)),VLOOKUP($C16,'[2]2.행정구역별 급수인구'!$C$7:$AD$997,26,FALSE)))</f>
        <v>90</v>
      </c>
      <c r="J16" s="302">
        <f>IF($D16="A",ROUND(VLOOKUP($C16,'[2]2.행정구역별 급수인구'!$C$7:$AD$997,27,FALSE)*$E16,0),IF($D16="B",(ROUND(VLOOKUP($C16,'[2]2.행정구역별 급수인구'!$C$7:$AD$997,27,FALSE)-VLOOKUP($C16,'[2]2.행정구역별 급수인구'!$C$7:$AD$997,27,FALSE)*(1-$E16),0)),VLOOKUP($C16,'[2]2.행정구역별 급수인구'!$C$7:$AD$997,27,FALSE)))</f>
        <v>96</v>
      </c>
      <c r="K16" s="302">
        <f>IF($D16="A",ROUND(VLOOKUP($C16,'[2]2.행정구역별 급수인구'!$C$7:$AD$997,28,FALSE)*$E16,0),IF($D16="B",(ROUND(VLOOKUP($C16,'[2]2.행정구역별 급수인구'!$C$7:$AD$997,28,FALSE)-VLOOKUP($C16,'[2]2.행정구역별 급수인구'!$C$7:$AD$997,28,FALSE)*(1-$E16),0)),VLOOKUP($C16,'[2]2.행정구역별 급수인구'!$C$7:$AD$997,28,FALSE)))</f>
        <v>98</v>
      </c>
      <c r="L16" s="302">
        <f>VLOOKUP($F16,'[3]5.급수원단위'!$B$31:$G$35,2,FALSE)</f>
        <v>272</v>
      </c>
      <c r="M16" s="302">
        <f>VLOOKUP($F16,'[3]5.급수원단위'!$B$31:$G$35,3,FALSE)</f>
        <v>304</v>
      </c>
      <c r="N16" s="302">
        <f>VLOOKUP($F16,'[3]5.급수원단위'!$B$31:$G$35,4,FALSE)</f>
        <v>308</v>
      </c>
      <c r="O16" s="302">
        <f>VLOOKUP($F16,'[3]5.급수원단위'!$B$31:$G$35,5,FALSE)</f>
        <v>310</v>
      </c>
      <c r="P16" s="302">
        <f>VLOOKUP($F16,'[3]5.급수원단위'!$B$31:$G$35,6,FALSE)</f>
        <v>310</v>
      </c>
      <c r="Q16" s="302">
        <f>ROUND(IF(G16=0,0,VLOOKUP(C16,'2013실사용량 정리'!$D$6:$F$381,3,FALSE)),0)</f>
        <v>0</v>
      </c>
      <c r="R16" s="302">
        <f t="shared" si="7"/>
        <v>0</v>
      </c>
      <c r="S16" s="302">
        <f t="shared" si="7"/>
        <v>28</v>
      </c>
      <c r="T16" s="302">
        <f t="shared" si="7"/>
        <v>30</v>
      </c>
      <c r="U16" s="302">
        <f t="shared" si="7"/>
        <v>30</v>
      </c>
    </row>
    <row r="17" spans="1:22" ht="20.100000000000001" hidden="1" customHeight="1">
      <c r="A17" s="340"/>
      <c r="B17" s="340"/>
      <c r="C17" s="542" t="s">
        <v>1740</v>
      </c>
      <c r="D17" s="543" t="s">
        <v>1300</v>
      </c>
      <c r="E17" s="404">
        <f>1-'2.생활용수(광석)'!E40</f>
        <v>0</v>
      </c>
      <c r="F17" s="404" t="s">
        <v>756</v>
      </c>
      <c r="G17" s="302">
        <f>IF($D17="A",ROUND(VLOOKUP($C17,'[2]2.행정구역별 급수인구'!$C$7:$AD$997,17,FALSE)*$E17,0),IF($D17="B",(ROUND(VLOOKUP($C17,'[2]2.행정구역별 급수인구'!$C$7:$AD$997,17,FALSE)-VLOOKUP($C17,'[2]2.행정구역별 급수인구'!$C$7:$AD$997,17,FALSE)*(1-$E17),0)),VLOOKUP($C17,'[2]2.행정구역별 급수인구'!$C$7:$AD$997,17,FALSE)))</f>
        <v>0</v>
      </c>
      <c r="H17" s="544">
        <f>IF($D17="A",ROUND(VLOOKUP($C17,'[2]2.행정구역별 급수인구'!$C$7:$AD$997,25,FALSE)*$E17,0),IF($D17="B",(ROUND(VLOOKUP($C17,'[2]2.행정구역별 급수인구'!$C$7:$AD$997,25,FALSE)-VLOOKUP($C17,'[2]2.행정구역별 급수인구'!$C$7:$AD$997,25,FALSE)*(1-$E17),0)),VLOOKUP($C17,'[2]2.행정구역별 급수인구'!$C$7:$AD$997,25,FALSE)))</f>
        <v>0</v>
      </c>
      <c r="I17" s="544">
        <f>IF($D17="A",ROUND(VLOOKUP($C17,'[2]2.행정구역별 급수인구'!$C$7:$AD$997,26,FALSE)*$E17,0),IF($D17="B",(ROUND(VLOOKUP($C17,'[2]2.행정구역별 급수인구'!$C$7:$AD$997,26,FALSE)-VLOOKUP($C17,'[2]2.행정구역별 급수인구'!$C$7:$AD$997,26,FALSE)*(1-$E17),0)),VLOOKUP($C17,'[2]2.행정구역별 급수인구'!$C$7:$AD$997,26,FALSE)))</f>
        <v>0</v>
      </c>
      <c r="J17" s="544">
        <f>IF($D17="A",ROUND(VLOOKUP($C17,'[2]2.행정구역별 급수인구'!$C$7:$AD$997,27,FALSE)*$E17,0),IF($D17="B",(ROUND(VLOOKUP($C17,'[2]2.행정구역별 급수인구'!$C$7:$AD$997,27,FALSE)-VLOOKUP($C17,'[2]2.행정구역별 급수인구'!$C$7:$AD$997,27,FALSE)*(1-$E17),0)),VLOOKUP($C17,'[2]2.행정구역별 급수인구'!$C$7:$AD$997,27,FALSE)))</f>
        <v>0</v>
      </c>
      <c r="K17" s="544">
        <f>IF($D17="A",ROUND(VLOOKUP($C17,'[2]2.행정구역별 급수인구'!$C$7:$AD$997,28,FALSE)*$E17,0),IF($D17="B",(ROUND(VLOOKUP($C17,'[2]2.행정구역별 급수인구'!$C$7:$AD$997,28,FALSE)-VLOOKUP($C17,'[2]2.행정구역별 급수인구'!$C$7:$AD$997,28,FALSE)*(1-$E17),0)),VLOOKUP($C17,'[2]2.행정구역별 급수인구'!$C$7:$AD$997,28,FALSE)))</f>
        <v>0</v>
      </c>
      <c r="L17" s="302">
        <f>VLOOKUP($F17,'[3]5.급수원단위'!$B$31:$G$35,2,FALSE)</f>
        <v>272</v>
      </c>
      <c r="M17" s="544">
        <f>VLOOKUP($F17,'[3]5.급수원단위'!$B$31:$G$35,3,FALSE)</f>
        <v>304</v>
      </c>
      <c r="N17" s="544">
        <f>VLOOKUP($F17,'[3]5.급수원단위'!$B$31:$G$35,4,FALSE)</f>
        <v>308</v>
      </c>
      <c r="O17" s="544">
        <f>VLOOKUP($F17,'[3]5.급수원단위'!$B$31:$G$35,5,FALSE)</f>
        <v>310</v>
      </c>
      <c r="P17" s="544">
        <f>VLOOKUP($F17,'[3]5.급수원단위'!$B$31:$G$35,6,FALSE)</f>
        <v>310</v>
      </c>
      <c r="Q17" s="302">
        <f>ROUND(IF(G17=0,0,VLOOKUP(C17,'2013실사용량 정리'!$D$6:$F$381,3,FALSE)),0)</f>
        <v>0</v>
      </c>
      <c r="R17" s="544">
        <f t="shared" si="7"/>
        <v>0</v>
      </c>
      <c r="S17" s="544">
        <f t="shared" si="7"/>
        <v>0</v>
      </c>
      <c r="T17" s="544">
        <f t="shared" si="7"/>
        <v>0</v>
      </c>
      <c r="U17" s="544">
        <f t="shared" si="7"/>
        <v>0</v>
      </c>
      <c r="V17" s="327" t="s">
        <v>1828</v>
      </c>
    </row>
    <row r="18" spans="1:22" ht="20.100000000000001" customHeight="1">
      <c r="A18" s="339"/>
      <c r="B18" s="339"/>
      <c r="C18" s="406" t="s">
        <v>1741</v>
      </c>
      <c r="D18" s="330" t="s">
        <v>1300</v>
      </c>
      <c r="E18" s="404">
        <f>1-'2.생활용수(광석)'!E41</f>
        <v>1</v>
      </c>
      <c r="F18" s="404" t="s">
        <v>756</v>
      </c>
      <c r="G18" s="302">
        <f>IF($D18="A",ROUND(VLOOKUP($C18,'[2]2.행정구역별 급수인구'!$C$7:$AD$997,17,FALSE)*$E18,0),IF($D18="B",(ROUND(VLOOKUP($C18,'[2]2.행정구역별 급수인구'!$C$7:$AD$997,17,FALSE)-VLOOKUP($C18,'[2]2.행정구역별 급수인구'!$C$7:$AD$997,17,FALSE)*(1-$E18),0)),VLOOKUP($C18,'[2]2.행정구역별 급수인구'!$C$7:$AD$997,17,FALSE)))</f>
        <v>0</v>
      </c>
      <c r="H18" s="302">
        <f>IF($D18="A",ROUND(VLOOKUP($C18,'[2]2.행정구역별 급수인구'!$C$7:$AD$997,25,FALSE)*$E18,0),IF($D18="B",(ROUND(VLOOKUP($C18,'[2]2.행정구역별 급수인구'!$C$7:$AD$997,25,FALSE)-VLOOKUP($C18,'[2]2.행정구역별 급수인구'!$C$7:$AD$997,25,FALSE)*(1-$E18),0)),VLOOKUP($C18,'[2]2.행정구역별 급수인구'!$C$7:$AD$997,25,FALSE)))</f>
        <v>0</v>
      </c>
      <c r="I18" s="302">
        <f>IF($D18="A",ROUND(VLOOKUP($C18,'[2]2.행정구역별 급수인구'!$C$7:$AD$997,26,FALSE)*$E18,0),IF($D18="B",(ROUND(VLOOKUP($C18,'[2]2.행정구역별 급수인구'!$C$7:$AD$997,26,FALSE)-VLOOKUP($C18,'[2]2.행정구역별 급수인구'!$C$7:$AD$997,26,FALSE)*(1-$E18),0)),VLOOKUP($C18,'[2]2.행정구역별 급수인구'!$C$7:$AD$997,26,FALSE)))</f>
        <v>133</v>
      </c>
      <c r="J18" s="302">
        <f>IF($D18="A",ROUND(VLOOKUP($C18,'[2]2.행정구역별 급수인구'!$C$7:$AD$997,27,FALSE)*$E18,0),IF($D18="B",(ROUND(VLOOKUP($C18,'[2]2.행정구역별 급수인구'!$C$7:$AD$997,27,FALSE)-VLOOKUP($C18,'[2]2.행정구역별 급수인구'!$C$7:$AD$997,27,FALSE)*(1-$E18),0)),VLOOKUP($C18,'[2]2.행정구역별 급수인구'!$C$7:$AD$997,27,FALSE)))</f>
        <v>145</v>
      </c>
      <c r="K18" s="302">
        <f>IF($D18="A",ROUND(VLOOKUP($C18,'[2]2.행정구역별 급수인구'!$C$7:$AD$997,28,FALSE)*$E18,0),IF($D18="B",(ROUND(VLOOKUP($C18,'[2]2.행정구역별 급수인구'!$C$7:$AD$997,28,FALSE)-VLOOKUP($C18,'[2]2.행정구역별 급수인구'!$C$7:$AD$997,28,FALSE)*(1-$E18),0)),VLOOKUP($C18,'[2]2.행정구역별 급수인구'!$C$7:$AD$997,28,FALSE)))</f>
        <v>148</v>
      </c>
      <c r="L18" s="302">
        <f>VLOOKUP($F18,'[3]5.급수원단위'!$B$31:$G$35,2,FALSE)</f>
        <v>272</v>
      </c>
      <c r="M18" s="302">
        <f>VLOOKUP($F18,'[3]5.급수원단위'!$B$31:$G$35,3,FALSE)</f>
        <v>304</v>
      </c>
      <c r="N18" s="302">
        <f>VLOOKUP($F18,'[3]5.급수원단위'!$B$31:$G$35,4,FALSE)</f>
        <v>308</v>
      </c>
      <c r="O18" s="302">
        <f>VLOOKUP($F18,'[3]5.급수원단위'!$B$31:$G$35,5,FALSE)</f>
        <v>310</v>
      </c>
      <c r="P18" s="302">
        <f>VLOOKUP($F18,'[3]5.급수원단위'!$B$31:$G$35,6,FALSE)</f>
        <v>310</v>
      </c>
      <c r="Q18" s="302">
        <f>ROUND(IF(G18=0,0,VLOOKUP(C18,'2013실사용량 정리'!$D$6:$F$381,3,FALSE)),0)</f>
        <v>0</v>
      </c>
      <c r="R18" s="302">
        <f t="shared" si="7"/>
        <v>0</v>
      </c>
      <c r="S18" s="302">
        <f t="shared" si="7"/>
        <v>41</v>
      </c>
      <c r="T18" s="302">
        <f t="shared" si="7"/>
        <v>45</v>
      </c>
      <c r="U18" s="302">
        <f t="shared" si="7"/>
        <v>46</v>
      </c>
    </row>
    <row r="19" spans="1:22" ht="20.100000000000001" customHeight="1">
      <c r="A19" s="340"/>
      <c r="B19" s="340"/>
      <c r="C19" s="406" t="s">
        <v>1742</v>
      </c>
      <c r="D19" s="330" t="s">
        <v>1300</v>
      </c>
      <c r="E19" s="404">
        <f>1-'2.생활용수(광석)'!E42</f>
        <v>1</v>
      </c>
      <c r="F19" s="404" t="s">
        <v>756</v>
      </c>
      <c r="G19" s="302">
        <f>IF($D19="A",ROUND(VLOOKUP($C19,'[2]2.행정구역별 급수인구'!$C$7:$AD$997,17,FALSE)*$E19,0),IF($D19="B",(ROUND(VLOOKUP($C19,'[2]2.행정구역별 급수인구'!$C$7:$AD$997,17,FALSE)-VLOOKUP($C19,'[2]2.행정구역별 급수인구'!$C$7:$AD$997,17,FALSE)*(1-$E19),0)),VLOOKUP($C19,'[2]2.행정구역별 급수인구'!$C$7:$AD$997,17,FALSE)))</f>
        <v>0</v>
      </c>
      <c r="H19" s="302">
        <f>IF($D19="A",ROUND(VLOOKUP($C19,'[2]2.행정구역별 급수인구'!$C$7:$AD$997,25,FALSE)*$E19,0),IF($D19="B",(ROUND(VLOOKUP($C19,'[2]2.행정구역별 급수인구'!$C$7:$AD$997,25,FALSE)-VLOOKUP($C19,'[2]2.행정구역별 급수인구'!$C$7:$AD$997,25,FALSE)*(1-$E19),0)),VLOOKUP($C19,'[2]2.행정구역별 급수인구'!$C$7:$AD$997,25,FALSE)))</f>
        <v>0</v>
      </c>
      <c r="I19" s="302">
        <f>IF($D19="A",ROUND(VLOOKUP($C19,'[2]2.행정구역별 급수인구'!$C$7:$AD$997,26,FALSE)*$E19,0),IF($D19="B",(ROUND(VLOOKUP($C19,'[2]2.행정구역별 급수인구'!$C$7:$AD$997,26,FALSE)-VLOOKUP($C19,'[2]2.행정구역별 급수인구'!$C$7:$AD$997,26,FALSE)*(1-$E19),0)),VLOOKUP($C19,'[2]2.행정구역별 급수인구'!$C$7:$AD$997,26,FALSE)))</f>
        <v>101</v>
      </c>
      <c r="J19" s="302">
        <f>IF($D19="A",ROUND(VLOOKUP($C19,'[2]2.행정구역별 급수인구'!$C$7:$AD$997,27,FALSE)*$E19,0),IF($D19="B",(ROUND(VLOOKUP($C19,'[2]2.행정구역별 급수인구'!$C$7:$AD$997,27,FALSE)-VLOOKUP($C19,'[2]2.행정구역별 급수인구'!$C$7:$AD$997,27,FALSE)*(1-$E19),0)),VLOOKUP($C19,'[2]2.행정구역별 급수인구'!$C$7:$AD$997,27,FALSE)))</f>
        <v>110</v>
      </c>
      <c r="K19" s="302">
        <f>IF($D19="A",ROUND(VLOOKUP($C19,'[2]2.행정구역별 급수인구'!$C$7:$AD$997,28,FALSE)*$E19,0),IF($D19="B",(ROUND(VLOOKUP($C19,'[2]2.행정구역별 급수인구'!$C$7:$AD$997,28,FALSE)-VLOOKUP($C19,'[2]2.행정구역별 급수인구'!$C$7:$AD$997,28,FALSE)*(1-$E19),0)),VLOOKUP($C19,'[2]2.행정구역별 급수인구'!$C$7:$AD$997,28,FALSE)))</f>
        <v>112</v>
      </c>
      <c r="L19" s="302">
        <f>VLOOKUP($F19,'[3]5.급수원단위'!$B$31:$G$35,2,FALSE)</f>
        <v>272</v>
      </c>
      <c r="M19" s="302">
        <f>VLOOKUP($F19,'[3]5.급수원단위'!$B$31:$G$35,3,FALSE)</f>
        <v>304</v>
      </c>
      <c r="N19" s="302">
        <f>VLOOKUP($F19,'[3]5.급수원단위'!$B$31:$G$35,4,FALSE)</f>
        <v>308</v>
      </c>
      <c r="O19" s="302">
        <f>VLOOKUP($F19,'[3]5.급수원단위'!$B$31:$G$35,5,FALSE)</f>
        <v>310</v>
      </c>
      <c r="P19" s="302">
        <f>VLOOKUP($F19,'[3]5.급수원단위'!$B$31:$G$35,6,FALSE)</f>
        <v>310</v>
      </c>
      <c r="Q19" s="302">
        <f>ROUND(IF(G19=0,0,VLOOKUP(C19,'2013실사용량 정리'!$D$6:$F$381,3,FALSE)),0)</f>
        <v>0</v>
      </c>
      <c r="R19" s="302">
        <f t="shared" si="7"/>
        <v>0</v>
      </c>
      <c r="S19" s="302">
        <f t="shared" si="7"/>
        <v>31</v>
      </c>
      <c r="T19" s="302">
        <f t="shared" si="7"/>
        <v>34</v>
      </c>
      <c r="U19" s="302">
        <f t="shared" si="7"/>
        <v>35</v>
      </c>
    </row>
    <row r="20" spans="1:22" ht="20.100000000000001" customHeight="1">
      <c r="A20" s="340"/>
      <c r="B20" s="340"/>
      <c r="C20" s="406" t="s">
        <v>1743</v>
      </c>
      <c r="D20" s="330" t="s">
        <v>1300</v>
      </c>
      <c r="E20" s="404">
        <f>1-'2.생활용수(광석)'!E43</f>
        <v>1</v>
      </c>
      <c r="F20" s="404" t="s">
        <v>756</v>
      </c>
      <c r="G20" s="302">
        <f>IF($D20="A",ROUND(VLOOKUP($C20,'[2]2.행정구역별 급수인구'!$C$7:$AD$997,17,FALSE)*$E20,0),IF($D20="B",(ROUND(VLOOKUP($C20,'[2]2.행정구역별 급수인구'!$C$7:$AD$997,17,FALSE)-VLOOKUP($C20,'[2]2.행정구역별 급수인구'!$C$7:$AD$997,17,FALSE)*(1-$E20),0)),VLOOKUP($C20,'[2]2.행정구역별 급수인구'!$C$7:$AD$997,17,FALSE)))</f>
        <v>0</v>
      </c>
      <c r="H20" s="302">
        <f>IF($D20="A",ROUND(VLOOKUP($C20,'[2]2.행정구역별 급수인구'!$C$7:$AD$997,25,FALSE)*$E20,0),IF($D20="B",(ROUND(VLOOKUP($C20,'[2]2.행정구역별 급수인구'!$C$7:$AD$997,25,FALSE)-VLOOKUP($C20,'[2]2.행정구역별 급수인구'!$C$7:$AD$997,25,FALSE)*(1-$E20),0)),VLOOKUP($C20,'[2]2.행정구역별 급수인구'!$C$7:$AD$997,25,FALSE)))</f>
        <v>0</v>
      </c>
      <c r="I20" s="302">
        <f>IF($D20="A",ROUND(VLOOKUP($C20,'[2]2.행정구역별 급수인구'!$C$7:$AD$997,26,FALSE)*$E20,0),IF($D20="B",(ROUND(VLOOKUP($C20,'[2]2.행정구역별 급수인구'!$C$7:$AD$997,26,FALSE)-VLOOKUP($C20,'[2]2.행정구역별 급수인구'!$C$7:$AD$997,26,FALSE)*(1-$E20),0)),VLOOKUP($C20,'[2]2.행정구역별 급수인구'!$C$7:$AD$997,26,FALSE)))</f>
        <v>82</v>
      </c>
      <c r="J20" s="302">
        <f>IF($D20="A",ROUND(VLOOKUP($C20,'[2]2.행정구역별 급수인구'!$C$7:$AD$997,27,FALSE)*$E20,0),IF($D20="B",(ROUND(VLOOKUP($C20,'[2]2.행정구역별 급수인구'!$C$7:$AD$997,27,FALSE)-VLOOKUP($C20,'[2]2.행정구역별 급수인구'!$C$7:$AD$997,27,FALSE)*(1-$E20),0)),VLOOKUP($C20,'[2]2.행정구역별 급수인구'!$C$7:$AD$997,27,FALSE)))</f>
        <v>90</v>
      </c>
      <c r="K20" s="302">
        <f>IF($D20="A",ROUND(VLOOKUP($C20,'[2]2.행정구역별 급수인구'!$C$7:$AD$997,28,FALSE)*$E20,0),IF($D20="B",(ROUND(VLOOKUP($C20,'[2]2.행정구역별 급수인구'!$C$7:$AD$997,28,FALSE)-VLOOKUP($C20,'[2]2.행정구역별 급수인구'!$C$7:$AD$997,28,FALSE)*(1-$E20),0)),VLOOKUP($C20,'[2]2.행정구역별 급수인구'!$C$7:$AD$997,28,FALSE)))</f>
        <v>90</v>
      </c>
      <c r="L20" s="302">
        <f>VLOOKUP($F20,'[3]5.급수원단위'!$B$31:$G$35,2,FALSE)</f>
        <v>272</v>
      </c>
      <c r="M20" s="302">
        <f>VLOOKUP($F20,'[3]5.급수원단위'!$B$31:$G$35,3,FALSE)</f>
        <v>304</v>
      </c>
      <c r="N20" s="302">
        <f>VLOOKUP($F20,'[3]5.급수원단위'!$B$31:$G$35,4,FALSE)</f>
        <v>308</v>
      </c>
      <c r="O20" s="302">
        <f>VLOOKUP($F20,'[3]5.급수원단위'!$B$31:$G$35,5,FALSE)</f>
        <v>310</v>
      </c>
      <c r="P20" s="302">
        <f>VLOOKUP($F20,'[3]5.급수원단위'!$B$31:$G$35,6,FALSE)</f>
        <v>310</v>
      </c>
      <c r="Q20" s="302">
        <f>ROUND(IF(G20=0,0,VLOOKUP(C20,'2013실사용량 정리'!$D$6:$F$381,3,FALSE)),0)</f>
        <v>0</v>
      </c>
      <c r="R20" s="302">
        <f t="shared" si="7"/>
        <v>0</v>
      </c>
      <c r="S20" s="302">
        <f t="shared" si="7"/>
        <v>25</v>
      </c>
      <c r="T20" s="302">
        <f t="shared" si="7"/>
        <v>28</v>
      </c>
      <c r="U20" s="302">
        <f t="shared" si="7"/>
        <v>28</v>
      </c>
    </row>
    <row r="21" spans="1:22" ht="20.100000000000001" customHeight="1">
      <c r="A21" s="340"/>
      <c r="B21" s="340"/>
      <c r="C21" s="406" t="s">
        <v>1744</v>
      </c>
      <c r="D21" s="330" t="s">
        <v>1300</v>
      </c>
      <c r="E21" s="404">
        <f>1-'2.생활용수(광석)'!E44</f>
        <v>1</v>
      </c>
      <c r="F21" s="404" t="s">
        <v>756</v>
      </c>
      <c r="G21" s="302">
        <f>IF($D21="A",ROUND(VLOOKUP($C21,'[2]2.행정구역별 급수인구'!$C$7:$AD$997,17,FALSE)*$E21,0),IF($D21="B",(ROUND(VLOOKUP($C21,'[2]2.행정구역별 급수인구'!$C$7:$AD$997,17,FALSE)-VLOOKUP($C21,'[2]2.행정구역별 급수인구'!$C$7:$AD$997,17,FALSE)*(1-$E21),0)),VLOOKUP($C21,'[2]2.행정구역별 급수인구'!$C$7:$AD$997,17,FALSE)))</f>
        <v>0</v>
      </c>
      <c r="H21" s="302">
        <f>IF($D21="A",ROUND(VLOOKUP($C21,'[2]2.행정구역별 급수인구'!$C$7:$AD$997,25,FALSE)*$E21,0),IF($D21="B",(ROUND(VLOOKUP($C21,'[2]2.행정구역별 급수인구'!$C$7:$AD$997,25,FALSE)-VLOOKUP($C21,'[2]2.행정구역별 급수인구'!$C$7:$AD$997,25,FALSE)*(1-$E21),0)),VLOOKUP($C21,'[2]2.행정구역별 급수인구'!$C$7:$AD$997,25,FALSE)))</f>
        <v>0</v>
      </c>
      <c r="I21" s="302">
        <f>IF($D21="A",ROUND(VLOOKUP($C21,'[2]2.행정구역별 급수인구'!$C$7:$AD$997,26,FALSE)*$E21,0),IF($D21="B",(ROUND(VLOOKUP($C21,'[2]2.행정구역별 급수인구'!$C$7:$AD$997,26,FALSE)-VLOOKUP($C21,'[2]2.행정구역별 급수인구'!$C$7:$AD$997,26,FALSE)*(1-$E21),0)),VLOOKUP($C21,'[2]2.행정구역별 급수인구'!$C$7:$AD$997,26,FALSE)))</f>
        <v>109</v>
      </c>
      <c r="J21" s="302">
        <f>IF($D21="A",ROUND(VLOOKUP($C21,'[2]2.행정구역별 급수인구'!$C$7:$AD$997,27,FALSE)*$E21,0),IF($D21="B",(ROUND(VLOOKUP($C21,'[2]2.행정구역별 급수인구'!$C$7:$AD$997,27,FALSE)-VLOOKUP($C21,'[2]2.행정구역별 급수인구'!$C$7:$AD$997,27,FALSE)*(1-$E21),0)),VLOOKUP($C21,'[2]2.행정구역별 급수인구'!$C$7:$AD$997,27,FALSE)))</f>
        <v>118</v>
      </c>
      <c r="K21" s="302">
        <f>IF($D21="A",ROUND(VLOOKUP($C21,'[2]2.행정구역별 급수인구'!$C$7:$AD$997,28,FALSE)*$E21,0),IF($D21="B",(ROUND(VLOOKUP($C21,'[2]2.행정구역별 급수인구'!$C$7:$AD$997,28,FALSE)-VLOOKUP($C21,'[2]2.행정구역별 급수인구'!$C$7:$AD$997,28,FALSE)*(1-$E21),0)),VLOOKUP($C21,'[2]2.행정구역별 급수인구'!$C$7:$AD$997,28,FALSE)))</f>
        <v>121</v>
      </c>
      <c r="L21" s="302">
        <f>VLOOKUP($F21,'[3]5.급수원단위'!$B$31:$G$35,2,FALSE)</f>
        <v>272</v>
      </c>
      <c r="M21" s="302">
        <f>VLOOKUP($F21,'[3]5.급수원단위'!$B$31:$G$35,3,FALSE)</f>
        <v>304</v>
      </c>
      <c r="N21" s="302">
        <f>VLOOKUP($F21,'[3]5.급수원단위'!$B$31:$G$35,4,FALSE)</f>
        <v>308</v>
      </c>
      <c r="O21" s="302">
        <f>VLOOKUP($F21,'[3]5.급수원단위'!$B$31:$G$35,5,FALSE)</f>
        <v>310</v>
      </c>
      <c r="P21" s="302">
        <f>VLOOKUP($F21,'[3]5.급수원단위'!$B$31:$G$35,6,FALSE)</f>
        <v>310</v>
      </c>
      <c r="Q21" s="302">
        <f>ROUND(IF(G21=0,0,VLOOKUP(C21,'2013실사용량 정리'!$D$6:$F$381,3,FALSE)),0)</f>
        <v>0</v>
      </c>
      <c r="R21" s="302">
        <f t="shared" si="7"/>
        <v>0</v>
      </c>
      <c r="S21" s="302">
        <f t="shared" si="7"/>
        <v>34</v>
      </c>
      <c r="T21" s="302">
        <f t="shared" si="7"/>
        <v>37</v>
      </c>
      <c r="U21" s="302">
        <f t="shared" si="7"/>
        <v>38</v>
      </c>
    </row>
    <row r="22" spans="1:22" ht="20.100000000000001" customHeight="1">
      <c r="A22" s="340"/>
      <c r="B22" s="340"/>
      <c r="C22" s="406" t="s">
        <v>1745</v>
      </c>
      <c r="D22" s="330" t="s">
        <v>1300</v>
      </c>
      <c r="E22" s="404">
        <f>1-'2.생활용수(광석)'!E45</f>
        <v>1</v>
      </c>
      <c r="F22" s="404" t="s">
        <v>756</v>
      </c>
      <c r="G22" s="302">
        <f>IF($D22="A",ROUND(VLOOKUP($C22,'[2]2.행정구역별 급수인구'!$C$7:$AD$997,17,FALSE)*$E22,0),IF($D22="B",(ROUND(VLOOKUP($C22,'[2]2.행정구역별 급수인구'!$C$7:$AD$997,17,FALSE)-VLOOKUP($C22,'[2]2.행정구역별 급수인구'!$C$7:$AD$997,17,FALSE)*(1-$E22),0)),VLOOKUP($C22,'[2]2.행정구역별 급수인구'!$C$7:$AD$997,17,FALSE)))</f>
        <v>0</v>
      </c>
      <c r="H22" s="302">
        <f>IF($D22="A",ROUND(VLOOKUP($C22,'[2]2.행정구역별 급수인구'!$C$7:$AD$997,25,FALSE)*$E22,0),IF($D22="B",(ROUND(VLOOKUP($C22,'[2]2.행정구역별 급수인구'!$C$7:$AD$997,25,FALSE)-VLOOKUP($C22,'[2]2.행정구역별 급수인구'!$C$7:$AD$997,25,FALSE)*(1-$E22),0)),VLOOKUP($C22,'[2]2.행정구역별 급수인구'!$C$7:$AD$997,25,FALSE)))</f>
        <v>0</v>
      </c>
      <c r="I22" s="302">
        <f>IF($D22="A",ROUND(VLOOKUP($C22,'[2]2.행정구역별 급수인구'!$C$7:$AD$997,26,FALSE)*$E22,0),IF($D22="B",(ROUND(VLOOKUP($C22,'[2]2.행정구역별 급수인구'!$C$7:$AD$997,26,FALSE)-VLOOKUP($C22,'[2]2.행정구역별 급수인구'!$C$7:$AD$997,26,FALSE)*(1-$E22),0)),VLOOKUP($C22,'[2]2.행정구역별 급수인구'!$C$7:$AD$997,26,FALSE)))</f>
        <v>71</v>
      </c>
      <c r="J22" s="302">
        <f>IF($D22="A",ROUND(VLOOKUP($C22,'[2]2.행정구역별 급수인구'!$C$7:$AD$997,27,FALSE)*$E22,0),IF($D22="B",(ROUND(VLOOKUP($C22,'[2]2.행정구역별 급수인구'!$C$7:$AD$997,27,FALSE)-VLOOKUP($C22,'[2]2.행정구역별 급수인구'!$C$7:$AD$997,27,FALSE)*(1-$E22),0)),VLOOKUP($C22,'[2]2.행정구역별 급수인구'!$C$7:$AD$997,27,FALSE)))</f>
        <v>77</v>
      </c>
      <c r="K22" s="302">
        <f>IF($D22="A",ROUND(VLOOKUP($C22,'[2]2.행정구역별 급수인구'!$C$7:$AD$997,28,FALSE)*$E22,0),IF($D22="B",(ROUND(VLOOKUP($C22,'[2]2.행정구역별 급수인구'!$C$7:$AD$997,28,FALSE)-VLOOKUP($C22,'[2]2.행정구역별 급수인구'!$C$7:$AD$997,28,FALSE)*(1-$E22),0)),VLOOKUP($C22,'[2]2.행정구역별 급수인구'!$C$7:$AD$997,28,FALSE)))</f>
        <v>78</v>
      </c>
      <c r="L22" s="302">
        <f>VLOOKUP($F22,'[3]5.급수원단위'!$B$31:$G$35,2,FALSE)</f>
        <v>272</v>
      </c>
      <c r="M22" s="302">
        <f>VLOOKUP($F22,'[3]5.급수원단위'!$B$31:$G$35,3,FALSE)</f>
        <v>304</v>
      </c>
      <c r="N22" s="302">
        <f>VLOOKUP($F22,'[3]5.급수원단위'!$B$31:$G$35,4,FALSE)</f>
        <v>308</v>
      </c>
      <c r="O22" s="302">
        <f>VLOOKUP($F22,'[3]5.급수원단위'!$B$31:$G$35,5,FALSE)</f>
        <v>310</v>
      </c>
      <c r="P22" s="302">
        <f>VLOOKUP($F22,'[3]5.급수원단위'!$B$31:$G$35,6,FALSE)</f>
        <v>310</v>
      </c>
      <c r="Q22" s="302">
        <f>ROUND(IF(G22=0,0,VLOOKUP(C22,'2013실사용량 정리'!$D$6:$F$381,3,FALSE)),0)</f>
        <v>0</v>
      </c>
      <c r="R22" s="302">
        <f t="shared" si="7"/>
        <v>0</v>
      </c>
      <c r="S22" s="302">
        <f t="shared" si="7"/>
        <v>22</v>
      </c>
      <c r="T22" s="302">
        <f t="shared" si="7"/>
        <v>24</v>
      </c>
      <c r="U22" s="302">
        <f t="shared" si="7"/>
        <v>24</v>
      </c>
    </row>
    <row r="23" spans="1:22" ht="20.100000000000001" customHeight="1">
      <c r="A23" s="340"/>
      <c r="B23" s="340"/>
      <c r="C23" s="406" t="s">
        <v>1749</v>
      </c>
      <c r="D23" s="330" t="s">
        <v>1300</v>
      </c>
      <c r="E23" s="404">
        <f>1-'2.생활용수(광석)'!E46</f>
        <v>1</v>
      </c>
      <c r="F23" s="404" t="s">
        <v>756</v>
      </c>
      <c r="G23" s="302">
        <f>IF($D23="A",ROUND(VLOOKUP($C23,'[2]2.행정구역별 급수인구'!$C$7:$AD$997,17,FALSE)*$E23,0),IF($D23="B",(ROUND(VLOOKUP($C23,'[2]2.행정구역별 급수인구'!$C$7:$AD$997,17,FALSE)-VLOOKUP($C23,'[2]2.행정구역별 급수인구'!$C$7:$AD$997,17,FALSE)*(1-$E23),0)),VLOOKUP($C23,'[2]2.행정구역별 급수인구'!$C$7:$AD$997,17,FALSE)))</f>
        <v>0</v>
      </c>
      <c r="H23" s="302">
        <f>IF($D23="A",ROUND(VLOOKUP($C23,'[2]2.행정구역별 급수인구'!$C$7:$AD$997,25,FALSE)*$E23,0),IF($D23="B",(ROUND(VLOOKUP($C23,'[2]2.행정구역별 급수인구'!$C$7:$AD$997,25,FALSE)-VLOOKUP($C23,'[2]2.행정구역별 급수인구'!$C$7:$AD$997,25,FALSE)*(1-$E23),0)),VLOOKUP($C23,'[2]2.행정구역별 급수인구'!$C$7:$AD$997,25,FALSE)))</f>
        <v>194</v>
      </c>
      <c r="I23" s="302">
        <f>IF($D23="A",ROUND(VLOOKUP($C23,'[2]2.행정구역별 급수인구'!$C$7:$AD$997,26,FALSE)*$E23,0),IF($D23="B",(ROUND(VLOOKUP($C23,'[2]2.행정구역별 급수인구'!$C$7:$AD$997,26,FALSE)-VLOOKUP($C23,'[2]2.행정구역별 급수인구'!$C$7:$AD$997,26,FALSE)*(1-$E23),0)),VLOOKUP($C23,'[2]2.행정구역별 급수인구'!$C$7:$AD$997,26,FALSE)))</f>
        <v>204</v>
      </c>
      <c r="J23" s="302">
        <f>IF($D23="A",ROUND(VLOOKUP($C23,'[2]2.행정구역별 급수인구'!$C$7:$AD$997,27,FALSE)*$E23,0),IF($D23="B",(ROUND(VLOOKUP($C23,'[2]2.행정구역별 급수인구'!$C$7:$AD$997,27,FALSE)-VLOOKUP($C23,'[2]2.행정구역별 급수인구'!$C$7:$AD$997,27,FALSE)*(1-$E23),0)),VLOOKUP($C23,'[2]2.행정구역별 급수인구'!$C$7:$AD$997,27,FALSE)))</f>
        <v>221</v>
      </c>
      <c r="K23" s="302">
        <f>IF($D23="A",ROUND(VLOOKUP($C23,'[2]2.행정구역별 급수인구'!$C$7:$AD$997,28,FALSE)*$E23,0),IF($D23="B",(ROUND(VLOOKUP($C23,'[2]2.행정구역별 급수인구'!$C$7:$AD$997,28,FALSE)-VLOOKUP($C23,'[2]2.행정구역별 급수인구'!$C$7:$AD$997,28,FALSE)*(1-$E23),0)),VLOOKUP($C23,'[2]2.행정구역별 급수인구'!$C$7:$AD$997,28,FALSE)))</f>
        <v>225</v>
      </c>
      <c r="L23" s="302">
        <f>VLOOKUP($F23,'[3]5.급수원단위'!$B$31:$G$35,2,FALSE)</f>
        <v>272</v>
      </c>
      <c r="M23" s="302">
        <f>VLOOKUP($F23,'[3]5.급수원단위'!$B$31:$G$35,3,FALSE)</f>
        <v>304</v>
      </c>
      <c r="N23" s="302">
        <f>VLOOKUP($F23,'[3]5.급수원단위'!$B$31:$G$35,4,FALSE)</f>
        <v>308</v>
      </c>
      <c r="O23" s="302">
        <f>VLOOKUP($F23,'[3]5.급수원단위'!$B$31:$G$35,5,FALSE)</f>
        <v>310</v>
      </c>
      <c r="P23" s="302">
        <f>VLOOKUP($F23,'[3]5.급수원단위'!$B$31:$G$35,6,FALSE)</f>
        <v>310</v>
      </c>
      <c r="Q23" s="302">
        <f>ROUND(IF(G23=0,0,VLOOKUP(C23,'2013실사용량 정리'!$D$6:$F$381,3,FALSE)),0)</f>
        <v>0</v>
      </c>
      <c r="R23" s="302">
        <f t="shared" si="7"/>
        <v>59</v>
      </c>
      <c r="S23" s="302">
        <f t="shared" si="7"/>
        <v>63</v>
      </c>
      <c r="T23" s="302">
        <f t="shared" si="7"/>
        <v>69</v>
      </c>
      <c r="U23" s="302">
        <f t="shared" si="7"/>
        <v>70</v>
      </c>
    </row>
    <row r="24" spans="1:22" ht="20.100000000000001" customHeight="1">
      <c r="A24" s="340"/>
      <c r="B24" s="340"/>
      <c r="C24" s="406" t="s">
        <v>1750</v>
      </c>
      <c r="D24" s="330" t="s">
        <v>1300</v>
      </c>
      <c r="E24" s="404">
        <f>1-'2.생활용수(광석)'!E47</f>
        <v>1</v>
      </c>
      <c r="F24" s="404" t="s">
        <v>756</v>
      </c>
      <c r="G24" s="302">
        <f>IF($D24="A",ROUND(VLOOKUP($C24,'[2]2.행정구역별 급수인구'!$C$7:$AD$997,17,FALSE)*$E24,0),IF($D24="B",(ROUND(VLOOKUP($C24,'[2]2.행정구역별 급수인구'!$C$7:$AD$997,17,FALSE)-VLOOKUP($C24,'[2]2.행정구역별 급수인구'!$C$7:$AD$997,17,FALSE)*(1-$E24),0)),VLOOKUP($C24,'[2]2.행정구역별 급수인구'!$C$7:$AD$997,17,FALSE)))</f>
        <v>0</v>
      </c>
      <c r="H24" s="302">
        <f>IF($D24="A",ROUND(VLOOKUP($C24,'[2]2.행정구역별 급수인구'!$C$7:$AD$997,25,FALSE)*$E24,0),IF($D24="B",(ROUND(VLOOKUP($C24,'[2]2.행정구역별 급수인구'!$C$7:$AD$997,25,FALSE)-VLOOKUP($C24,'[2]2.행정구역별 급수인구'!$C$7:$AD$997,25,FALSE)*(1-$E24),0)),VLOOKUP($C24,'[2]2.행정구역별 급수인구'!$C$7:$AD$997,25,FALSE)))</f>
        <v>192</v>
      </c>
      <c r="I24" s="302">
        <f>IF($D24="A",ROUND(VLOOKUP($C24,'[2]2.행정구역별 급수인구'!$C$7:$AD$997,26,FALSE)*$E24,0),IF($D24="B",(ROUND(VLOOKUP($C24,'[2]2.행정구역별 급수인구'!$C$7:$AD$997,26,FALSE)-VLOOKUP($C24,'[2]2.행정구역별 급수인구'!$C$7:$AD$997,26,FALSE)*(1-$E24),0)),VLOOKUP($C24,'[2]2.행정구역별 급수인구'!$C$7:$AD$997,26,FALSE)))</f>
        <v>201</v>
      </c>
      <c r="J24" s="302">
        <f>IF($D24="A",ROUND(VLOOKUP($C24,'[2]2.행정구역별 급수인구'!$C$7:$AD$997,27,FALSE)*$E24,0),IF($D24="B",(ROUND(VLOOKUP($C24,'[2]2.행정구역별 급수인구'!$C$7:$AD$997,27,FALSE)-VLOOKUP($C24,'[2]2.행정구역별 급수인구'!$C$7:$AD$997,27,FALSE)*(1-$E24),0)),VLOOKUP($C24,'[2]2.행정구역별 급수인구'!$C$7:$AD$997,27,FALSE)))</f>
        <v>220</v>
      </c>
      <c r="K24" s="302">
        <f>IF($D24="A",ROUND(VLOOKUP($C24,'[2]2.행정구역별 급수인구'!$C$7:$AD$997,28,FALSE)*$E24,0),IF($D24="B",(ROUND(VLOOKUP($C24,'[2]2.행정구역별 급수인구'!$C$7:$AD$997,28,FALSE)-VLOOKUP($C24,'[2]2.행정구역별 급수인구'!$C$7:$AD$997,28,FALSE)*(1-$E24),0)),VLOOKUP($C24,'[2]2.행정구역별 급수인구'!$C$7:$AD$997,28,FALSE)))</f>
        <v>223</v>
      </c>
      <c r="L24" s="302">
        <f>VLOOKUP($F24,'[3]5.급수원단위'!$B$31:$G$35,2,FALSE)</f>
        <v>272</v>
      </c>
      <c r="M24" s="302">
        <f>VLOOKUP($F24,'[3]5.급수원단위'!$B$31:$G$35,3,FALSE)</f>
        <v>304</v>
      </c>
      <c r="N24" s="302">
        <f>VLOOKUP($F24,'[3]5.급수원단위'!$B$31:$G$35,4,FALSE)</f>
        <v>308</v>
      </c>
      <c r="O24" s="302">
        <f>VLOOKUP($F24,'[3]5.급수원단위'!$B$31:$G$35,5,FALSE)</f>
        <v>310</v>
      </c>
      <c r="P24" s="302">
        <f>VLOOKUP($F24,'[3]5.급수원단위'!$B$31:$G$35,6,FALSE)</f>
        <v>310</v>
      </c>
      <c r="Q24" s="302">
        <f>ROUND(IF(G24=0,0,VLOOKUP(C24,'2013실사용량 정리'!$D$6:$F$381,3,FALSE)),0)</f>
        <v>0</v>
      </c>
      <c r="R24" s="302">
        <f t="shared" si="7"/>
        <v>58</v>
      </c>
      <c r="S24" s="302">
        <f t="shared" si="7"/>
        <v>62</v>
      </c>
      <c r="T24" s="302">
        <f t="shared" si="7"/>
        <v>68</v>
      </c>
      <c r="U24" s="302">
        <f t="shared" si="7"/>
        <v>69</v>
      </c>
    </row>
    <row r="25" spans="1:22" ht="20.100000000000001" customHeight="1">
      <c r="A25" s="340"/>
      <c r="B25" s="340"/>
      <c r="C25" s="406" t="s">
        <v>1751</v>
      </c>
      <c r="D25" s="330" t="s">
        <v>1300</v>
      </c>
      <c r="E25" s="404">
        <f>1-'2.생활용수(광석)'!E48</f>
        <v>1</v>
      </c>
      <c r="F25" s="404" t="s">
        <v>756</v>
      </c>
      <c r="G25" s="302">
        <f>IF($D25="A",ROUND(VLOOKUP($C25,'[2]2.행정구역별 급수인구'!$C$7:$AD$997,17,FALSE)*$E25,0),IF($D25="B",(ROUND(VLOOKUP($C25,'[2]2.행정구역별 급수인구'!$C$7:$AD$997,17,FALSE)-VLOOKUP($C25,'[2]2.행정구역별 급수인구'!$C$7:$AD$997,17,FALSE)*(1-$E25),0)),VLOOKUP($C25,'[2]2.행정구역별 급수인구'!$C$7:$AD$997,17,FALSE)))</f>
        <v>0</v>
      </c>
      <c r="H25" s="302">
        <f>IF($D25="A",ROUND(VLOOKUP($C25,'[2]2.행정구역별 급수인구'!$C$7:$AD$997,25,FALSE)*$E25,0),IF($D25="B",(ROUND(VLOOKUP($C25,'[2]2.행정구역별 급수인구'!$C$7:$AD$997,25,FALSE)-VLOOKUP($C25,'[2]2.행정구역별 급수인구'!$C$7:$AD$997,25,FALSE)*(1-$E25),0)),VLOOKUP($C25,'[2]2.행정구역별 급수인구'!$C$7:$AD$997,25,FALSE)))</f>
        <v>104</v>
      </c>
      <c r="I25" s="302">
        <f>IF($D25="A",ROUND(VLOOKUP($C25,'[2]2.행정구역별 급수인구'!$C$7:$AD$997,26,FALSE)*$E25,0),IF($D25="B",(ROUND(VLOOKUP($C25,'[2]2.행정구역별 급수인구'!$C$7:$AD$997,26,FALSE)-VLOOKUP($C25,'[2]2.행정구역별 급수인구'!$C$7:$AD$997,26,FALSE)*(1-$E25),0)),VLOOKUP($C25,'[2]2.행정구역별 급수인구'!$C$7:$AD$997,26,FALSE)))</f>
        <v>109</v>
      </c>
      <c r="J25" s="302">
        <f>IF($D25="A",ROUND(VLOOKUP($C25,'[2]2.행정구역별 급수인구'!$C$7:$AD$997,27,FALSE)*$E25,0),IF($D25="B",(ROUND(VLOOKUP($C25,'[2]2.행정구역별 급수인구'!$C$7:$AD$997,27,FALSE)-VLOOKUP($C25,'[2]2.행정구역별 급수인구'!$C$7:$AD$997,27,FALSE)*(1-$E25),0)),VLOOKUP($C25,'[2]2.행정구역별 급수인구'!$C$7:$AD$997,27,FALSE)))</f>
        <v>118</v>
      </c>
      <c r="K25" s="302">
        <f>IF($D25="A",ROUND(VLOOKUP($C25,'[2]2.행정구역별 급수인구'!$C$7:$AD$997,28,FALSE)*$E25,0),IF($D25="B",(ROUND(VLOOKUP($C25,'[2]2.행정구역별 급수인구'!$C$7:$AD$997,28,FALSE)-VLOOKUP($C25,'[2]2.행정구역별 급수인구'!$C$7:$AD$997,28,FALSE)*(1-$E25),0)),VLOOKUP($C25,'[2]2.행정구역별 급수인구'!$C$7:$AD$997,28,FALSE)))</f>
        <v>121</v>
      </c>
      <c r="L25" s="302">
        <f>VLOOKUP($F25,'[3]5.급수원단위'!$B$31:$G$35,2,FALSE)</f>
        <v>272</v>
      </c>
      <c r="M25" s="302">
        <f>VLOOKUP($F25,'[3]5.급수원단위'!$B$31:$G$35,3,FALSE)</f>
        <v>304</v>
      </c>
      <c r="N25" s="302">
        <f>VLOOKUP($F25,'[3]5.급수원단위'!$B$31:$G$35,4,FALSE)</f>
        <v>308</v>
      </c>
      <c r="O25" s="302">
        <f>VLOOKUP($F25,'[3]5.급수원단위'!$B$31:$G$35,5,FALSE)</f>
        <v>310</v>
      </c>
      <c r="P25" s="302">
        <f>VLOOKUP($F25,'[3]5.급수원단위'!$B$31:$G$35,6,FALSE)</f>
        <v>310</v>
      </c>
      <c r="Q25" s="302">
        <f>ROUND(IF(G25=0,0,VLOOKUP(C25,'2013실사용량 정리'!$D$6:$F$381,3,FALSE)),0)</f>
        <v>0</v>
      </c>
      <c r="R25" s="302">
        <f t="shared" si="7"/>
        <v>32</v>
      </c>
      <c r="S25" s="302">
        <f t="shared" si="7"/>
        <v>34</v>
      </c>
      <c r="T25" s="302">
        <f t="shared" si="7"/>
        <v>37</v>
      </c>
      <c r="U25" s="302">
        <f t="shared" si="7"/>
        <v>38</v>
      </c>
    </row>
    <row r="26" spans="1:22" ht="20.100000000000001" customHeight="1">
      <c r="A26" s="340"/>
      <c r="B26" s="340"/>
      <c r="C26" s="406" t="s">
        <v>1752</v>
      </c>
      <c r="D26" s="330" t="s">
        <v>1300</v>
      </c>
      <c r="E26" s="404">
        <f>1-'2.생활용수(광석)'!E49</f>
        <v>1</v>
      </c>
      <c r="F26" s="404" t="s">
        <v>756</v>
      </c>
      <c r="G26" s="302">
        <f>IF($D26="A",ROUND(VLOOKUP($C26,'[2]2.행정구역별 급수인구'!$C$7:$AD$997,17,FALSE)*$E26,0),IF($D26="B",(ROUND(VLOOKUP($C26,'[2]2.행정구역별 급수인구'!$C$7:$AD$997,17,FALSE)-VLOOKUP($C26,'[2]2.행정구역별 급수인구'!$C$7:$AD$997,17,FALSE)*(1-$E26),0)),VLOOKUP($C26,'[2]2.행정구역별 급수인구'!$C$7:$AD$997,17,FALSE)))</f>
        <v>0</v>
      </c>
      <c r="H26" s="302">
        <f>IF($D26="A",ROUND(VLOOKUP($C26,'[2]2.행정구역별 급수인구'!$C$7:$AD$997,25,FALSE)*$E26,0),IF($D26="B",(ROUND(VLOOKUP($C26,'[2]2.행정구역별 급수인구'!$C$7:$AD$997,25,FALSE)-VLOOKUP($C26,'[2]2.행정구역별 급수인구'!$C$7:$AD$997,25,FALSE)*(1-$E26),0)),VLOOKUP($C26,'[2]2.행정구역별 급수인구'!$C$7:$AD$997,25,FALSE)))</f>
        <v>126</v>
      </c>
      <c r="I26" s="302">
        <f>IF($D26="A",ROUND(VLOOKUP($C26,'[2]2.행정구역별 급수인구'!$C$7:$AD$997,26,FALSE)*$E26,0),IF($D26="B",(ROUND(VLOOKUP($C26,'[2]2.행정구역별 급수인구'!$C$7:$AD$997,26,FALSE)-VLOOKUP($C26,'[2]2.행정구역별 급수인구'!$C$7:$AD$997,26,FALSE)*(1-$E26),0)),VLOOKUP($C26,'[2]2.행정구역별 급수인구'!$C$7:$AD$997,26,FALSE)))</f>
        <v>132</v>
      </c>
      <c r="J26" s="302">
        <f>IF($D26="A",ROUND(VLOOKUP($C26,'[2]2.행정구역별 급수인구'!$C$7:$AD$997,27,FALSE)*$E26,0),IF($D26="B",(ROUND(VLOOKUP($C26,'[2]2.행정구역별 급수인구'!$C$7:$AD$997,27,FALSE)-VLOOKUP($C26,'[2]2.행정구역별 급수인구'!$C$7:$AD$997,27,FALSE)*(1-$E26),0)),VLOOKUP($C26,'[2]2.행정구역별 급수인구'!$C$7:$AD$997,27,FALSE)))</f>
        <v>143</v>
      </c>
      <c r="K26" s="302">
        <f>IF($D26="A",ROUND(VLOOKUP($C26,'[2]2.행정구역별 급수인구'!$C$7:$AD$997,28,FALSE)*$E26,0),IF($D26="B",(ROUND(VLOOKUP($C26,'[2]2.행정구역별 급수인구'!$C$7:$AD$997,28,FALSE)-VLOOKUP($C26,'[2]2.행정구역별 급수인구'!$C$7:$AD$997,28,FALSE)*(1-$E26),0)),VLOOKUP($C26,'[2]2.행정구역별 급수인구'!$C$7:$AD$997,28,FALSE)))</f>
        <v>146</v>
      </c>
      <c r="L26" s="302">
        <f>VLOOKUP($F26,'[3]5.급수원단위'!$B$31:$G$35,2,FALSE)</f>
        <v>272</v>
      </c>
      <c r="M26" s="302">
        <f>VLOOKUP($F26,'[3]5.급수원단위'!$B$31:$G$35,3,FALSE)</f>
        <v>304</v>
      </c>
      <c r="N26" s="302">
        <f>VLOOKUP($F26,'[3]5.급수원단위'!$B$31:$G$35,4,FALSE)</f>
        <v>308</v>
      </c>
      <c r="O26" s="302">
        <f>VLOOKUP($F26,'[3]5.급수원단위'!$B$31:$G$35,5,FALSE)</f>
        <v>310</v>
      </c>
      <c r="P26" s="302">
        <f>VLOOKUP($F26,'[3]5.급수원단위'!$B$31:$G$35,6,FALSE)</f>
        <v>310</v>
      </c>
      <c r="Q26" s="302">
        <f>ROUND(IF(G26=0,0,VLOOKUP(C26,'2013실사용량 정리'!$D$6:$F$381,3,FALSE)),0)</f>
        <v>0</v>
      </c>
      <c r="R26" s="302">
        <f t="shared" si="7"/>
        <v>38</v>
      </c>
      <c r="S26" s="302">
        <f t="shared" si="7"/>
        <v>41</v>
      </c>
      <c r="T26" s="302">
        <f t="shared" si="7"/>
        <v>44</v>
      </c>
      <c r="U26" s="302">
        <f t="shared" si="7"/>
        <v>45</v>
      </c>
    </row>
    <row r="27" spans="1:22" ht="20.100000000000001" customHeight="1">
      <c r="A27" s="340"/>
      <c r="B27" s="340"/>
      <c r="C27" s="406" t="s">
        <v>1753</v>
      </c>
      <c r="D27" s="330" t="s">
        <v>1300</v>
      </c>
      <c r="E27" s="404">
        <f>1-'2.생활용수(광석)'!E50</f>
        <v>1</v>
      </c>
      <c r="F27" s="404" t="s">
        <v>756</v>
      </c>
      <c r="G27" s="302">
        <f>IF($D27="A",ROUND(VLOOKUP($C27,'[2]2.행정구역별 급수인구'!$C$7:$AD$997,17,FALSE)*$E27,0),IF($D27="B",(ROUND(VLOOKUP($C27,'[2]2.행정구역별 급수인구'!$C$7:$AD$997,17,FALSE)-VLOOKUP($C27,'[2]2.행정구역별 급수인구'!$C$7:$AD$997,17,FALSE)*(1-$E27),0)),VLOOKUP($C27,'[2]2.행정구역별 급수인구'!$C$7:$AD$997,17,FALSE)))</f>
        <v>0</v>
      </c>
      <c r="H27" s="302">
        <f>IF($D27="A",ROUND(VLOOKUP($C27,'[2]2.행정구역별 급수인구'!$C$7:$AD$997,25,FALSE)*$E27,0),IF($D27="B",(ROUND(VLOOKUP($C27,'[2]2.행정구역별 급수인구'!$C$7:$AD$997,25,FALSE)-VLOOKUP($C27,'[2]2.행정구역별 급수인구'!$C$7:$AD$997,25,FALSE)*(1-$E27),0)),VLOOKUP($C27,'[2]2.행정구역별 급수인구'!$C$7:$AD$997,25,FALSE)))</f>
        <v>46</v>
      </c>
      <c r="I27" s="302">
        <f>IF($D27="A",ROUND(VLOOKUP($C27,'[2]2.행정구역별 급수인구'!$C$7:$AD$997,26,FALSE)*$E27,0),IF($D27="B",(ROUND(VLOOKUP($C27,'[2]2.행정구역별 급수인구'!$C$7:$AD$997,26,FALSE)-VLOOKUP($C27,'[2]2.행정구역별 급수인구'!$C$7:$AD$997,26,FALSE)*(1-$E27),0)),VLOOKUP($C27,'[2]2.행정구역별 급수인구'!$C$7:$AD$997,26,FALSE)))</f>
        <v>49</v>
      </c>
      <c r="J27" s="302">
        <f>IF($D27="A",ROUND(VLOOKUP($C27,'[2]2.행정구역별 급수인구'!$C$7:$AD$997,27,FALSE)*$E27,0),IF($D27="B",(ROUND(VLOOKUP($C27,'[2]2.행정구역별 급수인구'!$C$7:$AD$997,27,FALSE)-VLOOKUP($C27,'[2]2.행정구역별 급수인구'!$C$7:$AD$997,27,FALSE)*(1-$E27),0)),VLOOKUP($C27,'[2]2.행정구역별 급수인구'!$C$7:$AD$997,27,FALSE)))</f>
        <v>53</v>
      </c>
      <c r="K27" s="302">
        <f>IF($D27="A",ROUND(VLOOKUP($C27,'[2]2.행정구역별 급수인구'!$C$7:$AD$997,28,FALSE)*$E27,0),IF($D27="B",(ROUND(VLOOKUP($C27,'[2]2.행정구역별 급수인구'!$C$7:$AD$997,28,FALSE)-VLOOKUP($C27,'[2]2.행정구역별 급수인구'!$C$7:$AD$997,28,FALSE)*(1-$E27),0)),VLOOKUP($C27,'[2]2.행정구역별 급수인구'!$C$7:$AD$997,28,FALSE)))</f>
        <v>54</v>
      </c>
      <c r="L27" s="302">
        <f>VLOOKUP($F27,'[3]5.급수원단위'!$B$31:$G$35,2,FALSE)</f>
        <v>272</v>
      </c>
      <c r="M27" s="302">
        <f>VLOOKUP($F27,'[3]5.급수원단위'!$B$31:$G$35,3,FALSE)</f>
        <v>304</v>
      </c>
      <c r="N27" s="302">
        <f>VLOOKUP($F27,'[3]5.급수원단위'!$B$31:$G$35,4,FALSE)</f>
        <v>308</v>
      </c>
      <c r="O27" s="302">
        <f>VLOOKUP($F27,'[3]5.급수원단위'!$B$31:$G$35,5,FALSE)</f>
        <v>310</v>
      </c>
      <c r="P27" s="302">
        <f>VLOOKUP($F27,'[3]5.급수원단위'!$B$31:$G$35,6,FALSE)</f>
        <v>310</v>
      </c>
      <c r="Q27" s="302">
        <f>ROUND(IF(G27=0,0,VLOOKUP(C27,'2013실사용량 정리'!$D$6:$F$381,3,FALSE)),0)</f>
        <v>0</v>
      </c>
      <c r="R27" s="302">
        <f t="shared" si="7"/>
        <v>14</v>
      </c>
      <c r="S27" s="302">
        <f t="shared" si="7"/>
        <v>15</v>
      </c>
      <c r="T27" s="302">
        <f t="shared" si="7"/>
        <v>16</v>
      </c>
      <c r="U27" s="302">
        <f t="shared" si="7"/>
        <v>17</v>
      </c>
    </row>
    <row r="28" spans="1:22" ht="20.100000000000001" customHeight="1">
      <c r="A28" s="340"/>
      <c r="B28" s="340"/>
      <c r="C28" s="406" t="s">
        <v>1754</v>
      </c>
      <c r="D28" s="330" t="s">
        <v>1300</v>
      </c>
      <c r="E28" s="404">
        <f>1-'2.생활용수(광석)'!E51</f>
        <v>1</v>
      </c>
      <c r="F28" s="404" t="s">
        <v>756</v>
      </c>
      <c r="G28" s="302">
        <f>IF($D28="A",ROUND(VLOOKUP($C28,'[2]2.행정구역별 급수인구'!$C$7:$AD$997,17,FALSE)*$E28,0),IF($D28="B",(ROUND(VLOOKUP($C28,'[2]2.행정구역별 급수인구'!$C$7:$AD$997,17,FALSE)-VLOOKUP($C28,'[2]2.행정구역별 급수인구'!$C$7:$AD$997,17,FALSE)*(1-$E28),0)),VLOOKUP($C28,'[2]2.행정구역별 급수인구'!$C$7:$AD$997,17,FALSE)))</f>
        <v>0</v>
      </c>
      <c r="H28" s="302">
        <f>IF($D28="A",ROUND(VLOOKUP($C28,'[2]2.행정구역별 급수인구'!$C$7:$AD$997,25,FALSE)*$E28,0),IF($D28="B",(ROUND(VLOOKUP($C28,'[2]2.행정구역별 급수인구'!$C$7:$AD$997,25,FALSE)-VLOOKUP($C28,'[2]2.행정구역별 급수인구'!$C$7:$AD$997,25,FALSE)*(1-$E28),0)),VLOOKUP($C28,'[2]2.행정구역별 급수인구'!$C$7:$AD$997,25,FALSE)))</f>
        <v>539</v>
      </c>
      <c r="I28" s="302">
        <f>IF($D28="A",ROUND(VLOOKUP($C28,'[2]2.행정구역별 급수인구'!$C$7:$AD$997,26,FALSE)*$E28,0),IF($D28="B",(ROUND(VLOOKUP($C28,'[2]2.행정구역별 급수인구'!$C$7:$AD$997,26,FALSE)-VLOOKUP($C28,'[2]2.행정구역별 급수인구'!$C$7:$AD$997,26,FALSE)*(1-$E28),0)),VLOOKUP($C28,'[2]2.행정구역별 급수인구'!$C$7:$AD$997,26,FALSE)))</f>
        <v>567</v>
      </c>
      <c r="J28" s="302">
        <f>IF($D28="A",ROUND(VLOOKUP($C28,'[2]2.행정구역별 급수인구'!$C$7:$AD$997,27,FALSE)*$E28,0),IF($D28="B",(ROUND(VLOOKUP($C28,'[2]2.행정구역별 급수인구'!$C$7:$AD$997,27,FALSE)-VLOOKUP($C28,'[2]2.행정구역별 급수인구'!$C$7:$AD$997,27,FALSE)*(1-$E28),0)),VLOOKUP($C28,'[2]2.행정구역별 급수인구'!$C$7:$AD$997,27,FALSE)))</f>
        <v>615</v>
      </c>
      <c r="K28" s="302">
        <f>IF($D28="A",ROUND(VLOOKUP($C28,'[2]2.행정구역별 급수인구'!$C$7:$AD$997,28,FALSE)*$E28,0),IF($D28="B",(ROUND(VLOOKUP($C28,'[2]2.행정구역별 급수인구'!$C$7:$AD$997,28,FALSE)-VLOOKUP($C28,'[2]2.행정구역별 급수인구'!$C$7:$AD$997,28,FALSE)*(1-$E28),0)),VLOOKUP($C28,'[2]2.행정구역별 급수인구'!$C$7:$AD$997,28,FALSE)))</f>
        <v>627</v>
      </c>
      <c r="L28" s="302">
        <f>VLOOKUP($F28,'[3]5.급수원단위'!$B$31:$G$35,2,FALSE)</f>
        <v>272</v>
      </c>
      <c r="M28" s="302">
        <f>VLOOKUP($F28,'[3]5.급수원단위'!$B$31:$G$35,3,FALSE)</f>
        <v>304</v>
      </c>
      <c r="N28" s="302">
        <f>VLOOKUP($F28,'[3]5.급수원단위'!$B$31:$G$35,4,FALSE)</f>
        <v>308</v>
      </c>
      <c r="O28" s="302">
        <f>VLOOKUP($F28,'[3]5.급수원단위'!$B$31:$G$35,5,FALSE)</f>
        <v>310</v>
      </c>
      <c r="P28" s="302">
        <f>VLOOKUP($F28,'[3]5.급수원단위'!$B$31:$G$35,6,FALSE)</f>
        <v>310</v>
      </c>
      <c r="Q28" s="302">
        <f>ROUND(IF(G28=0,0,VLOOKUP(C28,'2013실사용량 정리'!$D$6:$F$381,3,FALSE)),0)</f>
        <v>0</v>
      </c>
      <c r="R28" s="302">
        <f t="shared" si="7"/>
        <v>164</v>
      </c>
      <c r="S28" s="302">
        <f t="shared" si="7"/>
        <v>175</v>
      </c>
      <c r="T28" s="302">
        <f t="shared" si="7"/>
        <v>191</v>
      </c>
      <c r="U28" s="302">
        <f t="shared" si="7"/>
        <v>194</v>
      </c>
    </row>
    <row r="29" spans="1:22" ht="20.100000000000001" customHeight="1">
      <c r="A29" s="340"/>
      <c r="B29" s="340"/>
      <c r="C29" s="406" t="s">
        <v>1755</v>
      </c>
      <c r="D29" s="330" t="s">
        <v>1300</v>
      </c>
      <c r="E29" s="404">
        <f>1-'2.생활용수(광석)'!E52</f>
        <v>1</v>
      </c>
      <c r="F29" s="404" t="s">
        <v>756</v>
      </c>
      <c r="G29" s="302">
        <f>IF($D29="A",ROUND(VLOOKUP($C29,'[2]2.행정구역별 급수인구'!$C$7:$AD$997,17,FALSE)*$E29,0),IF($D29="B",(ROUND(VLOOKUP($C29,'[2]2.행정구역별 급수인구'!$C$7:$AD$997,17,FALSE)-VLOOKUP($C29,'[2]2.행정구역별 급수인구'!$C$7:$AD$997,17,FALSE)*(1-$E29),0)),VLOOKUP($C29,'[2]2.행정구역별 급수인구'!$C$7:$AD$997,17,FALSE)))</f>
        <v>0</v>
      </c>
      <c r="H29" s="302">
        <f>IF($D29="A",ROUND(VLOOKUP($C29,'[2]2.행정구역별 급수인구'!$C$7:$AD$997,25,FALSE)*$E29,0),IF($D29="B",(ROUND(VLOOKUP($C29,'[2]2.행정구역별 급수인구'!$C$7:$AD$997,25,FALSE)-VLOOKUP($C29,'[2]2.행정구역별 급수인구'!$C$7:$AD$997,25,FALSE)*(1-$E29),0)),VLOOKUP($C29,'[2]2.행정구역별 급수인구'!$C$7:$AD$997,25,FALSE)))</f>
        <v>202</v>
      </c>
      <c r="I29" s="302">
        <f>IF($D29="A",ROUND(VLOOKUP($C29,'[2]2.행정구역별 급수인구'!$C$7:$AD$997,26,FALSE)*$E29,0),IF($D29="B",(ROUND(VLOOKUP($C29,'[2]2.행정구역별 급수인구'!$C$7:$AD$997,26,FALSE)-VLOOKUP($C29,'[2]2.행정구역별 급수인구'!$C$7:$AD$997,26,FALSE)*(1-$E29),0)),VLOOKUP($C29,'[2]2.행정구역별 급수인구'!$C$7:$AD$997,26,FALSE)))</f>
        <v>213</v>
      </c>
      <c r="J29" s="302">
        <f>IF($D29="A",ROUND(VLOOKUP($C29,'[2]2.행정구역별 급수인구'!$C$7:$AD$997,27,FALSE)*$E29,0),IF($D29="B",(ROUND(VLOOKUP($C29,'[2]2.행정구역별 급수인구'!$C$7:$AD$997,27,FALSE)-VLOOKUP($C29,'[2]2.행정구역별 급수인구'!$C$7:$AD$997,27,FALSE)*(1-$E29),0)),VLOOKUP($C29,'[2]2.행정구역별 급수인구'!$C$7:$AD$997,27,FALSE)))</f>
        <v>230</v>
      </c>
      <c r="K29" s="302">
        <f>IF($D29="A",ROUND(VLOOKUP($C29,'[2]2.행정구역별 급수인구'!$C$7:$AD$997,28,FALSE)*$E29,0),IF($D29="B",(ROUND(VLOOKUP($C29,'[2]2.행정구역별 급수인구'!$C$7:$AD$997,28,FALSE)-VLOOKUP($C29,'[2]2.행정구역별 급수인구'!$C$7:$AD$997,28,FALSE)*(1-$E29),0)),VLOOKUP($C29,'[2]2.행정구역별 급수인구'!$C$7:$AD$997,28,FALSE)))</f>
        <v>235</v>
      </c>
      <c r="L29" s="302">
        <f>VLOOKUP($F29,'[3]5.급수원단위'!$B$31:$G$35,2,FALSE)</f>
        <v>272</v>
      </c>
      <c r="M29" s="302">
        <f>VLOOKUP($F29,'[3]5.급수원단위'!$B$31:$G$35,3,FALSE)</f>
        <v>304</v>
      </c>
      <c r="N29" s="302">
        <f>VLOOKUP($F29,'[3]5.급수원단위'!$B$31:$G$35,4,FALSE)</f>
        <v>308</v>
      </c>
      <c r="O29" s="302">
        <f>VLOOKUP($F29,'[3]5.급수원단위'!$B$31:$G$35,5,FALSE)</f>
        <v>310</v>
      </c>
      <c r="P29" s="302">
        <f>VLOOKUP($F29,'[3]5.급수원단위'!$B$31:$G$35,6,FALSE)</f>
        <v>310</v>
      </c>
      <c r="Q29" s="302">
        <f>ROUND(IF(G29=0,0,VLOOKUP(C29,'2013실사용량 정리'!$D$6:$F$381,3,FALSE)),0)</f>
        <v>0</v>
      </c>
      <c r="R29" s="302">
        <f t="shared" si="7"/>
        <v>61</v>
      </c>
      <c r="S29" s="302">
        <f t="shared" si="7"/>
        <v>66</v>
      </c>
      <c r="T29" s="302">
        <f t="shared" si="7"/>
        <v>71</v>
      </c>
      <c r="U29" s="302">
        <f t="shared" si="7"/>
        <v>73</v>
      </c>
    </row>
    <row r="30" spans="1:22" ht="20.100000000000001" customHeight="1">
      <c r="A30" s="340"/>
      <c r="B30" s="340"/>
      <c r="C30" s="406" t="s">
        <v>1756</v>
      </c>
      <c r="D30" s="330" t="s">
        <v>1300</v>
      </c>
      <c r="E30" s="404">
        <f>1-'2.생활용수(광석)'!E53</f>
        <v>1</v>
      </c>
      <c r="F30" s="404" t="s">
        <v>756</v>
      </c>
      <c r="G30" s="302">
        <f>IF($D30="A",ROUND(VLOOKUP($C30,'[2]2.행정구역별 급수인구'!$C$7:$AD$997,17,FALSE)*$E30,0),IF($D30="B",(ROUND(VLOOKUP($C30,'[2]2.행정구역별 급수인구'!$C$7:$AD$997,17,FALSE)-VLOOKUP($C30,'[2]2.행정구역별 급수인구'!$C$7:$AD$997,17,FALSE)*(1-$E30),0)),VLOOKUP($C30,'[2]2.행정구역별 급수인구'!$C$7:$AD$997,17,FALSE)))</f>
        <v>0</v>
      </c>
      <c r="H30" s="302">
        <f>IF($D30="A",ROUND(VLOOKUP($C30,'[2]2.행정구역별 급수인구'!$C$7:$AD$997,25,FALSE)*$E30,0),IF($D30="B",(ROUND(VLOOKUP($C30,'[2]2.행정구역별 급수인구'!$C$7:$AD$997,25,FALSE)-VLOOKUP($C30,'[2]2.행정구역별 급수인구'!$C$7:$AD$997,25,FALSE)*(1-$E30),0)),VLOOKUP($C30,'[2]2.행정구역별 급수인구'!$C$7:$AD$997,25,FALSE)))</f>
        <v>79</v>
      </c>
      <c r="I30" s="302">
        <f>IF($D30="A",ROUND(VLOOKUP($C30,'[2]2.행정구역별 급수인구'!$C$7:$AD$997,26,FALSE)*$E30,0),IF($D30="B",(ROUND(VLOOKUP($C30,'[2]2.행정구역별 급수인구'!$C$7:$AD$997,26,FALSE)-VLOOKUP($C30,'[2]2.행정구역별 급수인구'!$C$7:$AD$997,26,FALSE)*(1-$E30),0)),VLOOKUP($C30,'[2]2.행정구역별 급수인구'!$C$7:$AD$997,26,FALSE)))</f>
        <v>83</v>
      </c>
      <c r="J30" s="302">
        <f>IF($D30="A",ROUND(VLOOKUP($C30,'[2]2.행정구역별 급수인구'!$C$7:$AD$997,27,FALSE)*$E30,0),IF($D30="B",(ROUND(VLOOKUP($C30,'[2]2.행정구역별 급수인구'!$C$7:$AD$997,27,FALSE)-VLOOKUP($C30,'[2]2.행정구역별 급수인구'!$C$7:$AD$997,27,FALSE)*(1-$E30),0)),VLOOKUP($C30,'[2]2.행정구역별 급수인구'!$C$7:$AD$997,27,FALSE)))</f>
        <v>91</v>
      </c>
      <c r="K30" s="302">
        <f>IF($D30="A",ROUND(VLOOKUP($C30,'[2]2.행정구역별 급수인구'!$C$7:$AD$997,28,FALSE)*$E30,0),IF($D30="B",(ROUND(VLOOKUP($C30,'[2]2.행정구역별 급수인구'!$C$7:$AD$997,28,FALSE)-VLOOKUP($C30,'[2]2.행정구역별 급수인구'!$C$7:$AD$997,28,FALSE)*(1-$E30),0)),VLOOKUP($C30,'[2]2.행정구역별 급수인구'!$C$7:$AD$997,28,FALSE)))</f>
        <v>93</v>
      </c>
      <c r="L30" s="302">
        <f>VLOOKUP($F30,'[3]5.급수원단위'!$B$31:$G$35,2,FALSE)</f>
        <v>272</v>
      </c>
      <c r="M30" s="302">
        <f>VLOOKUP($F30,'[3]5.급수원단위'!$B$31:$G$35,3,FALSE)</f>
        <v>304</v>
      </c>
      <c r="N30" s="302">
        <f>VLOOKUP($F30,'[3]5.급수원단위'!$B$31:$G$35,4,FALSE)</f>
        <v>308</v>
      </c>
      <c r="O30" s="302">
        <f>VLOOKUP($F30,'[3]5.급수원단위'!$B$31:$G$35,5,FALSE)</f>
        <v>310</v>
      </c>
      <c r="P30" s="302">
        <f>VLOOKUP($F30,'[3]5.급수원단위'!$B$31:$G$35,6,FALSE)</f>
        <v>310</v>
      </c>
      <c r="Q30" s="302">
        <f>ROUND(IF(G30=0,0,VLOOKUP(C30,'2013실사용량 정리'!$D$6:$F$381,3,FALSE)),0)</f>
        <v>0</v>
      </c>
      <c r="R30" s="302">
        <f t="shared" si="7"/>
        <v>24</v>
      </c>
      <c r="S30" s="302">
        <f t="shared" si="7"/>
        <v>26</v>
      </c>
      <c r="T30" s="302">
        <f t="shared" si="7"/>
        <v>28</v>
      </c>
      <c r="U30" s="302">
        <f t="shared" si="7"/>
        <v>29</v>
      </c>
    </row>
    <row r="31" spans="1:22" ht="20.100000000000001" customHeight="1">
      <c r="A31" s="340"/>
      <c r="B31" s="340"/>
      <c r="C31" s="406" t="s">
        <v>1757</v>
      </c>
      <c r="D31" s="330" t="s">
        <v>1300</v>
      </c>
      <c r="E31" s="404">
        <f>1-'2.생활용수(광석)'!E54</f>
        <v>1</v>
      </c>
      <c r="F31" s="404" t="s">
        <v>756</v>
      </c>
      <c r="G31" s="302">
        <f>IF($D31="A",ROUND(VLOOKUP($C31,'[2]2.행정구역별 급수인구'!$C$7:$AD$997,17,FALSE)*$E31,0),IF($D31="B",(ROUND(VLOOKUP($C31,'[2]2.행정구역별 급수인구'!$C$7:$AD$997,17,FALSE)-VLOOKUP($C31,'[2]2.행정구역별 급수인구'!$C$7:$AD$997,17,FALSE)*(1-$E31),0)),VLOOKUP($C31,'[2]2.행정구역별 급수인구'!$C$7:$AD$997,17,FALSE)))</f>
        <v>0</v>
      </c>
      <c r="H31" s="302">
        <f>IF($D31="A",ROUND(VLOOKUP($C31,'[2]2.행정구역별 급수인구'!$C$7:$AD$997,25,FALSE)*$E31,0),IF($D31="B",(ROUND(VLOOKUP($C31,'[2]2.행정구역별 급수인구'!$C$7:$AD$997,25,FALSE)-VLOOKUP($C31,'[2]2.행정구역별 급수인구'!$C$7:$AD$997,25,FALSE)*(1-$E31),0)),VLOOKUP($C31,'[2]2.행정구역별 급수인구'!$C$7:$AD$997,25,FALSE)))</f>
        <v>70</v>
      </c>
      <c r="I31" s="302">
        <f>IF($D31="A",ROUND(VLOOKUP($C31,'[2]2.행정구역별 급수인구'!$C$7:$AD$997,26,FALSE)*$E31,0),IF($D31="B",(ROUND(VLOOKUP($C31,'[2]2.행정구역별 급수인구'!$C$7:$AD$997,26,FALSE)-VLOOKUP($C31,'[2]2.행정구역별 급수인구'!$C$7:$AD$997,26,FALSE)*(1-$E31),0)),VLOOKUP($C31,'[2]2.행정구역별 급수인구'!$C$7:$AD$997,26,FALSE)))</f>
        <v>73</v>
      </c>
      <c r="J31" s="302">
        <f>IF($D31="A",ROUND(VLOOKUP($C31,'[2]2.행정구역별 급수인구'!$C$7:$AD$997,27,FALSE)*$E31,0),IF($D31="B",(ROUND(VLOOKUP($C31,'[2]2.행정구역별 급수인구'!$C$7:$AD$997,27,FALSE)-VLOOKUP($C31,'[2]2.행정구역별 급수인구'!$C$7:$AD$997,27,FALSE)*(1-$E31),0)),VLOOKUP($C31,'[2]2.행정구역별 급수인구'!$C$7:$AD$997,27,FALSE)))</f>
        <v>79</v>
      </c>
      <c r="K31" s="302">
        <f>IF($D31="A",ROUND(VLOOKUP($C31,'[2]2.행정구역별 급수인구'!$C$7:$AD$997,28,FALSE)*$E31,0),IF($D31="B",(ROUND(VLOOKUP($C31,'[2]2.행정구역별 급수인구'!$C$7:$AD$997,28,FALSE)-VLOOKUP($C31,'[2]2.행정구역별 급수인구'!$C$7:$AD$997,28,FALSE)*(1-$E31),0)),VLOOKUP($C31,'[2]2.행정구역별 급수인구'!$C$7:$AD$997,28,FALSE)))</f>
        <v>81</v>
      </c>
      <c r="L31" s="302">
        <f>VLOOKUP($F31,'[3]5.급수원단위'!$B$31:$G$35,2,FALSE)</f>
        <v>272</v>
      </c>
      <c r="M31" s="302">
        <f>VLOOKUP($F31,'[3]5.급수원단위'!$B$31:$G$35,3,FALSE)</f>
        <v>304</v>
      </c>
      <c r="N31" s="302">
        <f>VLOOKUP($F31,'[3]5.급수원단위'!$B$31:$G$35,4,FALSE)</f>
        <v>308</v>
      </c>
      <c r="O31" s="302">
        <f>VLOOKUP($F31,'[3]5.급수원단위'!$B$31:$G$35,5,FALSE)</f>
        <v>310</v>
      </c>
      <c r="P31" s="302">
        <f>VLOOKUP($F31,'[3]5.급수원단위'!$B$31:$G$35,6,FALSE)</f>
        <v>310</v>
      </c>
      <c r="Q31" s="302">
        <f>ROUND(IF(G31=0,0,VLOOKUP(C31,'2013실사용량 정리'!$D$6:$F$381,3,FALSE)),0)</f>
        <v>0</v>
      </c>
      <c r="R31" s="302">
        <f t="shared" si="7"/>
        <v>21</v>
      </c>
      <c r="S31" s="302">
        <f t="shared" si="7"/>
        <v>22</v>
      </c>
      <c r="T31" s="302">
        <f t="shared" si="7"/>
        <v>24</v>
      </c>
      <c r="U31" s="302">
        <f t="shared" si="7"/>
        <v>25</v>
      </c>
    </row>
    <row r="32" spans="1:22" ht="20.100000000000001" customHeight="1">
      <c r="A32" s="340"/>
      <c r="B32" s="340"/>
      <c r="C32" s="406" t="s">
        <v>1758</v>
      </c>
      <c r="D32" s="330" t="s">
        <v>1300</v>
      </c>
      <c r="E32" s="404">
        <f>1-'2.생활용수(광석)'!E55</f>
        <v>1</v>
      </c>
      <c r="F32" s="404" t="s">
        <v>756</v>
      </c>
      <c r="G32" s="302">
        <f>IF($D32="A",ROUND(VLOOKUP($C32,'[2]2.행정구역별 급수인구'!$C$7:$AD$997,17,FALSE)*$E32,0),IF($D32="B",(ROUND(VLOOKUP($C32,'[2]2.행정구역별 급수인구'!$C$7:$AD$997,17,FALSE)-VLOOKUP($C32,'[2]2.행정구역별 급수인구'!$C$7:$AD$997,17,FALSE)*(1-$E32),0)),VLOOKUP($C32,'[2]2.행정구역별 급수인구'!$C$7:$AD$997,17,FALSE)))</f>
        <v>0</v>
      </c>
      <c r="H32" s="302">
        <f>IF($D32="A",ROUND(VLOOKUP($C32,'[2]2.행정구역별 급수인구'!$C$7:$AD$997,25,FALSE)*$E32,0),IF($D32="B",(ROUND(VLOOKUP($C32,'[2]2.행정구역별 급수인구'!$C$7:$AD$997,25,FALSE)-VLOOKUP($C32,'[2]2.행정구역별 급수인구'!$C$7:$AD$997,25,FALSE)*(1-$E32),0)),VLOOKUP($C32,'[2]2.행정구역별 급수인구'!$C$7:$AD$997,25,FALSE)))</f>
        <v>71</v>
      </c>
      <c r="I32" s="302">
        <f>IF($D32="A",ROUND(VLOOKUP($C32,'[2]2.행정구역별 급수인구'!$C$7:$AD$997,26,FALSE)*$E32,0),IF($D32="B",(ROUND(VLOOKUP($C32,'[2]2.행정구역별 급수인구'!$C$7:$AD$997,26,FALSE)-VLOOKUP($C32,'[2]2.행정구역별 급수인구'!$C$7:$AD$997,26,FALSE)*(1-$E32),0)),VLOOKUP($C32,'[2]2.행정구역별 급수인구'!$C$7:$AD$997,26,FALSE)))</f>
        <v>75</v>
      </c>
      <c r="J32" s="302">
        <f>IF($D32="A",ROUND(VLOOKUP($C32,'[2]2.행정구역별 급수인구'!$C$7:$AD$997,27,FALSE)*$E32,0),IF($D32="B",(ROUND(VLOOKUP($C32,'[2]2.행정구역별 급수인구'!$C$7:$AD$997,27,FALSE)-VLOOKUP($C32,'[2]2.행정구역별 급수인구'!$C$7:$AD$997,27,FALSE)*(1-$E32),0)),VLOOKUP($C32,'[2]2.행정구역별 급수인구'!$C$7:$AD$997,27,FALSE)))</f>
        <v>81</v>
      </c>
      <c r="K32" s="302">
        <f>IF($D32="A",ROUND(VLOOKUP($C32,'[2]2.행정구역별 급수인구'!$C$7:$AD$997,28,FALSE)*$E32,0),IF($D32="B",(ROUND(VLOOKUP($C32,'[2]2.행정구역별 급수인구'!$C$7:$AD$997,28,FALSE)-VLOOKUP($C32,'[2]2.행정구역별 급수인구'!$C$7:$AD$997,28,FALSE)*(1-$E32),0)),VLOOKUP($C32,'[2]2.행정구역별 급수인구'!$C$7:$AD$997,28,FALSE)))</f>
        <v>83</v>
      </c>
      <c r="L32" s="302">
        <f>VLOOKUP($F32,'[3]5.급수원단위'!$B$31:$G$35,2,FALSE)</f>
        <v>272</v>
      </c>
      <c r="M32" s="302">
        <f>VLOOKUP($F32,'[3]5.급수원단위'!$B$31:$G$35,3,FALSE)</f>
        <v>304</v>
      </c>
      <c r="N32" s="302">
        <f>VLOOKUP($F32,'[3]5.급수원단위'!$B$31:$G$35,4,FALSE)</f>
        <v>308</v>
      </c>
      <c r="O32" s="302">
        <f>VLOOKUP($F32,'[3]5.급수원단위'!$B$31:$G$35,5,FALSE)</f>
        <v>310</v>
      </c>
      <c r="P32" s="302">
        <f>VLOOKUP($F32,'[3]5.급수원단위'!$B$31:$G$35,6,FALSE)</f>
        <v>310</v>
      </c>
      <c r="Q32" s="302">
        <f>ROUND(IF(G32=0,0,VLOOKUP(C32,'2013실사용량 정리'!$D$6:$F$381,3,FALSE)),0)</f>
        <v>0</v>
      </c>
      <c r="R32" s="302">
        <f t="shared" si="7"/>
        <v>22</v>
      </c>
      <c r="S32" s="302">
        <f t="shared" si="7"/>
        <v>23</v>
      </c>
      <c r="T32" s="302">
        <f t="shared" si="7"/>
        <v>25</v>
      </c>
      <c r="U32" s="302">
        <f t="shared" si="7"/>
        <v>26</v>
      </c>
    </row>
    <row r="33" spans="1:23" ht="20.100000000000001" customHeight="1">
      <c r="A33" s="340"/>
      <c r="B33" s="386"/>
      <c r="C33" s="406" t="s">
        <v>1759</v>
      </c>
      <c r="D33" s="330" t="s">
        <v>1300</v>
      </c>
      <c r="E33" s="404">
        <f>1-'2.생활용수(광석)'!E56</f>
        <v>1</v>
      </c>
      <c r="F33" s="404" t="s">
        <v>756</v>
      </c>
      <c r="G33" s="302">
        <f>IF($D33="A",ROUND(VLOOKUP($C33,'[2]2.행정구역별 급수인구'!$C$7:$AD$997,17,FALSE)*$E33,0),IF($D33="B",(ROUND(VLOOKUP($C33,'[2]2.행정구역별 급수인구'!$C$7:$AD$997,17,FALSE)-VLOOKUP($C33,'[2]2.행정구역별 급수인구'!$C$7:$AD$997,17,FALSE)*(1-$E33),0)),VLOOKUP($C33,'[2]2.행정구역별 급수인구'!$C$7:$AD$997,17,FALSE)))</f>
        <v>0</v>
      </c>
      <c r="H33" s="302">
        <f>IF($D33="A",ROUND(VLOOKUP($C33,'[2]2.행정구역별 급수인구'!$C$7:$AD$997,25,FALSE)*$E33,0),IF($D33="B",(ROUND(VLOOKUP($C33,'[2]2.행정구역별 급수인구'!$C$7:$AD$997,25,FALSE)-VLOOKUP($C33,'[2]2.행정구역별 급수인구'!$C$7:$AD$997,25,FALSE)*(1-$E33),0)),VLOOKUP($C33,'[2]2.행정구역별 급수인구'!$C$7:$AD$997,25,FALSE)))</f>
        <v>0</v>
      </c>
      <c r="I33" s="302">
        <f>IF($D33="A",ROUND(VLOOKUP($C33,'[2]2.행정구역별 급수인구'!$C$7:$AD$997,26,FALSE)*$E33,0),IF($D33="B",(ROUND(VLOOKUP($C33,'[2]2.행정구역별 급수인구'!$C$7:$AD$997,26,FALSE)-VLOOKUP($C33,'[2]2.행정구역별 급수인구'!$C$7:$AD$997,26,FALSE)*(1-$E33),0)),VLOOKUP($C33,'[2]2.행정구역별 급수인구'!$C$7:$AD$997,26,FALSE)))</f>
        <v>92</v>
      </c>
      <c r="J33" s="302">
        <f>IF($D33="A",ROUND(VLOOKUP($C33,'[2]2.행정구역별 급수인구'!$C$7:$AD$997,27,FALSE)*$E33,0),IF($D33="B",(ROUND(VLOOKUP($C33,'[2]2.행정구역별 급수인구'!$C$7:$AD$997,27,FALSE)-VLOOKUP($C33,'[2]2.행정구역별 급수인구'!$C$7:$AD$997,27,FALSE)*(1-$E33),0)),VLOOKUP($C33,'[2]2.행정구역별 급수인구'!$C$7:$AD$997,27,FALSE)))</f>
        <v>99</v>
      </c>
      <c r="K33" s="302">
        <f>IF($D33="A",ROUND(VLOOKUP($C33,'[2]2.행정구역별 급수인구'!$C$7:$AD$997,28,FALSE)*$E33,0),IF($D33="B",(ROUND(VLOOKUP($C33,'[2]2.행정구역별 급수인구'!$C$7:$AD$997,28,FALSE)-VLOOKUP($C33,'[2]2.행정구역별 급수인구'!$C$7:$AD$997,28,FALSE)*(1-$E33),0)),VLOOKUP($C33,'[2]2.행정구역별 급수인구'!$C$7:$AD$997,28,FALSE)))</f>
        <v>101</v>
      </c>
      <c r="L33" s="302">
        <f>VLOOKUP($F33,'[3]5.급수원단위'!$B$31:$G$35,2,FALSE)</f>
        <v>272</v>
      </c>
      <c r="M33" s="302">
        <f>VLOOKUP($F33,'[3]5.급수원단위'!$B$31:$G$35,3,FALSE)</f>
        <v>304</v>
      </c>
      <c r="N33" s="302">
        <f>VLOOKUP($F33,'[3]5.급수원단위'!$B$31:$G$35,4,FALSE)</f>
        <v>308</v>
      </c>
      <c r="O33" s="302">
        <f>VLOOKUP($F33,'[3]5.급수원단위'!$B$31:$G$35,5,FALSE)</f>
        <v>310</v>
      </c>
      <c r="P33" s="302">
        <f>VLOOKUP($F33,'[3]5.급수원단위'!$B$31:$G$35,6,FALSE)</f>
        <v>310</v>
      </c>
      <c r="Q33" s="302">
        <f>ROUND(IF(G33=0,0,VLOOKUP(C33,'2013실사용량 정리'!$D$6:$F$381,3,FALSE)),0)</f>
        <v>0</v>
      </c>
      <c r="R33" s="302">
        <f t="shared" si="7"/>
        <v>0</v>
      </c>
      <c r="S33" s="302">
        <f t="shared" si="7"/>
        <v>28</v>
      </c>
      <c r="T33" s="302">
        <f t="shared" si="7"/>
        <v>31</v>
      </c>
      <c r="U33" s="302">
        <f t="shared" si="7"/>
        <v>31</v>
      </c>
    </row>
    <row r="34" spans="1:23" ht="20.100000000000001" customHeight="1">
      <c r="A34" s="340"/>
      <c r="B34" s="694" t="s">
        <v>702</v>
      </c>
      <c r="C34" s="694"/>
      <c r="D34" s="694"/>
      <c r="E34" s="331"/>
      <c r="F34" s="331"/>
      <c r="G34" s="336">
        <f>SUM(G35:G44)</f>
        <v>0</v>
      </c>
      <c r="H34" s="336">
        <f>SUM(H35:H44)</f>
        <v>1250</v>
      </c>
      <c r="I34" s="336">
        <f>SUM(I35:I44)</f>
        <v>1406</v>
      </c>
      <c r="J34" s="336">
        <f>SUM(J35:J44)</f>
        <v>1524</v>
      </c>
      <c r="K34" s="336">
        <f>SUM(K35:K44)</f>
        <v>1552</v>
      </c>
      <c r="L34" s="336"/>
      <c r="M34" s="336"/>
      <c r="N34" s="336"/>
      <c r="O34" s="336"/>
      <c r="P34" s="336"/>
      <c r="Q34" s="336">
        <f>SUM(Q35:Q44)</f>
        <v>0</v>
      </c>
      <c r="R34" s="336">
        <f>SUM(R35:R44)</f>
        <v>378</v>
      </c>
      <c r="S34" s="336">
        <f>SUM(S35:S44)</f>
        <v>432</v>
      </c>
      <c r="T34" s="336">
        <f>SUM(T35:T44)</f>
        <v>472</v>
      </c>
      <c r="U34" s="336">
        <f>SUM(U35:U44)</f>
        <v>481</v>
      </c>
      <c r="V34" s="343">
        <f>VLOOKUP(B34,'2013년도 용수량 비율'!$A$5:$F$20,6,FALSE)</f>
        <v>0.72</v>
      </c>
    </row>
    <row r="35" spans="1:23" ht="20.100000000000001" customHeight="1">
      <c r="A35" s="340"/>
      <c r="B35" s="339"/>
      <c r="C35" s="347" t="s">
        <v>1722</v>
      </c>
      <c r="D35" s="330"/>
      <c r="E35" s="404"/>
      <c r="F35" s="404" t="s">
        <v>756</v>
      </c>
      <c r="G35" s="302">
        <f>IF($D35="A",ROUND(VLOOKUP($C35,'[2]2.행정구역별 급수인구'!$C$7:$AD$997,17,FALSE)*$E35,0),IF($D35="B",(ROUND(VLOOKUP($C35,'[2]2.행정구역별 급수인구'!$C$7:$AD$997,17,FALSE)-VLOOKUP($C35,'[2]2.행정구역별 급수인구'!$C$7:$AD$997,17,FALSE)*(1-$E35),0)),VLOOKUP($C35,'[2]2.행정구역별 급수인구'!$C$7:$AD$997,17,FALSE)))</f>
        <v>0</v>
      </c>
      <c r="H35" s="302">
        <f>IF($D35="A",ROUND(VLOOKUP($C35,'[2]2.행정구역별 급수인구'!$C$7:$AD$997,25,FALSE)*$E35,0),IF($D35="B",(ROUND(VLOOKUP($C35,'[2]2.행정구역별 급수인구'!$C$7:$AD$997,25,FALSE)-VLOOKUP($C35,'[2]2.행정구역별 급수인구'!$C$7:$AD$997,25,FALSE)*(1-$E35),0)),VLOOKUP($C35,'[2]2.행정구역별 급수인구'!$C$7:$AD$997,25,FALSE)))</f>
        <v>122</v>
      </c>
      <c r="I35" s="302">
        <f>IF($D35="A",ROUND(VLOOKUP($C35,'[2]2.행정구역별 급수인구'!$C$7:$AD$997,26,FALSE)*$E35,0),IF($D35="B",(ROUND(VLOOKUP($C35,'[2]2.행정구역별 급수인구'!$C$7:$AD$997,26,FALSE)-VLOOKUP($C35,'[2]2.행정구역별 급수인구'!$C$7:$AD$997,26,FALSE)*(1-$E35),0)),VLOOKUP($C35,'[2]2.행정구역별 급수인구'!$C$7:$AD$997,26,FALSE)))</f>
        <v>128</v>
      </c>
      <c r="J35" s="302">
        <f>IF($D35="A",ROUND(VLOOKUP($C35,'[2]2.행정구역별 급수인구'!$C$7:$AD$997,27,FALSE)*$E35,0),IF($D35="B",(ROUND(VLOOKUP($C35,'[2]2.행정구역별 급수인구'!$C$7:$AD$997,27,FALSE)-VLOOKUP($C35,'[2]2.행정구역별 급수인구'!$C$7:$AD$997,27,FALSE)*(1-$E35),0)),VLOOKUP($C35,'[2]2.행정구역별 급수인구'!$C$7:$AD$997,27,FALSE)))</f>
        <v>139</v>
      </c>
      <c r="K35" s="302">
        <f>IF($D35="A",ROUND(VLOOKUP($C35,'[2]2.행정구역별 급수인구'!$C$7:$AD$997,28,FALSE)*$E35,0),IF($D35="B",(ROUND(VLOOKUP($C35,'[2]2.행정구역별 급수인구'!$C$7:$AD$997,28,FALSE)-VLOOKUP($C35,'[2]2.행정구역별 급수인구'!$C$7:$AD$997,28,FALSE)*(1-$E35),0)),VLOOKUP($C35,'[2]2.행정구역별 급수인구'!$C$7:$AD$997,28,FALSE)))</f>
        <v>140</v>
      </c>
      <c r="L35" s="302">
        <f>VLOOKUP($F35,'[3]5.급수원단위'!$B$31:$G$35,2,FALSE)</f>
        <v>272</v>
      </c>
      <c r="M35" s="302">
        <f>VLOOKUP($F35,'[3]5.급수원단위'!$B$31:$G$35,3,FALSE)</f>
        <v>304</v>
      </c>
      <c r="N35" s="302">
        <f>VLOOKUP($F35,'[3]5.급수원단위'!$B$31:$G$35,4,FALSE)</f>
        <v>308</v>
      </c>
      <c r="O35" s="302">
        <f>VLOOKUP($F35,'[3]5.급수원단위'!$B$31:$G$35,5,FALSE)</f>
        <v>310</v>
      </c>
      <c r="P35" s="302">
        <f>VLOOKUP($F35,'[3]5.급수원단위'!$B$31:$G$35,6,FALSE)</f>
        <v>310</v>
      </c>
      <c r="Q35" s="302">
        <f>ROUND(IF(G35=0,0,VLOOKUP(C35,'2013실사용량 정리'!$D$6:$F$381,3,FALSE)),0)</f>
        <v>0</v>
      </c>
      <c r="R35" s="302">
        <f t="shared" ref="R35:U44" si="8">ROUND(H35*M35/1000,0)</f>
        <v>37</v>
      </c>
      <c r="S35" s="302">
        <f t="shared" si="8"/>
        <v>39</v>
      </c>
      <c r="T35" s="302">
        <f t="shared" si="8"/>
        <v>43</v>
      </c>
      <c r="U35" s="302">
        <f t="shared" si="8"/>
        <v>43</v>
      </c>
    </row>
    <row r="36" spans="1:23" ht="20.100000000000001" customHeight="1">
      <c r="A36" s="340"/>
      <c r="B36" s="340"/>
      <c r="C36" s="347" t="s">
        <v>1723</v>
      </c>
      <c r="D36" s="330"/>
      <c r="E36" s="404"/>
      <c r="F36" s="404" t="s">
        <v>756</v>
      </c>
      <c r="G36" s="302">
        <f>IF($D36="A",ROUND(VLOOKUP($C36,'[2]2.행정구역별 급수인구'!$C$7:$AD$997,17,FALSE)*$E36,0),IF($D36="B",(ROUND(VLOOKUP($C36,'[2]2.행정구역별 급수인구'!$C$7:$AD$997,17,FALSE)-VLOOKUP($C36,'[2]2.행정구역별 급수인구'!$C$7:$AD$997,17,FALSE)*(1-$E36),0)),VLOOKUP($C36,'[2]2.행정구역별 급수인구'!$C$7:$AD$997,17,FALSE)))</f>
        <v>0</v>
      </c>
      <c r="H36" s="302">
        <f>IF($D36="A",ROUND(VLOOKUP($C36,'[2]2.행정구역별 급수인구'!$C$7:$AD$997,25,FALSE)*$E36,0),IF($D36="B",(ROUND(VLOOKUP($C36,'[2]2.행정구역별 급수인구'!$C$7:$AD$997,25,FALSE)-VLOOKUP($C36,'[2]2.행정구역별 급수인구'!$C$7:$AD$997,25,FALSE)*(1-$E36),0)),VLOOKUP($C36,'[2]2.행정구역별 급수인구'!$C$7:$AD$997,25,FALSE)))</f>
        <v>97</v>
      </c>
      <c r="I36" s="302">
        <f>IF($D36="A",ROUND(VLOOKUP($C36,'[2]2.행정구역별 급수인구'!$C$7:$AD$997,26,FALSE)*$E36,0),IF($D36="B",(ROUND(VLOOKUP($C36,'[2]2.행정구역별 급수인구'!$C$7:$AD$997,26,FALSE)-VLOOKUP($C36,'[2]2.행정구역별 급수인구'!$C$7:$AD$997,26,FALSE)*(1-$E36),0)),VLOOKUP($C36,'[2]2.행정구역별 급수인구'!$C$7:$AD$997,26,FALSE)))</f>
        <v>103</v>
      </c>
      <c r="J36" s="302">
        <f>IF($D36="A",ROUND(VLOOKUP($C36,'[2]2.행정구역별 급수인구'!$C$7:$AD$997,27,FALSE)*$E36,0),IF($D36="B",(ROUND(VLOOKUP($C36,'[2]2.행정구역별 급수인구'!$C$7:$AD$997,27,FALSE)-VLOOKUP($C36,'[2]2.행정구역별 급수인구'!$C$7:$AD$997,27,FALSE)*(1-$E36),0)),VLOOKUP($C36,'[2]2.행정구역별 급수인구'!$C$7:$AD$997,27,FALSE)))</f>
        <v>111</v>
      </c>
      <c r="K36" s="302">
        <f>IF($D36="A",ROUND(VLOOKUP($C36,'[2]2.행정구역별 급수인구'!$C$7:$AD$997,28,FALSE)*$E36,0),IF($D36="B",(ROUND(VLOOKUP($C36,'[2]2.행정구역별 급수인구'!$C$7:$AD$997,28,FALSE)-VLOOKUP($C36,'[2]2.행정구역별 급수인구'!$C$7:$AD$997,28,FALSE)*(1-$E36),0)),VLOOKUP($C36,'[2]2.행정구역별 급수인구'!$C$7:$AD$997,28,FALSE)))</f>
        <v>113</v>
      </c>
      <c r="L36" s="302">
        <f>VLOOKUP($F36,'[3]5.급수원단위'!$B$31:$G$35,2,FALSE)</f>
        <v>272</v>
      </c>
      <c r="M36" s="302">
        <f>VLOOKUP($F36,'[3]5.급수원단위'!$B$31:$G$35,3,FALSE)</f>
        <v>304</v>
      </c>
      <c r="N36" s="302">
        <f>VLOOKUP($F36,'[3]5.급수원단위'!$B$31:$G$35,4,FALSE)</f>
        <v>308</v>
      </c>
      <c r="O36" s="302">
        <f>VLOOKUP($F36,'[3]5.급수원단위'!$B$31:$G$35,5,FALSE)</f>
        <v>310</v>
      </c>
      <c r="P36" s="302">
        <f>VLOOKUP($F36,'[3]5.급수원단위'!$B$31:$G$35,6,FALSE)</f>
        <v>310</v>
      </c>
      <c r="Q36" s="302">
        <f>ROUND(IF(G36=0,0,VLOOKUP(C36,'2013실사용량 정리'!$D$6:$F$381,3,FALSE)),0)</f>
        <v>0</v>
      </c>
      <c r="R36" s="302">
        <f t="shared" si="8"/>
        <v>29</v>
      </c>
      <c r="S36" s="302">
        <f t="shared" si="8"/>
        <v>32</v>
      </c>
      <c r="T36" s="302">
        <f t="shared" si="8"/>
        <v>34</v>
      </c>
      <c r="U36" s="302">
        <f t="shared" si="8"/>
        <v>35</v>
      </c>
    </row>
    <row r="37" spans="1:23" ht="20.100000000000001" customHeight="1">
      <c r="A37" s="340"/>
      <c r="B37" s="340"/>
      <c r="C37" s="347" t="s">
        <v>1724</v>
      </c>
      <c r="D37" s="330"/>
      <c r="E37" s="404"/>
      <c r="F37" s="404" t="s">
        <v>756</v>
      </c>
      <c r="G37" s="302">
        <f>IF($D37="A",ROUND(VLOOKUP($C37,'[2]2.행정구역별 급수인구'!$C$7:$AD$997,17,FALSE)*$E37,0),IF($D37="B",(ROUND(VLOOKUP($C37,'[2]2.행정구역별 급수인구'!$C$7:$AD$997,17,FALSE)-VLOOKUP($C37,'[2]2.행정구역별 급수인구'!$C$7:$AD$997,17,FALSE)*(1-$E37),0)),VLOOKUP($C37,'[2]2.행정구역별 급수인구'!$C$7:$AD$997,17,FALSE)))</f>
        <v>0</v>
      </c>
      <c r="H37" s="302">
        <f>IF($D37="A",ROUND(VLOOKUP($C37,'[2]2.행정구역별 급수인구'!$C$7:$AD$997,25,FALSE)*$E37,0),IF($D37="B",(ROUND(VLOOKUP($C37,'[2]2.행정구역별 급수인구'!$C$7:$AD$997,25,FALSE)-VLOOKUP($C37,'[2]2.행정구역별 급수인구'!$C$7:$AD$997,25,FALSE)*(1-$E37),0)),VLOOKUP($C37,'[2]2.행정구역별 급수인구'!$C$7:$AD$997,25,FALSE)))</f>
        <v>65</v>
      </c>
      <c r="I37" s="302">
        <f>IF($D37="A",ROUND(VLOOKUP($C37,'[2]2.행정구역별 급수인구'!$C$7:$AD$997,26,FALSE)*$E37,0),IF($D37="B",(ROUND(VLOOKUP($C37,'[2]2.행정구역별 급수인구'!$C$7:$AD$997,26,FALSE)-VLOOKUP($C37,'[2]2.행정구역별 급수인구'!$C$7:$AD$997,26,FALSE)*(1-$E37),0)),VLOOKUP($C37,'[2]2.행정구역별 급수인구'!$C$7:$AD$997,26,FALSE)))</f>
        <v>68</v>
      </c>
      <c r="J37" s="302">
        <f>IF($D37="A",ROUND(VLOOKUP($C37,'[2]2.행정구역별 급수인구'!$C$7:$AD$997,27,FALSE)*$E37,0),IF($D37="B",(ROUND(VLOOKUP($C37,'[2]2.행정구역별 급수인구'!$C$7:$AD$997,27,FALSE)-VLOOKUP($C37,'[2]2.행정구역별 급수인구'!$C$7:$AD$997,27,FALSE)*(1-$E37),0)),VLOOKUP($C37,'[2]2.행정구역별 급수인구'!$C$7:$AD$997,27,FALSE)))</f>
        <v>74</v>
      </c>
      <c r="K37" s="302">
        <f>IF($D37="A",ROUND(VLOOKUP($C37,'[2]2.행정구역별 급수인구'!$C$7:$AD$997,28,FALSE)*$E37,0),IF($D37="B",(ROUND(VLOOKUP($C37,'[2]2.행정구역별 급수인구'!$C$7:$AD$997,28,FALSE)-VLOOKUP($C37,'[2]2.행정구역별 급수인구'!$C$7:$AD$997,28,FALSE)*(1-$E37),0)),VLOOKUP($C37,'[2]2.행정구역별 급수인구'!$C$7:$AD$997,28,FALSE)))</f>
        <v>75</v>
      </c>
      <c r="L37" s="302">
        <f>VLOOKUP($F37,'[3]5.급수원단위'!$B$31:$G$35,2,FALSE)</f>
        <v>272</v>
      </c>
      <c r="M37" s="302">
        <f>VLOOKUP($F37,'[3]5.급수원단위'!$B$31:$G$35,3,FALSE)</f>
        <v>304</v>
      </c>
      <c r="N37" s="302">
        <f>VLOOKUP($F37,'[3]5.급수원단위'!$B$31:$G$35,4,FALSE)</f>
        <v>308</v>
      </c>
      <c r="O37" s="302">
        <f>VLOOKUP($F37,'[3]5.급수원단위'!$B$31:$G$35,5,FALSE)</f>
        <v>310</v>
      </c>
      <c r="P37" s="302">
        <f>VLOOKUP($F37,'[3]5.급수원단위'!$B$31:$G$35,6,FALSE)</f>
        <v>310</v>
      </c>
      <c r="Q37" s="302">
        <f>ROUND(IF(G37=0,0,VLOOKUP(C37,'2013실사용량 정리'!$D$6:$F$381,3,FALSE)),0)</f>
        <v>0</v>
      </c>
      <c r="R37" s="302">
        <f t="shared" si="8"/>
        <v>20</v>
      </c>
      <c r="S37" s="302">
        <f t="shared" si="8"/>
        <v>21</v>
      </c>
      <c r="T37" s="302">
        <f t="shared" si="8"/>
        <v>23</v>
      </c>
      <c r="U37" s="302">
        <f t="shared" si="8"/>
        <v>23</v>
      </c>
    </row>
    <row r="38" spans="1:23" ht="20.100000000000001" customHeight="1">
      <c r="A38" s="340"/>
      <c r="B38" s="340"/>
      <c r="C38" s="347" t="s">
        <v>1725</v>
      </c>
      <c r="D38" s="330"/>
      <c r="E38" s="404"/>
      <c r="F38" s="404" t="s">
        <v>756</v>
      </c>
      <c r="G38" s="302">
        <f>IF($D38="A",ROUND(VLOOKUP($C38,'[2]2.행정구역별 급수인구'!$C$7:$AD$997,17,FALSE)*$E38,0),IF($D38="B",(ROUND(VLOOKUP($C38,'[2]2.행정구역별 급수인구'!$C$7:$AD$997,17,FALSE)-VLOOKUP($C38,'[2]2.행정구역별 급수인구'!$C$7:$AD$997,17,FALSE)*(1-$E38),0)),VLOOKUP($C38,'[2]2.행정구역별 급수인구'!$C$7:$AD$997,17,FALSE)))</f>
        <v>0</v>
      </c>
      <c r="H38" s="302">
        <f>IF($D38="A",ROUND(VLOOKUP($C38,'[2]2.행정구역별 급수인구'!$C$7:$AD$997,25,FALSE)*$E38,0),IF($D38="B",(ROUND(VLOOKUP($C38,'[2]2.행정구역별 급수인구'!$C$7:$AD$997,25,FALSE)-VLOOKUP($C38,'[2]2.행정구역별 급수인구'!$C$7:$AD$997,25,FALSE)*(1-$E38),0)),VLOOKUP($C38,'[2]2.행정구역별 급수인구'!$C$7:$AD$997,25,FALSE)))</f>
        <v>70</v>
      </c>
      <c r="I38" s="302">
        <f>IF($D38="A",ROUND(VLOOKUP($C38,'[2]2.행정구역별 급수인구'!$C$7:$AD$997,26,FALSE)*$E38,0),IF($D38="B",(ROUND(VLOOKUP($C38,'[2]2.행정구역별 급수인구'!$C$7:$AD$997,26,FALSE)-VLOOKUP($C38,'[2]2.행정구역별 급수인구'!$C$7:$AD$997,26,FALSE)*(1-$E38),0)),VLOOKUP($C38,'[2]2.행정구역별 급수인구'!$C$7:$AD$997,26,FALSE)))</f>
        <v>73</v>
      </c>
      <c r="J38" s="302">
        <f>IF($D38="A",ROUND(VLOOKUP($C38,'[2]2.행정구역별 급수인구'!$C$7:$AD$997,27,FALSE)*$E38,0),IF($D38="B",(ROUND(VLOOKUP($C38,'[2]2.행정구역별 급수인구'!$C$7:$AD$997,27,FALSE)-VLOOKUP($C38,'[2]2.행정구역별 급수인구'!$C$7:$AD$997,27,FALSE)*(1-$E38),0)),VLOOKUP($C38,'[2]2.행정구역별 급수인구'!$C$7:$AD$997,27,FALSE)))</f>
        <v>79</v>
      </c>
      <c r="K38" s="302">
        <f>IF($D38="A",ROUND(VLOOKUP($C38,'[2]2.행정구역별 급수인구'!$C$7:$AD$997,28,FALSE)*$E38,0),IF($D38="B",(ROUND(VLOOKUP($C38,'[2]2.행정구역별 급수인구'!$C$7:$AD$997,28,FALSE)-VLOOKUP($C38,'[2]2.행정구역별 급수인구'!$C$7:$AD$997,28,FALSE)*(1-$E38),0)),VLOOKUP($C38,'[2]2.행정구역별 급수인구'!$C$7:$AD$997,28,FALSE)))</f>
        <v>81</v>
      </c>
      <c r="L38" s="302">
        <f>VLOOKUP($F38,'[3]5.급수원단위'!$B$31:$G$35,2,FALSE)</f>
        <v>272</v>
      </c>
      <c r="M38" s="302">
        <f>VLOOKUP($F38,'[3]5.급수원단위'!$B$31:$G$35,3,FALSE)</f>
        <v>304</v>
      </c>
      <c r="N38" s="302">
        <f>VLOOKUP($F38,'[3]5.급수원단위'!$B$31:$G$35,4,FALSE)</f>
        <v>308</v>
      </c>
      <c r="O38" s="302">
        <f>VLOOKUP($F38,'[3]5.급수원단위'!$B$31:$G$35,5,FALSE)</f>
        <v>310</v>
      </c>
      <c r="P38" s="302">
        <f>VLOOKUP($F38,'[3]5.급수원단위'!$B$31:$G$35,6,FALSE)</f>
        <v>310</v>
      </c>
      <c r="Q38" s="302">
        <f>ROUND(IF(G38=0,0,VLOOKUP(C38,'2013실사용량 정리'!$D$6:$F$381,3,FALSE)),0)</f>
        <v>0</v>
      </c>
      <c r="R38" s="302">
        <f t="shared" si="8"/>
        <v>21</v>
      </c>
      <c r="S38" s="302">
        <f t="shared" si="8"/>
        <v>22</v>
      </c>
      <c r="T38" s="302">
        <f t="shared" si="8"/>
        <v>24</v>
      </c>
      <c r="U38" s="302">
        <f t="shared" si="8"/>
        <v>25</v>
      </c>
    </row>
    <row r="39" spans="1:23" ht="20.100000000000001" customHeight="1">
      <c r="A39" s="340"/>
      <c r="B39" s="340"/>
      <c r="C39" s="347" t="s">
        <v>1726</v>
      </c>
      <c r="D39" s="330"/>
      <c r="E39" s="404"/>
      <c r="F39" s="404" t="s">
        <v>756</v>
      </c>
      <c r="G39" s="302">
        <f>IF($D39="A",ROUND(VLOOKUP($C39,'[2]2.행정구역별 급수인구'!$C$7:$AD$997,17,FALSE)*$E39,0),IF($D39="B",(ROUND(VLOOKUP($C39,'[2]2.행정구역별 급수인구'!$C$7:$AD$997,17,FALSE)-VLOOKUP($C39,'[2]2.행정구역별 급수인구'!$C$7:$AD$997,17,FALSE)*(1-$E39),0)),VLOOKUP($C39,'[2]2.행정구역별 급수인구'!$C$7:$AD$997,17,FALSE)))</f>
        <v>0</v>
      </c>
      <c r="H39" s="302">
        <f>IF($D39="A",ROUND(VLOOKUP($C39,'[2]2.행정구역별 급수인구'!$C$7:$AD$997,25,FALSE)*$E39,0),IF($D39="B",(ROUND(VLOOKUP($C39,'[2]2.행정구역별 급수인구'!$C$7:$AD$997,25,FALSE)-VLOOKUP($C39,'[2]2.행정구역별 급수인구'!$C$7:$AD$997,25,FALSE)*(1-$E39),0)),VLOOKUP($C39,'[2]2.행정구역별 급수인구'!$C$7:$AD$997,25,FALSE)))</f>
        <v>317</v>
      </c>
      <c r="I39" s="302">
        <f>IF($D39="A",ROUND(VLOOKUP($C39,'[2]2.행정구역별 급수인구'!$C$7:$AD$997,26,FALSE)*$E39,0),IF($D39="B",(ROUND(VLOOKUP($C39,'[2]2.행정구역별 급수인구'!$C$7:$AD$997,26,FALSE)-VLOOKUP($C39,'[2]2.행정구역별 급수인구'!$C$7:$AD$997,26,FALSE)*(1-$E39),0)),VLOOKUP($C39,'[2]2.행정구역별 급수인구'!$C$7:$AD$997,26,FALSE)))</f>
        <v>332</v>
      </c>
      <c r="J39" s="302">
        <f>IF($D39="A",ROUND(VLOOKUP($C39,'[2]2.행정구역별 급수인구'!$C$7:$AD$997,27,FALSE)*$E39,0),IF($D39="B",(ROUND(VLOOKUP($C39,'[2]2.행정구역별 급수인구'!$C$7:$AD$997,27,FALSE)-VLOOKUP($C39,'[2]2.행정구역별 급수인구'!$C$7:$AD$997,27,FALSE)*(1-$E39),0)),VLOOKUP($C39,'[2]2.행정구역별 급수인구'!$C$7:$AD$997,27,FALSE)))</f>
        <v>361</v>
      </c>
      <c r="K39" s="302">
        <f>IF($D39="A",ROUND(VLOOKUP($C39,'[2]2.행정구역별 급수인구'!$C$7:$AD$997,28,FALSE)*$E39,0),IF($D39="B",(ROUND(VLOOKUP($C39,'[2]2.행정구역별 급수인구'!$C$7:$AD$997,28,FALSE)-VLOOKUP($C39,'[2]2.행정구역별 급수인구'!$C$7:$AD$997,28,FALSE)*(1-$E39),0)),VLOOKUP($C39,'[2]2.행정구역별 급수인구'!$C$7:$AD$997,28,FALSE)))</f>
        <v>367</v>
      </c>
      <c r="L39" s="302">
        <f>VLOOKUP($F39,'[3]5.급수원단위'!$B$31:$G$35,2,FALSE)</f>
        <v>272</v>
      </c>
      <c r="M39" s="302">
        <f>VLOOKUP($F39,'[3]5.급수원단위'!$B$31:$G$35,3,FALSE)</f>
        <v>304</v>
      </c>
      <c r="N39" s="302">
        <f>VLOOKUP($F39,'[3]5.급수원단위'!$B$31:$G$35,4,FALSE)</f>
        <v>308</v>
      </c>
      <c r="O39" s="302">
        <f>VLOOKUP($F39,'[3]5.급수원단위'!$B$31:$G$35,5,FALSE)</f>
        <v>310</v>
      </c>
      <c r="P39" s="302">
        <f>VLOOKUP($F39,'[3]5.급수원단위'!$B$31:$G$35,6,FALSE)</f>
        <v>310</v>
      </c>
      <c r="Q39" s="302">
        <f>ROUND(IF(G39=0,0,VLOOKUP(C39,'2013실사용량 정리'!$D$6:$F$381,3,FALSE)),0)</f>
        <v>0</v>
      </c>
      <c r="R39" s="302">
        <f t="shared" si="8"/>
        <v>96</v>
      </c>
      <c r="S39" s="302">
        <f t="shared" si="8"/>
        <v>102</v>
      </c>
      <c r="T39" s="302">
        <f t="shared" si="8"/>
        <v>112</v>
      </c>
      <c r="U39" s="302">
        <f t="shared" si="8"/>
        <v>114</v>
      </c>
    </row>
    <row r="40" spans="1:23" ht="20.100000000000001" customHeight="1">
      <c r="A40" s="340"/>
      <c r="B40" s="340"/>
      <c r="C40" s="347" t="s">
        <v>1727</v>
      </c>
      <c r="D40" s="330"/>
      <c r="E40" s="404"/>
      <c r="F40" s="404" t="s">
        <v>756</v>
      </c>
      <c r="G40" s="302">
        <f>IF($D40="A",ROUND(VLOOKUP($C40,'[2]2.행정구역별 급수인구'!$C$7:$AD$997,17,FALSE)*$E40,0),IF($D40="B",(ROUND(VLOOKUP($C40,'[2]2.행정구역별 급수인구'!$C$7:$AD$997,17,FALSE)-VLOOKUP($C40,'[2]2.행정구역별 급수인구'!$C$7:$AD$997,17,FALSE)*(1-$E40),0)),VLOOKUP($C40,'[2]2.행정구역별 급수인구'!$C$7:$AD$997,17,FALSE)))</f>
        <v>0</v>
      </c>
      <c r="H40" s="302">
        <f>IF($D40="A",ROUND(VLOOKUP($C40,'[2]2.행정구역별 급수인구'!$C$7:$AD$997,25,FALSE)*$E40,0),IF($D40="B",(ROUND(VLOOKUP($C40,'[2]2.행정구역별 급수인구'!$C$7:$AD$997,25,FALSE)-VLOOKUP($C40,'[2]2.행정구역별 급수인구'!$C$7:$AD$997,25,FALSE)*(1-$E40),0)),VLOOKUP($C40,'[2]2.행정구역별 급수인구'!$C$7:$AD$997,25,FALSE)))</f>
        <v>74</v>
      </c>
      <c r="I40" s="302">
        <f>IF($D40="A",ROUND(VLOOKUP($C40,'[2]2.행정구역별 급수인구'!$C$7:$AD$997,26,FALSE)*$E40,0),IF($D40="B",(ROUND(VLOOKUP($C40,'[2]2.행정구역별 급수인구'!$C$7:$AD$997,26,FALSE)-VLOOKUP($C40,'[2]2.행정구역별 급수인구'!$C$7:$AD$997,26,FALSE)*(1-$E40),0)),VLOOKUP($C40,'[2]2.행정구역별 급수인구'!$C$7:$AD$997,26,FALSE)))</f>
        <v>78</v>
      </c>
      <c r="J40" s="302">
        <f>IF($D40="A",ROUND(VLOOKUP($C40,'[2]2.행정구역별 급수인구'!$C$7:$AD$997,27,FALSE)*$E40,0),IF($D40="B",(ROUND(VLOOKUP($C40,'[2]2.행정구역별 급수인구'!$C$7:$AD$997,27,FALSE)-VLOOKUP($C40,'[2]2.행정구역별 급수인구'!$C$7:$AD$997,27,FALSE)*(1-$E40),0)),VLOOKUP($C40,'[2]2.행정구역별 급수인구'!$C$7:$AD$997,27,FALSE)))</f>
        <v>85</v>
      </c>
      <c r="K40" s="302">
        <f>IF($D40="A",ROUND(VLOOKUP($C40,'[2]2.행정구역별 급수인구'!$C$7:$AD$997,28,FALSE)*$E40,0),IF($D40="B",(ROUND(VLOOKUP($C40,'[2]2.행정구역별 급수인구'!$C$7:$AD$997,28,FALSE)-VLOOKUP($C40,'[2]2.행정구역별 급수인구'!$C$7:$AD$997,28,FALSE)*(1-$E40),0)),VLOOKUP($C40,'[2]2.행정구역별 급수인구'!$C$7:$AD$997,28,FALSE)))</f>
        <v>86</v>
      </c>
      <c r="L40" s="302">
        <f>VLOOKUP($F40,'[3]5.급수원단위'!$B$31:$G$35,2,FALSE)</f>
        <v>272</v>
      </c>
      <c r="M40" s="302">
        <f>VLOOKUP($F40,'[3]5.급수원단위'!$B$31:$G$35,3,FALSE)</f>
        <v>304</v>
      </c>
      <c r="N40" s="302">
        <f>VLOOKUP($F40,'[3]5.급수원단위'!$B$31:$G$35,4,FALSE)</f>
        <v>308</v>
      </c>
      <c r="O40" s="302">
        <f>VLOOKUP($F40,'[3]5.급수원단위'!$B$31:$G$35,5,FALSE)</f>
        <v>310</v>
      </c>
      <c r="P40" s="302">
        <f>VLOOKUP($F40,'[3]5.급수원단위'!$B$31:$G$35,6,FALSE)</f>
        <v>310</v>
      </c>
      <c r="Q40" s="302">
        <f>ROUND(IF(G40=0,0,VLOOKUP(C40,'2013실사용량 정리'!$D$6:$F$381,3,FALSE)),0)</f>
        <v>0</v>
      </c>
      <c r="R40" s="302">
        <f t="shared" si="8"/>
        <v>22</v>
      </c>
      <c r="S40" s="302">
        <f t="shared" si="8"/>
        <v>24</v>
      </c>
      <c r="T40" s="302">
        <f t="shared" si="8"/>
        <v>26</v>
      </c>
      <c r="U40" s="302">
        <f t="shared" si="8"/>
        <v>27</v>
      </c>
    </row>
    <row r="41" spans="1:23" ht="20.100000000000001" customHeight="1">
      <c r="A41" s="340"/>
      <c r="B41" s="340"/>
      <c r="C41" s="347" t="s">
        <v>1728</v>
      </c>
      <c r="D41" s="330"/>
      <c r="E41" s="404"/>
      <c r="F41" s="404" t="s">
        <v>756</v>
      </c>
      <c r="G41" s="302">
        <f>IF($D41="A",ROUND(VLOOKUP($C41,'[2]2.행정구역별 급수인구'!$C$7:$AD$997,17,FALSE)*$E41,0),IF($D41="B",(ROUND(VLOOKUP($C41,'[2]2.행정구역별 급수인구'!$C$7:$AD$997,17,FALSE)-VLOOKUP($C41,'[2]2.행정구역별 급수인구'!$C$7:$AD$997,17,FALSE)*(1-$E41),0)),VLOOKUP($C41,'[2]2.행정구역별 급수인구'!$C$7:$AD$997,17,FALSE)))</f>
        <v>0</v>
      </c>
      <c r="H41" s="302">
        <f>IF($D41="A",ROUND(VLOOKUP($C41,'[2]2.행정구역별 급수인구'!$C$7:$AD$997,25,FALSE)*$E41,0),IF($D41="B",(ROUND(VLOOKUP($C41,'[2]2.행정구역별 급수인구'!$C$7:$AD$997,25,FALSE)-VLOOKUP($C41,'[2]2.행정구역별 급수인구'!$C$7:$AD$997,25,FALSE)*(1-$E41),0)),VLOOKUP($C41,'[2]2.행정구역별 급수인구'!$C$7:$AD$997,25,FALSE)))</f>
        <v>189</v>
      </c>
      <c r="I41" s="302">
        <f>IF($D41="A",ROUND(VLOOKUP($C41,'[2]2.행정구역별 급수인구'!$C$7:$AD$997,26,FALSE)*$E41,0),IF($D41="B",(ROUND(VLOOKUP($C41,'[2]2.행정구역별 급수인구'!$C$7:$AD$997,26,FALSE)-VLOOKUP($C41,'[2]2.행정구역별 급수인구'!$C$7:$AD$997,26,FALSE)*(1-$E41),0)),VLOOKUP($C41,'[2]2.행정구역별 급수인구'!$C$7:$AD$997,26,FALSE)))</f>
        <v>198</v>
      </c>
      <c r="J41" s="302">
        <f>IF($D41="A",ROUND(VLOOKUP($C41,'[2]2.행정구역별 급수인구'!$C$7:$AD$997,27,FALSE)*$E41,0),IF($D41="B",(ROUND(VLOOKUP($C41,'[2]2.행정구역별 급수인구'!$C$7:$AD$997,27,FALSE)-VLOOKUP($C41,'[2]2.행정구역별 급수인구'!$C$7:$AD$997,27,FALSE)*(1-$E41),0)),VLOOKUP($C41,'[2]2.행정구역별 급수인구'!$C$7:$AD$997,27,FALSE)))</f>
        <v>214</v>
      </c>
      <c r="K41" s="302">
        <f>IF($D41="A",ROUND(VLOOKUP($C41,'[2]2.행정구역별 급수인구'!$C$7:$AD$997,28,FALSE)*$E41,0),IF($D41="B",(ROUND(VLOOKUP($C41,'[2]2.행정구역별 급수인구'!$C$7:$AD$997,28,FALSE)-VLOOKUP($C41,'[2]2.행정구역별 급수인구'!$C$7:$AD$997,28,FALSE)*(1-$E41),0)),VLOOKUP($C41,'[2]2.행정구역별 급수인구'!$C$7:$AD$997,28,FALSE)))</f>
        <v>219</v>
      </c>
      <c r="L41" s="302">
        <f>VLOOKUP($F41,'[3]5.급수원단위'!$B$31:$G$35,2,FALSE)</f>
        <v>272</v>
      </c>
      <c r="M41" s="302">
        <f>VLOOKUP($F41,'[3]5.급수원단위'!$B$31:$G$35,3,FALSE)</f>
        <v>304</v>
      </c>
      <c r="N41" s="302">
        <f>VLOOKUP($F41,'[3]5.급수원단위'!$B$31:$G$35,4,FALSE)</f>
        <v>308</v>
      </c>
      <c r="O41" s="302">
        <f>VLOOKUP($F41,'[3]5.급수원단위'!$B$31:$G$35,5,FALSE)</f>
        <v>310</v>
      </c>
      <c r="P41" s="302">
        <f>VLOOKUP($F41,'[3]5.급수원단위'!$B$31:$G$35,6,FALSE)</f>
        <v>310</v>
      </c>
      <c r="Q41" s="302">
        <f>ROUND(IF(G41=0,0,VLOOKUP(C41,'2013실사용량 정리'!$D$6:$F$381,3,FALSE)),0)</f>
        <v>0</v>
      </c>
      <c r="R41" s="302">
        <f t="shared" si="8"/>
        <v>57</v>
      </c>
      <c r="S41" s="302">
        <f t="shared" si="8"/>
        <v>61</v>
      </c>
      <c r="T41" s="302">
        <f t="shared" si="8"/>
        <v>66</v>
      </c>
      <c r="U41" s="302">
        <f t="shared" si="8"/>
        <v>68</v>
      </c>
    </row>
    <row r="42" spans="1:23" ht="20.100000000000001" customHeight="1">
      <c r="A42" s="340"/>
      <c r="B42" s="340"/>
      <c r="C42" s="347" t="s">
        <v>1729</v>
      </c>
      <c r="D42" s="330"/>
      <c r="E42" s="404"/>
      <c r="F42" s="404" t="s">
        <v>756</v>
      </c>
      <c r="G42" s="302">
        <f>IF($D42="A",ROUND(VLOOKUP($C42,'[2]2.행정구역별 급수인구'!$C$7:$AD$997,17,FALSE)*$E42,0),IF($D42="B",(ROUND(VLOOKUP($C42,'[2]2.행정구역별 급수인구'!$C$7:$AD$997,17,FALSE)-VLOOKUP($C42,'[2]2.행정구역별 급수인구'!$C$7:$AD$997,17,FALSE)*(1-$E42),0)),VLOOKUP($C42,'[2]2.행정구역별 급수인구'!$C$7:$AD$997,17,FALSE)))</f>
        <v>0</v>
      </c>
      <c r="H42" s="302">
        <f>IF($D42="A",ROUND(VLOOKUP($C42,'[2]2.행정구역별 급수인구'!$C$7:$AD$997,25,FALSE)*$E42,0),IF($D42="B",(ROUND(VLOOKUP($C42,'[2]2.행정구역별 급수인구'!$C$7:$AD$997,25,FALSE)-VLOOKUP($C42,'[2]2.행정구역별 급수인구'!$C$7:$AD$997,25,FALSE)*(1-$E42),0)),VLOOKUP($C42,'[2]2.행정구역별 급수인구'!$C$7:$AD$997,25,FALSE)))</f>
        <v>187</v>
      </c>
      <c r="I42" s="302">
        <f>IF($D42="A",ROUND(VLOOKUP($C42,'[2]2.행정구역별 급수인구'!$C$7:$AD$997,26,FALSE)*$E42,0),IF($D42="B",(ROUND(VLOOKUP($C42,'[2]2.행정구역별 급수인구'!$C$7:$AD$997,26,FALSE)-VLOOKUP($C42,'[2]2.행정구역별 급수인구'!$C$7:$AD$997,26,FALSE)*(1-$E42),0)),VLOOKUP($C42,'[2]2.행정구역별 급수인구'!$C$7:$AD$997,26,FALSE)))</f>
        <v>196</v>
      </c>
      <c r="J42" s="302">
        <f>IF($D42="A",ROUND(VLOOKUP($C42,'[2]2.행정구역별 급수인구'!$C$7:$AD$997,27,FALSE)*$E42,0),IF($D42="B",(ROUND(VLOOKUP($C42,'[2]2.행정구역별 급수인구'!$C$7:$AD$997,27,FALSE)-VLOOKUP($C42,'[2]2.행정구역별 급수인구'!$C$7:$AD$997,27,FALSE)*(1-$E42),0)),VLOOKUP($C42,'[2]2.행정구역별 급수인구'!$C$7:$AD$997,27,FALSE)))</f>
        <v>212</v>
      </c>
      <c r="K42" s="302">
        <f>IF($D42="A",ROUND(VLOOKUP($C42,'[2]2.행정구역별 급수인구'!$C$7:$AD$997,28,FALSE)*$E42,0),IF($D42="B",(ROUND(VLOOKUP($C42,'[2]2.행정구역별 급수인구'!$C$7:$AD$997,28,FALSE)-VLOOKUP($C42,'[2]2.행정구역별 급수인구'!$C$7:$AD$997,28,FALSE)*(1-$E42),0)),VLOOKUP($C42,'[2]2.행정구역별 급수인구'!$C$7:$AD$997,28,FALSE)))</f>
        <v>217</v>
      </c>
      <c r="L42" s="302">
        <f>VLOOKUP($F42,'[3]5.급수원단위'!$B$31:$G$35,2,FALSE)</f>
        <v>272</v>
      </c>
      <c r="M42" s="302">
        <f>VLOOKUP($F42,'[3]5.급수원단위'!$B$31:$G$35,3,FALSE)</f>
        <v>304</v>
      </c>
      <c r="N42" s="302">
        <f>VLOOKUP($F42,'[3]5.급수원단위'!$B$31:$G$35,4,FALSE)</f>
        <v>308</v>
      </c>
      <c r="O42" s="302">
        <f>VLOOKUP($F42,'[3]5.급수원단위'!$B$31:$G$35,5,FALSE)</f>
        <v>310</v>
      </c>
      <c r="P42" s="302">
        <f>VLOOKUP($F42,'[3]5.급수원단위'!$B$31:$G$35,6,FALSE)</f>
        <v>310</v>
      </c>
      <c r="Q42" s="302">
        <f>ROUND(IF(G42=0,0,VLOOKUP(C42,'2013실사용량 정리'!$D$6:$F$381,3,FALSE)),0)</f>
        <v>0</v>
      </c>
      <c r="R42" s="302">
        <f t="shared" si="8"/>
        <v>57</v>
      </c>
      <c r="S42" s="302">
        <f t="shared" si="8"/>
        <v>60</v>
      </c>
      <c r="T42" s="302">
        <f t="shared" si="8"/>
        <v>66</v>
      </c>
      <c r="U42" s="302">
        <f t="shared" si="8"/>
        <v>67</v>
      </c>
    </row>
    <row r="43" spans="1:23" ht="20.100000000000001" customHeight="1">
      <c r="A43" s="340"/>
      <c r="B43" s="340"/>
      <c r="C43" s="347" t="s">
        <v>1730</v>
      </c>
      <c r="D43" s="330"/>
      <c r="E43" s="404"/>
      <c r="F43" s="404" t="s">
        <v>756</v>
      </c>
      <c r="G43" s="302">
        <f>IF($D43="A",ROUND(VLOOKUP($C43,'[2]2.행정구역별 급수인구'!$C$7:$AD$997,17,FALSE)*$E43,0),IF($D43="B",(ROUND(VLOOKUP($C43,'[2]2.행정구역별 급수인구'!$C$7:$AD$997,17,FALSE)-VLOOKUP($C43,'[2]2.행정구역별 급수인구'!$C$7:$AD$997,17,FALSE)*(1-$E43),0)),VLOOKUP($C43,'[2]2.행정구역별 급수인구'!$C$7:$AD$997,17,FALSE)))</f>
        <v>0</v>
      </c>
      <c r="H43" s="302">
        <f>IF($D43="A",ROUND(VLOOKUP($C43,'[2]2.행정구역별 급수인구'!$C$7:$AD$997,25,FALSE)*$E43,0),IF($D43="B",(ROUND(VLOOKUP($C43,'[2]2.행정구역별 급수인구'!$C$7:$AD$997,25,FALSE)-VLOOKUP($C43,'[2]2.행정구역별 급수인구'!$C$7:$AD$997,25,FALSE)*(1-$E43),0)),VLOOKUP($C43,'[2]2.행정구역별 급수인구'!$C$7:$AD$997,25,FALSE)))</f>
        <v>129</v>
      </c>
      <c r="I43" s="302">
        <f>IF($D43="A",ROUND(VLOOKUP($C43,'[2]2.행정구역별 급수인구'!$C$7:$AD$997,26,FALSE)*$E43,0),IF($D43="B",(ROUND(VLOOKUP($C43,'[2]2.행정구역별 급수인구'!$C$7:$AD$997,26,FALSE)-VLOOKUP($C43,'[2]2.행정구역별 급수인구'!$C$7:$AD$997,26,FALSE)*(1-$E43),0)),VLOOKUP($C43,'[2]2.행정구역별 급수인구'!$C$7:$AD$997,26,FALSE)))</f>
        <v>135</v>
      </c>
      <c r="J43" s="302">
        <f>IF($D43="A",ROUND(VLOOKUP($C43,'[2]2.행정구역별 급수인구'!$C$7:$AD$997,27,FALSE)*$E43,0),IF($D43="B",(ROUND(VLOOKUP($C43,'[2]2.행정구역별 급수인구'!$C$7:$AD$997,27,FALSE)-VLOOKUP($C43,'[2]2.행정구역별 급수인구'!$C$7:$AD$997,27,FALSE)*(1-$E43),0)),VLOOKUP($C43,'[2]2.행정구역별 급수인구'!$C$7:$AD$997,27,FALSE)))</f>
        <v>147</v>
      </c>
      <c r="K43" s="302">
        <f>IF($D43="A",ROUND(VLOOKUP($C43,'[2]2.행정구역별 급수인구'!$C$7:$AD$997,28,FALSE)*$E43,0),IF($D43="B",(ROUND(VLOOKUP($C43,'[2]2.행정구역별 급수인구'!$C$7:$AD$997,28,FALSE)-VLOOKUP($C43,'[2]2.행정구역별 급수인구'!$C$7:$AD$997,28,FALSE)*(1-$E43),0)),VLOOKUP($C43,'[2]2.행정구역별 급수인구'!$C$7:$AD$997,28,FALSE)))</f>
        <v>149</v>
      </c>
      <c r="L43" s="302">
        <f>VLOOKUP($F43,'[3]5.급수원단위'!$B$31:$G$35,2,FALSE)</f>
        <v>272</v>
      </c>
      <c r="M43" s="302">
        <f>VLOOKUP($F43,'[3]5.급수원단위'!$B$31:$G$35,3,FALSE)</f>
        <v>304</v>
      </c>
      <c r="N43" s="302">
        <f>VLOOKUP($F43,'[3]5.급수원단위'!$B$31:$G$35,4,FALSE)</f>
        <v>308</v>
      </c>
      <c r="O43" s="302">
        <f>VLOOKUP($F43,'[3]5.급수원단위'!$B$31:$G$35,5,FALSE)</f>
        <v>310</v>
      </c>
      <c r="P43" s="302">
        <f>VLOOKUP($F43,'[3]5.급수원단위'!$B$31:$G$35,6,FALSE)</f>
        <v>310</v>
      </c>
      <c r="Q43" s="302">
        <f>ROUND(IF(G43=0,0,VLOOKUP(C43,'2013실사용량 정리'!$D$6:$F$381,3,FALSE)),0)</f>
        <v>0</v>
      </c>
      <c r="R43" s="302">
        <f t="shared" si="8"/>
        <v>39</v>
      </c>
      <c r="S43" s="302">
        <f t="shared" si="8"/>
        <v>42</v>
      </c>
      <c r="T43" s="302">
        <f t="shared" si="8"/>
        <v>46</v>
      </c>
      <c r="U43" s="302">
        <f t="shared" si="8"/>
        <v>46</v>
      </c>
    </row>
    <row r="44" spans="1:23" ht="20.100000000000001" customHeight="1">
      <c r="A44" s="386"/>
      <c r="B44" s="386"/>
      <c r="C44" s="347" t="s">
        <v>1732</v>
      </c>
      <c r="D44" s="330"/>
      <c r="E44" s="404"/>
      <c r="F44" s="404" t="s">
        <v>756</v>
      </c>
      <c r="G44" s="302">
        <f>IF($D44="A",ROUND(VLOOKUP($C44,'[2]2.행정구역별 급수인구'!$C$7:$AD$997,17,FALSE)*$E44,0),IF($D44="B",(ROUND(VLOOKUP($C44,'[2]2.행정구역별 급수인구'!$C$7:$AD$997,17,FALSE)-VLOOKUP($C44,'[2]2.행정구역별 급수인구'!$C$7:$AD$997,17,FALSE)*(1-$E44),0)),VLOOKUP($C44,'[2]2.행정구역별 급수인구'!$C$7:$AD$997,17,FALSE)))</f>
        <v>0</v>
      </c>
      <c r="H44" s="302">
        <f>IF($D44="A",ROUND(VLOOKUP($C44,'[2]2.행정구역별 급수인구'!$C$7:$AD$997,25,FALSE)*$E44,0),IF($D44="B",(ROUND(VLOOKUP($C44,'[2]2.행정구역별 급수인구'!$C$7:$AD$997,25,FALSE)-VLOOKUP($C44,'[2]2.행정구역별 급수인구'!$C$7:$AD$997,25,FALSE)*(1-$E44),0)),VLOOKUP($C44,'[2]2.행정구역별 급수인구'!$C$7:$AD$997,25,FALSE)))</f>
        <v>0</v>
      </c>
      <c r="I44" s="302">
        <f>IF($D44="A",ROUND(VLOOKUP($C44,'[2]2.행정구역별 급수인구'!$C$7:$AD$997,26,FALSE)*$E44,0),IF($D44="B",(ROUND(VLOOKUP($C44,'[2]2.행정구역별 급수인구'!$C$7:$AD$997,26,FALSE)-VLOOKUP($C44,'[2]2.행정구역별 급수인구'!$C$7:$AD$997,26,FALSE)*(1-$E44),0)),VLOOKUP($C44,'[2]2.행정구역별 급수인구'!$C$7:$AD$997,26,FALSE)))</f>
        <v>95</v>
      </c>
      <c r="J44" s="302">
        <f>IF($D44="A",ROUND(VLOOKUP($C44,'[2]2.행정구역별 급수인구'!$C$7:$AD$997,27,FALSE)*$E44,0),IF($D44="B",(ROUND(VLOOKUP($C44,'[2]2.행정구역별 급수인구'!$C$7:$AD$997,27,FALSE)-VLOOKUP($C44,'[2]2.행정구역별 급수인구'!$C$7:$AD$997,27,FALSE)*(1-$E44),0)),VLOOKUP($C44,'[2]2.행정구역별 급수인구'!$C$7:$AD$997,27,FALSE)))</f>
        <v>102</v>
      </c>
      <c r="K44" s="302">
        <f>IF($D44="A",ROUND(VLOOKUP($C44,'[2]2.행정구역별 급수인구'!$C$7:$AD$997,28,FALSE)*$E44,0),IF($D44="B",(ROUND(VLOOKUP($C44,'[2]2.행정구역별 급수인구'!$C$7:$AD$997,28,FALSE)-VLOOKUP($C44,'[2]2.행정구역별 급수인구'!$C$7:$AD$997,28,FALSE)*(1-$E44),0)),VLOOKUP($C44,'[2]2.행정구역별 급수인구'!$C$7:$AD$997,28,FALSE)))</f>
        <v>105</v>
      </c>
      <c r="L44" s="302">
        <f>VLOOKUP($F44,'[3]5.급수원단위'!$B$31:$G$35,2,FALSE)</f>
        <v>272</v>
      </c>
      <c r="M44" s="302">
        <f>VLOOKUP($F44,'[3]5.급수원단위'!$B$31:$G$35,3,FALSE)</f>
        <v>304</v>
      </c>
      <c r="N44" s="302">
        <f>VLOOKUP($F44,'[3]5.급수원단위'!$B$31:$G$35,4,FALSE)</f>
        <v>308</v>
      </c>
      <c r="O44" s="302">
        <f>VLOOKUP($F44,'[3]5.급수원단위'!$B$31:$G$35,5,FALSE)</f>
        <v>310</v>
      </c>
      <c r="P44" s="302">
        <f>VLOOKUP($F44,'[3]5.급수원단위'!$B$31:$G$35,6,FALSE)</f>
        <v>310</v>
      </c>
      <c r="Q44" s="302">
        <f>ROUND(IF(G44=0,0,VLOOKUP(C44,'2013실사용량 정리'!$D$6:$F$381,3,FALSE)),0)</f>
        <v>0</v>
      </c>
      <c r="R44" s="302">
        <f t="shared" si="8"/>
        <v>0</v>
      </c>
      <c r="S44" s="302">
        <f t="shared" si="8"/>
        <v>29</v>
      </c>
      <c r="T44" s="302">
        <f t="shared" si="8"/>
        <v>32</v>
      </c>
      <c r="U44" s="302">
        <f t="shared" si="8"/>
        <v>33</v>
      </c>
    </row>
    <row r="45" spans="1:23" ht="20.100000000000001" customHeight="1">
      <c r="A45" s="339"/>
      <c r="B45" s="694" t="s">
        <v>704</v>
      </c>
      <c r="C45" s="694"/>
      <c r="D45" s="694"/>
      <c r="E45" s="331"/>
      <c r="F45" s="331"/>
      <c r="G45" s="336">
        <f>SUM(G46:G71)</f>
        <v>0</v>
      </c>
      <c r="H45" s="336">
        <f t="shared" ref="H45:K45" si="9">SUM(H46:H71)</f>
        <v>0</v>
      </c>
      <c r="I45" s="336">
        <f t="shared" si="9"/>
        <v>1012</v>
      </c>
      <c r="J45" s="336">
        <f t="shared" si="9"/>
        <v>1098</v>
      </c>
      <c r="K45" s="336">
        <f t="shared" si="9"/>
        <v>1119</v>
      </c>
      <c r="L45" s="336"/>
      <c r="M45" s="336"/>
      <c r="N45" s="336"/>
      <c r="O45" s="336"/>
      <c r="P45" s="336"/>
      <c r="Q45" s="336">
        <f t="shared" ref="Q45:U45" si="10">SUM(Q46:Q71)</f>
        <v>0</v>
      </c>
      <c r="R45" s="336">
        <f t="shared" si="10"/>
        <v>0</v>
      </c>
      <c r="S45" s="336">
        <f t="shared" si="10"/>
        <v>311</v>
      </c>
      <c r="T45" s="336">
        <f t="shared" si="10"/>
        <v>341</v>
      </c>
      <c r="U45" s="336">
        <f t="shared" si="10"/>
        <v>347</v>
      </c>
      <c r="V45" s="343">
        <f>VLOOKUP(B45,'2013년도 용수량 비율'!$A$5:$F$20,6,FALSE)</f>
        <v>1</v>
      </c>
      <c r="W45" s="479">
        <f>I45+2467</f>
        <v>3479</v>
      </c>
    </row>
    <row r="46" spans="1:23" ht="20.100000000000001" customHeight="1">
      <c r="A46" s="340"/>
      <c r="B46" s="339"/>
      <c r="C46" s="406" t="s">
        <v>1694</v>
      </c>
      <c r="D46" s="330" t="s">
        <v>1300</v>
      </c>
      <c r="E46" s="468">
        <f>1-'2.생활용수(연산)'!E49</f>
        <v>1</v>
      </c>
      <c r="F46" s="468" t="s">
        <v>756</v>
      </c>
      <c r="G46" s="302">
        <f>IF($W$3=1,0,IF($D46="A",ROUND(VLOOKUP($C46,'[2]2.행정구역별 급수인구'!$C$7:$AD$997,17,FALSE)*$E46,0),IF($D46="B",(ROUND(VLOOKUP($C46,'[2]2.행정구역별 급수인구'!$C$7:$AD$997,17,FALSE)-VLOOKUP($C46,'[2]2.행정구역별 급수인구'!$C$7:$AD$997,17,FALSE)*(1-$E46),0)),VLOOKUP($C46,'[2]2.행정구역별 급수인구'!$C$7:$AD$997,17,FALSE))))</f>
        <v>0</v>
      </c>
      <c r="H46" s="302">
        <f>IF($W$3=1,0,IF($D46="A",ROUND(VLOOKUP($C46,'[2]2.행정구역별 급수인구'!$C$7:$AD$997,25,FALSE)*$E46,0),IF($D46="B",(ROUND(VLOOKUP($C46,'[2]2.행정구역별 급수인구'!$C$7:$AD$997,25,FALSE)-VLOOKUP($C46,'[2]2.행정구역별 급수인구'!$C$7:$AD$997,25,FALSE)*(1-$E46),0)),VLOOKUP($C46,'[2]2.행정구역별 급수인구'!$C$7:$AD$997,25,FALSE))))</f>
        <v>0</v>
      </c>
      <c r="I46" s="473">
        <f>IF($W$3=0,0,IF($D46="A",ROUND(VLOOKUP($C46,'[2]2.행정구역별 급수인구'!$C$7:$AD$997,26,FALSE)*$E46,0),IF($D46="B",(ROUND(VLOOKUP($C46,'[2]2.행정구역별 급수인구'!$C$7:$AD$997,26,FALSE)-VLOOKUP($C46,'[2]2.행정구역별 급수인구'!$C$7:$AD$997,26,FALSE)*(1-$E46),0)),VLOOKUP($C46,'[2]2.행정구역별 급수인구'!$C$7:$AD$997,26,FALSE))))</f>
        <v>196</v>
      </c>
      <c r="J46" s="473">
        <f>IF($W$3=0,0,IF($D46="A",ROUND(VLOOKUP($C46,'[2]2.행정구역별 급수인구'!$C$7:$AD$997,27,FALSE)*$E46,0),IF($D46="B",(ROUND(VLOOKUP($C46,'[2]2.행정구역별 급수인구'!$C$7:$AD$997,27,FALSE)-VLOOKUP($C46,'[2]2.행정구역별 급수인구'!$C$7:$AD$997,27,FALSE)*(1-$E46),0)),VLOOKUP($C46,'[2]2.행정구역별 급수인구'!$C$7:$AD$997,27,FALSE))))</f>
        <v>212</v>
      </c>
      <c r="K46" s="473">
        <f>IF($W$3=0,0,IF($D46="A",ROUND(VLOOKUP($C46,'[2]2.행정구역별 급수인구'!$C$7:$AD$997,28,FALSE)*$E46,0),IF($D46="B",(ROUND(VLOOKUP($C46,'[2]2.행정구역별 급수인구'!$C$7:$AD$997,28,FALSE)-VLOOKUP($C46,'[2]2.행정구역별 급수인구'!$C$7:$AD$997,28,FALSE)*(1-$E46),0)),VLOOKUP($C46,'[2]2.행정구역별 급수인구'!$C$7:$AD$997,28,FALSE))))</f>
        <v>217</v>
      </c>
      <c r="L46" s="302">
        <f>VLOOKUP($F46,'[3]5.급수원단위'!$B$31:$G$35,2,FALSE)</f>
        <v>272</v>
      </c>
      <c r="M46" s="302">
        <f>VLOOKUP($F46,'[3]5.급수원단위'!$B$31:$G$35,3,FALSE)</f>
        <v>304</v>
      </c>
      <c r="N46" s="302">
        <f>VLOOKUP($F46,'[3]5.급수원단위'!$B$31:$G$35,4,FALSE)</f>
        <v>308</v>
      </c>
      <c r="O46" s="302">
        <f>VLOOKUP($F46,'[3]5.급수원단위'!$B$31:$G$35,5,FALSE)</f>
        <v>310</v>
      </c>
      <c r="P46" s="302">
        <f>VLOOKUP($F46,'[3]5.급수원단위'!$B$31:$G$35,6,FALSE)</f>
        <v>310</v>
      </c>
      <c r="Q46" s="302">
        <f>ROUND(IF(G46=0,0,VLOOKUP(C46,'2013실사용량 정리'!$D$6:$F$381,3,FALSE)),0)</f>
        <v>0</v>
      </c>
      <c r="R46" s="302">
        <f t="shared" ref="R46:R71" si="11">ROUND(H46*M46/1000,0)</f>
        <v>0</v>
      </c>
      <c r="S46" s="302">
        <f t="shared" ref="S46:S71" si="12">ROUND(I46*N46/1000,0)</f>
        <v>60</v>
      </c>
      <c r="T46" s="302">
        <f t="shared" ref="T46:T71" si="13">ROUND(J46*O46/1000,0)</f>
        <v>66</v>
      </c>
      <c r="U46" s="302">
        <f t="shared" ref="U46:U71" si="14">ROUND(K46*P46/1000,0)</f>
        <v>67</v>
      </c>
      <c r="V46" s="327" t="s">
        <v>1746</v>
      </c>
    </row>
    <row r="47" spans="1:23" ht="20.100000000000001" customHeight="1">
      <c r="A47" s="340"/>
      <c r="B47" s="340"/>
      <c r="C47" s="406" t="s">
        <v>1695</v>
      </c>
      <c r="D47" s="330" t="s">
        <v>1300</v>
      </c>
      <c r="E47" s="468">
        <f>1-'2.생활용수(연산)'!E50</f>
        <v>1</v>
      </c>
      <c r="F47" s="468" t="s">
        <v>756</v>
      </c>
      <c r="G47" s="302">
        <f>IF($W$3=1,0,IF($D47="A",ROUND(VLOOKUP($C47,'[2]2.행정구역별 급수인구'!$C$7:$AD$997,17,FALSE)*$E47,0),IF($D47="B",(ROUND(VLOOKUP($C47,'[2]2.행정구역별 급수인구'!$C$7:$AD$997,17,FALSE)-VLOOKUP($C47,'[2]2.행정구역별 급수인구'!$C$7:$AD$997,17,FALSE)*(1-$E47),0)),VLOOKUP($C47,'[2]2.행정구역별 급수인구'!$C$7:$AD$997,17,FALSE))))</f>
        <v>0</v>
      </c>
      <c r="H47" s="302">
        <f>IF($W$3=1,0,IF($D47="A",ROUND(VLOOKUP($C47,'[2]2.행정구역별 급수인구'!$C$7:$AD$997,25,FALSE)*$E47,0),IF($D47="B",(ROUND(VLOOKUP($C47,'[2]2.행정구역별 급수인구'!$C$7:$AD$997,25,FALSE)-VLOOKUP($C47,'[2]2.행정구역별 급수인구'!$C$7:$AD$997,25,FALSE)*(1-$E47),0)),VLOOKUP($C47,'[2]2.행정구역별 급수인구'!$C$7:$AD$997,25,FALSE))))</f>
        <v>0</v>
      </c>
      <c r="I47" s="473">
        <f>IF($W$3=0,0,IF($D47="A",ROUND(VLOOKUP($C47,'[2]2.행정구역별 급수인구'!$C$7:$AD$997,26,FALSE)*$E47,0),IF($D47="B",(ROUND(VLOOKUP($C47,'[2]2.행정구역별 급수인구'!$C$7:$AD$997,26,FALSE)-VLOOKUP($C47,'[2]2.행정구역별 급수인구'!$C$7:$AD$997,26,FALSE)*(1-$E47),0)),VLOOKUP($C47,'[2]2.행정구역별 급수인구'!$C$7:$AD$997,26,FALSE))))</f>
        <v>41</v>
      </c>
      <c r="J47" s="473">
        <f>IF($W$3=0,0,IF($D47="A",ROUND(VLOOKUP($C47,'[2]2.행정구역별 급수인구'!$C$7:$AD$997,27,FALSE)*$E47,0),IF($D47="B",(ROUND(VLOOKUP($C47,'[2]2.행정구역별 급수인구'!$C$7:$AD$997,27,FALSE)-VLOOKUP($C47,'[2]2.행정구역별 급수인구'!$C$7:$AD$997,27,FALSE)*(1-$E47),0)),VLOOKUP($C47,'[2]2.행정구역별 급수인구'!$C$7:$AD$997,27,FALSE))))</f>
        <v>44</v>
      </c>
      <c r="K47" s="473">
        <f>IF($W$3=0,0,IF($D47="A",ROUND(VLOOKUP($C47,'[2]2.행정구역별 급수인구'!$C$7:$AD$997,28,FALSE)*$E47,0),IF($D47="B",(ROUND(VLOOKUP($C47,'[2]2.행정구역별 급수인구'!$C$7:$AD$997,28,FALSE)-VLOOKUP($C47,'[2]2.행정구역별 급수인구'!$C$7:$AD$997,28,FALSE)*(1-$E47),0)),VLOOKUP($C47,'[2]2.행정구역별 급수인구'!$C$7:$AD$997,28,FALSE))))</f>
        <v>45</v>
      </c>
      <c r="L47" s="302">
        <f>VLOOKUP($F47,'[3]5.급수원단위'!$B$31:$G$35,2,FALSE)</f>
        <v>272</v>
      </c>
      <c r="M47" s="302">
        <f>VLOOKUP($F47,'[3]5.급수원단위'!$B$31:$G$35,3,FALSE)</f>
        <v>304</v>
      </c>
      <c r="N47" s="302">
        <f>VLOOKUP($F47,'[3]5.급수원단위'!$B$31:$G$35,4,FALSE)</f>
        <v>308</v>
      </c>
      <c r="O47" s="302">
        <f>VLOOKUP($F47,'[3]5.급수원단위'!$B$31:$G$35,5,FALSE)</f>
        <v>310</v>
      </c>
      <c r="P47" s="302">
        <f>VLOOKUP($F47,'[3]5.급수원단위'!$B$31:$G$35,6,FALSE)</f>
        <v>310</v>
      </c>
      <c r="Q47" s="302">
        <f>ROUND(IF(G47=0,0,VLOOKUP(C47,'2013실사용량 정리'!$D$6:$F$381,3,FALSE)),0)</f>
        <v>0</v>
      </c>
      <c r="R47" s="302">
        <f t="shared" si="11"/>
        <v>0</v>
      </c>
      <c r="S47" s="302">
        <f t="shared" si="12"/>
        <v>13</v>
      </c>
      <c r="T47" s="302">
        <f t="shared" si="13"/>
        <v>14</v>
      </c>
      <c r="U47" s="302">
        <f t="shared" si="14"/>
        <v>14</v>
      </c>
      <c r="V47" s="327" t="s">
        <v>1746</v>
      </c>
    </row>
    <row r="48" spans="1:23" ht="20.100000000000001" customHeight="1">
      <c r="A48" s="340"/>
      <c r="B48" s="340"/>
      <c r="C48" s="406" t="s">
        <v>1698</v>
      </c>
      <c r="D48" s="330" t="s">
        <v>1300</v>
      </c>
      <c r="E48" s="468">
        <f>1-'2.생활용수(연산)'!E51</f>
        <v>1</v>
      </c>
      <c r="F48" s="468" t="s">
        <v>756</v>
      </c>
      <c r="G48" s="302">
        <f>IF($W$3=1,0,IF($D48="A",ROUND(VLOOKUP($C48,'[2]2.행정구역별 급수인구'!$C$7:$AD$997,17,FALSE)*$E48,0),IF($D48="B",(ROUND(VLOOKUP($C48,'[2]2.행정구역별 급수인구'!$C$7:$AD$997,17,FALSE)-VLOOKUP($C48,'[2]2.행정구역별 급수인구'!$C$7:$AD$997,17,FALSE)*(1-$E48),0)),VLOOKUP($C48,'[2]2.행정구역별 급수인구'!$C$7:$AD$997,17,FALSE))))</f>
        <v>0</v>
      </c>
      <c r="H48" s="302">
        <f>IF($W$3=1,0,IF($D48="A",ROUND(VLOOKUP($C48,'[2]2.행정구역별 급수인구'!$C$7:$AD$997,25,FALSE)*$E48,0),IF($D48="B",(ROUND(VLOOKUP($C48,'[2]2.행정구역별 급수인구'!$C$7:$AD$997,25,FALSE)-VLOOKUP($C48,'[2]2.행정구역별 급수인구'!$C$7:$AD$997,25,FALSE)*(1-$E48),0)),VLOOKUP($C48,'[2]2.행정구역별 급수인구'!$C$7:$AD$997,25,FALSE))))</f>
        <v>0</v>
      </c>
      <c r="I48" s="473">
        <f>IF($W$3=0,0,IF($D48="A",ROUND(VLOOKUP($C48,'[2]2.행정구역별 급수인구'!$C$7:$AD$997,26,FALSE)*$E48,0),IF($D48="B",(ROUND(VLOOKUP($C48,'[2]2.행정구역별 급수인구'!$C$7:$AD$997,26,FALSE)-VLOOKUP($C48,'[2]2.행정구역별 급수인구'!$C$7:$AD$997,26,FALSE)*(1-$E48),0)),VLOOKUP($C48,'[2]2.행정구역별 급수인구'!$C$7:$AD$997,26,FALSE))))</f>
        <v>101</v>
      </c>
      <c r="J48" s="473">
        <f>IF($W$3=0,0,IF($D48="A",ROUND(VLOOKUP($C48,'[2]2.행정구역별 급수인구'!$C$7:$AD$997,27,FALSE)*$E48,0),IF($D48="B",(ROUND(VLOOKUP($C48,'[2]2.행정구역별 급수인구'!$C$7:$AD$997,27,FALSE)-VLOOKUP($C48,'[2]2.행정구역별 급수인구'!$C$7:$AD$997,27,FALSE)*(1-$E48),0)),VLOOKUP($C48,'[2]2.행정구역별 급수인구'!$C$7:$AD$997,27,FALSE))))</f>
        <v>110</v>
      </c>
      <c r="K48" s="473">
        <f>IF($W$3=0,0,IF($D48="A",ROUND(VLOOKUP($C48,'[2]2.행정구역별 급수인구'!$C$7:$AD$997,28,FALSE)*$E48,0),IF($D48="B",(ROUND(VLOOKUP($C48,'[2]2.행정구역별 급수인구'!$C$7:$AD$997,28,FALSE)-VLOOKUP($C48,'[2]2.행정구역별 급수인구'!$C$7:$AD$997,28,FALSE)*(1-$E48),0)),VLOOKUP($C48,'[2]2.행정구역별 급수인구'!$C$7:$AD$997,28,FALSE))))</f>
        <v>112</v>
      </c>
      <c r="L48" s="302">
        <f>VLOOKUP($F48,'[3]5.급수원단위'!$B$31:$G$35,2,FALSE)</f>
        <v>272</v>
      </c>
      <c r="M48" s="302">
        <f>VLOOKUP($F48,'[3]5.급수원단위'!$B$31:$G$35,3,FALSE)</f>
        <v>304</v>
      </c>
      <c r="N48" s="302">
        <f>VLOOKUP($F48,'[3]5.급수원단위'!$B$31:$G$35,4,FALSE)</f>
        <v>308</v>
      </c>
      <c r="O48" s="302">
        <f>VLOOKUP($F48,'[3]5.급수원단위'!$B$31:$G$35,5,FALSE)</f>
        <v>310</v>
      </c>
      <c r="P48" s="302">
        <f>VLOOKUP($F48,'[3]5.급수원단위'!$B$31:$G$35,6,FALSE)</f>
        <v>310</v>
      </c>
      <c r="Q48" s="302">
        <f>ROUND(IF(G48=0,0,VLOOKUP(C48,'2013실사용량 정리'!$D$6:$F$381,3,FALSE)),0)</f>
        <v>0</v>
      </c>
      <c r="R48" s="302">
        <f t="shared" si="11"/>
        <v>0</v>
      </c>
      <c r="S48" s="302">
        <f t="shared" si="12"/>
        <v>31</v>
      </c>
      <c r="T48" s="302">
        <f t="shared" si="13"/>
        <v>34</v>
      </c>
      <c r="U48" s="302">
        <f t="shared" si="14"/>
        <v>35</v>
      </c>
      <c r="V48" s="327" t="s">
        <v>1746</v>
      </c>
    </row>
    <row r="49" spans="1:45" ht="20.100000000000001" customHeight="1">
      <c r="A49" s="340"/>
      <c r="B49" s="340"/>
      <c r="C49" s="406" t="s">
        <v>1699</v>
      </c>
      <c r="D49" s="330" t="s">
        <v>1300</v>
      </c>
      <c r="E49" s="468">
        <f>1-'2.생활용수(연산)'!E52</f>
        <v>1</v>
      </c>
      <c r="F49" s="468" t="s">
        <v>756</v>
      </c>
      <c r="G49" s="302">
        <f>IF($W$3=1,0,IF($D49="A",ROUND(VLOOKUP($C49,'[2]2.행정구역별 급수인구'!$C$7:$AD$997,17,FALSE)*$E49,0),IF($D49="B",(ROUND(VLOOKUP($C49,'[2]2.행정구역별 급수인구'!$C$7:$AD$997,17,FALSE)-VLOOKUP($C49,'[2]2.행정구역별 급수인구'!$C$7:$AD$997,17,FALSE)*(1-$E49),0)),VLOOKUP($C49,'[2]2.행정구역별 급수인구'!$C$7:$AD$997,17,FALSE))))</f>
        <v>0</v>
      </c>
      <c r="H49" s="302">
        <f>IF($W$3=1,0,IF($D49="A",ROUND(VLOOKUP($C49,'[2]2.행정구역별 급수인구'!$C$7:$AD$997,25,FALSE)*$E49,0),IF($D49="B",(ROUND(VLOOKUP($C49,'[2]2.행정구역별 급수인구'!$C$7:$AD$997,25,FALSE)-VLOOKUP($C49,'[2]2.행정구역별 급수인구'!$C$7:$AD$997,25,FALSE)*(1-$E49),0)),VLOOKUP($C49,'[2]2.행정구역별 급수인구'!$C$7:$AD$997,25,FALSE))))</f>
        <v>0</v>
      </c>
      <c r="I49" s="473">
        <f>IF($W$3=0,0,IF($D49="A",ROUND(VLOOKUP($C49,'[2]2.행정구역별 급수인구'!$C$7:$AD$997,26,FALSE)*$E49,0),IF($D49="B",(ROUND(VLOOKUP($C49,'[2]2.행정구역별 급수인구'!$C$7:$AD$997,26,FALSE)-VLOOKUP($C49,'[2]2.행정구역별 급수인구'!$C$7:$AD$997,26,FALSE)*(1-$E49),0)),VLOOKUP($C49,'[2]2.행정구역별 급수인구'!$C$7:$AD$997,26,FALSE))))</f>
        <v>96</v>
      </c>
      <c r="J49" s="473">
        <f>IF($W$3=0,0,IF($D49="A",ROUND(VLOOKUP($C49,'[2]2.행정구역별 급수인구'!$C$7:$AD$997,27,FALSE)*$E49,0),IF($D49="B",(ROUND(VLOOKUP($C49,'[2]2.행정구역별 급수인구'!$C$7:$AD$997,27,FALSE)-VLOOKUP($C49,'[2]2.행정구역별 급수인구'!$C$7:$AD$997,27,FALSE)*(1-$E49),0)),VLOOKUP($C49,'[2]2.행정구역별 급수인구'!$C$7:$AD$997,27,FALSE))))</f>
        <v>104</v>
      </c>
      <c r="K49" s="473">
        <f>IF($W$3=0,0,IF($D49="A",ROUND(VLOOKUP($C49,'[2]2.행정구역별 급수인구'!$C$7:$AD$997,28,FALSE)*$E49,0),IF($D49="B",(ROUND(VLOOKUP($C49,'[2]2.행정구역별 급수인구'!$C$7:$AD$997,28,FALSE)-VLOOKUP($C49,'[2]2.행정구역별 급수인구'!$C$7:$AD$997,28,FALSE)*(1-$E49),0)),VLOOKUP($C49,'[2]2.행정구역별 급수인구'!$C$7:$AD$997,28,FALSE))))</f>
        <v>106</v>
      </c>
      <c r="L49" s="302">
        <f>VLOOKUP($F49,'[3]5.급수원단위'!$B$31:$G$35,2,FALSE)</f>
        <v>272</v>
      </c>
      <c r="M49" s="302">
        <f>VLOOKUP($F49,'[3]5.급수원단위'!$B$31:$G$35,3,FALSE)</f>
        <v>304</v>
      </c>
      <c r="N49" s="302">
        <f>VLOOKUP($F49,'[3]5.급수원단위'!$B$31:$G$35,4,FALSE)</f>
        <v>308</v>
      </c>
      <c r="O49" s="302">
        <f>VLOOKUP($F49,'[3]5.급수원단위'!$B$31:$G$35,5,FALSE)</f>
        <v>310</v>
      </c>
      <c r="P49" s="302">
        <f>VLOOKUP($F49,'[3]5.급수원단위'!$B$31:$G$35,6,FALSE)</f>
        <v>310</v>
      </c>
      <c r="Q49" s="302">
        <f>ROUND(IF(G49=0,0,VLOOKUP(C49,'2013실사용량 정리'!$D$6:$F$381,3,FALSE)),0)</f>
        <v>0</v>
      </c>
      <c r="R49" s="302">
        <f t="shared" si="11"/>
        <v>0</v>
      </c>
      <c r="S49" s="302">
        <f t="shared" si="12"/>
        <v>30</v>
      </c>
      <c r="T49" s="302">
        <f t="shared" si="13"/>
        <v>32</v>
      </c>
      <c r="U49" s="302">
        <f t="shared" si="14"/>
        <v>33</v>
      </c>
      <c r="V49" s="327" t="s">
        <v>1746</v>
      </c>
    </row>
    <row r="50" spans="1:45" ht="20.100000000000001" customHeight="1">
      <c r="A50" s="340"/>
      <c r="B50" s="340"/>
      <c r="C50" s="406" t="s">
        <v>1700</v>
      </c>
      <c r="D50" s="330" t="s">
        <v>1300</v>
      </c>
      <c r="E50" s="468">
        <f>1-'2.생활용수(연산)'!E53</f>
        <v>1</v>
      </c>
      <c r="F50" s="468" t="s">
        <v>756</v>
      </c>
      <c r="G50" s="302">
        <f>IF($W$3=1,0,IF($D50="A",ROUND(VLOOKUP($C50,'[2]2.행정구역별 급수인구'!$C$7:$AD$997,17,FALSE)*$E50,0),IF($D50="B",(ROUND(VLOOKUP($C50,'[2]2.행정구역별 급수인구'!$C$7:$AD$997,17,FALSE)-VLOOKUP($C50,'[2]2.행정구역별 급수인구'!$C$7:$AD$997,17,FALSE)*(1-$E50),0)),VLOOKUP($C50,'[2]2.행정구역별 급수인구'!$C$7:$AD$997,17,FALSE))))</f>
        <v>0</v>
      </c>
      <c r="H50" s="302">
        <f>IF($W$3=1,0,IF($D50="A",ROUND(VLOOKUP($C50,'[2]2.행정구역별 급수인구'!$C$7:$AD$997,25,FALSE)*$E50,0),IF($D50="B",(ROUND(VLOOKUP($C50,'[2]2.행정구역별 급수인구'!$C$7:$AD$997,25,FALSE)-VLOOKUP($C50,'[2]2.행정구역별 급수인구'!$C$7:$AD$997,25,FALSE)*(1-$E50),0)),VLOOKUP($C50,'[2]2.행정구역별 급수인구'!$C$7:$AD$997,25,FALSE))))</f>
        <v>0</v>
      </c>
      <c r="I50" s="473">
        <f>IF($W$3=0,0,IF($D50="A",ROUND(VLOOKUP($C50,'[2]2.행정구역별 급수인구'!$C$7:$AD$997,26,FALSE)*$E50,0),IF($D50="B",(ROUND(VLOOKUP($C50,'[2]2.행정구역별 급수인구'!$C$7:$AD$997,26,FALSE)-VLOOKUP($C50,'[2]2.행정구역별 급수인구'!$C$7:$AD$997,26,FALSE)*(1-$E50),0)),VLOOKUP($C50,'[2]2.행정구역별 급수인구'!$C$7:$AD$997,26,FALSE))))</f>
        <v>271</v>
      </c>
      <c r="J50" s="473">
        <f>IF($W$3=0,0,IF($D50="A",ROUND(VLOOKUP($C50,'[2]2.행정구역별 급수인구'!$C$7:$AD$997,27,FALSE)*$E50,0),IF($D50="B",(ROUND(VLOOKUP($C50,'[2]2.행정구역별 급수인구'!$C$7:$AD$997,27,FALSE)-VLOOKUP($C50,'[2]2.행정구역별 급수인구'!$C$7:$AD$997,27,FALSE)*(1-$E50),0)),VLOOKUP($C50,'[2]2.행정구역별 급수인구'!$C$7:$AD$997,27,FALSE))))</f>
        <v>294</v>
      </c>
      <c r="K50" s="473">
        <f>IF($W$3=0,0,IF($D50="A",ROUND(VLOOKUP($C50,'[2]2.행정구역별 급수인구'!$C$7:$AD$997,28,FALSE)*$E50,0),IF($D50="B",(ROUND(VLOOKUP($C50,'[2]2.행정구역별 급수인구'!$C$7:$AD$997,28,FALSE)-VLOOKUP($C50,'[2]2.행정구역별 급수인구'!$C$7:$AD$997,28,FALSE)*(1-$E50),0)),VLOOKUP($C50,'[2]2.행정구역별 급수인구'!$C$7:$AD$997,28,FALSE))))</f>
        <v>300</v>
      </c>
      <c r="L50" s="302">
        <f>VLOOKUP($F50,'[3]5.급수원단위'!$B$31:$G$35,2,FALSE)</f>
        <v>272</v>
      </c>
      <c r="M50" s="302">
        <f>VLOOKUP($F50,'[3]5.급수원단위'!$B$31:$G$35,3,FALSE)</f>
        <v>304</v>
      </c>
      <c r="N50" s="302">
        <f>VLOOKUP($F50,'[3]5.급수원단위'!$B$31:$G$35,4,FALSE)</f>
        <v>308</v>
      </c>
      <c r="O50" s="302">
        <f>VLOOKUP($F50,'[3]5.급수원단위'!$B$31:$G$35,5,FALSE)</f>
        <v>310</v>
      </c>
      <c r="P50" s="302">
        <f>VLOOKUP($F50,'[3]5.급수원단위'!$B$31:$G$35,6,FALSE)</f>
        <v>310</v>
      </c>
      <c r="Q50" s="302">
        <f>ROUND(IF(G50=0,0,VLOOKUP(C50,'2013실사용량 정리'!$D$6:$F$381,3,FALSE)),0)</f>
        <v>0</v>
      </c>
      <c r="R50" s="302">
        <f t="shared" si="11"/>
        <v>0</v>
      </c>
      <c r="S50" s="302">
        <f t="shared" si="12"/>
        <v>83</v>
      </c>
      <c r="T50" s="302">
        <f t="shared" si="13"/>
        <v>91</v>
      </c>
      <c r="U50" s="302">
        <f t="shared" si="14"/>
        <v>93</v>
      </c>
      <c r="V50" s="327" t="s">
        <v>1746</v>
      </c>
    </row>
    <row r="51" spans="1:45" ht="20.100000000000001" customHeight="1">
      <c r="A51" s="340"/>
      <c r="B51" s="340"/>
      <c r="C51" s="406" t="s">
        <v>1701</v>
      </c>
      <c r="D51" s="330" t="s">
        <v>1300</v>
      </c>
      <c r="E51" s="468">
        <f>1-'2.생활용수(연산)'!E54</f>
        <v>1</v>
      </c>
      <c r="F51" s="468" t="s">
        <v>756</v>
      </c>
      <c r="G51" s="302">
        <f>IF($W$3=1,0,IF($D51="A",ROUND(VLOOKUP($C51,'[2]2.행정구역별 급수인구'!$C$7:$AD$997,17,FALSE)*$E51,0),IF($D51="B",(ROUND(VLOOKUP($C51,'[2]2.행정구역별 급수인구'!$C$7:$AD$997,17,FALSE)-VLOOKUP($C51,'[2]2.행정구역별 급수인구'!$C$7:$AD$997,17,FALSE)*(1-$E51),0)),VLOOKUP($C51,'[2]2.행정구역별 급수인구'!$C$7:$AD$997,17,FALSE))))</f>
        <v>0</v>
      </c>
      <c r="H51" s="302">
        <f>IF($W$3=1,0,IF($D51="A",ROUND(VLOOKUP($C51,'[2]2.행정구역별 급수인구'!$C$7:$AD$997,25,FALSE)*$E51,0),IF($D51="B",(ROUND(VLOOKUP($C51,'[2]2.행정구역별 급수인구'!$C$7:$AD$997,25,FALSE)-VLOOKUP($C51,'[2]2.행정구역별 급수인구'!$C$7:$AD$997,25,FALSE)*(1-$E51),0)),VLOOKUP($C51,'[2]2.행정구역별 급수인구'!$C$7:$AD$997,25,FALSE))))</f>
        <v>0</v>
      </c>
      <c r="I51" s="473">
        <f>IF($W$3=0,0,IF($D51="A",ROUND(VLOOKUP($C51,'[2]2.행정구역별 급수인구'!$C$7:$AD$997,26,FALSE)*$E51,0),IF($D51="B",(ROUND(VLOOKUP($C51,'[2]2.행정구역별 급수인구'!$C$7:$AD$997,26,FALSE)-VLOOKUP($C51,'[2]2.행정구역별 급수인구'!$C$7:$AD$997,26,FALSE)*(1-$E51),0)),VLOOKUP($C51,'[2]2.행정구역별 급수인구'!$C$7:$AD$997,26,FALSE))))</f>
        <v>92</v>
      </c>
      <c r="J51" s="473">
        <f>IF($W$3=0,0,IF($D51="A",ROUND(VLOOKUP($C51,'[2]2.행정구역별 급수인구'!$C$7:$AD$997,27,FALSE)*$E51,0),IF($D51="B",(ROUND(VLOOKUP($C51,'[2]2.행정구역별 급수인구'!$C$7:$AD$997,27,FALSE)-VLOOKUP($C51,'[2]2.행정구역별 급수인구'!$C$7:$AD$997,27,FALSE)*(1-$E51),0)),VLOOKUP($C51,'[2]2.행정구역별 급수인구'!$C$7:$AD$997,27,FALSE))))</f>
        <v>100</v>
      </c>
      <c r="K51" s="473">
        <f>IF($W$3=0,0,IF($D51="A",ROUND(VLOOKUP($C51,'[2]2.행정구역별 급수인구'!$C$7:$AD$997,28,FALSE)*$E51,0),IF($D51="B",(ROUND(VLOOKUP($C51,'[2]2.행정구역별 급수인구'!$C$7:$AD$997,28,FALSE)-VLOOKUP($C51,'[2]2.행정구역별 급수인구'!$C$7:$AD$997,28,FALSE)*(1-$E51),0)),VLOOKUP($C51,'[2]2.행정구역별 급수인구'!$C$7:$AD$997,28,FALSE))))</f>
        <v>101</v>
      </c>
      <c r="L51" s="302">
        <f>VLOOKUP($F51,'[3]5.급수원단위'!$B$31:$G$35,2,FALSE)</f>
        <v>272</v>
      </c>
      <c r="M51" s="302">
        <f>VLOOKUP($F51,'[3]5.급수원단위'!$B$31:$G$35,3,FALSE)</f>
        <v>304</v>
      </c>
      <c r="N51" s="302">
        <f>VLOOKUP($F51,'[3]5.급수원단위'!$B$31:$G$35,4,FALSE)</f>
        <v>308</v>
      </c>
      <c r="O51" s="302">
        <f>VLOOKUP($F51,'[3]5.급수원단위'!$B$31:$G$35,5,FALSE)</f>
        <v>310</v>
      </c>
      <c r="P51" s="302">
        <f>VLOOKUP($F51,'[3]5.급수원단위'!$B$31:$G$35,6,FALSE)</f>
        <v>310</v>
      </c>
      <c r="Q51" s="302">
        <f>ROUND(IF(G51=0,0,VLOOKUP(C51,'2013실사용량 정리'!$D$6:$F$381,3,FALSE)),0)</f>
        <v>0</v>
      </c>
      <c r="R51" s="302">
        <f t="shared" si="11"/>
        <v>0</v>
      </c>
      <c r="S51" s="302">
        <f t="shared" si="12"/>
        <v>28</v>
      </c>
      <c r="T51" s="302">
        <f t="shared" si="13"/>
        <v>31</v>
      </c>
      <c r="U51" s="302">
        <f t="shared" si="14"/>
        <v>31</v>
      </c>
      <c r="V51" s="327" t="s">
        <v>1746</v>
      </c>
    </row>
    <row r="52" spans="1:45" ht="20.100000000000001" customHeight="1">
      <c r="A52" s="340"/>
      <c r="B52" s="340"/>
      <c r="C52" s="406" t="s">
        <v>1702</v>
      </c>
      <c r="D52" s="330" t="s">
        <v>1300</v>
      </c>
      <c r="E52" s="468">
        <f>1-'2.생활용수(연산)'!E55</f>
        <v>1</v>
      </c>
      <c r="F52" s="468" t="s">
        <v>756</v>
      </c>
      <c r="G52" s="302">
        <f>IF($W$3=1,0,IF($D52="A",ROUND(VLOOKUP($C52,'[2]2.행정구역별 급수인구'!$C$7:$AD$997,17,FALSE)*$E52,0),IF($D52="B",(ROUND(VLOOKUP($C52,'[2]2.행정구역별 급수인구'!$C$7:$AD$997,17,FALSE)-VLOOKUP($C52,'[2]2.행정구역별 급수인구'!$C$7:$AD$997,17,FALSE)*(1-$E52),0)),VLOOKUP($C52,'[2]2.행정구역별 급수인구'!$C$7:$AD$997,17,FALSE))))</f>
        <v>0</v>
      </c>
      <c r="H52" s="302">
        <f>IF($W$3=1,0,IF($D52="A",ROUND(VLOOKUP($C52,'[2]2.행정구역별 급수인구'!$C$7:$AD$997,25,FALSE)*$E52,0),IF($D52="B",(ROUND(VLOOKUP($C52,'[2]2.행정구역별 급수인구'!$C$7:$AD$997,25,FALSE)-VLOOKUP($C52,'[2]2.행정구역별 급수인구'!$C$7:$AD$997,25,FALSE)*(1-$E52),0)),VLOOKUP($C52,'[2]2.행정구역별 급수인구'!$C$7:$AD$997,25,FALSE))))</f>
        <v>0</v>
      </c>
      <c r="I52" s="473">
        <f>IF($W$3=0,0,IF($D52="A",ROUND(VLOOKUP($C52,'[2]2.행정구역별 급수인구'!$C$7:$AD$997,26,FALSE)*$E52,0),IF($D52="B",(ROUND(VLOOKUP($C52,'[2]2.행정구역별 급수인구'!$C$7:$AD$997,26,FALSE)-VLOOKUP($C52,'[2]2.행정구역별 급수인구'!$C$7:$AD$997,26,FALSE)*(1-$E52),0)),VLOOKUP($C52,'[2]2.행정구역별 급수인구'!$C$7:$AD$997,26,FALSE))))</f>
        <v>157</v>
      </c>
      <c r="J52" s="473">
        <f>IF($W$3=0,0,IF($D52="A",ROUND(VLOOKUP($C52,'[2]2.행정구역별 급수인구'!$C$7:$AD$997,27,FALSE)*$E52,0),IF($D52="B",(ROUND(VLOOKUP($C52,'[2]2.행정구역별 급수인구'!$C$7:$AD$997,27,FALSE)-VLOOKUP($C52,'[2]2.행정구역별 급수인구'!$C$7:$AD$997,27,FALSE)*(1-$E52),0)),VLOOKUP($C52,'[2]2.행정구역별 급수인구'!$C$7:$AD$997,27,FALSE))))</f>
        <v>171</v>
      </c>
      <c r="K52" s="473">
        <f>IF($W$3=0,0,IF($D52="A",ROUND(VLOOKUP($C52,'[2]2.행정구역별 급수인구'!$C$7:$AD$997,28,FALSE)*$E52,0),IF($D52="B",(ROUND(VLOOKUP($C52,'[2]2.행정구역별 급수인구'!$C$7:$AD$997,28,FALSE)-VLOOKUP($C52,'[2]2.행정구역별 급수인구'!$C$7:$AD$997,28,FALSE)*(1-$E52),0)),VLOOKUP($C52,'[2]2.행정구역별 급수인구'!$C$7:$AD$997,28,FALSE))))</f>
        <v>174</v>
      </c>
      <c r="L52" s="302">
        <f>VLOOKUP($F52,'[3]5.급수원단위'!$B$31:$G$35,2,FALSE)</f>
        <v>272</v>
      </c>
      <c r="M52" s="302">
        <f>VLOOKUP($F52,'[3]5.급수원단위'!$B$31:$G$35,3,FALSE)</f>
        <v>304</v>
      </c>
      <c r="N52" s="302">
        <f>VLOOKUP($F52,'[3]5.급수원단위'!$B$31:$G$35,4,FALSE)</f>
        <v>308</v>
      </c>
      <c r="O52" s="302">
        <f>VLOOKUP($F52,'[3]5.급수원단위'!$B$31:$G$35,5,FALSE)</f>
        <v>310</v>
      </c>
      <c r="P52" s="302">
        <f>VLOOKUP($F52,'[3]5.급수원단위'!$B$31:$G$35,6,FALSE)</f>
        <v>310</v>
      </c>
      <c r="Q52" s="302">
        <f>ROUND(IF(G52=0,0,VLOOKUP(C52,'2013실사용량 정리'!$D$6:$F$381,3,FALSE)),0)</f>
        <v>0</v>
      </c>
      <c r="R52" s="302">
        <f t="shared" si="11"/>
        <v>0</v>
      </c>
      <c r="S52" s="302">
        <f t="shared" si="12"/>
        <v>48</v>
      </c>
      <c r="T52" s="302">
        <f t="shared" si="13"/>
        <v>53</v>
      </c>
      <c r="U52" s="302">
        <f t="shared" si="14"/>
        <v>54</v>
      </c>
      <c r="V52" s="327" t="s">
        <v>1746</v>
      </c>
    </row>
    <row r="53" spans="1:45" ht="20.100000000000001" customHeight="1">
      <c r="A53" s="340"/>
      <c r="B53" s="340"/>
      <c r="C53" s="406" t="s">
        <v>1703</v>
      </c>
      <c r="D53" s="330" t="s">
        <v>1300</v>
      </c>
      <c r="E53" s="468">
        <f>1-'2.생활용수(연산)'!E56</f>
        <v>1</v>
      </c>
      <c r="F53" s="468" t="s">
        <v>756</v>
      </c>
      <c r="G53" s="302">
        <f>IF($W$3=1,0,IF($D53="A",ROUND(VLOOKUP($C53,'[2]2.행정구역별 급수인구'!$C$7:$AD$997,17,FALSE)*$E53,0),IF($D53="B",(ROUND(VLOOKUP($C53,'[2]2.행정구역별 급수인구'!$C$7:$AD$997,17,FALSE)-VLOOKUP($C53,'[2]2.행정구역별 급수인구'!$C$7:$AD$997,17,FALSE)*(1-$E53),0)),VLOOKUP($C53,'[2]2.행정구역별 급수인구'!$C$7:$AD$997,17,FALSE))))</f>
        <v>0</v>
      </c>
      <c r="H53" s="302">
        <f>IF($W$3=1,0,IF($D53="A",ROUND(VLOOKUP($C53,'[2]2.행정구역별 급수인구'!$C$7:$AD$997,25,FALSE)*$E53,0),IF($D53="B",(ROUND(VLOOKUP($C53,'[2]2.행정구역별 급수인구'!$C$7:$AD$997,25,FALSE)-VLOOKUP($C53,'[2]2.행정구역별 급수인구'!$C$7:$AD$997,25,FALSE)*(1-$E53),0)),VLOOKUP($C53,'[2]2.행정구역별 급수인구'!$C$7:$AD$997,25,FALSE))))</f>
        <v>0</v>
      </c>
      <c r="I53" s="473">
        <f>IF($W$3=0,0,IF($D53="A",ROUND(VLOOKUP($C53,'[2]2.행정구역별 급수인구'!$C$7:$AD$997,26,FALSE)*$E53,0),IF($D53="B",(ROUND(VLOOKUP($C53,'[2]2.행정구역별 급수인구'!$C$7:$AD$997,26,FALSE)-VLOOKUP($C53,'[2]2.행정구역별 급수인구'!$C$7:$AD$997,26,FALSE)*(1-$E53),0)),VLOOKUP($C53,'[2]2.행정구역별 급수인구'!$C$7:$AD$997,26,FALSE))))</f>
        <v>58</v>
      </c>
      <c r="J53" s="473">
        <f>IF($W$3=0,0,IF($D53="A",ROUND(VLOOKUP($C53,'[2]2.행정구역별 급수인구'!$C$7:$AD$997,27,FALSE)*$E53,0),IF($D53="B",(ROUND(VLOOKUP($C53,'[2]2.행정구역별 급수인구'!$C$7:$AD$997,27,FALSE)-VLOOKUP($C53,'[2]2.행정구역별 급수인구'!$C$7:$AD$997,27,FALSE)*(1-$E53),0)),VLOOKUP($C53,'[2]2.행정구역별 급수인구'!$C$7:$AD$997,27,FALSE))))</f>
        <v>63</v>
      </c>
      <c r="K53" s="473">
        <f>IF($W$3=0,0,IF($D53="A",ROUND(VLOOKUP($C53,'[2]2.행정구역별 급수인구'!$C$7:$AD$997,28,FALSE)*$E53,0),IF($D53="B",(ROUND(VLOOKUP($C53,'[2]2.행정구역별 급수인구'!$C$7:$AD$997,28,FALSE)-VLOOKUP($C53,'[2]2.행정구역별 급수인구'!$C$7:$AD$997,28,FALSE)*(1-$E53),0)),VLOOKUP($C53,'[2]2.행정구역별 급수인구'!$C$7:$AD$997,28,FALSE))))</f>
        <v>64</v>
      </c>
      <c r="L53" s="302">
        <f>VLOOKUP($F53,'[3]5.급수원단위'!$B$31:$G$35,2,FALSE)</f>
        <v>272</v>
      </c>
      <c r="M53" s="302">
        <f>VLOOKUP($F53,'[3]5.급수원단위'!$B$31:$G$35,3,FALSE)</f>
        <v>304</v>
      </c>
      <c r="N53" s="302">
        <f>VLOOKUP($F53,'[3]5.급수원단위'!$B$31:$G$35,4,FALSE)</f>
        <v>308</v>
      </c>
      <c r="O53" s="302">
        <f>VLOOKUP($F53,'[3]5.급수원단위'!$B$31:$G$35,5,FALSE)</f>
        <v>310</v>
      </c>
      <c r="P53" s="302">
        <f>VLOOKUP($F53,'[3]5.급수원단위'!$B$31:$G$35,6,FALSE)</f>
        <v>310</v>
      </c>
      <c r="Q53" s="302">
        <f>ROUND(IF(G53=0,0,VLOOKUP(C53,'2013실사용량 정리'!$D$6:$F$381,3,FALSE)),0)</f>
        <v>0</v>
      </c>
      <c r="R53" s="302">
        <f t="shared" si="11"/>
        <v>0</v>
      </c>
      <c r="S53" s="302">
        <f t="shared" si="12"/>
        <v>18</v>
      </c>
      <c r="T53" s="302">
        <f t="shared" si="13"/>
        <v>20</v>
      </c>
      <c r="U53" s="302">
        <f t="shared" si="14"/>
        <v>20</v>
      </c>
      <c r="V53" s="327" t="s">
        <v>1746</v>
      </c>
    </row>
    <row r="54" spans="1:45" s="412" customFormat="1" ht="20.100000000000001" customHeight="1">
      <c r="A54" s="421"/>
      <c r="B54" s="421"/>
      <c r="C54" s="380" t="s">
        <v>1704</v>
      </c>
      <c r="D54" s="330" t="s">
        <v>1300</v>
      </c>
      <c r="E54" s="468">
        <f>1-'2.생활용수(연산)'!E57</f>
        <v>1</v>
      </c>
      <c r="F54" s="382" t="s">
        <v>756</v>
      </c>
      <c r="G54" s="302">
        <f>IF($W$3=1,0,IF($D54="A",ROUND(VLOOKUP($C54,'[2]2.행정구역별 급수인구'!$C$7:$AD$997,17,FALSE)*$E54,0),IF($D54="B",(ROUND(VLOOKUP($C54,'[2]2.행정구역별 급수인구'!$C$7:$AD$997,17,FALSE)-VLOOKUP($C54,'[2]2.행정구역별 급수인구'!$C$7:$AD$997,17,FALSE)*(1-$E54),0)),VLOOKUP($C54,'[2]2.행정구역별 급수인구'!$C$7:$AD$997,17,FALSE))))</f>
        <v>0</v>
      </c>
      <c r="H54" s="302">
        <f>IF($W$3=1,0,IF($D54="A",ROUND(VLOOKUP($C54,'[2]2.행정구역별 급수인구'!$C$7:$AD$997,25,FALSE)*$E54,0),IF($D54="B",(ROUND(VLOOKUP($C54,'[2]2.행정구역별 급수인구'!$C$7:$AD$997,25,FALSE)-VLOOKUP($C54,'[2]2.행정구역별 급수인구'!$C$7:$AD$997,25,FALSE)*(1-$E54),0)),VLOOKUP($C54,'[2]2.행정구역별 급수인구'!$C$7:$AD$997,25,FALSE))))</f>
        <v>0</v>
      </c>
      <c r="I54" s="302">
        <f>IF($W$3=1,0,IF($D54="A",ROUND(VLOOKUP($C54,'[2]2.행정구역별 급수인구'!$C$7:$AD$997,26,FALSE)*$E54,0),IF($D54="B",(ROUND(VLOOKUP($C54,'[2]2.행정구역별 급수인구'!$C$7:$AD$997,26,FALSE)-VLOOKUP($C54,'[2]2.행정구역별 급수인구'!$C$7:$AD$997,26,FALSE)*(1-$E54),0)),VLOOKUP($C54,'[2]2.행정구역별 급수인구'!$C$7:$AD$997,26,FALSE))))</f>
        <v>0</v>
      </c>
      <c r="J54" s="302">
        <f>IF($W$3=1,0,IF($D54="A",ROUND(VLOOKUP($C54,'[2]2.행정구역별 급수인구'!$C$7:$AD$997,27,FALSE)*$E54,0),IF($D54="B",(ROUND(VLOOKUP($C54,'[2]2.행정구역별 급수인구'!$C$7:$AD$997,27,FALSE)-VLOOKUP($C54,'[2]2.행정구역별 급수인구'!$C$7:$AD$997,27,FALSE)*(1-$E54),0)),VLOOKUP($C54,'[2]2.행정구역별 급수인구'!$C$7:$AD$997,27,FALSE))))</f>
        <v>0</v>
      </c>
      <c r="K54" s="302">
        <f>IF($W$3=1,0,IF($D54="A",ROUND(VLOOKUP($C54,'[2]2.행정구역별 급수인구'!$C$7:$AD$997,28,FALSE)*$E54,0),IF($D54="B",(ROUND(VLOOKUP($C54,'[2]2.행정구역별 급수인구'!$C$7:$AD$997,28,FALSE)-VLOOKUP($C54,'[2]2.행정구역별 급수인구'!$C$7:$AD$997,28,FALSE)*(1-$E54),0)),VLOOKUP($C54,'[2]2.행정구역별 급수인구'!$C$7:$AD$997,28,FALSE))))</f>
        <v>0</v>
      </c>
      <c r="L54" s="383">
        <f>VLOOKUP($F54,'[3]5.급수원단위'!$B$31:$G$35,2,FALSE)</f>
        <v>272</v>
      </c>
      <c r="M54" s="383">
        <f>VLOOKUP($F54,'[3]5.급수원단위'!$B$31:$G$35,3,FALSE)</f>
        <v>304</v>
      </c>
      <c r="N54" s="383">
        <f>VLOOKUP($F54,'[3]5.급수원단위'!$B$31:$G$35,4,FALSE)</f>
        <v>308</v>
      </c>
      <c r="O54" s="383">
        <f>VLOOKUP($F54,'[3]5.급수원단위'!$B$31:$G$35,5,FALSE)</f>
        <v>310</v>
      </c>
      <c r="P54" s="383">
        <f>VLOOKUP($F54,'[3]5.급수원단위'!$B$31:$G$35,6,FALSE)</f>
        <v>310</v>
      </c>
      <c r="Q54" s="302">
        <f>ROUND(IF(G54=0,0,VLOOKUP(C54,'2013실사용량 정리'!$D$6:$F$381,3,FALSE)),0)</f>
        <v>0</v>
      </c>
      <c r="R54" s="383">
        <f t="shared" si="11"/>
        <v>0</v>
      </c>
      <c r="S54" s="383">
        <f t="shared" si="12"/>
        <v>0</v>
      </c>
      <c r="T54" s="383">
        <f t="shared" si="13"/>
        <v>0</v>
      </c>
      <c r="U54" s="383">
        <f t="shared" si="14"/>
        <v>0</v>
      </c>
      <c r="Z54" s="413"/>
      <c r="AA54" s="413"/>
      <c r="AB54" s="413"/>
      <c r="AC54" s="413"/>
      <c r="AD54" s="413"/>
      <c r="AE54" s="413"/>
      <c r="AF54" s="413"/>
      <c r="AG54" s="413"/>
      <c r="AH54" s="413"/>
      <c r="AI54" s="413"/>
      <c r="AJ54" s="413"/>
      <c r="AK54" s="413"/>
      <c r="AL54" s="413"/>
      <c r="AM54" s="413"/>
      <c r="AN54" s="413"/>
      <c r="AO54" s="413"/>
      <c r="AP54" s="413"/>
      <c r="AQ54" s="413"/>
      <c r="AR54" s="413"/>
      <c r="AS54" s="413"/>
    </row>
    <row r="55" spans="1:45" s="412" customFormat="1" ht="20.100000000000001" customHeight="1">
      <c r="A55" s="421"/>
      <c r="B55" s="421"/>
      <c r="C55" s="380" t="s">
        <v>1705</v>
      </c>
      <c r="D55" s="330" t="s">
        <v>1300</v>
      </c>
      <c r="E55" s="468">
        <f>1-'2.생활용수(연산)'!E58</f>
        <v>1</v>
      </c>
      <c r="F55" s="382" t="s">
        <v>756</v>
      </c>
      <c r="G55" s="302">
        <f>IF($W$3=1,0,IF($D55="A",ROUND(VLOOKUP($C55,'[2]2.행정구역별 급수인구'!$C$7:$AD$997,17,FALSE)*$E55,0),IF($D55="B",(ROUND(VLOOKUP($C55,'[2]2.행정구역별 급수인구'!$C$7:$AD$997,17,FALSE)-VLOOKUP($C55,'[2]2.행정구역별 급수인구'!$C$7:$AD$997,17,FALSE)*(1-$E55),0)),VLOOKUP($C55,'[2]2.행정구역별 급수인구'!$C$7:$AD$997,17,FALSE))))</f>
        <v>0</v>
      </c>
      <c r="H55" s="302">
        <f>IF($W$3=1,0,IF($D55="A",ROUND(VLOOKUP($C55,'[2]2.행정구역별 급수인구'!$C$7:$AD$997,25,FALSE)*$E55,0),IF($D55="B",(ROUND(VLOOKUP($C55,'[2]2.행정구역별 급수인구'!$C$7:$AD$997,25,FALSE)-VLOOKUP($C55,'[2]2.행정구역별 급수인구'!$C$7:$AD$997,25,FALSE)*(1-$E55),0)),VLOOKUP($C55,'[2]2.행정구역별 급수인구'!$C$7:$AD$997,25,FALSE))))</f>
        <v>0</v>
      </c>
      <c r="I55" s="302">
        <f>IF($W$3=1,0,IF($D55="A",ROUND(VLOOKUP($C55,'[2]2.행정구역별 급수인구'!$C$7:$AD$997,26,FALSE)*$E55,0),IF($D55="B",(ROUND(VLOOKUP($C55,'[2]2.행정구역별 급수인구'!$C$7:$AD$997,26,FALSE)-VLOOKUP($C55,'[2]2.행정구역별 급수인구'!$C$7:$AD$997,26,FALSE)*(1-$E55),0)),VLOOKUP($C55,'[2]2.행정구역별 급수인구'!$C$7:$AD$997,26,FALSE))))</f>
        <v>0</v>
      </c>
      <c r="J55" s="302">
        <f>IF($W$3=1,0,IF($D55="A",ROUND(VLOOKUP($C55,'[2]2.행정구역별 급수인구'!$C$7:$AD$997,27,FALSE)*$E55,0),IF($D55="B",(ROUND(VLOOKUP($C55,'[2]2.행정구역별 급수인구'!$C$7:$AD$997,27,FALSE)-VLOOKUP($C55,'[2]2.행정구역별 급수인구'!$C$7:$AD$997,27,FALSE)*(1-$E55),0)),VLOOKUP($C55,'[2]2.행정구역별 급수인구'!$C$7:$AD$997,27,FALSE))))</f>
        <v>0</v>
      </c>
      <c r="K55" s="302">
        <f>IF($W$3=1,0,IF($D55="A",ROUND(VLOOKUP($C55,'[2]2.행정구역별 급수인구'!$C$7:$AD$997,28,FALSE)*$E55,0),IF($D55="B",(ROUND(VLOOKUP($C55,'[2]2.행정구역별 급수인구'!$C$7:$AD$997,28,FALSE)-VLOOKUP($C55,'[2]2.행정구역별 급수인구'!$C$7:$AD$997,28,FALSE)*(1-$E55),0)),VLOOKUP($C55,'[2]2.행정구역별 급수인구'!$C$7:$AD$997,28,FALSE))))</f>
        <v>0</v>
      </c>
      <c r="L55" s="383">
        <f>VLOOKUP($F55,'[3]5.급수원단위'!$B$31:$G$35,2,FALSE)</f>
        <v>272</v>
      </c>
      <c r="M55" s="383">
        <f>VLOOKUP($F55,'[3]5.급수원단위'!$B$31:$G$35,3,FALSE)</f>
        <v>304</v>
      </c>
      <c r="N55" s="383">
        <f>VLOOKUP($F55,'[3]5.급수원단위'!$B$31:$G$35,4,FALSE)</f>
        <v>308</v>
      </c>
      <c r="O55" s="383">
        <f>VLOOKUP($F55,'[3]5.급수원단위'!$B$31:$G$35,5,FALSE)</f>
        <v>310</v>
      </c>
      <c r="P55" s="383">
        <f>VLOOKUP($F55,'[3]5.급수원단위'!$B$31:$G$35,6,FALSE)</f>
        <v>310</v>
      </c>
      <c r="Q55" s="302">
        <f>ROUND(IF(G55=0,0,VLOOKUP(C55,'2013실사용량 정리'!$D$6:$F$381,3,FALSE)),0)</f>
        <v>0</v>
      </c>
      <c r="R55" s="383">
        <f t="shared" si="11"/>
        <v>0</v>
      </c>
      <c r="S55" s="383">
        <f t="shared" si="12"/>
        <v>0</v>
      </c>
      <c r="T55" s="383">
        <f t="shared" si="13"/>
        <v>0</v>
      </c>
      <c r="U55" s="383">
        <f t="shared" si="14"/>
        <v>0</v>
      </c>
      <c r="Z55" s="413"/>
      <c r="AA55" s="413"/>
      <c r="AB55" s="413"/>
      <c r="AC55" s="413"/>
      <c r="AD55" s="413"/>
      <c r="AE55" s="413"/>
      <c r="AF55" s="413"/>
      <c r="AG55" s="413"/>
      <c r="AH55" s="413"/>
      <c r="AI55" s="413"/>
      <c r="AJ55" s="413"/>
      <c r="AK55" s="413"/>
      <c r="AL55" s="413"/>
      <c r="AM55" s="413"/>
      <c r="AN55" s="413"/>
      <c r="AO55" s="413"/>
      <c r="AP55" s="413"/>
      <c r="AQ55" s="413"/>
      <c r="AR55" s="413"/>
      <c r="AS55" s="413"/>
    </row>
    <row r="56" spans="1:45" s="412" customFormat="1" ht="20.100000000000001" customHeight="1">
      <c r="A56" s="421"/>
      <c r="B56" s="421"/>
      <c r="C56" s="380" t="s">
        <v>1706</v>
      </c>
      <c r="D56" s="330" t="s">
        <v>1300</v>
      </c>
      <c r="E56" s="468">
        <f>1-'2.생활용수(연산)'!E59</f>
        <v>1</v>
      </c>
      <c r="F56" s="382" t="s">
        <v>756</v>
      </c>
      <c r="G56" s="302">
        <f>IF($W$3=1,0,IF($D56="A",ROUND(VLOOKUP($C56,'[2]2.행정구역별 급수인구'!$C$7:$AD$997,17,FALSE)*$E56,0),IF($D56="B",(ROUND(VLOOKUP($C56,'[2]2.행정구역별 급수인구'!$C$7:$AD$997,17,FALSE)-VLOOKUP($C56,'[2]2.행정구역별 급수인구'!$C$7:$AD$997,17,FALSE)*(1-$E56),0)),VLOOKUP($C56,'[2]2.행정구역별 급수인구'!$C$7:$AD$997,17,FALSE))))</f>
        <v>0</v>
      </c>
      <c r="H56" s="302">
        <f>IF($W$3=1,0,IF($D56="A",ROUND(VLOOKUP($C56,'[2]2.행정구역별 급수인구'!$C$7:$AD$997,25,FALSE)*$E56,0),IF($D56="B",(ROUND(VLOOKUP($C56,'[2]2.행정구역별 급수인구'!$C$7:$AD$997,25,FALSE)-VLOOKUP($C56,'[2]2.행정구역별 급수인구'!$C$7:$AD$997,25,FALSE)*(1-$E56),0)),VLOOKUP($C56,'[2]2.행정구역별 급수인구'!$C$7:$AD$997,25,FALSE))))</f>
        <v>0</v>
      </c>
      <c r="I56" s="302">
        <f>IF($W$3=1,0,IF($D56="A",ROUND(VLOOKUP($C56,'[2]2.행정구역별 급수인구'!$C$7:$AD$997,26,FALSE)*$E56,0),IF($D56="B",(ROUND(VLOOKUP($C56,'[2]2.행정구역별 급수인구'!$C$7:$AD$997,26,FALSE)-VLOOKUP($C56,'[2]2.행정구역별 급수인구'!$C$7:$AD$997,26,FALSE)*(1-$E56),0)),VLOOKUP($C56,'[2]2.행정구역별 급수인구'!$C$7:$AD$997,26,FALSE))))</f>
        <v>0</v>
      </c>
      <c r="J56" s="302">
        <f>IF($W$3=1,0,IF($D56="A",ROUND(VLOOKUP($C56,'[2]2.행정구역별 급수인구'!$C$7:$AD$997,27,FALSE)*$E56,0),IF($D56="B",(ROUND(VLOOKUP($C56,'[2]2.행정구역별 급수인구'!$C$7:$AD$997,27,FALSE)-VLOOKUP($C56,'[2]2.행정구역별 급수인구'!$C$7:$AD$997,27,FALSE)*(1-$E56),0)),VLOOKUP($C56,'[2]2.행정구역별 급수인구'!$C$7:$AD$997,27,FALSE))))</f>
        <v>0</v>
      </c>
      <c r="K56" s="302">
        <f>IF($W$3=1,0,IF($D56="A",ROUND(VLOOKUP($C56,'[2]2.행정구역별 급수인구'!$C$7:$AD$997,28,FALSE)*$E56,0),IF($D56="B",(ROUND(VLOOKUP($C56,'[2]2.행정구역별 급수인구'!$C$7:$AD$997,28,FALSE)-VLOOKUP($C56,'[2]2.행정구역별 급수인구'!$C$7:$AD$997,28,FALSE)*(1-$E56),0)),VLOOKUP($C56,'[2]2.행정구역별 급수인구'!$C$7:$AD$997,28,FALSE))))</f>
        <v>0</v>
      </c>
      <c r="L56" s="383">
        <f>VLOOKUP($F56,'[3]5.급수원단위'!$B$31:$G$35,2,FALSE)</f>
        <v>272</v>
      </c>
      <c r="M56" s="383">
        <f>VLOOKUP($F56,'[3]5.급수원단위'!$B$31:$G$35,3,FALSE)</f>
        <v>304</v>
      </c>
      <c r="N56" s="383">
        <f>VLOOKUP($F56,'[3]5.급수원단위'!$B$31:$G$35,4,FALSE)</f>
        <v>308</v>
      </c>
      <c r="O56" s="383">
        <f>VLOOKUP($F56,'[3]5.급수원단위'!$B$31:$G$35,5,FALSE)</f>
        <v>310</v>
      </c>
      <c r="P56" s="383">
        <f>VLOOKUP($F56,'[3]5.급수원단위'!$B$31:$G$35,6,FALSE)</f>
        <v>310</v>
      </c>
      <c r="Q56" s="302">
        <f>ROUND(IF(G56=0,0,VLOOKUP(C56,'2013실사용량 정리'!$D$6:$F$381,3,FALSE)),0)</f>
        <v>0</v>
      </c>
      <c r="R56" s="383">
        <f t="shared" si="11"/>
        <v>0</v>
      </c>
      <c r="S56" s="383">
        <f t="shared" si="12"/>
        <v>0</v>
      </c>
      <c r="T56" s="383">
        <f t="shared" si="13"/>
        <v>0</v>
      </c>
      <c r="U56" s="383">
        <f t="shared" si="14"/>
        <v>0</v>
      </c>
      <c r="Z56" s="413"/>
      <c r="AA56" s="413"/>
      <c r="AB56" s="413"/>
      <c r="AC56" s="413"/>
      <c r="AD56" s="413"/>
      <c r="AE56" s="413"/>
      <c r="AF56" s="413"/>
      <c r="AG56" s="413"/>
      <c r="AH56" s="413"/>
      <c r="AI56" s="413"/>
      <c r="AJ56" s="413"/>
      <c r="AK56" s="413"/>
      <c r="AL56" s="413"/>
      <c r="AM56" s="413"/>
      <c r="AN56" s="413"/>
      <c r="AO56" s="413"/>
      <c r="AP56" s="413"/>
      <c r="AQ56" s="413"/>
      <c r="AR56" s="413"/>
      <c r="AS56" s="413"/>
    </row>
    <row r="57" spans="1:45" s="412" customFormat="1" ht="20.100000000000001" customHeight="1">
      <c r="A57" s="421"/>
      <c r="B57" s="421"/>
      <c r="C57" s="380" t="s">
        <v>1707</v>
      </c>
      <c r="D57" s="330" t="s">
        <v>1300</v>
      </c>
      <c r="E57" s="468">
        <f>1-'2.생활용수(연산)'!E60</f>
        <v>1</v>
      </c>
      <c r="F57" s="382" t="s">
        <v>756</v>
      </c>
      <c r="G57" s="302">
        <f>IF($W$3=1,0,IF($D57="A",ROUND(VLOOKUP($C57,'[2]2.행정구역별 급수인구'!$C$7:$AD$997,17,FALSE)*$E57,0),IF($D57="B",(ROUND(VLOOKUP($C57,'[2]2.행정구역별 급수인구'!$C$7:$AD$997,17,FALSE)-VLOOKUP($C57,'[2]2.행정구역별 급수인구'!$C$7:$AD$997,17,FALSE)*(1-$E57),0)),VLOOKUP($C57,'[2]2.행정구역별 급수인구'!$C$7:$AD$997,17,FALSE))))</f>
        <v>0</v>
      </c>
      <c r="H57" s="302">
        <f>IF($W$3=1,0,IF($D57="A",ROUND(VLOOKUP($C57,'[2]2.행정구역별 급수인구'!$C$7:$AD$997,25,FALSE)*$E57,0),IF($D57="B",(ROUND(VLOOKUP($C57,'[2]2.행정구역별 급수인구'!$C$7:$AD$997,25,FALSE)-VLOOKUP($C57,'[2]2.행정구역별 급수인구'!$C$7:$AD$997,25,FALSE)*(1-$E57),0)),VLOOKUP($C57,'[2]2.행정구역별 급수인구'!$C$7:$AD$997,25,FALSE))))</f>
        <v>0</v>
      </c>
      <c r="I57" s="302">
        <f>IF($W$3=1,0,IF($D57="A",ROUND(VLOOKUP($C57,'[2]2.행정구역별 급수인구'!$C$7:$AD$997,26,FALSE)*$E57,0),IF($D57="B",(ROUND(VLOOKUP($C57,'[2]2.행정구역별 급수인구'!$C$7:$AD$997,26,FALSE)-VLOOKUP($C57,'[2]2.행정구역별 급수인구'!$C$7:$AD$997,26,FALSE)*(1-$E57),0)),VLOOKUP($C57,'[2]2.행정구역별 급수인구'!$C$7:$AD$997,26,FALSE))))</f>
        <v>0</v>
      </c>
      <c r="J57" s="302">
        <f>IF($W$3=1,0,IF($D57="A",ROUND(VLOOKUP($C57,'[2]2.행정구역별 급수인구'!$C$7:$AD$997,27,FALSE)*$E57,0),IF($D57="B",(ROUND(VLOOKUP($C57,'[2]2.행정구역별 급수인구'!$C$7:$AD$997,27,FALSE)-VLOOKUP($C57,'[2]2.행정구역별 급수인구'!$C$7:$AD$997,27,FALSE)*(1-$E57),0)),VLOOKUP($C57,'[2]2.행정구역별 급수인구'!$C$7:$AD$997,27,FALSE))))</f>
        <v>0</v>
      </c>
      <c r="K57" s="302">
        <f>IF($W$3=1,0,IF($D57="A",ROUND(VLOOKUP($C57,'[2]2.행정구역별 급수인구'!$C$7:$AD$997,28,FALSE)*$E57,0),IF($D57="B",(ROUND(VLOOKUP($C57,'[2]2.행정구역별 급수인구'!$C$7:$AD$997,28,FALSE)-VLOOKUP($C57,'[2]2.행정구역별 급수인구'!$C$7:$AD$997,28,FALSE)*(1-$E57),0)),VLOOKUP($C57,'[2]2.행정구역별 급수인구'!$C$7:$AD$997,28,FALSE))))</f>
        <v>0</v>
      </c>
      <c r="L57" s="383">
        <f>VLOOKUP($F57,'[3]5.급수원단위'!$B$31:$G$35,2,FALSE)</f>
        <v>272</v>
      </c>
      <c r="M57" s="383">
        <f>VLOOKUP($F57,'[3]5.급수원단위'!$B$31:$G$35,3,FALSE)</f>
        <v>304</v>
      </c>
      <c r="N57" s="383">
        <f>VLOOKUP($F57,'[3]5.급수원단위'!$B$31:$G$35,4,FALSE)</f>
        <v>308</v>
      </c>
      <c r="O57" s="383">
        <f>VLOOKUP($F57,'[3]5.급수원단위'!$B$31:$G$35,5,FALSE)</f>
        <v>310</v>
      </c>
      <c r="P57" s="383">
        <f>VLOOKUP($F57,'[3]5.급수원단위'!$B$31:$G$35,6,FALSE)</f>
        <v>310</v>
      </c>
      <c r="Q57" s="302">
        <f>ROUND(IF(G57=0,0,VLOOKUP(C57,'2013실사용량 정리'!$D$6:$F$381,3,FALSE)),0)</f>
        <v>0</v>
      </c>
      <c r="R57" s="383">
        <f t="shared" si="11"/>
        <v>0</v>
      </c>
      <c r="S57" s="383">
        <f t="shared" si="12"/>
        <v>0</v>
      </c>
      <c r="T57" s="383">
        <f t="shared" si="13"/>
        <v>0</v>
      </c>
      <c r="U57" s="383">
        <f t="shared" si="14"/>
        <v>0</v>
      </c>
      <c r="Z57" s="413"/>
      <c r="AA57" s="413"/>
      <c r="AB57" s="413"/>
      <c r="AC57" s="413"/>
      <c r="AD57" s="413"/>
      <c r="AE57" s="413"/>
      <c r="AF57" s="413"/>
      <c r="AG57" s="413"/>
      <c r="AH57" s="413"/>
      <c r="AI57" s="413"/>
      <c r="AJ57" s="413"/>
      <c r="AK57" s="413"/>
      <c r="AL57" s="413"/>
      <c r="AM57" s="413"/>
      <c r="AN57" s="413"/>
      <c r="AO57" s="413"/>
      <c r="AP57" s="413"/>
      <c r="AQ57" s="413"/>
      <c r="AR57" s="413"/>
      <c r="AS57" s="413"/>
    </row>
    <row r="58" spans="1:45" s="412" customFormat="1" ht="20.100000000000001" customHeight="1">
      <c r="A58" s="421"/>
      <c r="B58" s="421"/>
      <c r="C58" s="380" t="s">
        <v>1708</v>
      </c>
      <c r="D58" s="330" t="s">
        <v>1300</v>
      </c>
      <c r="E58" s="468">
        <f>1-'2.생활용수(연산)'!E61</f>
        <v>1</v>
      </c>
      <c r="F58" s="382" t="s">
        <v>756</v>
      </c>
      <c r="G58" s="302">
        <f>IF($W$3=1,0,IF($D58="A",ROUND(VLOOKUP($C58,'[2]2.행정구역별 급수인구'!$C$7:$AD$997,17,FALSE)*$E58,0),IF($D58="B",(ROUND(VLOOKUP($C58,'[2]2.행정구역별 급수인구'!$C$7:$AD$997,17,FALSE)-VLOOKUP($C58,'[2]2.행정구역별 급수인구'!$C$7:$AD$997,17,FALSE)*(1-$E58),0)),VLOOKUP($C58,'[2]2.행정구역별 급수인구'!$C$7:$AD$997,17,FALSE))))</f>
        <v>0</v>
      </c>
      <c r="H58" s="302">
        <f>IF($W$3=1,0,IF($D58="A",ROUND(VLOOKUP($C58,'[2]2.행정구역별 급수인구'!$C$7:$AD$997,25,FALSE)*$E58,0),IF($D58="B",(ROUND(VLOOKUP($C58,'[2]2.행정구역별 급수인구'!$C$7:$AD$997,25,FALSE)-VLOOKUP($C58,'[2]2.행정구역별 급수인구'!$C$7:$AD$997,25,FALSE)*(1-$E58),0)),VLOOKUP($C58,'[2]2.행정구역별 급수인구'!$C$7:$AD$997,25,FALSE))))</f>
        <v>0</v>
      </c>
      <c r="I58" s="302">
        <f>IF($W$3=1,0,IF($D58="A",ROUND(VLOOKUP($C58,'[2]2.행정구역별 급수인구'!$C$7:$AD$997,26,FALSE)*$E58,0),IF($D58="B",(ROUND(VLOOKUP($C58,'[2]2.행정구역별 급수인구'!$C$7:$AD$997,26,FALSE)-VLOOKUP($C58,'[2]2.행정구역별 급수인구'!$C$7:$AD$997,26,FALSE)*(1-$E58),0)),VLOOKUP($C58,'[2]2.행정구역별 급수인구'!$C$7:$AD$997,26,FALSE))))</f>
        <v>0</v>
      </c>
      <c r="J58" s="302">
        <f>IF($W$3=1,0,IF($D58="A",ROUND(VLOOKUP($C58,'[2]2.행정구역별 급수인구'!$C$7:$AD$997,27,FALSE)*$E58,0),IF($D58="B",(ROUND(VLOOKUP($C58,'[2]2.행정구역별 급수인구'!$C$7:$AD$997,27,FALSE)-VLOOKUP($C58,'[2]2.행정구역별 급수인구'!$C$7:$AD$997,27,FALSE)*(1-$E58),0)),VLOOKUP($C58,'[2]2.행정구역별 급수인구'!$C$7:$AD$997,27,FALSE))))</f>
        <v>0</v>
      </c>
      <c r="K58" s="302">
        <f>IF($W$3=1,0,IF($D58="A",ROUND(VLOOKUP($C58,'[2]2.행정구역별 급수인구'!$C$7:$AD$997,28,FALSE)*$E58,0),IF($D58="B",(ROUND(VLOOKUP($C58,'[2]2.행정구역별 급수인구'!$C$7:$AD$997,28,FALSE)-VLOOKUP($C58,'[2]2.행정구역별 급수인구'!$C$7:$AD$997,28,FALSE)*(1-$E58),0)),VLOOKUP($C58,'[2]2.행정구역별 급수인구'!$C$7:$AD$997,28,FALSE))))</f>
        <v>0</v>
      </c>
      <c r="L58" s="383">
        <f>VLOOKUP($F58,'[3]5.급수원단위'!$B$31:$G$35,2,FALSE)</f>
        <v>272</v>
      </c>
      <c r="M58" s="383">
        <f>VLOOKUP($F58,'[3]5.급수원단위'!$B$31:$G$35,3,FALSE)</f>
        <v>304</v>
      </c>
      <c r="N58" s="383">
        <f>VLOOKUP($F58,'[3]5.급수원단위'!$B$31:$G$35,4,FALSE)</f>
        <v>308</v>
      </c>
      <c r="O58" s="383">
        <f>VLOOKUP($F58,'[3]5.급수원단위'!$B$31:$G$35,5,FALSE)</f>
        <v>310</v>
      </c>
      <c r="P58" s="383">
        <f>VLOOKUP($F58,'[3]5.급수원단위'!$B$31:$G$35,6,FALSE)</f>
        <v>310</v>
      </c>
      <c r="Q58" s="302">
        <f>ROUND(IF(G58=0,0,VLOOKUP(C58,'2013실사용량 정리'!$D$6:$F$381,3,FALSE)),0)</f>
        <v>0</v>
      </c>
      <c r="R58" s="383">
        <f t="shared" si="11"/>
        <v>0</v>
      </c>
      <c r="S58" s="383">
        <f t="shared" si="12"/>
        <v>0</v>
      </c>
      <c r="T58" s="383">
        <f t="shared" si="13"/>
        <v>0</v>
      </c>
      <c r="U58" s="383">
        <f t="shared" si="14"/>
        <v>0</v>
      </c>
      <c r="Z58" s="413"/>
      <c r="AA58" s="413"/>
      <c r="AB58" s="413"/>
      <c r="AC58" s="413"/>
      <c r="AD58" s="413"/>
      <c r="AE58" s="413"/>
      <c r="AF58" s="413"/>
      <c r="AG58" s="413"/>
      <c r="AH58" s="413"/>
      <c r="AI58" s="413"/>
      <c r="AJ58" s="413"/>
      <c r="AK58" s="413"/>
      <c r="AL58" s="413"/>
      <c r="AM58" s="413"/>
      <c r="AN58" s="413"/>
      <c r="AO58" s="413"/>
      <c r="AP58" s="413"/>
      <c r="AQ58" s="413"/>
      <c r="AR58" s="413"/>
      <c r="AS58" s="413"/>
    </row>
    <row r="59" spans="1:45" s="412" customFormat="1" ht="20.100000000000001" customHeight="1">
      <c r="A59" s="421"/>
      <c r="B59" s="421"/>
      <c r="C59" s="380" t="s">
        <v>1709</v>
      </c>
      <c r="D59" s="330" t="s">
        <v>1300</v>
      </c>
      <c r="E59" s="468">
        <f>1-'2.생활용수(연산)'!E62</f>
        <v>1</v>
      </c>
      <c r="F59" s="382" t="s">
        <v>756</v>
      </c>
      <c r="G59" s="302">
        <f>IF($W$3=1,0,IF($D59="A",ROUND(VLOOKUP($C59,'[2]2.행정구역별 급수인구'!$C$7:$AD$997,17,FALSE)*$E59,0),IF($D59="B",(ROUND(VLOOKUP($C59,'[2]2.행정구역별 급수인구'!$C$7:$AD$997,17,FALSE)-VLOOKUP($C59,'[2]2.행정구역별 급수인구'!$C$7:$AD$997,17,FALSE)*(1-$E59),0)),VLOOKUP($C59,'[2]2.행정구역별 급수인구'!$C$7:$AD$997,17,FALSE))))</f>
        <v>0</v>
      </c>
      <c r="H59" s="302">
        <f>IF($W$3=1,0,IF($D59="A",ROUND(VLOOKUP($C59,'[2]2.행정구역별 급수인구'!$C$7:$AD$997,25,FALSE)*$E59,0),IF($D59="B",(ROUND(VLOOKUP($C59,'[2]2.행정구역별 급수인구'!$C$7:$AD$997,25,FALSE)-VLOOKUP($C59,'[2]2.행정구역별 급수인구'!$C$7:$AD$997,25,FALSE)*(1-$E59),0)),VLOOKUP($C59,'[2]2.행정구역별 급수인구'!$C$7:$AD$997,25,FALSE))))</f>
        <v>0</v>
      </c>
      <c r="I59" s="302">
        <f>IF($W$3=1,0,IF($D59="A",ROUND(VLOOKUP($C59,'[2]2.행정구역별 급수인구'!$C$7:$AD$997,26,FALSE)*$E59,0),IF($D59="B",(ROUND(VLOOKUP($C59,'[2]2.행정구역별 급수인구'!$C$7:$AD$997,26,FALSE)-VLOOKUP($C59,'[2]2.행정구역별 급수인구'!$C$7:$AD$997,26,FALSE)*(1-$E59),0)),VLOOKUP($C59,'[2]2.행정구역별 급수인구'!$C$7:$AD$997,26,FALSE))))</f>
        <v>0</v>
      </c>
      <c r="J59" s="302">
        <f>IF($W$3=1,0,IF($D59="A",ROUND(VLOOKUP($C59,'[2]2.행정구역별 급수인구'!$C$7:$AD$997,27,FALSE)*$E59,0),IF($D59="B",(ROUND(VLOOKUP($C59,'[2]2.행정구역별 급수인구'!$C$7:$AD$997,27,FALSE)-VLOOKUP($C59,'[2]2.행정구역별 급수인구'!$C$7:$AD$997,27,FALSE)*(1-$E59),0)),VLOOKUP($C59,'[2]2.행정구역별 급수인구'!$C$7:$AD$997,27,FALSE))))</f>
        <v>0</v>
      </c>
      <c r="K59" s="302">
        <f>IF($W$3=1,0,IF($D59="A",ROUND(VLOOKUP($C59,'[2]2.행정구역별 급수인구'!$C$7:$AD$997,28,FALSE)*$E59,0),IF($D59="B",(ROUND(VLOOKUP($C59,'[2]2.행정구역별 급수인구'!$C$7:$AD$997,28,FALSE)-VLOOKUP($C59,'[2]2.행정구역별 급수인구'!$C$7:$AD$997,28,FALSE)*(1-$E59),0)),VLOOKUP($C59,'[2]2.행정구역별 급수인구'!$C$7:$AD$997,28,FALSE))))</f>
        <v>0</v>
      </c>
      <c r="L59" s="383">
        <f>VLOOKUP($F59,'[3]5.급수원단위'!$B$31:$G$35,2,FALSE)</f>
        <v>272</v>
      </c>
      <c r="M59" s="383">
        <f>VLOOKUP($F59,'[3]5.급수원단위'!$B$31:$G$35,3,FALSE)</f>
        <v>304</v>
      </c>
      <c r="N59" s="383">
        <f>VLOOKUP($F59,'[3]5.급수원단위'!$B$31:$G$35,4,FALSE)</f>
        <v>308</v>
      </c>
      <c r="O59" s="383">
        <f>VLOOKUP($F59,'[3]5.급수원단위'!$B$31:$G$35,5,FALSE)</f>
        <v>310</v>
      </c>
      <c r="P59" s="383">
        <f>VLOOKUP($F59,'[3]5.급수원단위'!$B$31:$G$35,6,FALSE)</f>
        <v>310</v>
      </c>
      <c r="Q59" s="302">
        <f>ROUND(IF(G59=0,0,VLOOKUP(C59,'2013실사용량 정리'!$D$6:$F$381,3,FALSE)),0)</f>
        <v>0</v>
      </c>
      <c r="R59" s="383">
        <f t="shared" si="11"/>
        <v>0</v>
      </c>
      <c r="S59" s="383">
        <f t="shared" si="12"/>
        <v>0</v>
      </c>
      <c r="T59" s="383">
        <f t="shared" si="13"/>
        <v>0</v>
      </c>
      <c r="U59" s="383">
        <f t="shared" si="14"/>
        <v>0</v>
      </c>
      <c r="Z59" s="413"/>
      <c r="AA59" s="413"/>
      <c r="AB59" s="413"/>
      <c r="AC59" s="413"/>
      <c r="AD59" s="413"/>
      <c r="AE59" s="413"/>
      <c r="AF59" s="413"/>
      <c r="AG59" s="413"/>
      <c r="AH59" s="413"/>
      <c r="AI59" s="413"/>
      <c r="AJ59" s="413"/>
      <c r="AK59" s="413"/>
      <c r="AL59" s="413"/>
      <c r="AM59" s="413"/>
      <c r="AN59" s="413"/>
      <c r="AO59" s="413"/>
      <c r="AP59" s="413"/>
      <c r="AQ59" s="413"/>
      <c r="AR59" s="413"/>
      <c r="AS59" s="413"/>
    </row>
    <row r="60" spans="1:45" s="412" customFormat="1" ht="20.100000000000001" customHeight="1">
      <c r="A60" s="421"/>
      <c r="B60" s="421"/>
      <c r="C60" s="380" t="s">
        <v>1710</v>
      </c>
      <c r="D60" s="330" t="s">
        <v>1300</v>
      </c>
      <c r="E60" s="468">
        <f>1-'2.생활용수(연산)'!E63</f>
        <v>1</v>
      </c>
      <c r="F60" s="382" t="s">
        <v>756</v>
      </c>
      <c r="G60" s="302">
        <f>IF($W$3=1,0,IF($D60="A",ROUND(VLOOKUP($C60,'[2]2.행정구역별 급수인구'!$C$7:$AD$997,17,FALSE)*$E60,0),IF($D60="B",(ROUND(VLOOKUP($C60,'[2]2.행정구역별 급수인구'!$C$7:$AD$997,17,FALSE)-VLOOKUP($C60,'[2]2.행정구역별 급수인구'!$C$7:$AD$997,17,FALSE)*(1-$E60),0)),VLOOKUP($C60,'[2]2.행정구역별 급수인구'!$C$7:$AD$997,17,FALSE))))</f>
        <v>0</v>
      </c>
      <c r="H60" s="302">
        <f>IF($W$3=1,0,IF($D60="A",ROUND(VLOOKUP($C60,'[2]2.행정구역별 급수인구'!$C$7:$AD$997,25,FALSE)*$E60,0),IF($D60="B",(ROUND(VLOOKUP($C60,'[2]2.행정구역별 급수인구'!$C$7:$AD$997,25,FALSE)-VLOOKUP($C60,'[2]2.행정구역별 급수인구'!$C$7:$AD$997,25,FALSE)*(1-$E60),0)),VLOOKUP($C60,'[2]2.행정구역별 급수인구'!$C$7:$AD$997,25,FALSE))))</f>
        <v>0</v>
      </c>
      <c r="I60" s="302">
        <f>IF($W$3=1,0,IF($D60="A",ROUND(VLOOKUP($C60,'[2]2.행정구역별 급수인구'!$C$7:$AD$997,26,FALSE)*$E60,0),IF($D60="B",(ROUND(VLOOKUP($C60,'[2]2.행정구역별 급수인구'!$C$7:$AD$997,26,FALSE)-VLOOKUP($C60,'[2]2.행정구역별 급수인구'!$C$7:$AD$997,26,FALSE)*(1-$E60),0)),VLOOKUP($C60,'[2]2.행정구역별 급수인구'!$C$7:$AD$997,26,FALSE))))</f>
        <v>0</v>
      </c>
      <c r="J60" s="302">
        <f>IF($W$3=1,0,IF($D60="A",ROUND(VLOOKUP($C60,'[2]2.행정구역별 급수인구'!$C$7:$AD$997,27,FALSE)*$E60,0),IF($D60="B",(ROUND(VLOOKUP($C60,'[2]2.행정구역별 급수인구'!$C$7:$AD$997,27,FALSE)-VLOOKUP($C60,'[2]2.행정구역별 급수인구'!$C$7:$AD$997,27,FALSE)*(1-$E60),0)),VLOOKUP($C60,'[2]2.행정구역별 급수인구'!$C$7:$AD$997,27,FALSE))))</f>
        <v>0</v>
      </c>
      <c r="K60" s="302">
        <f>IF($W$3=1,0,IF($D60="A",ROUND(VLOOKUP($C60,'[2]2.행정구역별 급수인구'!$C$7:$AD$997,28,FALSE)*$E60,0),IF($D60="B",(ROUND(VLOOKUP($C60,'[2]2.행정구역별 급수인구'!$C$7:$AD$997,28,FALSE)-VLOOKUP($C60,'[2]2.행정구역별 급수인구'!$C$7:$AD$997,28,FALSE)*(1-$E60),0)),VLOOKUP($C60,'[2]2.행정구역별 급수인구'!$C$7:$AD$997,28,FALSE))))</f>
        <v>0</v>
      </c>
      <c r="L60" s="383">
        <f>VLOOKUP($F60,'[3]5.급수원단위'!$B$31:$G$35,2,FALSE)</f>
        <v>272</v>
      </c>
      <c r="M60" s="383">
        <f>VLOOKUP($F60,'[3]5.급수원단위'!$B$31:$G$35,3,FALSE)</f>
        <v>304</v>
      </c>
      <c r="N60" s="383">
        <f>VLOOKUP($F60,'[3]5.급수원단위'!$B$31:$G$35,4,FALSE)</f>
        <v>308</v>
      </c>
      <c r="O60" s="383">
        <f>VLOOKUP($F60,'[3]5.급수원단위'!$B$31:$G$35,5,FALSE)</f>
        <v>310</v>
      </c>
      <c r="P60" s="383">
        <f>VLOOKUP($F60,'[3]5.급수원단위'!$B$31:$G$35,6,FALSE)</f>
        <v>310</v>
      </c>
      <c r="Q60" s="302">
        <f>ROUND(IF(G60=0,0,VLOOKUP(C60,'2013실사용량 정리'!$D$6:$F$381,3,FALSE)),0)</f>
        <v>0</v>
      </c>
      <c r="R60" s="383">
        <f t="shared" si="11"/>
        <v>0</v>
      </c>
      <c r="S60" s="383">
        <f t="shared" si="12"/>
        <v>0</v>
      </c>
      <c r="T60" s="383">
        <f t="shared" si="13"/>
        <v>0</v>
      </c>
      <c r="U60" s="383">
        <f t="shared" si="14"/>
        <v>0</v>
      </c>
      <c r="Z60" s="413"/>
      <c r="AA60" s="413"/>
      <c r="AB60" s="413"/>
      <c r="AC60" s="413"/>
      <c r="AD60" s="413"/>
      <c r="AE60" s="413"/>
      <c r="AF60" s="413"/>
      <c r="AG60" s="413"/>
      <c r="AH60" s="413"/>
      <c r="AI60" s="413"/>
      <c r="AJ60" s="413"/>
      <c r="AK60" s="413"/>
      <c r="AL60" s="413"/>
      <c r="AM60" s="413"/>
      <c r="AN60" s="413"/>
      <c r="AO60" s="413"/>
      <c r="AP60" s="413"/>
      <c r="AQ60" s="413"/>
      <c r="AR60" s="413"/>
      <c r="AS60" s="413"/>
    </row>
    <row r="61" spans="1:45" s="412" customFormat="1" ht="20.100000000000001" customHeight="1">
      <c r="A61" s="421"/>
      <c r="B61" s="421"/>
      <c r="C61" s="380" t="s">
        <v>1711</v>
      </c>
      <c r="D61" s="330" t="s">
        <v>1300</v>
      </c>
      <c r="E61" s="468">
        <f>1-'2.생활용수(연산)'!E64</f>
        <v>1</v>
      </c>
      <c r="F61" s="382" t="s">
        <v>756</v>
      </c>
      <c r="G61" s="302">
        <f>IF($W$3=1,0,IF($D61="A",ROUND(VLOOKUP($C61,'[2]2.행정구역별 급수인구'!$C$7:$AD$997,17,FALSE)*$E61,0),IF($D61="B",(ROUND(VLOOKUP($C61,'[2]2.행정구역별 급수인구'!$C$7:$AD$997,17,FALSE)-VLOOKUP($C61,'[2]2.행정구역별 급수인구'!$C$7:$AD$997,17,FALSE)*(1-$E61),0)),VLOOKUP($C61,'[2]2.행정구역별 급수인구'!$C$7:$AD$997,17,FALSE))))</f>
        <v>0</v>
      </c>
      <c r="H61" s="302">
        <f>IF($W$3=1,0,IF($D61="A",ROUND(VLOOKUP($C61,'[2]2.행정구역별 급수인구'!$C$7:$AD$997,25,FALSE)*$E61,0),IF($D61="B",(ROUND(VLOOKUP($C61,'[2]2.행정구역별 급수인구'!$C$7:$AD$997,25,FALSE)-VLOOKUP($C61,'[2]2.행정구역별 급수인구'!$C$7:$AD$997,25,FALSE)*(1-$E61),0)),VLOOKUP($C61,'[2]2.행정구역별 급수인구'!$C$7:$AD$997,25,FALSE))))</f>
        <v>0</v>
      </c>
      <c r="I61" s="302">
        <f>IF($W$3=1,0,IF($D61="A",ROUND(VLOOKUP($C61,'[2]2.행정구역별 급수인구'!$C$7:$AD$997,26,FALSE)*$E61,0),IF($D61="B",(ROUND(VLOOKUP($C61,'[2]2.행정구역별 급수인구'!$C$7:$AD$997,26,FALSE)-VLOOKUP($C61,'[2]2.행정구역별 급수인구'!$C$7:$AD$997,26,FALSE)*(1-$E61),0)),VLOOKUP($C61,'[2]2.행정구역별 급수인구'!$C$7:$AD$997,26,FALSE))))</f>
        <v>0</v>
      </c>
      <c r="J61" s="302">
        <f>IF($W$3=1,0,IF($D61="A",ROUND(VLOOKUP($C61,'[2]2.행정구역별 급수인구'!$C$7:$AD$997,27,FALSE)*$E61,0),IF($D61="B",(ROUND(VLOOKUP($C61,'[2]2.행정구역별 급수인구'!$C$7:$AD$997,27,FALSE)-VLOOKUP($C61,'[2]2.행정구역별 급수인구'!$C$7:$AD$997,27,FALSE)*(1-$E61),0)),VLOOKUP($C61,'[2]2.행정구역별 급수인구'!$C$7:$AD$997,27,FALSE))))</f>
        <v>0</v>
      </c>
      <c r="K61" s="302">
        <f>IF($W$3=1,0,IF($D61="A",ROUND(VLOOKUP($C61,'[2]2.행정구역별 급수인구'!$C$7:$AD$997,28,FALSE)*$E61,0),IF($D61="B",(ROUND(VLOOKUP($C61,'[2]2.행정구역별 급수인구'!$C$7:$AD$997,28,FALSE)-VLOOKUP($C61,'[2]2.행정구역별 급수인구'!$C$7:$AD$997,28,FALSE)*(1-$E61),0)),VLOOKUP($C61,'[2]2.행정구역별 급수인구'!$C$7:$AD$997,28,FALSE))))</f>
        <v>0</v>
      </c>
      <c r="L61" s="383">
        <f>VLOOKUP($F61,'[3]5.급수원단위'!$B$31:$G$35,2,FALSE)</f>
        <v>272</v>
      </c>
      <c r="M61" s="383">
        <f>VLOOKUP($F61,'[3]5.급수원단위'!$B$31:$G$35,3,FALSE)</f>
        <v>304</v>
      </c>
      <c r="N61" s="383">
        <f>VLOOKUP($F61,'[3]5.급수원단위'!$B$31:$G$35,4,FALSE)</f>
        <v>308</v>
      </c>
      <c r="O61" s="383">
        <f>VLOOKUP($F61,'[3]5.급수원단위'!$B$31:$G$35,5,FALSE)</f>
        <v>310</v>
      </c>
      <c r="P61" s="383">
        <f>VLOOKUP($F61,'[3]5.급수원단위'!$B$31:$G$35,6,FALSE)</f>
        <v>310</v>
      </c>
      <c r="Q61" s="302">
        <f>ROUND(IF(G61=0,0,VLOOKUP(C61,'2013실사용량 정리'!$D$6:$F$381,3,FALSE)),0)</f>
        <v>0</v>
      </c>
      <c r="R61" s="383">
        <f t="shared" si="11"/>
        <v>0</v>
      </c>
      <c r="S61" s="383">
        <f t="shared" si="12"/>
        <v>0</v>
      </c>
      <c r="T61" s="383">
        <f t="shared" si="13"/>
        <v>0</v>
      </c>
      <c r="U61" s="383">
        <f t="shared" si="14"/>
        <v>0</v>
      </c>
      <c r="Z61" s="413"/>
      <c r="AA61" s="413"/>
      <c r="AB61" s="413"/>
      <c r="AC61" s="413"/>
      <c r="AD61" s="413"/>
      <c r="AE61" s="413"/>
      <c r="AF61" s="413"/>
      <c r="AG61" s="413"/>
      <c r="AH61" s="413"/>
      <c r="AI61" s="413"/>
      <c r="AJ61" s="413"/>
      <c r="AK61" s="413"/>
      <c r="AL61" s="413"/>
      <c r="AM61" s="413"/>
      <c r="AN61" s="413"/>
      <c r="AO61" s="413"/>
      <c r="AP61" s="413"/>
      <c r="AQ61" s="413"/>
      <c r="AR61" s="413"/>
      <c r="AS61" s="413"/>
    </row>
    <row r="62" spans="1:45" s="412" customFormat="1" ht="20.100000000000001" customHeight="1">
      <c r="A62" s="421"/>
      <c r="B62" s="421"/>
      <c r="C62" s="380" t="s">
        <v>1712</v>
      </c>
      <c r="D62" s="330" t="s">
        <v>1300</v>
      </c>
      <c r="E62" s="468">
        <f>1-'2.생활용수(연산)'!E65</f>
        <v>1</v>
      </c>
      <c r="F62" s="382" t="s">
        <v>756</v>
      </c>
      <c r="G62" s="302">
        <f>IF($W$3=1,0,IF($D62="A",ROUND(VLOOKUP($C62,'[2]2.행정구역별 급수인구'!$C$7:$AD$997,17,FALSE)*$E62,0),IF($D62="B",(ROUND(VLOOKUP($C62,'[2]2.행정구역별 급수인구'!$C$7:$AD$997,17,FALSE)-VLOOKUP($C62,'[2]2.행정구역별 급수인구'!$C$7:$AD$997,17,FALSE)*(1-$E62),0)),VLOOKUP($C62,'[2]2.행정구역별 급수인구'!$C$7:$AD$997,17,FALSE))))</f>
        <v>0</v>
      </c>
      <c r="H62" s="302">
        <f>IF($W$3=1,0,IF($D62="A",ROUND(VLOOKUP($C62,'[2]2.행정구역별 급수인구'!$C$7:$AD$997,25,FALSE)*$E62,0),IF($D62="B",(ROUND(VLOOKUP($C62,'[2]2.행정구역별 급수인구'!$C$7:$AD$997,25,FALSE)-VLOOKUP($C62,'[2]2.행정구역별 급수인구'!$C$7:$AD$997,25,FALSE)*(1-$E62),0)),VLOOKUP($C62,'[2]2.행정구역별 급수인구'!$C$7:$AD$997,25,FALSE))))</f>
        <v>0</v>
      </c>
      <c r="I62" s="302">
        <f>IF($W$3=1,0,IF($D62="A",ROUND(VLOOKUP($C62,'[2]2.행정구역별 급수인구'!$C$7:$AD$997,26,FALSE)*$E62,0),IF($D62="B",(ROUND(VLOOKUP($C62,'[2]2.행정구역별 급수인구'!$C$7:$AD$997,26,FALSE)-VLOOKUP($C62,'[2]2.행정구역별 급수인구'!$C$7:$AD$997,26,FALSE)*(1-$E62),0)),VLOOKUP($C62,'[2]2.행정구역별 급수인구'!$C$7:$AD$997,26,FALSE))))</f>
        <v>0</v>
      </c>
      <c r="J62" s="302">
        <f>IF($W$3=1,0,IF($D62="A",ROUND(VLOOKUP($C62,'[2]2.행정구역별 급수인구'!$C$7:$AD$997,27,FALSE)*$E62,0),IF($D62="B",(ROUND(VLOOKUP($C62,'[2]2.행정구역별 급수인구'!$C$7:$AD$997,27,FALSE)-VLOOKUP($C62,'[2]2.행정구역별 급수인구'!$C$7:$AD$997,27,FALSE)*(1-$E62),0)),VLOOKUP($C62,'[2]2.행정구역별 급수인구'!$C$7:$AD$997,27,FALSE))))</f>
        <v>0</v>
      </c>
      <c r="K62" s="302">
        <f>IF($W$3=1,0,IF($D62="A",ROUND(VLOOKUP($C62,'[2]2.행정구역별 급수인구'!$C$7:$AD$997,28,FALSE)*$E62,0),IF($D62="B",(ROUND(VLOOKUP($C62,'[2]2.행정구역별 급수인구'!$C$7:$AD$997,28,FALSE)-VLOOKUP($C62,'[2]2.행정구역별 급수인구'!$C$7:$AD$997,28,FALSE)*(1-$E62),0)),VLOOKUP($C62,'[2]2.행정구역별 급수인구'!$C$7:$AD$997,28,FALSE))))</f>
        <v>0</v>
      </c>
      <c r="L62" s="383">
        <f>VLOOKUP($F62,'[3]5.급수원단위'!$B$31:$G$35,2,FALSE)</f>
        <v>272</v>
      </c>
      <c r="M62" s="383">
        <f>VLOOKUP($F62,'[3]5.급수원단위'!$B$31:$G$35,3,FALSE)</f>
        <v>304</v>
      </c>
      <c r="N62" s="383">
        <f>VLOOKUP($F62,'[3]5.급수원단위'!$B$31:$G$35,4,FALSE)</f>
        <v>308</v>
      </c>
      <c r="O62" s="383">
        <f>VLOOKUP($F62,'[3]5.급수원단위'!$B$31:$G$35,5,FALSE)</f>
        <v>310</v>
      </c>
      <c r="P62" s="383">
        <f>VLOOKUP($F62,'[3]5.급수원단위'!$B$31:$G$35,6,FALSE)</f>
        <v>310</v>
      </c>
      <c r="Q62" s="302">
        <f>ROUND(IF(G62=0,0,VLOOKUP(C62,'2013실사용량 정리'!$D$6:$F$381,3,FALSE)),0)</f>
        <v>0</v>
      </c>
      <c r="R62" s="383">
        <f t="shared" si="11"/>
        <v>0</v>
      </c>
      <c r="S62" s="383">
        <f t="shared" si="12"/>
        <v>0</v>
      </c>
      <c r="T62" s="383">
        <f t="shared" si="13"/>
        <v>0</v>
      </c>
      <c r="U62" s="383">
        <f t="shared" si="14"/>
        <v>0</v>
      </c>
      <c r="Z62" s="413"/>
      <c r="AA62" s="413"/>
      <c r="AB62" s="413"/>
      <c r="AC62" s="413"/>
      <c r="AD62" s="413"/>
      <c r="AE62" s="413"/>
      <c r="AF62" s="413"/>
      <c r="AG62" s="413"/>
      <c r="AH62" s="413"/>
      <c r="AI62" s="413"/>
      <c r="AJ62" s="413"/>
      <c r="AK62" s="413"/>
      <c r="AL62" s="413"/>
      <c r="AM62" s="413"/>
      <c r="AN62" s="413"/>
      <c r="AO62" s="413"/>
      <c r="AP62" s="413"/>
      <c r="AQ62" s="413"/>
      <c r="AR62" s="413"/>
      <c r="AS62" s="413"/>
    </row>
    <row r="63" spans="1:45" s="412" customFormat="1" ht="20.100000000000001" customHeight="1">
      <c r="A63" s="421"/>
      <c r="B63" s="421"/>
      <c r="C63" s="380" t="s">
        <v>1713</v>
      </c>
      <c r="D63" s="330" t="s">
        <v>1300</v>
      </c>
      <c r="E63" s="468">
        <f>1-'2.생활용수(연산)'!E66</f>
        <v>1</v>
      </c>
      <c r="F63" s="382" t="s">
        <v>756</v>
      </c>
      <c r="G63" s="302">
        <f>IF($W$3=1,0,IF($D63="A",ROUND(VLOOKUP($C63,'[2]2.행정구역별 급수인구'!$C$7:$AD$997,17,FALSE)*$E63,0),IF($D63="B",(ROUND(VLOOKUP($C63,'[2]2.행정구역별 급수인구'!$C$7:$AD$997,17,FALSE)-VLOOKUP($C63,'[2]2.행정구역별 급수인구'!$C$7:$AD$997,17,FALSE)*(1-$E63),0)),VLOOKUP($C63,'[2]2.행정구역별 급수인구'!$C$7:$AD$997,17,FALSE))))</f>
        <v>0</v>
      </c>
      <c r="H63" s="302">
        <f>IF($W$3=1,0,IF($D63="A",ROUND(VLOOKUP($C63,'[2]2.행정구역별 급수인구'!$C$7:$AD$997,25,FALSE)*$E63,0),IF($D63="B",(ROUND(VLOOKUP($C63,'[2]2.행정구역별 급수인구'!$C$7:$AD$997,25,FALSE)-VLOOKUP($C63,'[2]2.행정구역별 급수인구'!$C$7:$AD$997,25,FALSE)*(1-$E63),0)),VLOOKUP($C63,'[2]2.행정구역별 급수인구'!$C$7:$AD$997,25,FALSE))))</f>
        <v>0</v>
      </c>
      <c r="I63" s="302">
        <f>IF($W$3=1,0,IF($D63="A",ROUND(VLOOKUP($C63,'[2]2.행정구역별 급수인구'!$C$7:$AD$997,26,FALSE)*$E63,0),IF($D63="B",(ROUND(VLOOKUP($C63,'[2]2.행정구역별 급수인구'!$C$7:$AD$997,26,FALSE)-VLOOKUP($C63,'[2]2.행정구역별 급수인구'!$C$7:$AD$997,26,FALSE)*(1-$E63),0)),VLOOKUP($C63,'[2]2.행정구역별 급수인구'!$C$7:$AD$997,26,FALSE))))</f>
        <v>0</v>
      </c>
      <c r="J63" s="302">
        <f>IF($W$3=1,0,IF($D63="A",ROUND(VLOOKUP($C63,'[2]2.행정구역별 급수인구'!$C$7:$AD$997,27,FALSE)*$E63,0),IF($D63="B",(ROUND(VLOOKUP($C63,'[2]2.행정구역별 급수인구'!$C$7:$AD$997,27,FALSE)-VLOOKUP($C63,'[2]2.행정구역별 급수인구'!$C$7:$AD$997,27,FALSE)*(1-$E63),0)),VLOOKUP($C63,'[2]2.행정구역별 급수인구'!$C$7:$AD$997,27,FALSE))))</f>
        <v>0</v>
      </c>
      <c r="K63" s="302">
        <f>IF($W$3=1,0,IF($D63="A",ROUND(VLOOKUP($C63,'[2]2.행정구역별 급수인구'!$C$7:$AD$997,28,FALSE)*$E63,0),IF($D63="B",(ROUND(VLOOKUP($C63,'[2]2.행정구역별 급수인구'!$C$7:$AD$997,28,FALSE)-VLOOKUP($C63,'[2]2.행정구역별 급수인구'!$C$7:$AD$997,28,FALSE)*(1-$E63),0)),VLOOKUP($C63,'[2]2.행정구역별 급수인구'!$C$7:$AD$997,28,FALSE))))</f>
        <v>0</v>
      </c>
      <c r="L63" s="383">
        <f>VLOOKUP($F63,'[3]5.급수원단위'!$B$31:$G$35,2,FALSE)</f>
        <v>272</v>
      </c>
      <c r="M63" s="383">
        <f>VLOOKUP($F63,'[3]5.급수원단위'!$B$31:$G$35,3,FALSE)</f>
        <v>304</v>
      </c>
      <c r="N63" s="383">
        <f>VLOOKUP($F63,'[3]5.급수원단위'!$B$31:$G$35,4,FALSE)</f>
        <v>308</v>
      </c>
      <c r="O63" s="383">
        <f>VLOOKUP($F63,'[3]5.급수원단위'!$B$31:$G$35,5,FALSE)</f>
        <v>310</v>
      </c>
      <c r="P63" s="383">
        <f>VLOOKUP($F63,'[3]5.급수원단위'!$B$31:$G$35,6,FALSE)</f>
        <v>310</v>
      </c>
      <c r="Q63" s="302">
        <f>ROUND(IF(G63=0,0,VLOOKUP(C63,'2013실사용량 정리'!$D$6:$F$381,3,FALSE)),0)</f>
        <v>0</v>
      </c>
      <c r="R63" s="383">
        <f t="shared" si="11"/>
        <v>0</v>
      </c>
      <c r="S63" s="383">
        <f t="shared" si="12"/>
        <v>0</v>
      </c>
      <c r="T63" s="383">
        <f t="shared" si="13"/>
        <v>0</v>
      </c>
      <c r="U63" s="383">
        <f t="shared" si="14"/>
        <v>0</v>
      </c>
      <c r="Z63" s="413"/>
      <c r="AA63" s="413"/>
      <c r="AB63" s="413"/>
      <c r="AC63" s="413"/>
      <c r="AD63" s="413"/>
      <c r="AE63" s="413"/>
      <c r="AF63" s="413"/>
      <c r="AG63" s="413"/>
      <c r="AH63" s="413"/>
      <c r="AI63" s="413"/>
      <c r="AJ63" s="413"/>
      <c r="AK63" s="413"/>
      <c r="AL63" s="413"/>
      <c r="AM63" s="413"/>
      <c r="AN63" s="413"/>
      <c r="AO63" s="413"/>
      <c r="AP63" s="413"/>
      <c r="AQ63" s="413"/>
      <c r="AR63" s="413"/>
      <c r="AS63" s="413"/>
    </row>
    <row r="64" spans="1:45" s="412" customFormat="1" ht="20.100000000000001" customHeight="1">
      <c r="A64" s="421"/>
      <c r="B64" s="421"/>
      <c r="C64" s="380" t="s">
        <v>1714</v>
      </c>
      <c r="D64" s="330" t="s">
        <v>1300</v>
      </c>
      <c r="E64" s="468">
        <f>1-'2.생활용수(연산)'!E67</f>
        <v>1</v>
      </c>
      <c r="F64" s="382" t="s">
        <v>756</v>
      </c>
      <c r="G64" s="302">
        <f>IF($W$3=1,0,IF($D64="A",ROUND(VLOOKUP($C64,'[2]2.행정구역별 급수인구'!$C$7:$AD$997,17,FALSE)*$E64,0),IF($D64="B",(ROUND(VLOOKUP($C64,'[2]2.행정구역별 급수인구'!$C$7:$AD$997,17,FALSE)-VLOOKUP($C64,'[2]2.행정구역별 급수인구'!$C$7:$AD$997,17,FALSE)*(1-$E64),0)),VLOOKUP($C64,'[2]2.행정구역별 급수인구'!$C$7:$AD$997,17,FALSE))))</f>
        <v>0</v>
      </c>
      <c r="H64" s="302">
        <f>IF($W$3=1,0,IF($D64="A",ROUND(VLOOKUP($C64,'[2]2.행정구역별 급수인구'!$C$7:$AD$997,25,FALSE)*$E64,0),IF($D64="B",(ROUND(VLOOKUP($C64,'[2]2.행정구역별 급수인구'!$C$7:$AD$997,25,FALSE)-VLOOKUP($C64,'[2]2.행정구역별 급수인구'!$C$7:$AD$997,25,FALSE)*(1-$E64),0)),VLOOKUP($C64,'[2]2.행정구역별 급수인구'!$C$7:$AD$997,25,FALSE))))</f>
        <v>0</v>
      </c>
      <c r="I64" s="302">
        <f>IF($W$3=1,0,IF($D64="A",ROUND(VLOOKUP($C64,'[2]2.행정구역별 급수인구'!$C$7:$AD$997,26,FALSE)*$E64,0),IF($D64="B",(ROUND(VLOOKUP($C64,'[2]2.행정구역별 급수인구'!$C$7:$AD$997,26,FALSE)-VLOOKUP($C64,'[2]2.행정구역별 급수인구'!$C$7:$AD$997,26,FALSE)*(1-$E64),0)),VLOOKUP($C64,'[2]2.행정구역별 급수인구'!$C$7:$AD$997,26,FALSE))))</f>
        <v>0</v>
      </c>
      <c r="J64" s="302">
        <f>IF($W$3=1,0,IF($D64="A",ROUND(VLOOKUP($C64,'[2]2.행정구역별 급수인구'!$C$7:$AD$997,27,FALSE)*$E64,0),IF($D64="B",(ROUND(VLOOKUP($C64,'[2]2.행정구역별 급수인구'!$C$7:$AD$997,27,FALSE)-VLOOKUP($C64,'[2]2.행정구역별 급수인구'!$C$7:$AD$997,27,FALSE)*(1-$E64),0)),VLOOKUP($C64,'[2]2.행정구역별 급수인구'!$C$7:$AD$997,27,FALSE))))</f>
        <v>0</v>
      </c>
      <c r="K64" s="302">
        <f>IF($W$3=1,0,IF($D64="A",ROUND(VLOOKUP($C64,'[2]2.행정구역별 급수인구'!$C$7:$AD$997,28,FALSE)*$E64,0),IF($D64="B",(ROUND(VLOOKUP($C64,'[2]2.행정구역별 급수인구'!$C$7:$AD$997,28,FALSE)-VLOOKUP($C64,'[2]2.행정구역별 급수인구'!$C$7:$AD$997,28,FALSE)*(1-$E64),0)),VLOOKUP($C64,'[2]2.행정구역별 급수인구'!$C$7:$AD$997,28,FALSE))))</f>
        <v>0</v>
      </c>
      <c r="L64" s="383">
        <f>VLOOKUP($F64,'[3]5.급수원단위'!$B$31:$G$35,2,FALSE)</f>
        <v>272</v>
      </c>
      <c r="M64" s="383">
        <f>VLOOKUP($F64,'[3]5.급수원단위'!$B$31:$G$35,3,FALSE)</f>
        <v>304</v>
      </c>
      <c r="N64" s="383">
        <f>VLOOKUP($F64,'[3]5.급수원단위'!$B$31:$G$35,4,FALSE)</f>
        <v>308</v>
      </c>
      <c r="O64" s="383">
        <f>VLOOKUP($F64,'[3]5.급수원단위'!$B$31:$G$35,5,FALSE)</f>
        <v>310</v>
      </c>
      <c r="P64" s="383">
        <f>VLOOKUP($F64,'[3]5.급수원단위'!$B$31:$G$35,6,FALSE)</f>
        <v>310</v>
      </c>
      <c r="Q64" s="302">
        <f>ROUND(IF(G64=0,0,VLOOKUP(C64,'2013실사용량 정리'!$D$6:$F$381,3,FALSE)),0)</f>
        <v>0</v>
      </c>
      <c r="R64" s="383">
        <f t="shared" si="11"/>
        <v>0</v>
      </c>
      <c r="S64" s="383">
        <f t="shared" si="12"/>
        <v>0</v>
      </c>
      <c r="T64" s="383">
        <f t="shared" si="13"/>
        <v>0</v>
      </c>
      <c r="U64" s="383">
        <f t="shared" si="14"/>
        <v>0</v>
      </c>
      <c r="Z64" s="413"/>
      <c r="AA64" s="413"/>
      <c r="AB64" s="413"/>
      <c r="AC64" s="413"/>
      <c r="AD64" s="413"/>
      <c r="AE64" s="413"/>
      <c r="AF64" s="413"/>
      <c r="AG64" s="413"/>
      <c r="AH64" s="413"/>
      <c r="AI64" s="413"/>
      <c r="AJ64" s="413"/>
      <c r="AK64" s="413"/>
      <c r="AL64" s="413"/>
      <c r="AM64" s="413"/>
      <c r="AN64" s="413"/>
      <c r="AO64" s="413"/>
      <c r="AP64" s="413"/>
      <c r="AQ64" s="413"/>
      <c r="AR64" s="413"/>
      <c r="AS64" s="413"/>
    </row>
    <row r="65" spans="1:45" s="412" customFormat="1" ht="20.100000000000001" customHeight="1">
      <c r="A65" s="421"/>
      <c r="B65" s="421"/>
      <c r="C65" s="380" t="s">
        <v>1715</v>
      </c>
      <c r="D65" s="330" t="s">
        <v>1300</v>
      </c>
      <c r="E65" s="468">
        <f>1-'2.생활용수(연산)'!E68</f>
        <v>1</v>
      </c>
      <c r="F65" s="382" t="s">
        <v>756</v>
      </c>
      <c r="G65" s="302">
        <f>IF($W$3=1,0,IF($D65="A",ROUND(VLOOKUP($C65,'[2]2.행정구역별 급수인구'!$C$7:$AD$997,17,FALSE)*$E65,0),IF($D65="B",(ROUND(VLOOKUP($C65,'[2]2.행정구역별 급수인구'!$C$7:$AD$997,17,FALSE)-VLOOKUP($C65,'[2]2.행정구역별 급수인구'!$C$7:$AD$997,17,FALSE)*(1-$E65),0)),VLOOKUP($C65,'[2]2.행정구역별 급수인구'!$C$7:$AD$997,17,FALSE))))</f>
        <v>0</v>
      </c>
      <c r="H65" s="302">
        <f>IF($W$3=1,0,IF($D65="A",ROUND(VLOOKUP($C65,'[2]2.행정구역별 급수인구'!$C$7:$AD$997,25,FALSE)*$E65,0),IF($D65="B",(ROUND(VLOOKUP($C65,'[2]2.행정구역별 급수인구'!$C$7:$AD$997,25,FALSE)-VLOOKUP($C65,'[2]2.행정구역별 급수인구'!$C$7:$AD$997,25,FALSE)*(1-$E65),0)),VLOOKUP($C65,'[2]2.행정구역별 급수인구'!$C$7:$AD$997,25,FALSE))))</f>
        <v>0</v>
      </c>
      <c r="I65" s="302">
        <f>IF($W$3=1,0,IF($D65="A",ROUND(VLOOKUP($C65,'[2]2.행정구역별 급수인구'!$C$7:$AD$997,26,FALSE)*$E65,0),IF($D65="B",(ROUND(VLOOKUP($C65,'[2]2.행정구역별 급수인구'!$C$7:$AD$997,26,FALSE)-VLOOKUP($C65,'[2]2.행정구역별 급수인구'!$C$7:$AD$997,26,FALSE)*(1-$E65),0)),VLOOKUP($C65,'[2]2.행정구역별 급수인구'!$C$7:$AD$997,26,FALSE))))</f>
        <v>0</v>
      </c>
      <c r="J65" s="302">
        <f>IF($W$3=1,0,IF($D65="A",ROUND(VLOOKUP($C65,'[2]2.행정구역별 급수인구'!$C$7:$AD$997,27,FALSE)*$E65,0),IF($D65="B",(ROUND(VLOOKUP($C65,'[2]2.행정구역별 급수인구'!$C$7:$AD$997,27,FALSE)-VLOOKUP($C65,'[2]2.행정구역별 급수인구'!$C$7:$AD$997,27,FALSE)*(1-$E65),0)),VLOOKUP($C65,'[2]2.행정구역별 급수인구'!$C$7:$AD$997,27,FALSE))))</f>
        <v>0</v>
      </c>
      <c r="K65" s="302">
        <f>IF($W$3=1,0,IF($D65="A",ROUND(VLOOKUP($C65,'[2]2.행정구역별 급수인구'!$C$7:$AD$997,28,FALSE)*$E65,0),IF($D65="B",(ROUND(VLOOKUP($C65,'[2]2.행정구역별 급수인구'!$C$7:$AD$997,28,FALSE)-VLOOKUP($C65,'[2]2.행정구역별 급수인구'!$C$7:$AD$997,28,FALSE)*(1-$E65),0)),VLOOKUP($C65,'[2]2.행정구역별 급수인구'!$C$7:$AD$997,28,FALSE))))</f>
        <v>0</v>
      </c>
      <c r="L65" s="383">
        <f>VLOOKUP($F65,'[3]5.급수원단위'!$B$31:$G$35,2,FALSE)</f>
        <v>272</v>
      </c>
      <c r="M65" s="383">
        <f>VLOOKUP($F65,'[3]5.급수원단위'!$B$31:$G$35,3,FALSE)</f>
        <v>304</v>
      </c>
      <c r="N65" s="383">
        <f>VLOOKUP($F65,'[3]5.급수원단위'!$B$31:$G$35,4,FALSE)</f>
        <v>308</v>
      </c>
      <c r="O65" s="383">
        <f>VLOOKUP($F65,'[3]5.급수원단위'!$B$31:$G$35,5,FALSE)</f>
        <v>310</v>
      </c>
      <c r="P65" s="383">
        <f>VLOOKUP($F65,'[3]5.급수원단위'!$B$31:$G$35,6,FALSE)</f>
        <v>310</v>
      </c>
      <c r="Q65" s="302">
        <f>ROUND(IF(G65=0,0,VLOOKUP(C65,'2013실사용량 정리'!$D$6:$F$381,3,FALSE)),0)</f>
        <v>0</v>
      </c>
      <c r="R65" s="383">
        <f t="shared" si="11"/>
        <v>0</v>
      </c>
      <c r="S65" s="383">
        <f t="shared" si="12"/>
        <v>0</v>
      </c>
      <c r="T65" s="383">
        <f t="shared" si="13"/>
        <v>0</v>
      </c>
      <c r="U65" s="383">
        <f t="shared" si="14"/>
        <v>0</v>
      </c>
      <c r="Z65" s="413"/>
      <c r="AA65" s="413"/>
      <c r="AB65" s="413"/>
      <c r="AC65" s="413"/>
      <c r="AD65" s="413"/>
      <c r="AE65" s="413"/>
      <c r="AF65" s="413"/>
      <c r="AG65" s="413"/>
      <c r="AH65" s="413"/>
      <c r="AI65" s="413"/>
      <c r="AJ65" s="413"/>
      <c r="AK65" s="413"/>
      <c r="AL65" s="413"/>
      <c r="AM65" s="413"/>
      <c r="AN65" s="413"/>
      <c r="AO65" s="413"/>
      <c r="AP65" s="413"/>
      <c r="AQ65" s="413"/>
      <c r="AR65" s="413"/>
      <c r="AS65" s="413"/>
    </row>
    <row r="66" spans="1:45" s="412" customFormat="1" ht="20.100000000000001" customHeight="1">
      <c r="A66" s="421"/>
      <c r="B66" s="421"/>
      <c r="C66" s="380" t="s">
        <v>1716</v>
      </c>
      <c r="D66" s="330" t="s">
        <v>1300</v>
      </c>
      <c r="E66" s="468">
        <f>1-'2.생활용수(연산)'!E69</f>
        <v>1</v>
      </c>
      <c r="F66" s="382" t="s">
        <v>756</v>
      </c>
      <c r="G66" s="302">
        <f>IF($W$3=1,0,IF($D66="A",ROUND(VLOOKUP($C66,'[2]2.행정구역별 급수인구'!$C$7:$AD$997,17,FALSE)*$E66,0),IF($D66="B",(ROUND(VLOOKUP($C66,'[2]2.행정구역별 급수인구'!$C$7:$AD$997,17,FALSE)-VLOOKUP($C66,'[2]2.행정구역별 급수인구'!$C$7:$AD$997,17,FALSE)*(1-$E66),0)),VLOOKUP($C66,'[2]2.행정구역별 급수인구'!$C$7:$AD$997,17,FALSE))))</f>
        <v>0</v>
      </c>
      <c r="H66" s="302">
        <f>IF($W$3=1,0,IF($D66="A",ROUND(VLOOKUP($C66,'[2]2.행정구역별 급수인구'!$C$7:$AD$997,25,FALSE)*$E66,0),IF($D66="B",(ROUND(VLOOKUP($C66,'[2]2.행정구역별 급수인구'!$C$7:$AD$997,25,FALSE)-VLOOKUP($C66,'[2]2.행정구역별 급수인구'!$C$7:$AD$997,25,FALSE)*(1-$E66),0)),VLOOKUP($C66,'[2]2.행정구역별 급수인구'!$C$7:$AD$997,25,FALSE))))</f>
        <v>0</v>
      </c>
      <c r="I66" s="302">
        <f>IF($W$3=1,0,IF($D66="A",ROUND(VLOOKUP($C66,'[2]2.행정구역별 급수인구'!$C$7:$AD$997,26,FALSE)*$E66,0),IF($D66="B",(ROUND(VLOOKUP($C66,'[2]2.행정구역별 급수인구'!$C$7:$AD$997,26,FALSE)-VLOOKUP($C66,'[2]2.행정구역별 급수인구'!$C$7:$AD$997,26,FALSE)*(1-$E66),0)),VLOOKUP($C66,'[2]2.행정구역별 급수인구'!$C$7:$AD$997,26,FALSE))))</f>
        <v>0</v>
      </c>
      <c r="J66" s="302">
        <f>IF($W$3=1,0,IF($D66="A",ROUND(VLOOKUP($C66,'[2]2.행정구역별 급수인구'!$C$7:$AD$997,27,FALSE)*$E66,0),IF($D66="B",(ROUND(VLOOKUP($C66,'[2]2.행정구역별 급수인구'!$C$7:$AD$997,27,FALSE)-VLOOKUP($C66,'[2]2.행정구역별 급수인구'!$C$7:$AD$997,27,FALSE)*(1-$E66),0)),VLOOKUP($C66,'[2]2.행정구역별 급수인구'!$C$7:$AD$997,27,FALSE))))</f>
        <v>0</v>
      </c>
      <c r="K66" s="302">
        <f>IF($W$3=1,0,IF($D66="A",ROUND(VLOOKUP($C66,'[2]2.행정구역별 급수인구'!$C$7:$AD$997,28,FALSE)*$E66,0),IF($D66="B",(ROUND(VLOOKUP($C66,'[2]2.행정구역별 급수인구'!$C$7:$AD$997,28,FALSE)-VLOOKUP($C66,'[2]2.행정구역별 급수인구'!$C$7:$AD$997,28,FALSE)*(1-$E66),0)),VLOOKUP($C66,'[2]2.행정구역별 급수인구'!$C$7:$AD$997,28,FALSE))))</f>
        <v>0</v>
      </c>
      <c r="L66" s="383">
        <f>VLOOKUP($F66,'[3]5.급수원단위'!$B$31:$G$35,2,FALSE)</f>
        <v>272</v>
      </c>
      <c r="M66" s="383">
        <f>VLOOKUP($F66,'[3]5.급수원단위'!$B$31:$G$35,3,FALSE)</f>
        <v>304</v>
      </c>
      <c r="N66" s="383">
        <f>VLOOKUP($F66,'[3]5.급수원단위'!$B$31:$G$35,4,FALSE)</f>
        <v>308</v>
      </c>
      <c r="O66" s="383">
        <f>VLOOKUP($F66,'[3]5.급수원단위'!$B$31:$G$35,5,FALSE)</f>
        <v>310</v>
      </c>
      <c r="P66" s="383">
        <f>VLOOKUP($F66,'[3]5.급수원단위'!$B$31:$G$35,6,FALSE)</f>
        <v>310</v>
      </c>
      <c r="Q66" s="302">
        <f>ROUND(IF(G66=0,0,VLOOKUP(C66,'2013실사용량 정리'!$D$6:$F$381,3,FALSE)),0)</f>
        <v>0</v>
      </c>
      <c r="R66" s="383">
        <f t="shared" si="11"/>
        <v>0</v>
      </c>
      <c r="S66" s="383">
        <f t="shared" si="12"/>
        <v>0</v>
      </c>
      <c r="T66" s="383">
        <f t="shared" si="13"/>
        <v>0</v>
      </c>
      <c r="U66" s="383">
        <f t="shared" si="14"/>
        <v>0</v>
      </c>
      <c r="Z66" s="413"/>
      <c r="AA66" s="413"/>
      <c r="AB66" s="413"/>
      <c r="AC66" s="413"/>
      <c r="AD66" s="413"/>
      <c r="AE66" s="413"/>
      <c r="AF66" s="413"/>
      <c r="AG66" s="413"/>
      <c r="AH66" s="413"/>
      <c r="AI66" s="413"/>
      <c r="AJ66" s="413"/>
      <c r="AK66" s="413"/>
      <c r="AL66" s="413"/>
      <c r="AM66" s="413"/>
      <c r="AN66" s="413"/>
      <c r="AO66" s="413"/>
      <c r="AP66" s="413"/>
      <c r="AQ66" s="413"/>
      <c r="AR66" s="413"/>
      <c r="AS66" s="413"/>
    </row>
    <row r="67" spans="1:45" s="412" customFormat="1" ht="20.100000000000001" customHeight="1">
      <c r="A67" s="421"/>
      <c r="B67" s="421"/>
      <c r="C67" s="380" t="s">
        <v>1717</v>
      </c>
      <c r="D67" s="330" t="s">
        <v>1300</v>
      </c>
      <c r="E67" s="468">
        <f>1-'2.생활용수(연산)'!E70</f>
        <v>1</v>
      </c>
      <c r="F67" s="382" t="s">
        <v>756</v>
      </c>
      <c r="G67" s="302">
        <f>IF($W$3=1,0,IF($D67="A",ROUND(VLOOKUP($C67,'[2]2.행정구역별 급수인구'!$C$7:$AD$997,17,FALSE)*$E67,0),IF($D67="B",(ROUND(VLOOKUP($C67,'[2]2.행정구역별 급수인구'!$C$7:$AD$997,17,FALSE)-VLOOKUP($C67,'[2]2.행정구역별 급수인구'!$C$7:$AD$997,17,FALSE)*(1-$E67),0)),VLOOKUP($C67,'[2]2.행정구역별 급수인구'!$C$7:$AD$997,17,FALSE))))</f>
        <v>0</v>
      </c>
      <c r="H67" s="302">
        <f>IF($W$3=1,0,IF($D67="A",ROUND(VLOOKUP($C67,'[2]2.행정구역별 급수인구'!$C$7:$AD$997,25,FALSE)*$E67,0),IF($D67="B",(ROUND(VLOOKUP($C67,'[2]2.행정구역별 급수인구'!$C$7:$AD$997,25,FALSE)-VLOOKUP($C67,'[2]2.행정구역별 급수인구'!$C$7:$AD$997,25,FALSE)*(1-$E67),0)),VLOOKUP($C67,'[2]2.행정구역별 급수인구'!$C$7:$AD$997,25,FALSE))))</f>
        <v>0</v>
      </c>
      <c r="I67" s="302">
        <f>IF($W$3=1,0,IF($D67="A",ROUND(VLOOKUP($C67,'[2]2.행정구역별 급수인구'!$C$7:$AD$997,26,FALSE)*$E67,0),IF($D67="B",(ROUND(VLOOKUP($C67,'[2]2.행정구역별 급수인구'!$C$7:$AD$997,26,FALSE)-VLOOKUP($C67,'[2]2.행정구역별 급수인구'!$C$7:$AD$997,26,FALSE)*(1-$E67),0)),VLOOKUP($C67,'[2]2.행정구역별 급수인구'!$C$7:$AD$997,26,FALSE))))</f>
        <v>0</v>
      </c>
      <c r="J67" s="302">
        <f>IF($W$3=1,0,IF($D67="A",ROUND(VLOOKUP($C67,'[2]2.행정구역별 급수인구'!$C$7:$AD$997,27,FALSE)*$E67,0),IF($D67="B",(ROUND(VLOOKUP($C67,'[2]2.행정구역별 급수인구'!$C$7:$AD$997,27,FALSE)-VLOOKUP($C67,'[2]2.행정구역별 급수인구'!$C$7:$AD$997,27,FALSE)*(1-$E67),0)),VLOOKUP($C67,'[2]2.행정구역별 급수인구'!$C$7:$AD$997,27,FALSE))))</f>
        <v>0</v>
      </c>
      <c r="K67" s="302">
        <f>IF($W$3=1,0,IF($D67="A",ROUND(VLOOKUP($C67,'[2]2.행정구역별 급수인구'!$C$7:$AD$997,28,FALSE)*$E67,0),IF($D67="B",(ROUND(VLOOKUP($C67,'[2]2.행정구역별 급수인구'!$C$7:$AD$997,28,FALSE)-VLOOKUP($C67,'[2]2.행정구역별 급수인구'!$C$7:$AD$997,28,FALSE)*(1-$E67),0)),VLOOKUP($C67,'[2]2.행정구역별 급수인구'!$C$7:$AD$997,28,FALSE))))</f>
        <v>0</v>
      </c>
      <c r="L67" s="383">
        <f>VLOOKUP($F67,'[3]5.급수원단위'!$B$31:$G$35,2,FALSE)</f>
        <v>272</v>
      </c>
      <c r="M67" s="383">
        <f>VLOOKUP($F67,'[3]5.급수원단위'!$B$31:$G$35,3,FALSE)</f>
        <v>304</v>
      </c>
      <c r="N67" s="383">
        <f>VLOOKUP($F67,'[3]5.급수원단위'!$B$31:$G$35,4,FALSE)</f>
        <v>308</v>
      </c>
      <c r="O67" s="383">
        <f>VLOOKUP($F67,'[3]5.급수원단위'!$B$31:$G$35,5,FALSE)</f>
        <v>310</v>
      </c>
      <c r="P67" s="383">
        <f>VLOOKUP($F67,'[3]5.급수원단위'!$B$31:$G$35,6,FALSE)</f>
        <v>310</v>
      </c>
      <c r="Q67" s="302">
        <f>ROUND(IF(G67=0,0,VLOOKUP(C67,'2013실사용량 정리'!$D$6:$F$381,3,FALSE)),0)</f>
        <v>0</v>
      </c>
      <c r="R67" s="383">
        <f t="shared" si="11"/>
        <v>0</v>
      </c>
      <c r="S67" s="383">
        <f t="shared" si="12"/>
        <v>0</v>
      </c>
      <c r="T67" s="383">
        <f t="shared" si="13"/>
        <v>0</v>
      </c>
      <c r="U67" s="383">
        <f t="shared" si="14"/>
        <v>0</v>
      </c>
      <c r="Z67" s="413"/>
      <c r="AA67" s="413"/>
      <c r="AB67" s="413"/>
      <c r="AC67" s="413"/>
      <c r="AD67" s="413"/>
      <c r="AE67" s="413"/>
      <c r="AF67" s="413"/>
      <c r="AG67" s="413"/>
      <c r="AH67" s="413"/>
      <c r="AI67" s="413"/>
      <c r="AJ67" s="413"/>
      <c r="AK67" s="413"/>
      <c r="AL67" s="413"/>
      <c r="AM67" s="413"/>
      <c r="AN67" s="413"/>
      <c r="AO67" s="413"/>
      <c r="AP67" s="413"/>
      <c r="AQ67" s="413"/>
      <c r="AR67" s="413"/>
      <c r="AS67" s="413"/>
    </row>
    <row r="68" spans="1:45" s="412" customFormat="1" ht="20.100000000000001" customHeight="1">
      <c r="A68" s="421"/>
      <c r="B68" s="421"/>
      <c r="C68" s="380" t="s">
        <v>1718</v>
      </c>
      <c r="D68" s="330" t="s">
        <v>1300</v>
      </c>
      <c r="E68" s="468">
        <f>1-'2.생활용수(연산)'!E71</f>
        <v>1</v>
      </c>
      <c r="F68" s="382" t="s">
        <v>756</v>
      </c>
      <c r="G68" s="302">
        <f>IF($W$3=1,0,IF($D68="A",ROUND(VLOOKUP($C68,'[2]2.행정구역별 급수인구'!$C$7:$AD$997,17,FALSE)*$E68,0),IF($D68="B",(ROUND(VLOOKUP($C68,'[2]2.행정구역별 급수인구'!$C$7:$AD$997,17,FALSE)-VLOOKUP($C68,'[2]2.행정구역별 급수인구'!$C$7:$AD$997,17,FALSE)*(1-$E68),0)),VLOOKUP($C68,'[2]2.행정구역별 급수인구'!$C$7:$AD$997,17,FALSE))))</f>
        <v>0</v>
      </c>
      <c r="H68" s="302">
        <f>IF($W$3=1,0,IF($D68="A",ROUND(VLOOKUP($C68,'[2]2.행정구역별 급수인구'!$C$7:$AD$997,25,FALSE)*$E68,0),IF($D68="B",(ROUND(VLOOKUP($C68,'[2]2.행정구역별 급수인구'!$C$7:$AD$997,25,FALSE)-VLOOKUP($C68,'[2]2.행정구역별 급수인구'!$C$7:$AD$997,25,FALSE)*(1-$E68),0)),VLOOKUP($C68,'[2]2.행정구역별 급수인구'!$C$7:$AD$997,25,FALSE))))</f>
        <v>0</v>
      </c>
      <c r="I68" s="302">
        <f>IF($W$3=1,0,IF($D68="A",ROUND(VLOOKUP($C68,'[2]2.행정구역별 급수인구'!$C$7:$AD$997,26,FALSE)*$E68,0),IF($D68="B",(ROUND(VLOOKUP($C68,'[2]2.행정구역별 급수인구'!$C$7:$AD$997,26,FALSE)-VLOOKUP($C68,'[2]2.행정구역별 급수인구'!$C$7:$AD$997,26,FALSE)*(1-$E68),0)),VLOOKUP($C68,'[2]2.행정구역별 급수인구'!$C$7:$AD$997,26,FALSE))))</f>
        <v>0</v>
      </c>
      <c r="J68" s="302">
        <f>IF($W$3=1,0,IF($D68="A",ROUND(VLOOKUP($C68,'[2]2.행정구역별 급수인구'!$C$7:$AD$997,27,FALSE)*$E68,0),IF($D68="B",(ROUND(VLOOKUP($C68,'[2]2.행정구역별 급수인구'!$C$7:$AD$997,27,FALSE)-VLOOKUP($C68,'[2]2.행정구역별 급수인구'!$C$7:$AD$997,27,FALSE)*(1-$E68),0)),VLOOKUP($C68,'[2]2.행정구역별 급수인구'!$C$7:$AD$997,27,FALSE))))</f>
        <v>0</v>
      </c>
      <c r="K68" s="302">
        <f>IF($W$3=1,0,IF($D68="A",ROUND(VLOOKUP($C68,'[2]2.행정구역별 급수인구'!$C$7:$AD$997,28,FALSE)*$E68,0),IF($D68="B",(ROUND(VLOOKUP($C68,'[2]2.행정구역별 급수인구'!$C$7:$AD$997,28,FALSE)-VLOOKUP($C68,'[2]2.행정구역별 급수인구'!$C$7:$AD$997,28,FALSE)*(1-$E68),0)),VLOOKUP($C68,'[2]2.행정구역별 급수인구'!$C$7:$AD$997,28,FALSE))))</f>
        <v>0</v>
      </c>
      <c r="L68" s="383">
        <f>VLOOKUP($F68,'[3]5.급수원단위'!$B$31:$G$35,2,FALSE)</f>
        <v>272</v>
      </c>
      <c r="M68" s="383">
        <f>VLOOKUP($F68,'[3]5.급수원단위'!$B$31:$G$35,3,FALSE)</f>
        <v>304</v>
      </c>
      <c r="N68" s="383">
        <f>VLOOKUP($F68,'[3]5.급수원단위'!$B$31:$G$35,4,FALSE)</f>
        <v>308</v>
      </c>
      <c r="O68" s="383">
        <f>VLOOKUP($F68,'[3]5.급수원단위'!$B$31:$G$35,5,FALSE)</f>
        <v>310</v>
      </c>
      <c r="P68" s="383">
        <f>VLOOKUP($F68,'[3]5.급수원단위'!$B$31:$G$35,6,FALSE)</f>
        <v>310</v>
      </c>
      <c r="Q68" s="302">
        <f>ROUND(IF(G68=0,0,VLOOKUP(C68,'2013실사용량 정리'!$D$6:$F$381,3,FALSE)),0)</f>
        <v>0</v>
      </c>
      <c r="R68" s="383">
        <f t="shared" si="11"/>
        <v>0</v>
      </c>
      <c r="S68" s="383">
        <f t="shared" si="12"/>
        <v>0</v>
      </c>
      <c r="T68" s="383">
        <f t="shared" si="13"/>
        <v>0</v>
      </c>
      <c r="U68" s="383">
        <f t="shared" si="14"/>
        <v>0</v>
      </c>
      <c r="Z68" s="413"/>
      <c r="AA68" s="413"/>
      <c r="AB68" s="413"/>
      <c r="AC68" s="413"/>
      <c r="AD68" s="413"/>
      <c r="AE68" s="413"/>
      <c r="AF68" s="413"/>
      <c r="AG68" s="413"/>
      <c r="AH68" s="413"/>
      <c r="AI68" s="413"/>
      <c r="AJ68" s="413"/>
      <c r="AK68" s="413"/>
      <c r="AL68" s="413"/>
      <c r="AM68" s="413"/>
      <c r="AN68" s="413"/>
      <c r="AO68" s="413"/>
      <c r="AP68" s="413"/>
      <c r="AQ68" s="413"/>
      <c r="AR68" s="413"/>
      <c r="AS68" s="413"/>
    </row>
    <row r="69" spans="1:45" s="412" customFormat="1" ht="20.100000000000001" customHeight="1">
      <c r="A69" s="421"/>
      <c r="B69" s="421"/>
      <c r="C69" s="380" t="s">
        <v>1719</v>
      </c>
      <c r="D69" s="330" t="s">
        <v>1300</v>
      </c>
      <c r="E69" s="468">
        <f>1-'2.생활용수(연산)'!E72</f>
        <v>1</v>
      </c>
      <c r="F69" s="382" t="s">
        <v>756</v>
      </c>
      <c r="G69" s="302">
        <f>IF($W$3=1,0,IF($D69="A",ROUND(VLOOKUP($C69,'[2]2.행정구역별 급수인구'!$C$7:$AD$997,17,FALSE)*$E69,0),IF($D69="B",(ROUND(VLOOKUP($C69,'[2]2.행정구역별 급수인구'!$C$7:$AD$997,17,FALSE)-VLOOKUP($C69,'[2]2.행정구역별 급수인구'!$C$7:$AD$997,17,FALSE)*(1-$E69),0)),VLOOKUP($C69,'[2]2.행정구역별 급수인구'!$C$7:$AD$997,17,FALSE))))</f>
        <v>0</v>
      </c>
      <c r="H69" s="302">
        <f>IF($W$3=1,0,IF($D69="A",ROUND(VLOOKUP($C69,'[2]2.행정구역별 급수인구'!$C$7:$AD$997,25,FALSE)*$E69,0),IF($D69="B",(ROUND(VLOOKUP($C69,'[2]2.행정구역별 급수인구'!$C$7:$AD$997,25,FALSE)-VLOOKUP($C69,'[2]2.행정구역별 급수인구'!$C$7:$AD$997,25,FALSE)*(1-$E69),0)),VLOOKUP($C69,'[2]2.행정구역별 급수인구'!$C$7:$AD$997,25,FALSE))))</f>
        <v>0</v>
      </c>
      <c r="I69" s="302">
        <f>IF($W$3=1,0,IF($D69="A",ROUND(VLOOKUP($C69,'[2]2.행정구역별 급수인구'!$C$7:$AD$997,26,FALSE)*$E69,0),IF($D69="B",(ROUND(VLOOKUP($C69,'[2]2.행정구역별 급수인구'!$C$7:$AD$997,26,FALSE)-VLOOKUP($C69,'[2]2.행정구역별 급수인구'!$C$7:$AD$997,26,FALSE)*(1-$E69),0)),VLOOKUP($C69,'[2]2.행정구역별 급수인구'!$C$7:$AD$997,26,FALSE))))</f>
        <v>0</v>
      </c>
      <c r="J69" s="302">
        <f>IF($W$3=1,0,IF($D69="A",ROUND(VLOOKUP($C69,'[2]2.행정구역별 급수인구'!$C$7:$AD$997,27,FALSE)*$E69,0),IF($D69="B",(ROUND(VLOOKUP($C69,'[2]2.행정구역별 급수인구'!$C$7:$AD$997,27,FALSE)-VLOOKUP($C69,'[2]2.행정구역별 급수인구'!$C$7:$AD$997,27,FALSE)*(1-$E69),0)),VLOOKUP($C69,'[2]2.행정구역별 급수인구'!$C$7:$AD$997,27,FALSE))))</f>
        <v>0</v>
      </c>
      <c r="K69" s="302">
        <f>IF($W$3=1,0,IF($D69="A",ROUND(VLOOKUP($C69,'[2]2.행정구역별 급수인구'!$C$7:$AD$997,28,FALSE)*$E69,0),IF($D69="B",(ROUND(VLOOKUP($C69,'[2]2.행정구역별 급수인구'!$C$7:$AD$997,28,FALSE)-VLOOKUP($C69,'[2]2.행정구역별 급수인구'!$C$7:$AD$997,28,FALSE)*(1-$E69),0)),VLOOKUP($C69,'[2]2.행정구역별 급수인구'!$C$7:$AD$997,28,FALSE))))</f>
        <v>0</v>
      </c>
      <c r="L69" s="383">
        <f>VLOOKUP($F69,'[3]5.급수원단위'!$B$31:$G$35,2,FALSE)</f>
        <v>272</v>
      </c>
      <c r="M69" s="383">
        <f>VLOOKUP($F69,'[3]5.급수원단위'!$B$31:$G$35,3,FALSE)</f>
        <v>304</v>
      </c>
      <c r="N69" s="383">
        <f>VLOOKUP($F69,'[3]5.급수원단위'!$B$31:$G$35,4,FALSE)</f>
        <v>308</v>
      </c>
      <c r="O69" s="383">
        <f>VLOOKUP($F69,'[3]5.급수원단위'!$B$31:$G$35,5,FALSE)</f>
        <v>310</v>
      </c>
      <c r="P69" s="383">
        <f>VLOOKUP($F69,'[3]5.급수원단위'!$B$31:$G$35,6,FALSE)</f>
        <v>310</v>
      </c>
      <c r="Q69" s="302">
        <f>ROUND(IF(G69=0,0,VLOOKUP(C69,'2013실사용량 정리'!$D$6:$F$381,3,FALSE)),0)</f>
        <v>0</v>
      </c>
      <c r="R69" s="383">
        <f t="shared" si="11"/>
        <v>0</v>
      </c>
      <c r="S69" s="383">
        <f t="shared" si="12"/>
        <v>0</v>
      </c>
      <c r="T69" s="383">
        <f t="shared" si="13"/>
        <v>0</v>
      </c>
      <c r="U69" s="383">
        <f t="shared" si="14"/>
        <v>0</v>
      </c>
      <c r="Z69" s="413"/>
      <c r="AA69" s="413"/>
      <c r="AB69" s="413"/>
      <c r="AC69" s="413"/>
      <c r="AD69" s="413"/>
      <c r="AE69" s="413"/>
      <c r="AF69" s="413"/>
      <c r="AG69" s="413"/>
      <c r="AH69" s="413"/>
      <c r="AI69" s="413"/>
      <c r="AJ69" s="413"/>
      <c r="AK69" s="413"/>
      <c r="AL69" s="413"/>
      <c r="AM69" s="413"/>
      <c r="AN69" s="413"/>
      <c r="AO69" s="413"/>
      <c r="AP69" s="413"/>
      <c r="AQ69" s="413"/>
      <c r="AR69" s="413"/>
      <c r="AS69" s="413"/>
    </row>
    <row r="70" spans="1:45" s="412" customFormat="1" ht="20.100000000000001" customHeight="1">
      <c r="A70" s="421"/>
      <c r="B70" s="421"/>
      <c r="C70" s="380" t="s">
        <v>1720</v>
      </c>
      <c r="D70" s="330" t="s">
        <v>1300</v>
      </c>
      <c r="E70" s="468">
        <f>1-'2.생활용수(연산)'!E73</f>
        <v>1</v>
      </c>
      <c r="F70" s="382" t="s">
        <v>756</v>
      </c>
      <c r="G70" s="302">
        <f>IF($W$3=1,0,IF($D70="A",ROUND(VLOOKUP($C70,'[2]2.행정구역별 급수인구'!$C$7:$AD$997,17,FALSE)*$E70,0),IF($D70="B",(ROUND(VLOOKUP($C70,'[2]2.행정구역별 급수인구'!$C$7:$AD$997,17,FALSE)-VLOOKUP($C70,'[2]2.행정구역별 급수인구'!$C$7:$AD$997,17,FALSE)*(1-$E70),0)),VLOOKUP($C70,'[2]2.행정구역별 급수인구'!$C$7:$AD$997,17,FALSE))))</f>
        <v>0</v>
      </c>
      <c r="H70" s="302">
        <f>IF($W$3=1,0,IF($D70="A",ROUND(VLOOKUP($C70,'[2]2.행정구역별 급수인구'!$C$7:$AD$997,25,FALSE)*$E70,0),IF($D70="B",(ROUND(VLOOKUP($C70,'[2]2.행정구역별 급수인구'!$C$7:$AD$997,25,FALSE)-VLOOKUP($C70,'[2]2.행정구역별 급수인구'!$C$7:$AD$997,25,FALSE)*(1-$E70),0)),VLOOKUP($C70,'[2]2.행정구역별 급수인구'!$C$7:$AD$997,25,FALSE))))</f>
        <v>0</v>
      </c>
      <c r="I70" s="302">
        <f>IF($W$3=1,0,IF($D70="A",ROUND(VLOOKUP($C70,'[2]2.행정구역별 급수인구'!$C$7:$AD$997,26,FALSE)*$E70,0),IF($D70="B",(ROUND(VLOOKUP($C70,'[2]2.행정구역별 급수인구'!$C$7:$AD$997,26,FALSE)-VLOOKUP($C70,'[2]2.행정구역별 급수인구'!$C$7:$AD$997,26,FALSE)*(1-$E70),0)),VLOOKUP($C70,'[2]2.행정구역별 급수인구'!$C$7:$AD$997,26,FALSE))))</f>
        <v>0</v>
      </c>
      <c r="J70" s="302">
        <f>IF($W$3=1,0,IF($D70="A",ROUND(VLOOKUP($C70,'[2]2.행정구역별 급수인구'!$C$7:$AD$997,27,FALSE)*$E70,0),IF($D70="B",(ROUND(VLOOKUP($C70,'[2]2.행정구역별 급수인구'!$C$7:$AD$997,27,FALSE)-VLOOKUP($C70,'[2]2.행정구역별 급수인구'!$C$7:$AD$997,27,FALSE)*(1-$E70),0)),VLOOKUP($C70,'[2]2.행정구역별 급수인구'!$C$7:$AD$997,27,FALSE))))</f>
        <v>0</v>
      </c>
      <c r="K70" s="302">
        <f>IF($W$3=1,0,IF($D70="A",ROUND(VLOOKUP($C70,'[2]2.행정구역별 급수인구'!$C$7:$AD$997,28,FALSE)*$E70,0),IF($D70="B",(ROUND(VLOOKUP($C70,'[2]2.행정구역별 급수인구'!$C$7:$AD$997,28,FALSE)-VLOOKUP($C70,'[2]2.행정구역별 급수인구'!$C$7:$AD$997,28,FALSE)*(1-$E70),0)),VLOOKUP($C70,'[2]2.행정구역별 급수인구'!$C$7:$AD$997,28,FALSE))))</f>
        <v>0</v>
      </c>
      <c r="L70" s="383">
        <f>VLOOKUP($F70,'[3]5.급수원단위'!$B$31:$G$35,2,FALSE)</f>
        <v>272</v>
      </c>
      <c r="M70" s="383">
        <f>VLOOKUP($F70,'[3]5.급수원단위'!$B$31:$G$35,3,FALSE)</f>
        <v>304</v>
      </c>
      <c r="N70" s="383">
        <f>VLOOKUP($F70,'[3]5.급수원단위'!$B$31:$G$35,4,FALSE)</f>
        <v>308</v>
      </c>
      <c r="O70" s="383">
        <f>VLOOKUP($F70,'[3]5.급수원단위'!$B$31:$G$35,5,FALSE)</f>
        <v>310</v>
      </c>
      <c r="P70" s="383">
        <f>VLOOKUP($F70,'[3]5.급수원단위'!$B$31:$G$35,6,FALSE)</f>
        <v>310</v>
      </c>
      <c r="Q70" s="302">
        <f>ROUND(IF(G70=0,0,VLOOKUP(C70,'2013실사용량 정리'!$D$6:$F$381,3,FALSE)),0)</f>
        <v>0</v>
      </c>
      <c r="R70" s="383">
        <f t="shared" si="11"/>
        <v>0</v>
      </c>
      <c r="S70" s="383">
        <f t="shared" si="12"/>
        <v>0</v>
      </c>
      <c r="T70" s="383">
        <f t="shared" si="13"/>
        <v>0</v>
      </c>
      <c r="U70" s="383">
        <f t="shared" si="14"/>
        <v>0</v>
      </c>
      <c r="Z70" s="413"/>
      <c r="AA70" s="413"/>
      <c r="AB70" s="413"/>
      <c r="AC70" s="413"/>
      <c r="AD70" s="413"/>
      <c r="AE70" s="413"/>
      <c r="AF70" s="413"/>
      <c r="AG70" s="413"/>
      <c r="AH70" s="413"/>
      <c r="AI70" s="413"/>
      <c r="AJ70" s="413"/>
      <c r="AK70" s="413"/>
      <c r="AL70" s="413"/>
      <c r="AM70" s="413"/>
      <c r="AN70" s="413"/>
      <c r="AO70" s="413"/>
      <c r="AP70" s="413"/>
      <c r="AQ70" s="413"/>
      <c r="AR70" s="413"/>
      <c r="AS70" s="413"/>
    </row>
    <row r="71" spans="1:45" s="412" customFormat="1" ht="20.100000000000001" customHeight="1">
      <c r="A71" s="422"/>
      <c r="B71" s="422"/>
      <c r="C71" s="380" t="s">
        <v>1721</v>
      </c>
      <c r="D71" s="330" t="s">
        <v>1300</v>
      </c>
      <c r="E71" s="468">
        <f>1-'2.생활용수(연산)'!E74</f>
        <v>1</v>
      </c>
      <c r="F71" s="382" t="s">
        <v>756</v>
      </c>
      <c r="G71" s="302">
        <f>IF($W$3=1,0,IF($D71="A",ROUND(VLOOKUP($C71,'[2]2.행정구역별 급수인구'!$C$7:$AD$997,17,FALSE)*$E71,0),IF($D71="B",(ROUND(VLOOKUP($C71,'[2]2.행정구역별 급수인구'!$C$7:$AD$997,17,FALSE)-VLOOKUP($C71,'[2]2.행정구역별 급수인구'!$C$7:$AD$997,17,FALSE)*(1-$E71),0)),VLOOKUP($C71,'[2]2.행정구역별 급수인구'!$C$7:$AD$997,17,FALSE))))</f>
        <v>0</v>
      </c>
      <c r="H71" s="302">
        <f>IF($W$3=1,0,IF($D71="A",ROUND(VLOOKUP($C71,'[2]2.행정구역별 급수인구'!$C$7:$AD$997,25,FALSE)*$E71,0),IF($D71="B",(ROUND(VLOOKUP($C71,'[2]2.행정구역별 급수인구'!$C$7:$AD$997,25,FALSE)-VLOOKUP($C71,'[2]2.행정구역별 급수인구'!$C$7:$AD$997,25,FALSE)*(1-$E71),0)),VLOOKUP($C71,'[2]2.행정구역별 급수인구'!$C$7:$AD$997,25,FALSE))))</f>
        <v>0</v>
      </c>
      <c r="I71" s="302">
        <f>IF($W$3=1,0,IF($D71="A",ROUND(VLOOKUP($C71,'[2]2.행정구역별 급수인구'!$C$7:$AD$997,26,FALSE)*$E71,0),IF($D71="B",(ROUND(VLOOKUP($C71,'[2]2.행정구역별 급수인구'!$C$7:$AD$997,26,FALSE)-VLOOKUP($C71,'[2]2.행정구역별 급수인구'!$C$7:$AD$997,26,FALSE)*(1-$E71),0)),VLOOKUP($C71,'[2]2.행정구역별 급수인구'!$C$7:$AD$997,26,FALSE))))</f>
        <v>0</v>
      </c>
      <c r="J71" s="302">
        <f>IF($W$3=1,0,IF($D71="A",ROUND(VLOOKUP($C71,'[2]2.행정구역별 급수인구'!$C$7:$AD$997,27,FALSE)*$E71,0),IF($D71="B",(ROUND(VLOOKUP($C71,'[2]2.행정구역별 급수인구'!$C$7:$AD$997,27,FALSE)-VLOOKUP($C71,'[2]2.행정구역별 급수인구'!$C$7:$AD$997,27,FALSE)*(1-$E71),0)),VLOOKUP($C71,'[2]2.행정구역별 급수인구'!$C$7:$AD$997,27,FALSE))))</f>
        <v>0</v>
      </c>
      <c r="K71" s="302">
        <f>IF($W$3=1,0,IF($D71="A",ROUND(VLOOKUP($C71,'[2]2.행정구역별 급수인구'!$C$7:$AD$997,28,FALSE)*$E71,0),IF($D71="B",(ROUND(VLOOKUP($C71,'[2]2.행정구역별 급수인구'!$C$7:$AD$997,28,FALSE)-VLOOKUP($C71,'[2]2.행정구역별 급수인구'!$C$7:$AD$997,28,FALSE)*(1-$E71),0)),VLOOKUP($C71,'[2]2.행정구역별 급수인구'!$C$7:$AD$997,28,FALSE))))</f>
        <v>0</v>
      </c>
      <c r="L71" s="383">
        <f>VLOOKUP($F71,'[3]5.급수원단위'!$B$31:$G$35,2,FALSE)</f>
        <v>272</v>
      </c>
      <c r="M71" s="383">
        <f>VLOOKUP($F71,'[3]5.급수원단위'!$B$31:$G$35,3,FALSE)</f>
        <v>304</v>
      </c>
      <c r="N71" s="383">
        <f>VLOOKUP($F71,'[3]5.급수원단위'!$B$31:$G$35,4,FALSE)</f>
        <v>308</v>
      </c>
      <c r="O71" s="383">
        <f>VLOOKUP($F71,'[3]5.급수원단위'!$B$31:$G$35,5,FALSE)</f>
        <v>310</v>
      </c>
      <c r="P71" s="383">
        <f>VLOOKUP($F71,'[3]5.급수원단위'!$B$31:$G$35,6,FALSE)</f>
        <v>310</v>
      </c>
      <c r="Q71" s="302">
        <f>ROUND(IF(G71=0,0,VLOOKUP(C71,'2013실사용량 정리'!$D$6:$F$381,3,FALSE)),0)</f>
        <v>0</v>
      </c>
      <c r="R71" s="383">
        <f t="shared" si="11"/>
        <v>0</v>
      </c>
      <c r="S71" s="383">
        <f t="shared" si="12"/>
        <v>0</v>
      </c>
      <c r="T71" s="383">
        <f t="shared" si="13"/>
        <v>0</v>
      </c>
      <c r="U71" s="383">
        <f t="shared" si="14"/>
        <v>0</v>
      </c>
      <c r="Z71" s="413"/>
      <c r="AA71" s="413"/>
      <c r="AB71" s="413"/>
      <c r="AC71" s="413"/>
      <c r="AD71" s="413"/>
      <c r="AE71" s="413"/>
      <c r="AF71" s="413"/>
      <c r="AG71" s="413"/>
      <c r="AH71" s="413"/>
      <c r="AI71" s="413"/>
      <c r="AJ71" s="413"/>
      <c r="AK71" s="413"/>
      <c r="AL71" s="413"/>
      <c r="AM71" s="413"/>
      <c r="AN71" s="413"/>
      <c r="AO71" s="413"/>
      <c r="AP71" s="413"/>
      <c r="AQ71" s="413"/>
      <c r="AR71" s="413"/>
      <c r="AS71" s="413"/>
    </row>
    <row r="72" spans="1:45" ht="20.100000000000001" customHeight="1">
      <c r="A72" s="719" t="s">
        <v>1760</v>
      </c>
      <c r="B72" s="719"/>
      <c r="C72" s="719"/>
      <c r="D72" s="719"/>
      <c r="E72" s="332"/>
      <c r="F72" s="332"/>
      <c r="G72" s="298">
        <f>G73</f>
        <v>0</v>
      </c>
      <c r="H72" s="298">
        <f t="shared" ref="H72:K72" si="15">H73</f>
        <v>1931</v>
      </c>
      <c r="I72" s="298">
        <f t="shared" si="15"/>
        <v>0</v>
      </c>
      <c r="J72" s="298">
        <f t="shared" si="15"/>
        <v>0</v>
      </c>
      <c r="K72" s="298">
        <f t="shared" si="15"/>
        <v>0</v>
      </c>
      <c r="L72" s="298"/>
      <c r="M72" s="298"/>
      <c r="N72" s="298"/>
      <c r="O72" s="298"/>
      <c r="P72" s="298"/>
      <c r="Q72" s="298">
        <f t="shared" ref="Q72:U72" si="16">Q73</f>
        <v>0</v>
      </c>
      <c r="R72" s="298">
        <f t="shared" si="16"/>
        <v>587</v>
      </c>
      <c r="S72" s="298">
        <f t="shared" si="16"/>
        <v>0</v>
      </c>
      <c r="T72" s="298">
        <f t="shared" si="16"/>
        <v>0</v>
      </c>
      <c r="U72" s="298">
        <f t="shared" si="16"/>
        <v>0</v>
      </c>
      <c r="W72" s="343" t="str">
        <f t="shared" ref="W72" si="17">IF(ISERROR(U72/Q72),"",U72/Q72)</f>
        <v/>
      </c>
    </row>
    <row r="73" spans="1:45" ht="20.100000000000001" customHeight="1">
      <c r="A73" s="340"/>
      <c r="B73" s="694" t="s">
        <v>704</v>
      </c>
      <c r="C73" s="694"/>
      <c r="D73" s="694"/>
      <c r="E73" s="331"/>
      <c r="F73" s="331"/>
      <c r="G73" s="336">
        <f>SUM(G74:G99)</f>
        <v>0</v>
      </c>
      <c r="H73" s="336">
        <f t="shared" ref="H73:K73" si="18">SUM(H74:H99)</f>
        <v>1931</v>
      </c>
      <c r="I73" s="336">
        <f t="shared" si="18"/>
        <v>0</v>
      </c>
      <c r="J73" s="336">
        <f t="shared" si="18"/>
        <v>0</v>
      </c>
      <c r="K73" s="336">
        <f t="shared" si="18"/>
        <v>0</v>
      </c>
      <c r="L73" s="336"/>
      <c r="M73" s="336"/>
      <c r="N73" s="336"/>
      <c r="O73" s="336"/>
      <c r="P73" s="336"/>
      <c r="Q73" s="336">
        <f t="shared" ref="Q73:U73" si="19">SUM(Q74:Q99)</f>
        <v>0</v>
      </c>
      <c r="R73" s="336">
        <f t="shared" si="19"/>
        <v>587</v>
      </c>
      <c r="S73" s="336">
        <f t="shared" si="19"/>
        <v>0</v>
      </c>
      <c r="T73" s="336">
        <f t="shared" si="19"/>
        <v>0</v>
      </c>
      <c r="U73" s="336">
        <f t="shared" si="19"/>
        <v>0</v>
      </c>
      <c r="V73" s="343">
        <f>VLOOKUP(B73,'2013년도 용수량 비율'!$A$5:$F$20,6,FALSE)</f>
        <v>1</v>
      </c>
    </row>
    <row r="74" spans="1:45" ht="20.100000000000001" customHeight="1">
      <c r="A74" s="340"/>
      <c r="B74" s="339"/>
      <c r="C74" s="406" t="s">
        <v>1694</v>
      </c>
      <c r="D74" s="330" t="s">
        <v>1300</v>
      </c>
      <c r="E74" s="404">
        <f>1-'2.생활용수(연산)'!E49</f>
        <v>1</v>
      </c>
      <c r="F74" s="404" t="s">
        <v>756</v>
      </c>
      <c r="G74" s="302">
        <f>IF($W$3=0,0,IF($D74="A",ROUND(VLOOKUP($C74,'[2]2.행정구역별 급수인구'!$C$7:$AD$997,17,FALSE)*$E74,0),IF($D74="B",(ROUND(VLOOKUP($C74,'[2]2.행정구역별 급수인구'!$C$7:$AD$997,17,FALSE)-VLOOKUP($C74,'[2]2.행정구역별 급수인구'!$C$7:$AD$997,17,FALSE)*(1-$E74),0)),VLOOKUP($C74,'[2]2.행정구역별 급수인구'!$C$7:$AD$997,17,FALSE))))</f>
        <v>0</v>
      </c>
      <c r="H74" s="302">
        <f>IF($W$3=0,0,IF($D74="A",ROUND(VLOOKUP($C74,'[2]2.행정구역별 급수인구'!$C$7:$AD$997,25,FALSE)*$E74,0),IF($D74="B",(ROUND(VLOOKUP($C74,'[2]2.행정구역별 급수인구'!$C$7:$AD$997,25,FALSE)-VLOOKUP($C74,'[2]2.행정구역별 급수인구'!$C$7:$AD$997,25,FALSE)*(1-$E74),0)),VLOOKUP($C74,'[2]2.행정구역별 급수인구'!$C$7:$AD$997,25,FALSE))))</f>
        <v>187</v>
      </c>
      <c r="I74" s="473">
        <f>IF($W$3=1,0,IF($D74="A",ROUND(VLOOKUP($C74,'[2]2.행정구역별 급수인구'!$C$7:$AD$997,26,FALSE)*$E74,0),IF($D74="B",(ROUND(VLOOKUP($C74,'[2]2.행정구역별 급수인구'!$C$7:$AD$997,26,FALSE)-VLOOKUP($C74,'[2]2.행정구역별 급수인구'!$C$7:$AD$997,26,FALSE)*(1-$E74),0)),VLOOKUP($C74,'[2]2.행정구역별 급수인구'!$C$7:$AD$997,26,FALSE))))</f>
        <v>0</v>
      </c>
      <c r="J74" s="473">
        <f>IF($W$3=1,0,IF($D74="A",ROUND(VLOOKUP($C74,'[2]2.행정구역별 급수인구'!$C$7:$AD$997,27,FALSE)*$E74,0),IF($D74="B",(ROUND(VLOOKUP($C74,'[2]2.행정구역별 급수인구'!$C$7:$AD$997,27,FALSE)-VLOOKUP($C74,'[2]2.행정구역별 급수인구'!$C$7:$AD$997,27,FALSE)*(1-$E74),0)),VLOOKUP($C74,'[2]2.행정구역별 급수인구'!$C$7:$AD$997,27,FALSE))))</f>
        <v>0</v>
      </c>
      <c r="K74" s="473">
        <f>IF($W$3=1,0,IF($D74="A",ROUND(VLOOKUP($C74,'[2]2.행정구역별 급수인구'!$C$7:$AD$997,28,FALSE)*$E74,0),IF($D74="B",(ROUND(VLOOKUP($C74,'[2]2.행정구역별 급수인구'!$C$7:$AD$997,28,FALSE)-VLOOKUP($C74,'[2]2.행정구역별 급수인구'!$C$7:$AD$997,28,FALSE)*(1-$E74),0)),VLOOKUP($C74,'[2]2.행정구역별 급수인구'!$C$7:$AD$997,28,FALSE))))</f>
        <v>0</v>
      </c>
      <c r="L74" s="302">
        <f>VLOOKUP($F74,'[3]5.급수원단위'!$B$31:$G$35,2,FALSE)</f>
        <v>272</v>
      </c>
      <c r="M74" s="302">
        <f>VLOOKUP($F74,'[3]5.급수원단위'!$B$31:$G$35,3,FALSE)</f>
        <v>304</v>
      </c>
      <c r="N74" s="302">
        <f>VLOOKUP($F74,'[3]5.급수원단위'!$B$31:$G$35,4,FALSE)</f>
        <v>308</v>
      </c>
      <c r="O74" s="302">
        <f>VLOOKUP($F74,'[3]5.급수원단위'!$B$31:$G$35,5,FALSE)</f>
        <v>310</v>
      </c>
      <c r="P74" s="302">
        <f>VLOOKUP($F74,'[3]5.급수원단위'!$B$31:$G$35,6,FALSE)</f>
        <v>310</v>
      </c>
      <c r="Q74" s="302">
        <f>ROUND(IF(G74=0,0,VLOOKUP(C74,'2013실사용량 정리'!$D$6:$F$381,3,FALSE)),0)</f>
        <v>0</v>
      </c>
      <c r="R74" s="302">
        <f t="shared" ref="R74:U99" si="20">ROUND(H74*M74/1000,0)</f>
        <v>57</v>
      </c>
      <c r="S74" s="302">
        <f t="shared" si="20"/>
        <v>0</v>
      </c>
      <c r="T74" s="302">
        <f t="shared" si="20"/>
        <v>0</v>
      </c>
      <c r="U74" s="302">
        <f t="shared" si="20"/>
        <v>0</v>
      </c>
      <c r="V74" s="327" t="s">
        <v>1746</v>
      </c>
    </row>
    <row r="75" spans="1:45" ht="20.100000000000001" customHeight="1">
      <c r="A75" s="340"/>
      <c r="B75" s="340"/>
      <c r="C75" s="406" t="s">
        <v>1695</v>
      </c>
      <c r="D75" s="330" t="s">
        <v>1300</v>
      </c>
      <c r="E75" s="404">
        <f>1-'2.생활용수(연산)'!E50</f>
        <v>1</v>
      </c>
      <c r="F75" s="404" t="s">
        <v>756</v>
      </c>
      <c r="G75" s="302">
        <f>IF($W$3=0,0,IF($D75="A",ROUND(VLOOKUP($C75,'[2]2.행정구역별 급수인구'!$C$7:$AD$997,17,FALSE)*$E75,0),IF($D75="B",(ROUND(VLOOKUP($C75,'[2]2.행정구역별 급수인구'!$C$7:$AD$997,17,FALSE)-VLOOKUP($C75,'[2]2.행정구역별 급수인구'!$C$7:$AD$997,17,FALSE)*(1-$E75),0)),VLOOKUP($C75,'[2]2.행정구역별 급수인구'!$C$7:$AD$997,17,FALSE))))</f>
        <v>0</v>
      </c>
      <c r="H75" s="302">
        <f>IF($W$3=0,0,IF($D75="A",ROUND(VLOOKUP($C75,'[2]2.행정구역별 급수인구'!$C$7:$AD$997,25,FALSE)*$E75,0),IF($D75="B",(ROUND(VLOOKUP($C75,'[2]2.행정구역별 급수인구'!$C$7:$AD$997,25,FALSE)-VLOOKUP($C75,'[2]2.행정구역별 급수인구'!$C$7:$AD$997,25,FALSE)*(1-$E75),0)),VLOOKUP($C75,'[2]2.행정구역별 급수인구'!$C$7:$AD$997,25,FALSE))))</f>
        <v>39</v>
      </c>
      <c r="I75" s="473">
        <f>IF($W$3=1,0,IF($D75="A",ROUND(VLOOKUP($C75,'[2]2.행정구역별 급수인구'!$C$7:$AD$997,26,FALSE)*$E75,0),IF($D75="B",(ROUND(VLOOKUP($C75,'[2]2.행정구역별 급수인구'!$C$7:$AD$997,26,FALSE)-VLOOKUP($C75,'[2]2.행정구역별 급수인구'!$C$7:$AD$997,26,FALSE)*(1-$E75),0)),VLOOKUP($C75,'[2]2.행정구역별 급수인구'!$C$7:$AD$997,26,FALSE))))</f>
        <v>0</v>
      </c>
      <c r="J75" s="473">
        <f>IF($W$3=1,0,IF($D75="A",ROUND(VLOOKUP($C75,'[2]2.행정구역별 급수인구'!$C$7:$AD$997,27,FALSE)*$E75,0),IF($D75="B",(ROUND(VLOOKUP($C75,'[2]2.행정구역별 급수인구'!$C$7:$AD$997,27,FALSE)-VLOOKUP($C75,'[2]2.행정구역별 급수인구'!$C$7:$AD$997,27,FALSE)*(1-$E75),0)),VLOOKUP($C75,'[2]2.행정구역별 급수인구'!$C$7:$AD$997,27,FALSE))))</f>
        <v>0</v>
      </c>
      <c r="K75" s="473">
        <f>IF($W$3=1,0,IF($D75="A",ROUND(VLOOKUP($C75,'[2]2.행정구역별 급수인구'!$C$7:$AD$997,28,FALSE)*$E75,0),IF($D75="B",(ROUND(VLOOKUP($C75,'[2]2.행정구역별 급수인구'!$C$7:$AD$997,28,FALSE)-VLOOKUP($C75,'[2]2.행정구역별 급수인구'!$C$7:$AD$997,28,FALSE)*(1-$E75),0)),VLOOKUP($C75,'[2]2.행정구역별 급수인구'!$C$7:$AD$997,28,FALSE))))</f>
        <v>0</v>
      </c>
      <c r="L75" s="302">
        <f>VLOOKUP($F75,'[3]5.급수원단위'!$B$31:$G$35,2,FALSE)</f>
        <v>272</v>
      </c>
      <c r="M75" s="302">
        <f>VLOOKUP($F75,'[3]5.급수원단위'!$B$31:$G$35,3,FALSE)</f>
        <v>304</v>
      </c>
      <c r="N75" s="302">
        <f>VLOOKUP($F75,'[3]5.급수원단위'!$B$31:$G$35,4,FALSE)</f>
        <v>308</v>
      </c>
      <c r="O75" s="302">
        <f>VLOOKUP($F75,'[3]5.급수원단위'!$B$31:$G$35,5,FALSE)</f>
        <v>310</v>
      </c>
      <c r="P75" s="302">
        <f>VLOOKUP($F75,'[3]5.급수원단위'!$B$31:$G$35,6,FALSE)</f>
        <v>310</v>
      </c>
      <c r="Q75" s="302">
        <f>ROUND(IF(G75=0,0,VLOOKUP(C75,'2013실사용량 정리'!$D$6:$F$381,3,FALSE)),0)</f>
        <v>0</v>
      </c>
      <c r="R75" s="302">
        <f t="shared" si="20"/>
        <v>12</v>
      </c>
      <c r="S75" s="302">
        <f t="shared" si="20"/>
        <v>0</v>
      </c>
      <c r="T75" s="302">
        <f t="shared" si="20"/>
        <v>0</v>
      </c>
      <c r="U75" s="302">
        <f t="shared" si="20"/>
        <v>0</v>
      </c>
      <c r="V75" s="327" t="s">
        <v>1746</v>
      </c>
    </row>
    <row r="76" spans="1:45" ht="20.100000000000001" customHeight="1">
      <c r="A76" s="340"/>
      <c r="B76" s="340"/>
      <c r="C76" s="406" t="s">
        <v>1698</v>
      </c>
      <c r="D76" s="330" t="s">
        <v>1300</v>
      </c>
      <c r="E76" s="404">
        <f>1-'2.생활용수(연산)'!E51</f>
        <v>1</v>
      </c>
      <c r="F76" s="404" t="s">
        <v>756</v>
      </c>
      <c r="G76" s="302">
        <f>IF($W$3=0,0,IF($D76="A",ROUND(VLOOKUP($C76,'[2]2.행정구역별 급수인구'!$C$7:$AD$997,17,FALSE)*$E76,0),IF($D76="B",(ROUND(VLOOKUP($C76,'[2]2.행정구역별 급수인구'!$C$7:$AD$997,17,FALSE)-VLOOKUP($C76,'[2]2.행정구역별 급수인구'!$C$7:$AD$997,17,FALSE)*(1-$E76),0)),VLOOKUP($C76,'[2]2.행정구역별 급수인구'!$C$7:$AD$997,17,FALSE))))</f>
        <v>0</v>
      </c>
      <c r="H76" s="302">
        <f>IF($W$3=0,0,IF($D76="A",ROUND(VLOOKUP($C76,'[2]2.행정구역별 급수인구'!$C$7:$AD$997,25,FALSE)*$E76,0),IF($D76="B",(ROUND(VLOOKUP($C76,'[2]2.행정구역별 급수인구'!$C$7:$AD$997,25,FALSE)-VLOOKUP($C76,'[2]2.행정구역별 급수인구'!$C$7:$AD$997,25,FALSE)*(1-$E76),0)),VLOOKUP($C76,'[2]2.행정구역별 급수인구'!$C$7:$AD$997,25,FALSE))))</f>
        <v>96</v>
      </c>
      <c r="I76" s="473">
        <f>IF($W$3=1,0,IF($D76="A",ROUND(VLOOKUP($C76,'[2]2.행정구역별 급수인구'!$C$7:$AD$997,26,FALSE)*$E76,0),IF($D76="B",(ROUND(VLOOKUP($C76,'[2]2.행정구역별 급수인구'!$C$7:$AD$997,26,FALSE)-VLOOKUP($C76,'[2]2.행정구역별 급수인구'!$C$7:$AD$997,26,FALSE)*(1-$E76),0)),VLOOKUP($C76,'[2]2.행정구역별 급수인구'!$C$7:$AD$997,26,FALSE))))</f>
        <v>0</v>
      </c>
      <c r="J76" s="473">
        <f>IF($W$3=1,0,IF($D76="A",ROUND(VLOOKUP($C76,'[2]2.행정구역별 급수인구'!$C$7:$AD$997,27,FALSE)*$E76,0),IF($D76="B",(ROUND(VLOOKUP($C76,'[2]2.행정구역별 급수인구'!$C$7:$AD$997,27,FALSE)-VLOOKUP($C76,'[2]2.행정구역별 급수인구'!$C$7:$AD$997,27,FALSE)*(1-$E76),0)),VLOOKUP($C76,'[2]2.행정구역별 급수인구'!$C$7:$AD$997,27,FALSE))))</f>
        <v>0</v>
      </c>
      <c r="K76" s="473">
        <f>IF($W$3=1,0,IF($D76="A",ROUND(VLOOKUP($C76,'[2]2.행정구역별 급수인구'!$C$7:$AD$997,28,FALSE)*$E76,0),IF($D76="B",(ROUND(VLOOKUP($C76,'[2]2.행정구역별 급수인구'!$C$7:$AD$997,28,FALSE)-VLOOKUP($C76,'[2]2.행정구역별 급수인구'!$C$7:$AD$997,28,FALSE)*(1-$E76),0)),VLOOKUP($C76,'[2]2.행정구역별 급수인구'!$C$7:$AD$997,28,FALSE))))</f>
        <v>0</v>
      </c>
      <c r="L76" s="302">
        <f>VLOOKUP($F76,'[3]5.급수원단위'!$B$31:$G$35,2,FALSE)</f>
        <v>272</v>
      </c>
      <c r="M76" s="302">
        <f>VLOOKUP($F76,'[3]5.급수원단위'!$B$31:$G$35,3,FALSE)</f>
        <v>304</v>
      </c>
      <c r="N76" s="302">
        <f>VLOOKUP($F76,'[3]5.급수원단위'!$B$31:$G$35,4,FALSE)</f>
        <v>308</v>
      </c>
      <c r="O76" s="302">
        <f>VLOOKUP($F76,'[3]5.급수원단위'!$B$31:$G$35,5,FALSE)</f>
        <v>310</v>
      </c>
      <c r="P76" s="302">
        <f>VLOOKUP($F76,'[3]5.급수원단위'!$B$31:$G$35,6,FALSE)</f>
        <v>310</v>
      </c>
      <c r="Q76" s="302">
        <f>ROUND(IF(G76=0,0,VLOOKUP(C76,'2013실사용량 정리'!$D$6:$F$381,3,FALSE)),0)</f>
        <v>0</v>
      </c>
      <c r="R76" s="302">
        <f t="shared" si="20"/>
        <v>29</v>
      </c>
      <c r="S76" s="302">
        <f t="shared" si="20"/>
        <v>0</v>
      </c>
      <c r="T76" s="302">
        <f t="shared" si="20"/>
        <v>0</v>
      </c>
      <c r="U76" s="302">
        <f t="shared" si="20"/>
        <v>0</v>
      </c>
      <c r="V76" s="327" t="s">
        <v>1746</v>
      </c>
    </row>
    <row r="77" spans="1:45" ht="20.100000000000001" customHeight="1">
      <c r="A77" s="340"/>
      <c r="B77" s="340"/>
      <c r="C77" s="406" t="s">
        <v>1699</v>
      </c>
      <c r="D77" s="330" t="s">
        <v>1300</v>
      </c>
      <c r="E77" s="404">
        <f>1-'2.생활용수(연산)'!E52</f>
        <v>1</v>
      </c>
      <c r="F77" s="404" t="s">
        <v>756</v>
      </c>
      <c r="G77" s="302">
        <f>IF($W$3=0,0,IF($D77="A",ROUND(VLOOKUP($C77,'[2]2.행정구역별 급수인구'!$C$7:$AD$997,17,FALSE)*$E77,0),IF($D77="B",(ROUND(VLOOKUP($C77,'[2]2.행정구역별 급수인구'!$C$7:$AD$997,17,FALSE)-VLOOKUP($C77,'[2]2.행정구역별 급수인구'!$C$7:$AD$997,17,FALSE)*(1-$E77),0)),VLOOKUP($C77,'[2]2.행정구역별 급수인구'!$C$7:$AD$997,17,FALSE))))</f>
        <v>0</v>
      </c>
      <c r="H77" s="302">
        <f>IF($W$3=0,0,IF($D77="A",ROUND(VLOOKUP($C77,'[2]2.행정구역별 급수인구'!$C$7:$AD$997,25,FALSE)*$E77,0),IF($D77="B",(ROUND(VLOOKUP($C77,'[2]2.행정구역별 급수인구'!$C$7:$AD$997,25,FALSE)-VLOOKUP($C77,'[2]2.행정구역별 급수인구'!$C$7:$AD$997,25,FALSE)*(1-$E77),0)),VLOOKUP($C77,'[2]2.행정구역별 급수인구'!$C$7:$AD$997,25,FALSE))))</f>
        <v>91</v>
      </c>
      <c r="I77" s="473">
        <f>IF($W$3=1,0,IF($D77="A",ROUND(VLOOKUP($C77,'[2]2.행정구역별 급수인구'!$C$7:$AD$997,26,FALSE)*$E77,0),IF($D77="B",(ROUND(VLOOKUP($C77,'[2]2.행정구역별 급수인구'!$C$7:$AD$997,26,FALSE)-VLOOKUP($C77,'[2]2.행정구역별 급수인구'!$C$7:$AD$997,26,FALSE)*(1-$E77),0)),VLOOKUP($C77,'[2]2.행정구역별 급수인구'!$C$7:$AD$997,26,FALSE))))</f>
        <v>0</v>
      </c>
      <c r="J77" s="473">
        <f>IF($W$3=1,0,IF($D77="A",ROUND(VLOOKUP($C77,'[2]2.행정구역별 급수인구'!$C$7:$AD$997,27,FALSE)*$E77,0),IF($D77="B",(ROUND(VLOOKUP($C77,'[2]2.행정구역별 급수인구'!$C$7:$AD$997,27,FALSE)-VLOOKUP($C77,'[2]2.행정구역별 급수인구'!$C$7:$AD$997,27,FALSE)*(1-$E77),0)),VLOOKUP($C77,'[2]2.행정구역별 급수인구'!$C$7:$AD$997,27,FALSE))))</f>
        <v>0</v>
      </c>
      <c r="K77" s="473">
        <f>IF($W$3=1,0,IF($D77="A",ROUND(VLOOKUP($C77,'[2]2.행정구역별 급수인구'!$C$7:$AD$997,28,FALSE)*$E77,0),IF($D77="B",(ROUND(VLOOKUP($C77,'[2]2.행정구역별 급수인구'!$C$7:$AD$997,28,FALSE)-VLOOKUP($C77,'[2]2.행정구역별 급수인구'!$C$7:$AD$997,28,FALSE)*(1-$E77),0)),VLOOKUP($C77,'[2]2.행정구역별 급수인구'!$C$7:$AD$997,28,FALSE))))</f>
        <v>0</v>
      </c>
      <c r="L77" s="302">
        <f>VLOOKUP($F77,'[3]5.급수원단위'!$B$31:$G$35,2,FALSE)</f>
        <v>272</v>
      </c>
      <c r="M77" s="302">
        <f>VLOOKUP($F77,'[3]5.급수원단위'!$B$31:$G$35,3,FALSE)</f>
        <v>304</v>
      </c>
      <c r="N77" s="302">
        <f>VLOOKUP($F77,'[3]5.급수원단위'!$B$31:$G$35,4,FALSE)</f>
        <v>308</v>
      </c>
      <c r="O77" s="302">
        <f>VLOOKUP($F77,'[3]5.급수원단위'!$B$31:$G$35,5,FALSE)</f>
        <v>310</v>
      </c>
      <c r="P77" s="302">
        <f>VLOOKUP($F77,'[3]5.급수원단위'!$B$31:$G$35,6,FALSE)</f>
        <v>310</v>
      </c>
      <c r="Q77" s="302">
        <f>ROUND(IF(G77=0,0,VLOOKUP(C77,'2013실사용량 정리'!$D$6:$F$381,3,FALSE)),0)</f>
        <v>0</v>
      </c>
      <c r="R77" s="302">
        <f t="shared" si="20"/>
        <v>28</v>
      </c>
      <c r="S77" s="302">
        <f t="shared" si="20"/>
        <v>0</v>
      </c>
      <c r="T77" s="302">
        <f t="shared" si="20"/>
        <v>0</v>
      </c>
      <c r="U77" s="302">
        <f t="shared" si="20"/>
        <v>0</v>
      </c>
      <c r="V77" s="327" t="s">
        <v>1746</v>
      </c>
    </row>
    <row r="78" spans="1:45" ht="20.100000000000001" customHeight="1">
      <c r="A78" s="340"/>
      <c r="B78" s="340"/>
      <c r="C78" s="406" t="s">
        <v>1700</v>
      </c>
      <c r="D78" s="330" t="s">
        <v>1300</v>
      </c>
      <c r="E78" s="404">
        <f>1-'2.생활용수(연산)'!E53</f>
        <v>1</v>
      </c>
      <c r="F78" s="404" t="s">
        <v>756</v>
      </c>
      <c r="G78" s="302">
        <f>IF($W$3=0,0,IF($D78="A",ROUND(VLOOKUP($C78,'[2]2.행정구역별 급수인구'!$C$7:$AD$997,17,FALSE)*$E78,0),IF($D78="B",(ROUND(VLOOKUP($C78,'[2]2.행정구역별 급수인구'!$C$7:$AD$997,17,FALSE)-VLOOKUP($C78,'[2]2.행정구역별 급수인구'!$C$7:$AD$997,17,FALSE)*(1-$E78),0)),VLOOKUP($C78,'[2]2.행정구역별 급수인구'!$C$7:$AD$997,17,FALSE))))</f>
        <v>0</v>
      </c>
      <c r="H78" s="302">
        <f>IF($W$3=0,0,IF($D78="A",ROUND(VLOOKUP($C78,'[2]2.행정구역별 급수인구'!$C$7:$AD$997,25,FALSE)*$E78,0),IF($D78="B",(ROUND(VLOOKUP($C78,'[2]2.행정구역별 급수인구'!$C$7:$AD$997,25,FALSE)-VLOOKUP($C78,'[2]2.행정구역별 급수인구'!$C$7:$AD$997,25,FALSE)*(1-$E78),0)),VLOOKUP($C78,'[2]2.행정구역별 급수인구'!$C$7:$AD$997,25,FALSE))))</f>
        <v>258</v>
      </c>
      <c r="I78" s="473">
        <f>IF($W$3=1,0,IF($D78="A",ROUND(VLOOKUP($C78,'[2]2.행정구역별 급수인구'!$C$7:$AD$997,26,FALSE)*$E78,0),IF($D78="B",(ROUND(VLOOKUP($C78,'[2]2.행정구역별 급수인구'!$C$7:$AD$997,26,FALSE)-VLOOKUP($C78,'[2]2.행정구역별 급수인구'!$C$7:$AD$997,26,FALSE)*(1-$E78),0)),VLOOKUP($C78,'[2]2.행정구역별 급수인구'!$C$7:$AD$997,26,FALSE))))</f>
        <v>0</v>
      </c>
      <c r="J78" s="473">
        <f>IF($W$3=1,0,IF($D78="A",ROUND(VLOOKUP($C78,'[2]2.행정구역별 급수인구'!$C$7:$AD$997,27,FALSE)*$E78,0),IF($D78="B",(ROUND(VLOOKUP($C78,'[2]2.행정구역별 급수인구'!$C$7:$AD$997,27,FALSE)-VLOOKUP($C78,'[2]2.행정구역별 급수인구'!$C$7:$AD$997,27,FALSE)*(1-$E78),0)),VLOOKUP($C78,'[2]2.행정구역별 급수인구'!$C$7:$AD$997,27,FALSE))))</f>
        <v>0</v>
      </c>
      <c r="K78" s="473">
        <f>IF($W$3=1,0,IF($D78="A",ROUND(VLOOKUP($C78,'[2]2.행정구역별 급수인구'!$C$7:$AD$997,28,FALSE)*$E78,0),IF($D78="B",(ROUND(VLOOKUP($C78,'[2]2.행정구역별 급수인구'!$C$7:$AD$997,28,FALSE)-VLOOKUP($C78,'[2]2.행정구역별 급수인구'!$C$7:$AD$997,28,FALSE)*(1-$E78),0)),VLOOKUP($C78,'[2]2.행정구역별 급수인구'!$C$7:$AD$997,28,FALSE))))</f>
        <v>0</v>
      </c>
      <c r="L78" s="302">
        <f>VLOOKUP($F78,'[3]5.급수원단위'!$B$31:$G$35,2,FALSE)</f>
        <v>272</v>
      </c>
      <c r="M78" s="302">
        <f>VLOOKUP($F78,'[3]5.급수원단위'!$B$31:$G$35,3,FALSE)</f>
        <v>304</v>
      </c>
      <c r="N78" s="302">
        <f>VLOOKUP($F78,'[3]5.급수원단위'!$B$31:$G$35,4,FALSE)</f>
        <v>308</v>
      </c>
      <c r="O78" s="302">
        <f>VLOOKUP($F78,'[3]5.급수원단위'!$B$31:$G$35,5,FALSE)</f>
        <v>310</v>
      </c>
      <c r="P78" s="302">
        <f>VLOOKUP($F78,'[3]5.급수원단위'!$B$31:$G$35,6,FALSE)</f>
        <v>310</v>
      </c>
      <c r="Q78" s="302">
        <f>ROUND(IF(G78=0,0,VLOOKUP(C78,'2013실사용량 정리'!$D$6:$F$381,3,FALSE)),0)</f>
        <v>0</v>
      </c>
      <c r="R78" s="302">
        <f t="shared" si="20"/>
        <v>78</v>
      </c>
      <c r="S78" s="302">
        <f t="shared" si="20"/>
        <v>0</v>
      </c>
      <c r="T78" s="302">
        <f t="shared" si="20"/>
        <v>0</v>
      </c>
      <c r="U78" s="302">
        <f t="shared" si="20"/>
        <v>0</v>
      </c>
      <c r="V78" s="327" t="s">
        <v>1746</v>
      </c>
    </row>
    <row r="79" spans="1:45" ht="20.100000000000001" customHeight="1">
      <c r="A79" s="386"/>
      <c r="B79" s="386"/>
      <c r="C79" s="406" t="s">
        <v>1701</v>
      </c>
      <c r="D79" s="330" t="s">
        <v>1300</v>
      </c>
      <c r="E79" s="404">
        <f>1-'2.생활용수(연산)'!E54</f>
        <v>1</v>
      </c>
      <c r="F79" s="404" t="s">
        <v>756</v>
      </c>
      <c r="G79" s="302">
        <f>IF($W$3=0,0,IF($D79="A",ROUND(VLOOKUP($C79,'[2]2.행정구역별 급수인구'!$C$7:$AD$997,17,FALSE)*$E79,0),IF($D79="B",(ROUND(VLOOKUP($C79,'[2]2.행정구역별 급수인구'!$C$7:$AD$997,17,FALSE)-VLOOKUP($C79,'[2]2.행정구역별 급수인구'!$C$7:$AD$997,17,FALSE)*(1-$E79),0)),VLOOKUP($C79,'[2]2.행정구역별 급수인구'!$C$7:$AD$997,17,FALSE))))</f>
        <v>0</v>
      </c>
      <c r="H79" s="302">
        <f>IF($W$3=0,0,IF($D79="A",ROUND(VLOOKUP($C79,'[2]2.행정구역별 급수인구'!$C$7:$AD$997,25,FALSE)*$E79,0),IF($D79="B",(ROUND(VLOOKUP($C79,'[2]2.행정구역별 급수인구'!$C$7:$AD$997,25,FALSE)-VLOOKUP($C79,'[2]2.행정구역별 급수인구'!$C$7:$AD$997,25,FALSE)*(1-$E79),0)),VLOOKUP($C79,'[2]2.행정구역별 급수인구'!$C$7:$AD$997,25,FALSE))))</f>
        <v>87</v>
      </c>
      <c r="I79" s="473">
        <f>IF($W$3=1,0,IF($D79="A",ROUND(VLOOKUP($C79,'[2]2.행정구역별 급수인구'!$C$7:$AD$997,26,FALSE)*$E79,0),IF($D79="B",(ROUND(VLOOKUP($C79,'[2]2.행정구역별 급수인구'!$C$7:$AD$997,26,FALSE)-VLOOKUP($C79,'[2]2.행정구역별 급수인구'!$C$7:$AD$997,26,FALSE)*(1-$E79),0)),VLOOKUP($C79,'[2]2.행정구역별 급수인구'!$C$7:$AD$997,26,FALSE))))</f>
        <v>0</v>
      </c>
      <c r="J79" s="473">
        <f>IF($W$3=1,0,IF($D79="A",ROUND(VLOOKUP($C79,'[2]2.행정구역별 급수인구'!$C$7:$AD$997,27,FALSE)*$E79,0),IF($D79="B",(ROUND(VLOOKUP($C79,'[2]2.행정구역별 급수인구'!$C$7:$AD$997,27,FALSE)-VLOOKUP($C79,'[2]2.행정구역별 급수인구'!$C$7:$AD$997,27,FALSE)*(1-$E79),0)),VLOOKUP($C79,'[2]2.행정구역별 급수인구'!$C$7:$AD$997,27,FALSE))))</f>
        <v>0</v>
      </c>
      <c r="K79" s="473">
        <f>IF($W$3=1,0,IF($D79="A",ROUND(VLOOKUP($C79,'[2]2.행정구역별 급수인구'!$C$7:$AD$997,28,FALSE)*$E79,0),IF($D79="B",(ROUND(VLOOKUP($C79,'[2]2.행정구역별 급수인구'!$C$7:$AD$997,28,FALSE)-VLOOKUP($C79,'[2]2.행정구역별 급수인구'!$C$7:$AD$997,28,FALSE)*(1-$E79),0)),VLOOKUP($C79,'[2]2.행정구역별 급수인구'!$C$7:$AD$997,28,FALSE))))</f>
        <v>0</v>
      </c>
      <c r="L79" s="302">
        <f>VLOOKUP($F79,'[3]5.급수원단위'!$B$31:$G$35,2,FALSE)</f>
        <v>272</v>
      </c>
      <c r="M79" s="302">
        <f>VLOOKUP($F79,'[3]5.급수원단위'!$B$31:$G$35,3,FALSE)</f>
        <v>304</v>
      </c>
      <c r="N79" s="302">
        <f>VLOOKUP($F79,'[3]5.급수원단위'!$B$31:$G$35,4,FALSE)</f>
        <v>308</v>
      </c>
      <c r="O79" s="302">
        <f>VLOOKUP($F79,'[3]5.급수원단위'!$B$31:$G$35,5,FALSE)</f>
        <v>310</v>
      </c>
      <c r="P79" s="302">
        <f>VLOOKUP($F79,'[3]5.급수원단위'!$B$31:$G$35,6,FALSE)</f>
        <v>310</v>
      </c>
      <c r="Q79" s="302">
        <f>ROUND(IF(G79=0,0,VLOOKUP(C79,'2013실사용량 정리'!$D$6:$F$381,3,FALSE)),0)</f>
        <v>0</v>
      </c>
      <c r="R79" s="302">
        <f t="shared" si="20"/>
        <v>26</v>
      </c>
      <c r="S79" s="302">
        <f t="shared" si="20"/>
        <v>0</v>
      </c>
      <c r="T79" s="302">
        <f t="shared" si="20"/>
        <v>0</v>
      </c>
      <c r="U79" s="302">
        <f t="shared" si="20"/>
        <v>0</v>
      </c>
      <c r="V79" s="327" t="s">
        <v>1746</v>
      </c>
    </row>
    <row r="80" spans="1:45" ht="20.100000000000001" customHeight="1">
      <c r="A80" s="339"/>
      <c r="B80" s="339"/>
      <c r="C80" s="406" t="s">
        <v>1702</v>
      </c>
      <c r="D80" s="330" t="s">
        <v>1300</v>
      </c>
      <c r="E80" s="404">
        <f>1-'2.생활용수(연산)'!E55</f>
        <v>1</v>
      </c>
      <c r="F80" s="404" t="s">
        <v>756</v>
      </c>
      <c r="G80" s="302">
        <f>IF($W$3=0,0,IF($D80="A",ROUND(VLOOKUP($C80,'[2]2.행정구역별 급수인구'!$C$7:$AD$997,17,FALSE)*$E80,0),IF($D80="B",(ROUND(VLOOKUP($C80,'[2]2.행정구역별 급수인구'!$C$7:$AD$997,17,FALSE)-VLOOKUP($C80,'[2]2.행정구역별 급수인구'!$C$7:$AD$997,17,FALSE)*(1-$E80),0)),VLOOKUP($C80,'[2]2.행정구역별 급수인구'!$C$7:$AD$997,17,FALSE))))</f>
        <v>0</v>
      </c>
      <c r="H80" s="302">
        <f>IF($W$3=0,0,IF($D80="A",ROUND(VLOOKUP($C80,'[2]2.행정구역별 급수인구'!$C$7:$AD$997,25,FALSE)*$E80,0),IF($D80="B",(ROUND(VLOOKUP($C80,'[2]2.행정구역별 급수인구'!$C$7:$AD$997,25,FALSE)-VLOOKUP($C80,'[2]2.행정구역별 급수인구'!$C$7:$AD$997,25,FALSE)*(1-$E80),0)),VLOOKUP($C80,'[2]2.행정구역별 급수인구'!$C$7:$AD$997,25,FALSE))))</f>
        <v>149</v>
      </c>
      <c r="I80" s="473">
        <f>IF($W$3=1,0,IF($D80="A",ROUND(VLOOKUP($C80,'[2]2.행정구역별 급수인구'!$C$7:$AD$997,26,FALSE)*$E80,0),IF($D80="B",(ROUND(VLOOKUP($C80,'[2]2.행정구역별 급수인구'!$C$7:$AD$997,26,FALSE)-VLOOKUP($C80,'[2]2.행정구역별 급수인구'!$C$7:$AD$997,26,FALSE)*(1-$E80),0)),VLOOKUP($C80,'[2]2.행정구역별 급수인구'!$C$7:$AD$997,26,FALSE))))</f>
        <v>0</v>
      </c>
      <c r="J80" s="473">
        <f>IF($W$3=1,0,IF($D80="A",ROUND(VLOOKUP($C80,'[2]2.행정구역별 급수인구'!$C$7:$AD$997,27,FALSE)*$E80,0),IF($D80="B",(ROUND(VLOOKUP($C80,'[2]2.행정구역별 급수인구'!$C$7:$AD$997,27,FALSE)-VLOOKUP($C80,'[2]2.행정구역별 급수인구'!$C$7:$AD$997,27,FALSE)*(1-$E80),0)),VLOOKUP($C80,'[2]2.행정구역별 급수인구'!$C$7:$AD$997,27,FALSE))))</f>
        <v>0</v>
      </c>
      <c r="K80" s="473">
        <f>IF($W$3=1,0,IF($D80="A",ROUND(VLOOKUP($C80,'[2]2.행정구역별 급수인구'!$C$7:$AD$997,28,FALSE)*$E80,0),IF($D80="B",(ROUND(VLOOKUP($C80,'[2]2.행정구역별 급수인구'!$C$7:$AD$997,28,FALSE)-VLOOKUP($C80,'[2]2.행정구역별 급수인구'!$C$7:$AD$997,28,FALSE)*(1-$E80),0)),VLOOKUP($C80,'[2]2.행정구역별 급수인구'!$C$7:$AD$997,28,FALSE))))</f>
        <v>0</v>
      </c>
      <c r="L80" s="302">
        <f>VLOOKUP($F80,'[3]5.급수원단위'!$B$31:$G$35,2,FALSE)</f>
        <v>272</v>
      </c>
      <c r="M80" s="302">
        <f>VLOOKUP($F80,'[3]5.급수원단위'!$B$31:$G$35,3,FALSE)</f>
        <v>304</v>
      </c>
      <c r="N80" s="302">
        <f>VLOOKUP($F80,'[3]5.급수원단위'!$B$31:$G$35,4,FALSE)</f>
        <v>308</v>
      </c>
      <c r="O80" s="302">
        <f>VLOOKUP($F80,'[3]5.급수원단위'!$B$31:$G$35,5,FALSE)</f>
        <v>310</v>
      </c>
      <c r="P80" s="302">
        <f>VLOOKUP($F80,'[3]5.급수원단위'!$B$31:$G$35,6,FALSE)</f>
        <v>310</v>
      </c>
      <c r="Q80" s="302">
        <f>ROUND(IF(G80=0,0,VLOOKUP(C80,'2013실사용량 정리'!$D$6:$F$381,3,FALSE)),0)</f>
        <v>0</v>
      </c>
      <c r="R80" s="302">
        <f t="shared" si="20"/>
        <v>45</v>
      </c>
      <c r="S80" s="302">
        <f t="shared" si="20"/>
        <v>0</v>
      </c>
      <c r="T80" s="302">
        <f t="shared" si="20"/>
        <v>0</v>
      </c>
      <c r="U80" s="302">
        <f t="shared" si="20"/>
        <v>0</v>
      </c>
      <c r="V80" s="327" t="s">
        <v>1746</v>
      </c>
    </row>
    <row r="81" spans="1:45" ht="20.100000000000001" customHeight="1">
      <c r="A81" s="340"/>
      <c r="B81" s="340"/>
      <c r="C81" s="406" t="s">
        <v>1703</v>
      </c>
      <c r="D81" s="330" t="s">
        <v>1300</v>
      </c>
      <c r="E81" s="404">
        <f>1-'2.생활용수(연산)'!E56</f>
        <v>1</v>
      </c>
      <c r="F81" s="404" t="s">
        <v>756</v>
      </c>
      <c r="G81" s="302">
        <f>IF($W$3=0,0,IF($D81="A",ROUND(VLOOKUP($C81,'[2]2.행정구역별 급수인구'!$C$7:$AD$997,17,FALSE)*$E81,0),IF($D81="B",(ROUND(VLOOKUP($C81,'[2]2.행정구역별 급수인구'!$C$7:$AD$997,17,FALSE)-VLOOKUP($C81,'[2]2.행정구역별 급수인구'!$C$7:$AD$997,17,FALSE)*(1-$E81),0)),VLOOKUP($C81,'[2]2.행정구역별 급수인구'!$C$7:$AD$997,17,FALSE))))</f>
        <v>0</v>
      </c>
      <c r="H81" s="302">
        <f>IF($W$3=0,0,IF($D81="A",ROUND(VLOOKUP($C81,'[2]2.행정구역별 급수인구'!$C$7:$AD$997,25,FALSE)*$E81,0),IF($D81="B",(ROUND(VLOOKUP($C81,'[2]2.행정구역별 급수인구'!$C$7:$AD$997,25,FALSE)-VLOOKUP($C81,'[2]2.행정구역별 급수인구'!$C$7:$AD$997,25,FALSE)*(1-$E81),0)),VLOOKUP($C81,'[2]2.행정구역별 급수인구'!$C$7:$AD$997,25,FALSE))))</f>
        <v>56</v>
      </c>
      <c r="I81" s="473">
        <f>IF($W$3=1,0,IF($D81="A",ROUND(VLOOKUP($C81,'[2]2.행정구역별 급수인구'!$C$7:$AD$997,26,FALSE)*$E81,0),IF($D81="B",(ROUND(VLOOKUP($C81,'[2]2.행정구역별 급수인구'!$C$7:$AD$997,26,FALSE)-VLOOKUP($C81,'[2]2.행정구역별 급수인구'!$C$7:$AD$997,26,FALSE)*(1-$E81),0)),VLOOKUP($C81,'[2]2.행정구역별 급수인구'!$C$7:$AD$997,26,FALSE))))</f>
        <v>0</v>
      </c>
      <c r="J81" s="473">
        <f>IF($W$3=1,0,IF($D81="A",ROUND(VLOOKUP($C81,'[2]2.행정구역별 급수인구'!$C$7:$AD$997,27,FALSE)*$E81,0),IF($D81="B",(ROUND(VLOOKUP($C81,'[2]2.행정구역별 급수인구'!$C$7:$AD$997,27,FALSE)-VLOOKUP($C81,'[2]2.행정구역별 급수인구'!$C$7:$AD$997,27,FALSE)*(1-$E81),0)),VLOOKUP($C81,'[2]2.행정구역별 급수인구'!$C$7:$AD$997,27,FALSE))))</f>
        <v>0</v>
      </c>
      <c r="K81" s="473">
        <f>IF($W$3=1,0,IF($D81="A",ROUND(VLOOKUP($C81,'[2]2.행정구역별 급수인구'!$C$7:$AD$997,28,FALSE)*$E81,0),IF($D81="B",(ROUND(VLOOKUP($C81,'[2]2.행정구역별 급수인구'!$C$7:$AD$997,28,FALSE)-VLOOKUP($C81,'[2]2.행정구역별 급수인구'!$C$7:$AD$997,28,FALSE)*(1-$E81),0)),VLOOKUP($C81,'[2]2.행정구역별 급수인구'!$C$7:$AD$997,28,FALSE))))</f>
        <v>0</v>
      </c>
      <c r="L81" s="302">
        <f>VLOOKUP($F81,'[3]5.급수원단위'!$B$31:$G$35,2,FALSE)</f>
        <v>272</v>
      </c>
      <c r="M81" s="302">
        <f>VLOOKUP($F81,'[3]5.급수원단위'!$B$31:$G$35,3,FALSE)</f>
        <v>304</v>
      </c>
      <c r="N81" s="302">
        <f>VLOOKUP($F81,'[3]5.급수원단위'!$B$31:$G$35,4,FALSE)</f>
        <v>308</v>
      </c>
      <c r="O81" s="302">
        <f>VLOOKUP($F81,'[3]5.급수원단위'!$B$31:$G$35,5,FALSE)</f>
        <v>310</v>
      </c>
      <c r="P81" s="302">
        <f>VLOOKUP($F81,'[3]5.급수원단위'!$B$31:$G$35,6,FALSE)</f>
        <v>310</v>
      </c>
      <c r="Q81" s="302">
        <f>ROUND(IF(G81=0,0,VLOOKUP(C81,'2013실사용량 정리'!$D$6:$F$381,3,FALSE)),0)</f>
        <v>0</v>
      </c>
      <c r="R81" s="302">
        <f t="shared" si="20"/>
        <v>17</v>
      </c>
      <c r="S81" s="302">
        <f t="shared" si="20"/>
        <v>0</v>
      </c>
      <c r="T81" s="302">
        <f t="shared" si="20"/>
        <v>0</v>
      </c>
      <c r="U81" s="302">
        <f t="shared" si="20"/>
        <v>0</v>
      </c>
      <c r="V81" s="327" t="s">
        <v>1746</v>
      </c>
    </row>
    <row r="82" spans="1:45" s="412" customFormat="1" ht="20.100000000000001" customHeight="1">
      <c r="A82" s="421"/>
      <c r="B82" s="421"/>
      <c r="C82" s="380" t="s">
        <v>1704</v>
      </c>
      <c r="D82" s="330" t="s">
        <v>1300</v>
      </c>
      <c r="E82" s="404">
        <f>1-'2.생활용수(연산)'!E57</f>
        <v>1</v>
      </c>
      <c r="F82" s="382" t="s">
        <v>756</v>
      </c>
      <c r="G82" s="302">
        <f>IF($W$3=0,0,IF($D82="A",ROUND(VLOOKUP($C82,'[2]2.행정구역별 급수인구'!$C$7:$AD$997,17,FALSE)*$E82,0),IF($D82="B",(ROUND(VLOOKUP($C82,'[2]2.행정구역별 급수인구'!$C$7:$AD$997,17,FALSE)-VLOOKUP($C82,'[2]2.행정구역별 급수인구'!$C$7:$AD$997,17,FALSE)*(1-$E82),0)),VLOOKUP($C82,'[2]2.행정구역별 급수인구'!$C$7:$AD$997,17,FALSE))))</f>
        <v>0</v>
      </c>
      <c r="H82" s="302">
        <f>IF($W$3=0,0,IF($D82="A",ROUND(VLOOKUP($C82,'[2]2.행정구역별 급수인구'!$C$7:$AD$997,25,FALSE)*$E82,0),IF($D82="B",(ROUND(VLOOKUP($C82,'[2]2.행정구역별 급수인구'!$C$7:$AD$997,25,FALSE)-VLOOKUP($C82,'[2]2.행정구역별 급수인구'!$C$7:$AD$997,25,FALSE)*(1-$E82),0)),VLOOKUP($C82,'[2]2.행정구역별 급수인구'!$C$7:$AD$997,25,FALSE))))</f>
        <v>0</v>
      </c>
      <c r="I82" s="302"/>
      <c r="J82" s="302"/>
      <c r="K82" s="302"/>
      <c r="L82" s="383">
        <f>VLOOKUP($F82,'[3]5.급수원단위'!$B$31:$G$35,2,FALSE)</f>
        <v>272</v>
      </c>
      <c r="M82" s="383">
        <f>VLOOKUP($F82,'[3]5.급수원단위'!$B$31:$G$35,3,FALSE)</f>
        <v>304</v>
      </c>
      <c r="N82" s="383">
        <f>VLOOKUP($F82,'[3]5.급수원단위'!$B$31:$G$35,4,FALSE)</f>
        <v>308</v>
      </c>
      <c r="O82" s="383">
        <f>VLOOKUP($F82,'[3]5.급수원단위'!$B$31:$G$35,5,FALSE)</f>
        <v>310</v>
      </c>
      <c r="P82" s="383">
        <f>VLOOKUP($F82,'[3]5.급수원단위'!$B$31:$G$35,6,FALSE)</f>
        <v>310</v>
      </c>
      <c r="Q82" s="302">
        <f>ROUND(IF(G82=0,0,VLOOKUP(C82,'2013실사용량 정리'!$D$6:$F$381,3,FALSE)),0)</f>
        <v>0</v>
      </c>
      <c r="R82" s="383">
        <f t="shared" si="20"/>
        <v>0</v>
      </c>
      <c r="S82" s="383">
        <f t="shared" si="20"/>
        <v>0</v>
      </c>
      <c r="T82" s="383">
        <f t="shared" si="20"/>
        <v>0</v>
      </c>
      <c r="U82" s="383">
        <f t="shared" si="20"/>
        <v>0</v>
      </c>
      <c r="Z82" s="413"/>
      <c r="AA82" s="413"/>
      <c r="AB82" s="413"/>
      <c r="AC82" s="413"/>
      <c r="AD82" s="413"/>
      <c r="AE82" s="413"/>
      <c r="AF82" s="413"/>
      <c r="AG82" s="413"/>
      <c r="AH82" s="413"/>
      <c r="AI82" s="413"/>
      <c r="AJ82" s="413"/>
      <c r="AK82" s="413"/>
      <c r="AL82" s="413"/>
      <c r="AM82" s="413"/>
      <c r="AN82" s="413"/>
      <c r="AO82" s="413"/>
      <c r="AP82" s="413"/>
      <c r="AQ82" s="413"/>
      <c r="AR82" s="413"/>
      <c r="AS82" s="413"/>
    </row>
    <row r="83" spans="1:45" s="412" customFormat="1" ht="20.100000000000001" customHeight="1">
      <c r="A83" s="421"/>
      <c r="B83" s="421"/>
      <c r="C83" s="380" t="s">
        <v>1705</v>
      </c>
      <c r="D83" s="330" t="s">
        <v>1300</v>
      </c>
      <c r="E83" s="404">
        <f>1-'2.생활용수(연산)'!E58</f>
        <v>1</v>
      </c>
      <c r="F83" s="382" t="s">
        <v>756</v>
      </c>
      <c r="G83" s="302">
        <f>IF($W$3=0,0,IF($D83="A",ROUND(VLOOKUP($C83,'[2]2.행정구역별 급수인구'!$C$7:$AD$997,17,FALSE)*$E83,0),IF($D83="B",(ROUND(VLOOKUP($C83,'[2]2.행정구역별 급수인구'!$C$7:$AD$997,17,FALSE)-VLOOKUP($C83,'[2]2.행정구역별 급수인구'!$C$7:$AD$997,17,FALSE)*(1-$E83),0)),VLOOKUP($C83,'[2]2.행정구역별 급수인구'!$C$7:$AD$997,17,FALSE))))</f>
        <v>0</v>
      </c>
      <c r="H83" s="302">
        <f>IF($W$3=0,0,IF($D83="A",ROUND(VLOOKUP($C83,'[2]2.행정구역별 급수인구'!$C$7:$AD$997,25,FALSE)*$E83,0),IF($D83="B",(ROUND(VLOOKUP($C83,'[2]2.행정구역별 급수인구'!$C$7:$AD$997,25,FALSE)-VLOOKUP($C83,'[2]2.행정구역별 급수인구'!$C$7:$AD$997,25,FALSE)*(1-$E83),0)),VLOOKUP($C83,'[2]2.행정구역별 급수인구'!$C$7:$AD$997,25,FALSE))))</f>
        <v>0</v>
      </c>
      <c r="I83" s="302"/>
      <c r="J83" s="302"/>
      <c r="K83" s="302"/>
      <c r="L83" s="383">
        <f>VLOOKUP($F83,'[3]5.급수원단위'!$B$31:$G$35,2,FALSE)</f>
        <v>272</v>
      </c>
      <c r="M83" s="383">
        <f>VLOOKUP($F83,'[3]5.급수원단위'!$B$31:$G$35,3,FALSE)</f>
        <v>304</v>
      </c>
      <c r="N83" s="383">
        <f>VLOOKUP($F83,'[3]5.급수원단위'!$B$31:$G$35,4,FALSE)</f>
        <v>308</v>
      </c>
      <c r="O83" s="383">
        <f>VLOOKUP($F83,'[3]5.급수원단위'!$B$31:$G$35,5,FALSE)</f>
        <v>310</v>
      </c>
      <c r="P83" s="383">
        <f>VLOOKUP($F83,'[3]5.급수원단위'!$B$31:$G$35,6,FALSE)</f>
        <v>310</v>
      </c>
      <c r="Q83" s="302">
        <f>ROUND(IF(G83=0,0,VLOOKUP(C83,'2013실사용량 정리'!$D$6:$F$381,3,FALSE)),0)</f>
        <v>0</v>
      </c>
      <c r="R83" s="383">
        <f t="shared" si="20"/>
        <v>0</v>
      </c>
      <c r="S83" s="383">
        <f t="shared" si="20"/>
        <v>0</v>
      </c>
      <c r="T83" s="383">
        <f t="shared" si="20"/>
        <v>0</v>
      </c>
      <c r="U83" s="383">
        <f t="shared" si="20"/>
        <v>0</v>
      </c>
      <c r="Z83" s="413"/>
      <c r="AA83" s="413"/>
      <c r="AB83" s="413"/>
      <c r="AC83" s="413"/>
      <c r="AD83" s="413"/>
      <c r="AE83" s="413"/>
      <c r="AF83" s="413"/>
      <c r="AG83" s="413"/>
      <c r="AH83" s="413"/>
      <c r="AI83" s="413"/>
      <c r="AJ83" s="413"/>
      <c r="AK83" s="413"/>
      <c r="AL83" s="413"/>
      <c r="AM83" s="413"/>
      <c r="AN83" s="413"/>
      <c r="AO83" s="413"/>
      <c r="AP83" s="413"/>
      <c r="AQ83" s="413"/>
      <c r="AR83" s="413"/>
      <c r="AS83" s="413"/>
    </row>
    <row r="84" spans="1:45" s="412" customFormat="1" ht="20.100000000000001" customHeight="1">
      <c r="A84" s="421"/>
      <c r="B84" s="421"/>
      <c r="C84" s="380" t="s">
        <v>1706</v>
      </c>
      <c r="D84" s="330" t="s">
        <v>1300</v>
      </c>
      <c r="E84" s="404">
        <f>1-'2.생활용수(연산)'!E59</f>
        <v>1</v>
      </c>
      <c r="F84" s="382" t="s">
        <v>756</v>
      </c>
      <c r="G84" s="302">
        <f>IF($W$3=0,0,IF($D84="A",ROUND(VLOOKUP($C84,'[2]2.행정구역별 급수인구'!$C$7:$AD$997,17,FALSE)*$E84,0),IF($D84="B",(ROUND(VLOOKUP($C84,'[2]2.행정구역별 급수인구'!$C$7:$AD$997,17,FALSE)-VLOOKUP($C84,'[2]2.행정구역별 급수인구'!$C$7:$AD$997,17,FALSE)*(1-$E84),0)),VLOOKUP($C84,'[2]2.행정구역별 급수인구'!$C$7:$AD$997,17,FALSE))))</f>
        <v>0</v>
      </c>
      <c r="H84" s="302">
        <f>IF($W$3=0,0,IF($D84="A",ROUND(VLOOKUP($C84,'[2]2.행정구역별 급수인구'!$C$7:$AD$997,25,FALSE)*$E84,0),IF($D84="B",(ROUND(VLOOKUP($C84,'[2]2.행정구역별 급수인구'!$C$7:$AD$997,25,FALSE)-VLOOKUP($C84,'[2]2.행정구역별 급수인구'!$C$7:$AD$997,25,FALSE)*(1-$E84),0)),VLOOKUP($C84,'[2]2.행정구역별 급수인구'!$C$7:$AD$997,25,FALSE))))</f>
        <v>68</v>
      </c>
      <c r="I84" s="302"/>
      <c r="J84" s="302"/>
      <c r="K84" s="302"/>
      <c r="L84" s="383">
        <f>VLOOKUP($F84,'[3]5.급수원단위'!$B$31:$G$35,2,FALSE)</f>
        <v>272</v>
      </c>
      <c r="M84" s="383">
        <f>VLOOKUP($F84,'[3]5.급수원단위'!$B$31:$G$35,3,FALSE)</f>
        <v>304</v>
      </c>
      <c r="N84" s="383">
        <f>VLOOKUP($F84,'[3]5.급수원단위'!$B$31:$G$35,4,FALSE)</f>
        <v>308</v>
      </c>
      <c r="O84" s="383">
        <f>VLOOKUP($F84,'[3]5.급수원단위'!$B$31:$G$35,5,FALSE)</f>
        <v>310</v>
      </c>
      <c r="P84" s="383">
        <f>VLOOKUP($F84,'[3]5.급수원단위'!$B$31:$G$35,6,FALSE)</f>
        <v>310</v>
      </c>
      <c r="Q84" s="302">
        <f>ROUND(IF(G84=0,0,VLOOKUP(C84,'2013실사용량 정리'!$D$6:$F$381,3,FALSE)),0)</f>
        <v>0</v>
      </c>
      <c r="R84" s="383">
        <f t="shared" si="20"/>
        <v>21</v>
      </c>
      <c r="S84" s="383">
        <f t="shared" si="20"/>
        <v>0</v>
      </c>
      <c r="T84" s="383">
        <f t="shared" si="20"/>
        <v>0</v>
      </c>
      <c r="U84" s="383">
        <f t="shared" si="20"/>
        <v>0</v>
      </c>
      <c r="Z84" s="413"/>
      <c r="AA84" s="413"/>
      <c r="AB84" s="413"/>
      <c r="AC84" s="413"/>
      <c r="AD84" s="413"/>
      <c r="AE84" s="413"/>
      <c r="AF84" s="413"/>
      <c r="AG84" s="413"/>
      <c r="AH84" s="413"/>
      <c r="AI84" s="413"/>
      <c r="AJ84" s="413"/>
      <c r="AK84" s="413"/>
      <c r="AL84" s="413"/>
      <c r="AM84" s="413"/>
      <c r="AN84" s="413"/>
      <c r="AO84" s="413"/>
      <c r="AP84" s="413"/>
      <c r="AQ84" s="413"/>
      <c r="AR84" s="413"/>
      <c r="AS84" s="413"/>
    </row>
    <row r="85" spans="1:45" s="412" customFormat="1" ht="20.100000000000001" customHeight="1">
      <c r="A85" s="421"/>
      <c r="B85" s="421"/>
      <c r="C85" s="380" t="s">
        <v>1707</v>
      </c>
      <c r="D85" s="330" t="s">
        <v>1300</v>
      </c>
      <c r="E85" s="404">
        <f>1-'2.생활용수(연산)'!E60</f>
        <v>1</v>
      </c>
      <c r="F85" s="382" t="s">
        <v>756</v>
      </c>
      <c r="G85" s="302">
        <f>IF($W$3=0,0,IF($D85="A",ROUND(VLOOKUP($C85,'[2]2.행정구역별 급수인구'!$C$7:$AD$997,17,FALSE)*$E85,0),IF($D85="B",(ROUND(VLOOKUP($C85,'[2]2.행정구역별 급수인구'!$C$7:$AD$997,17,FALSE)-VLOOKUP($C85,'[2]2.행정구역별 급수인구'!$C$7:$AD$997,17,FALSE)*(1-$E85),0)),VLOOKUP($C85,'[2]2.행정구역별 급수인구'!$C$7:$AD$997,17,FALSE))))</f>
        <v>0</v>
      </c>
      <c r="H85" s="302">
        <f>IF($W$3=0,0,IF($D85="A",ROUND(VLOOKUP($C85,'[2]2.행정구역별 급수인구'!$C$7:$AD$997,25,FALSE)*$E85,0),IF($D85="B",(ROUND(VLOOKUP($C85,'[2]2.행정구역별 급수인구'!$C$7:$AD$997,25,FALSE)-VLOOKUP($C85,'[2]2.행정구역별 급수인구'!$C$7:$AD$997,25,FALSE)*(1-$E85),0)),VLOOKUP($C85,'[2]2.행정구역별 급수인구'!$C$7:$AD$997,25,FALSE))))</f>
        <v>0</v>
      </c>
      <c r="I85" s="302"/>
      <c r="J85" s="302"/>
      <c r="K85" s="302"/>
      <c r="L85" s="383">
        <f>VLOOKUP($F85,'[3]5.급수원단위'!$B$31:$G$35,2,FALSE)</f>
        <v>272</v>
      </c>
      <c r="M85" s="383">
        <f>VLOOKUP($F85,'[3]5.급수원단위'!$B$31:$G$35,3,FALSE)</f>
        <v>304</v>
      </c>
      <c r="N85" s="383">
        <f>VLOOKUP($F85,'[3]5.급수원단위'!$B$31:$G$35,4,FALSE)</f>
        <v>308</v>
      </c>
      <c r="O85" s="383">
        <f>VLOOKUP($F85,'[3]5.급수원단위'!$B$31:$G$35,5,FALSE)</f>
        <v>310</v>
      </c>
      <c r="P85" s="383">
        <f>VLOOKUP($F85,'[3]5.급수원단위'!$B$31:$G$35,6,FALSE)</f>
        <v>310</v>
      </c>
      <c r="Q85" s="302">
        <f>ROUND(IF(G85=0,0,VLOOKUP(C85,'2013실사용량 정리'!$D$6:$F$381,3,FALSE)),0)</f>
        <v>0</v>
      </c>
      <c r="R85" s="383">
        <f t="shared" si="20"/>
        <v>0</v>
      </c>
      <c r="S85" s="383">
        <f t="shared" si="20"/>
        <v>0</v>
      </c>
      <c r="T85" s="383">
        <f t="shared" si="20"/>
        <v>0</v>
      </c>
      <c r="U85" s="383">
        <f t="shared" si="20"/>
        <v>0</v>
      </c>
      <c r="Z85" s="413"/>
      <c r="AA85" s="413"/>
      <c r="AB85" s="413"/>
      <c r="AC85" s="413"/>
      <c r="AD85" s="413"/>
      <c r="AE85" s="413"/>
      <c r="AF85" s="413"/>
      <c r="AG85" s="413"/>
      <c r="AH85" s="413"/>
      <c r="AI85" s="413"/>
      <c r="AJ85" s="413"/>
      <c r="AK85" s="413"/>
      <c r="AL85" s="413"/>
      <c r="AM85" s="413"/>
      <c r="AN85" s="413"/>
      <c r="AO85" s="413"/>
      <c r="AP85" s="413"/>
      <c r="AQ85" s="413"/>
      <c r="AR85" s="413"/>
      <c r="AS85" s="413"/>
    </row>
    <row r="86" spans="1:45" s="412" customFormat="1" ht="20.100000000000001" customHeight="1">
      <c r="A86" s="421"/>
      <c r="B86" s="421"/>
      <c r="C86" s="380" t="s">
        <v>1708</v>
      </c>
      <c r="D86" s="330" t="s">
        <v>1300</v>
      </c>
      <c r="E86" s="404">
        <f>1-'2.생활용수(연산)'!E61</f>
        <v>1</v>
      </c>
      <c r="F86" s="382" t="s">
        <v>756</v>
      </c>
      <c r="G86" s="302">
        <f>IF($W$3=0,0,IF($D86="A",ROUND(VLOOKUP($C86,'[2]2.행정구역별 급수인구'!$C$7:$AD$997,17,FALSE)*$E86,0),IF($D86="B",(ROUND(VLOOKUP($C86,'[2]2.행정구역별 급수인구'!$C$7:$AD$997,17,FALSE)-VLOOKUP($C86,'[2]2.행정구역별 급수인구'!$C$7:$AD$997,17,FALSE)*(1-$E86),0)),VLOOKUP($C86,'[2]2.행정구역별 급수인구'!$C$7:$AD$997,17,FALSE))))</f>
        <v>0</v>
      </c>
      <c r="H86" s="302">
        <f>IF($W$3=0,0,IF($D86="A",ROUND(VLOOKUP($C86,'[2]2.행정구역별 급수인구'!$C$7:$AD$997,25,FALSE)*$E86,0),IF($D86="B",(ROUND(VLOOKUP($C86,'[2]2.행정구역별 급수인구'!$C$7:$AD$997,25,FALSE)-VLOOKUP($C86,'[2]2.행정구역별 급수인구'!$C$7:$AD$997,25,FALSE)*(1-$E86),0)),VLOOKUP($C86,'[2]2.행정구역별 급수인구'!$C$7:$AD$997,25,FALSE))))</f>
        <v>0</v>
      </c>
      <c r="I86" s="302"/>
      <c r="J86" s="302"/>
      <c r="K86" s="302"/>
      <c r="L86" s="383">
        <f>VLOOKUP($F86,'[3]5.급수원단위'!$B$31:$G$35,2,FALSE)</f>
        <v>272</v>
      </c>
      <c r="M86" s="383">
        <f>VLOOKUP($F86,'[3]5.급수원단위'!$B$31:$G$35,3,FALSE)</f>
        <v>304</v>
      </c>
      <c r="N86" s="383">
        <f>VLOOKUP($F86,'[3]5.급수원단위'!$B$31:$G$35,4,FALSE)</f>
        <v>308</v>
      </c>
      <c r="O86" s="383">
        <f>VLOOKUP($F86,'[3]5.급수원단위'!$B$31:$G$35,5,FALSE)</f>
        <v>310</v>
      </c>
      <c r="P86" s="383">
        <f>VLOOKUP($F86,'[3]5.급수원단위'!$B$31:$G$35,6,FALSE)</f>
        <v>310</v>
      </c>
      <c r="Q86" s="302">
        <f>ROUND(IF(G86=0,0,VLOOKUP(C86,'2013실사용량 정리'!$D$6:$F$381,3,FALSE)),0)</f>
        <v>0</v>
      </c>
      <c r="R86" s="383">
        <f t="shared" si="20"/>
        <v>0</v>
      </c>
      <c r="S86" s="383">
        <f t="shared" si="20"/>
        <v>0</v>
      </c>
      <c r="T86" s="383">
        <f t="shared" si="20"/>
        <v>0</v>
      </c>
      <c r="U86" s="383">
        <f t="shared" si="20"/>
        <v>0</v>
      </c>
      <c r="Z86" s="413"/>
      <c r="AA86" s="413"/>
      <c r="AB86" s="413"/>
      <c r="AC86" s="413"/>
      <c r="AD86" s="413"/>
      <c r="AE86" s="413"/>
      <c r="AF86" s="413"/>
      <c r="AG86" s="413"/>
      <c r="AH86" s="413"/>
      <c r="AI86" s="413"/>
      <c r="AJ86" s="413"/>
      <c r="AK86" s="413"/>
      <c r="AL86" s="413"/>
      <c r="AM86" s="413"/>
      <c r="AN86" s="413"/>
      <c r="AO86" s="413"/>
      <c r="AP86" s="413"/>
      <c r="AQ86" s="413"/>
      <c r="AR86" s="413"/>
      <c r="AS86" s="413"/>
    </row>
    <row r="87" spans="1:45" s="412" customFormat="1" ht="20.100000000000001" customHeight="1">
      <c r="A87" s="421"/>
      <c r="B87" s="421"/>
      <c r="C87" s="380" t="s">
        <v>1709</v>
      </c>
      <c r="D87" s="330" t="s">
        <v>1300</v>
      </c>
      <c r="E87" s="404">
        <f>1-'2.생활용수(연산)'!E62</f>
        <v>1</v>
      </c>
      <c r="F87" s="382" t="s">
        <v>756</v>
      </c>
      <c r="G87" s="302">
        <f>IF($W$3=0,0,IF($D87="A",ROUND(VLOOKUP($C87,'[2]2.행정구역별 급수인구'!$C$7:$AD$997,17,FALSE)*$E87,0),IF($D87="B",(ROUND(VLOOKUP($C87,'[2]2.행정구역별 급수인구'!$C$7:$AD$997,17,FALSE)-VLOOKUP($C87,'[2]2.행정구역별 급수인구'!$C$7:$AD$997,17,FALSE)*(1-$E87),0)),VLOOKUP($C87,'[2]2.행정구역별 급수인구'!$C$7:$AD$997,17,FALSE))))</f>
        <v>0</v>
      </c>
      <c r="H87" s="302">
        <f>IF($W$3=0,0,IF($D87="A",ROUND(VLOOKUP($C87,'[2]2.행정구역별 급수인구'!$C$7:$AD$997,25,FALSE)*$E87,0),IF($D87="B",(ROUND(VLOOKUP($C87,'[2]2.행정구역별 급수인구'!$C$7:$AD$997,25,FALSE)-VLOOKUP($C87,'[2]2.행정구역별 급수인구'!$C$7:$AD$997,25,FALSE)*(1-$E87),0)),VLOOKUP($C87,'[2]2.행정구역별 급수인구'!$C$7:$AD$997,25,FALSE))))</f>
        <v>0</v>
      </c>
      <c r="I87" s="302"/>
      <c r="J87" s="302"/>
      <c r="K87" s="302"/>
      <c r="L87" s="383">
        <f>VLOOKUP($F87,'[3]5.급수원단위'!$B$31:$G$35,2,FALSE)</f>
        <v>272</v>
      </c>
      <c r="M87" s="383">
        <f>VLOOKUP($F87,'[3]5.급수원단위'!$B$31:$G$35,3,FALSE)</f>
        <v>304</v>
      </c>
      <c r="N87" s="383">
        <f>VLOOKUP($F87,'[3]5.급수원단위'!$B$31:$G$35,4,FALSE)</f>
        <v>308</v>
      </c>
      <c r="O87" s="383">
        <f>VLOOKUP($F87,'[3]5.급수원단위'!$B$31:$G$35,5,FALSE)</f>
        <v>310</v>
      </c>
      <c r="P87" s="383">
        <f>VLOOKUP($F87,'[3]5.급수원단위'!$B$31:$G$35,6,FALSE)</f>
        <v>310</v>
      </c>
      <c r="Q87" s="302">
        <f>ROUND(IF(G87=0,0,VLOOKUP(C87,'2013실사용량 정리'!$D$6:$F$381,3,FALSE)),0)</f>
        <v>0</v>
      </c>
      <c r="R87" s="383">
        <f t="shared" si="20"/>
        <v>0</v>
      </c>
      <c r="S87" s="383">
        <f t="shared" si="20"/>
        <v>0</v>
      </c>
      <c r="T87" s="383">
        <f t="shared" si="20"/>
        <v>0</v>
      </c>
      <c r="U87" s="383">
        <f t="shared" si="20"/>
        <v>0</v>
      </c>
      <c r="Z87" s="413"/>
      <c r="AA87" s="413"/>
      <c r="AB87" s="413"/>
      <c r="AC87" s="413"/>
      <c r="AD87" s="413"/>
      <c r="AE87" s="413"/>
      <c r="AF87" s="413"/>
      <c r="AG87" s="413"/>
      <c r="AH87" s="413"/>
      <c r="AI87" s="413"/>
      <c r="AJ87" s="413"/>
      <c r="AK87" s="413"/>
      <c r="AL87" s="413"/>
      <c r="AM87" s="413"/>
      <c r="AN87" s="413"/>
      <c r="AO87" s="413"/>
      <c r="AP87" s="413"/>
      <c r="AQ87" s="413"/>
      <c r="AR87" s="413"/>
      <c r="AS87" s="413"/>
    </row>
    <row r="88" spans="1:45" s="412" customFormat="1" ht="20.100000000000001" customHeight="1">
      <c r="A88" s="421"/>
      <c r="B88" s="421"/>
      <c r="C88" s="380" t="s">
        <v>1710</v>
      </c>
      <c r="D88" s="330" t="s">
        <v>1300</v>
      </c>
      <c r="E88" s="404">
        <f>1-'2.생활용수(연산)'!E63</f>
        <v>1</v>
      </c>
      <c r="F88" s="382" t="s">
        <v>756</v>
      </c>
      <c r="G88" s="302">
        <f>IF($W$3=0,0,IF($D88="A",ROUND(VLOOKUP($C88,'[2]2.행정구역별 급수인구'!$C$7:$AD$997,17,FALSE)*$E88,0),IF($D88="B",(ROUND(VLOOKUP($C88,'[2]2.행정구역별 급수인구'!$C$7:$AD$997,17,FALSE)-VLOOKUP($C88,'[2]2.행정구역별 급수인구'!$C$7:$AD$997,17,FALSE)*(1-$E88),0)),VLOOKUP($C88,'[2]2.행정구역별 급수인구'!$C$7:$AD$997,17,FALSE))))</f>
        <v>0</v>
      </c>
      <c r="H88" s="302">
        <f>IF($W$3=0,0,IF($D88="A",ROUND(VLOOKUP($C88,'[2]2.행정구역별 급수인구'!$C$7:$AD$997,25,FALSE)*$E88,0),IF($D88="B",(ROUND(VLOOKUP($C88,'[2]2.행정구역별 급수인구'!$C$7:$AD$997,25,FALSE)-VLOOKUP($C88,'[2]2.행정구역별 급수인구'!$C$7:$AD$997,25,FALSE)*(1-$E88),0)),VLOOKUP($C88,'[2]2.행정구역별 급수인구'!$C$7:$AD$997,25,FALSE))))</f>
        <v>0</v>
      </c>
      <c r="I88" s="302"/>
      <c r="J88" s="302"/>
      <c r="K88" s="302"/>
      <c r="L88" s="383">
        <f>VLOOKUP($F88,'[3]5.급수원단위'!$B$31:$G$35,2,FALSE)</f>
        <v>272</v>
      </c>
      <c r="M88" s="383">
        <f>VLOOKUP($F88,'[3]5.급수원단위'!$B$31:$G$35,3,FALSE)</f>
        <v>304</v>
      </c>
      <c r="N88" s="383">
        <f>VLOOKUP($F88,'[3]5.급수원단위'!$B$31:$G$35,4,FALSE)</f>
        <v>308</v>
      </c>
      <c r="O88" s="383">
        <f>VLOOKUP($F88,'[3]5.급수원단위'!$B$31:$G$35,5,FALSE)</f>
        <v>310</v>
      </c>
      <c r="P88" s="383">
        <f>VLOOKUP($F88,'[3]5.급수원단위'!$B$31:$G$35,6,FALSE)</f>
        <v>310</v>
      </c>
      <c r="Q88" s="302">
        <f>ROUND(IF(G88=0,0,VLOOKUP(C88,'2013실사용량 정리'!$D$6:$F$381,3,FALSE)),0)</f>
        <v>0</v>
      </c>
      <c r="R88" s="383">
        <f t="shared" si="20"/>
        <v>0</v>
      </c>
      <c r="S88" s="383">
        <f t="shared" si="20"/>
        <v>0</v>
      </c>
      <c r="T88" s="383">
        <f t="shared" si="20"/>
        <v>0</v>
      </c>
      <c r="U88" s="383">
        <f t="shared" si="20"/>
        <v>0</v>
      </c>
      <c r="Z88" s="413"/>
      <c r="AA88" s="413"/>
      <c r="AB88" s="413"/>
      <c r="AC88" s="413"/>
      <c r="AD88" s="413"/>
      <c r="AE88" s="413"/>
      <c r="AF88" s="413"/>
      <c r="AG88" s="413"/>
      <c r="AH88" s="413"/>
      <c r="AI88" s="413"/>
      <c r="AJ88" s="413"/>
      <c r="AK88" s="413"/>
      <c r="AL88" s="413"/>
      <c r="AM88" s="413"/>
      <c r="AN88" s="413"/>
      <c r="AO88" s="413"/>
      <c r="AP88" s="413"/>
      <c r="AQ88" s="413"/>
      <c r="AR88" s="413"/>
      <c r="AS88" s="413"/>
    </row>
    <row r="89" spans="1:45" s="412" customFormat="1" ht="20.100000000000001" customHeight="1">
      <c r="A89" s="421"/>
      <c r="B89" s="421"/>
      <c r="C89" s="380" t="s">
        <v>1711</v>
      </c>
      <c r="D89" s="330" t="s">
        <v>1300</v>
      </c>
      <c r="E89" s="404">
        <f>1-'2.생활용수(연산)'!E64</f>
        <v>1</v>
      </c>
      <c r="F89" s="382" t="s">
        <v>756</v>
      </c>
      <c r="G89" s="302">
        <f>IF($W$3=0,0,IF($D89="A",ROUND(VLOOKUP($C89,'[2]2.행정구역별 급수인구'!$C$7:$AD$997,17,FALSE)*$E89,0),IF($D89="B",(ROUND(VLOOKUP($C89,'[2]2.행정구역별 급수인구'!$C$7:$AD$997,17,FALSE)-VLOOKUP($C89,'[2]2.행정구역별 급수인구'!$C$7:$AD$997,17,FALSE)*(1-$E89),0)),VLOOKUP($C89,'[2]2.행정구역별 급수인구'!$C$7:$AD$997,17,FALSE))))</f>
        <v>0</v>
      </c>
      <c r="H89" s="302">
        <f>IF($W$3=0,0,IF($D89="A",ROUND(VLOOKUP($C89,'[2]2.행정구역별 급수인구'!$C$7:$AD$997,25,FALSE)*$E89,0),IF($D89="B",(ROUND(VLOOKUP($C89,'[2]2.행정구역별 급수인구'!$C$7:$AD$997,25,FALSE)-VLOOKUP($C89,'[2]2.행정구역별 급수인구'!$C$7:$AD$997,25,FALSE)*(1-$E89),0)),VLOOKUP($C89,'[2]2.행정구역별 급수인구'!$C$7:$AD$997,25,FALSE))))</f>
        <v>0</v>
      </c>
      <c r="I89" s="302"/>
      <c r="J89" s="302"/>
      <c r="K89" s="302"/>
      <c r="L89" s="383">
        <f>VLOOKUP($F89,'[3]5.급수원단위'!$B$31:$G$35,2,FALSE)</f>
        <v>272</v>
      </c>
      <c r="M89" s="383">
        <f>VLOOKUP($F89,'[3]5.급수원단위'!$B$31:$G$35,3,FALSE)</f>
        <v>304</v>
      </c>
      <c r="N89" s="383">
        <f>VLOOKUP($F89,'[3]5.급수원단위'!$B$31:$G$35,4,FALSE)</f>
        <v>308</v>
      </c>
      <c r="O89" s="383">
        <f>VLOOKUP($F89,'[3]5.급수원단위'!$B$31:$G$35,5,FALSE)</f>
        <v>310</v>
      </c>
      <c r="P89" s="383">
        <f>VLOOKUP($F89,'[3]5.급수원단위'!$B$31:$G$35,6,FALSE)</f>
        <v>310</v>
      </c>
      <c r="Q89" s="302">
        <f>ROUND(IF(G89=0,0,VLOOKUP(C89,'2013실사용량 정리'!$D$6:$F$381,3,FALSE)),0)</f>
        <v>0</v>
      </c>
      <c r="R89" s="383">
        <f t="shared" si="20"/>
        <v>0</v>
      </c>
      <c r="S89" s="383">
        <f t="shared" si="20"/>
        <v>0</v>
      </c>
      <c r="T89" s="383">
        <f t="shared" si="20"/>
        <v>0</v>
      </c>
      <c r="U89" s="383">
        <f t="shared" si="20"/>
        <v>0</v>
      </c>
      <c r="Z89" s="413"/>
      <c r="AA89" s="413"/>
      <c r="AB89" s="413"/>
      <c r="AC89" s="413"/>
      <c r="AD89" s="413"/>
      <c r="AE89" s="413"/>
      <c r="AF89" s="413"/>
      <c r="AG89" s="413"/>
      <c r="AH89" s="413"/>
      <c r="AI89" s="413"/>
      <c r="AJ89" s="413"/>
      <c r="AK89" s="413"/>
      <c r="AL89" s="413"/>
      <c r="AM89" s="413"/>
      <c r="AN89" s="413"/>
      <c r="AO89" s="413"/>
      <c r="AP89" s="413"/>
      <c r="AQ89" s="413"/>
      <c r="AR89" s="413"/>
      <c r="AS89" s="413"/>
    </row>
    <row r="90" spans="1:45" s="412" customFormat="1" ht="20.100000000000001" customHeight="1">
      <c r="A90" s="421"/>
      <c r="B90" s="421"/>
      <c r="C90" s="380" t="s">
        <v>1712</v>
      </c>
      <c r="D90" s="330" t="s">
        <v>1300</v>
      </c>
      <c r="E90" s="404">
        <f>1-'2.생활용수(연산)'!E65</f>
        <v>1</v>
      </c>
      <c r="F90" s="382" t="s">
        <v>756</v>
      </c>
      <c r="G90" s="302">
        <f>IF($W$3=0,0,IF($D90="A",ROUND(VLOOKUP($C90,'[2]2.행정구역별 급수인구'!$C$7:$AD$997,17,FALSE)*$E90,0),IF($D90="B",(ROUND(VLOOKUP($C90,'[2]2.행정구역별 급수인구'!$C$7:$AD$997,17,FALSE)-VLOOKUP($C90,'[2]2.행정구역별 급수인구'!$C$7:$AD$997,17,FALSE)*(1-$E90),0)),VLOOKUP($C90,'[2]2.행정구역별 급수인구'!$C$7:$AD$997,17,FALSE))))</f>
        <v>0</v>
      </c>
      <c r="H90" s="302">
        <f>IF($W$3=0,0,IF($D90="A",ROUND(VLOOKUP($C90,'[2]2.행정구역별 급수인구'!$C$7:$AD$997,25,FALSE)*$E90,0),IF($D90="B",(ROUND(VLOOKUP($C90,'[2]2.행정구역별 급수인구'!$C$7:$AD$997,25,FALSE)-VLOOKUP($C90,'[2]2.행정구역별 급수인구'!$C$7:$AD$997,25,FALSE)*(1-$E90),0)),VLOOKUP($C90,'[2]2.행정구역별 급수인구'!$C$7:$AD$997,25,FALSE))))</f>
        <v>0</v>
      </c>
      <c r="I90" s="302"/>
      <c r="J90" s="302"/>
      <c r="K90" s="302"/>
      <c r="L90" s="383">
        <f>VLOOKUP($F90,'[3]5.급수원단위'!$B$31:$G$35,2,FALSE)</f>
        <v>272</v>
      </c>
      <c r="M90" s="383">
        <f>VLOOKUP($F90,'[3]5.급수원단위'!$B$31:$G$35,3,FALSE)</f>
        <v>304</v>
      </c>
      <c r="N90" s="383">
        <f>VLOOKUP($F90,'[3]5.급수원단위'!$B$31:$G$35,4,FALSE)</f>
        <v>308</v>
      </c>
      <c r="O90" s="383">
        <f>VLOOKUP($F90,'[3]5.급수원단위'!$B$31:$G$35,5,FALSE)</f>
        <v>310</v>
      </c>
      <c r="P90" s="383">
        <f>VLOOKUP($F90,'[3]5.급수원단위'!$B$31:$G$35,6,FALSE)</f>
        <v>310</v>
      </c>
      <c r="Q90" s="302">
        <f>ROUND(IF(G90=0,0,VLOOKUP(C90,'2013실사용량 정리'!$D$6:$F$381,3,FALSE)),0)</f>
        <v>0</v>
      </c>
      <c r="R90" s="383">
        <f t="shared" si="20"/>
        <v>0</v>
      </c>
      <c r="S90" s="383">
        <f t="shared" si="20"/>
        <v>0</v>
      </c>
      <c r="T90" s="383">
        <f t="shared" si="20"/>
        <v>0</v>
      </c>
      <c r="U90" s="383">
        <f t="shared" si="20"/>
        <v>0</v>
      </c>
      <c r="Z90" s="413"/>
      <c r="AA90" s="413"/>
      <c r="AB90" s="413"/>
      <c r="AC90" s="413"/>
      <c r="AD90" s="413"/>
      <c r="AE90" s="413"/>
      <c r="AF90" s="413"/>
      <c r="AG90" s="413"/>
      <c r="AH90" s="413"/>
      <c r="AI90" s="413"/>
      <c r="AJ90" s="413"/>
      <c r="AK90" s="413"/>
      <c r="AL90" s="413"/>
      <c r="AM90" s="413"/>
      <c r="AN90" s="413"/>
      <c r="AO90" s="413"/>
      <c r="AP90" s="413"/>
      <c r="AQ90" s="413"/>
      <c r="AR90" s="413"/>
      <c r="AS90" s="413"/>
    </row>
    <row r="91" spans="1:45" s="412" customFormat="1" ht="20.100000000000001" customHeight="1">
      <c r="A91" s="421"/>
      <c r="B91" s="421"/>
      <c r="C91" s="380" t="s">
        <v>1713</v>
      </c>
      <c r="D91" s="330" t="s">
        <v>1300</v>
      </c>
      <c r="E91" s="404">
        <f>1-'2.생활용수(연산)'!E66</f>
        <v>1</v>
      </c>
      <c r="F91" s="382" t="s">
        <v>756</v>
      </c>
      <c r="G91" s="302">
        <f>IF($W$3=0,0,IF($D91="A",ROUND(VLOOKUP($C91,'[2]2.행정구역별 급수인구'!$C$7:$AD$997,17,FALSE)*$E91,0),IF($D91="B",(ROUND(VLOOKUP($C91,'[2]2.행정구역별 급수인구'!$C$7:$AD$997,17,FALSE)-VLOOKUP($C91,'[2]2.행정구역별 급수인구'!$C$7:$AD$997,17,FALSE)*(1-$E91),0)),VLOOKUP($C91,'[2]2.행정구역별 급수인구'!$C$7:$AD$997,17,FALSE))))</f>
        <v>0</v>
      </c>
      <c r="H91" s="302">
        <f>IF($W$3=0,0,IF($D91="A",ROUND(VLOOKUP($C91,'[2]2.행정구역별 급수인구'!$C$7:$AD$997,25,FALSE)*$E91,0),IF($D91="B",(ROUND(VLOOKUP($C91,'[2]2.행정구역별 급수인구'!$C$7:$AD$997,25,FALSE)-VLOOKUP($C91,'[2]2.행정구역별 급수인구'!$C$7:$AD$997,25,FALSE)*(1-$E91),0)),VLOOKUP($C91,'[2]2.행정구역별 급수인구'!$C$7:$AD$997,25,FALSE))))</f>
        <v>187</v>
      </c>
      <c r="I91" s="302"/>
      <c r="J91" s="302"/>
      <c r="K91" s="302"/>
      <c r="L91" s="383">
        <f>VLOOKUP($F91,'[3]5.급수원단위'!$B$31:$G$35,2,FALSE)</f>
        <v>272</v>
      </c>
      <c r="M91" s="383">
        <f>VLOOKUP($F91,'[3]5.급수원단위'!$B$31:$G$35,3,FALSE)</f>
        <v>304</v>
      </c>
      <c r="N91" s="383">
        <f>VLOOKUP($F91,'[3]5.급수원단위'!$B$31:$G$35,4,FALSE)</f>
        <v>308</v>
      </c>
      <c r="O91" s="383">
        <f>VLOOKUP($F91,'[3]5.급수원단위'!$B$31:$G$35,5,FALSE)</f>
        <v>310</v>
      </c>
      <c r="P91" s="383">
        <f>VLOOKUP($F91,'[3]5.급수원단위'!$B$31:$G$35,6,FALSE)</f>
        <v>310</v>
      </c>
      <c r="Q91" s="302">
        <f>ROUND(IF(G91=0,0,VLOOKUP(C91,'2013실사용량 정리'!$D$6:$F$381,3,FALSE)),0)</f>
        <v>0</v>
      </c>
      <c r="R91" s="383">
        <f t="shared" si="20"/>
        <v>57</v>
      </c>
      <c r="S91" s="383">
        <f t="shared" si="20"/>
        <v>0</v>
      </c>
      <c r="T91" s="383">
        <f t="shared" si="20"/>
        <v>0</v>
      </c>
      <c r="U91" s="383">
        <f t="shared" si="20"/>
        <v>0</v>
      </c>
      <c r="Z91" s="413"/>
      <c r="AA91" s="413"/>
      <c r="AB91" s="413"/>
      <c r="AC91" s="413"/>
      <c r="AD91" s="413"/>
      <c r="AE91" s="413"/>
      <c r="AF91" s="413"/>
      <c r="AG91" s="413"/>
      <c r="AH91" s="413"/>
      <c r="AI91" s="413"/>
      <c r="AJ91" s="413"/>
      <c r="AK91" s="413"/>
      <c r="AL91" s="413"/>
      <c r="AM91" s="413"/>
      <c r="AN91" s="413"/>
      <c r="AO91" s="413"/>
      <c r="AP91" s="413"/>
      <c r="AQ91" s="413"/>
      <c r="AR91" s="413"/>
      <c r="AS91" s="413"/>
    </row>
    <row r="92" spans="1:45" s="412" customFormat="1" ht="20.100000000000001" customHeight="1">
      <c r="A92" s="421"/>
      <c r="B92" s="421"/>
      <c r="C92" s="380" t="s">
        <v>1714</v>
      </c>
      <c r="D92" s="330" t="s">
        <v>1300</v>
      </c>
      <c r="E92" s="404">
        <f>1-'2.생활용수(연산)'!E67</f>
        <v>1</v>
      </c>
      <c r="F92" s="382" t="s">
        <v>756</v>
      </c>
      <c r="G92" s="302">
        <f>IF($W$3=0,0,IF($D92="A",ROUND(VLOOKUP($C92,'[2]2.행정구역별 급수인구'!$C$7:$AD$997,17,FALSE)*$E92,0),IF($D92="B",(ROUND(VLOOKUP($C92,'[2]2.행정구역별 급수인구'!$C$7:$AD$997,17,FALSE)-VLOOKUP($C92,'[2]2.행정구역별 급수인구'!$C$7:$AD$997,17,FALSE)*(1-$E92),0)),VLOOKUP($C92,'[2]2.행정구역별 급수인구'!$C$7:$AD$997,17,FALSE))))</f>
        <v>0</v>
      </c>
      <c r="H92" s="302">
        <f>IF($W$3=0,0,IF($D92="A",ROUND(VLOOKUP($C92,'[2]2.행정구역별 급수인구'!$C$7:$AD$997,25,FALSE)*$E92,0),IF($D92="B",(ROUND(VLOOKUP($C92,'[2]2.행정구역별 급수인구'!$C$7:$AD$997,25,FALSE)-VLOOKUP($C92,'[2]2.행정구역별 급수인구'!$C$7:$AD$997,25,FALSE)*(1-$E92),0)),VLOOKUP($C92,'[2]2.행정구역별 급수인구'!$C$7:$AD$997,25,FALSE))))</f>
        <v>0</v>
      </c>
      <c r="I92" s="302"/>
      <c r="J92" s="302"/>
      <c r="K92" s="302"/>
      <c r="L92" s="383">
        <f>VLOOKUP($F92,'[3]5.급수원단위'!$B$31:$G$35,2,FALSE)</f>
        <v>272</v>
      </c>
      <c r="M92" s="383">
        <f>VLOOKUP($F92,'[3]5.급수원단위'!$B$31:$G$35,3,FALSE)</f>
        <v>304</v>
      </c>
      <c r="N92" s="383">
        <f>VLOOKUP($F92,'[3]5.급수원단위'!$B$31:$G$35,4,FALSE)</f>
        <v>308</v>
      </c>
      <c r="O92" s="383">
        <f>VLOOKUP($F92,'[3]5.급수원단위'!$B$31:$G$35,5,FALSE)</f>
        <v>310</v>
      </c>
      <c r="P92" s="383">
        <f>VLOOKUP($F92,'[3]5.급수원단위'!$B$31:$G$35,6,FALSE)</f>
        <v>310</v>
      </c>
      <c r="Q92" s="302">
        <f>ROUND(IF(G92=0,0,VLOOKUP(C92,'2013실사용량 정리'!$D$6:$F$381,3,FALSE)),0)</f>
        <v>0</v>
      </c>
      <c r="R92" s="383">
        <f t="shared" si="20"/>
        <v>0</v>
      </c>
      <c r="S92" s="383">
        <f t="shared" si="20"/>
        <v>0</v>
      </c>
      <c r="T92" s="383">
        <f t="shared" si="20"/>
        <v>0</v>
      </c>
      <c r="U92" s="383">
        <f t="shared" si="20"/>
        <v>0</v>
      </c>
      <c r="Z92" s="413"/>
      <c r="AA92" s="413"/>
      <c r="AB92" s="413"/>
      <c r="AC92" s="413"/>
      <c r="AD92" s="413"/>
      <c r="AE92" s="413"/>
      <c r="AF92" s="413"/>
      <c r="AG92" s="413"/>
      <c r="AH92" s="413"/>
      <c r="AI92" s="413"/>
      <c r="AJ92" s="413"/>
      <c r="AK92" s="413"/>
      <c r="AL92" s="413"/>
      <c r="AM92" s="413"/>
      <c r="AN92" s="413"/>
      <c r="AO92" s="413"/>
      <c r="AP92" s="413"/>
      <c r="AQ92" s="413"/>
      <c r="AR92" s="413"/>
      <c r="AS92" s="413"/>
    </row>
    <row r="93" spans="1:45" s="412" customFormat="1" ht="20.100000000000001" customHeight="1">
      <c r="A93" s="421"/>
      <c r="B93" s="421"/>
      <c r="C93" s="380" t="s">
        <v>1715</v>
      </c>
      <c r="D93" s="330" t="s">
        <v>1300</v>
      </c>
      <c r="E93" s="404">
        <f>1-'2.생활용수(연산)'!E68</f>
        <v>1</v>
      </c>
      <c r="F93" s="382" t="s">
        <v>756</v>
      </c>
      <c r="G93" s="302">
        <f>IF($W$3=0,0,IF($D93="A",ROUND(VLOOKUP($C93,'[2]2.행정구역별 급수인구'!$C$7:$AD$997,17,FALSE)*$E93,0),IF($D93="B",(ROUND(VLOOKUP($C93,'[2]2.행정구역별 급수인구'!$C$7:$AD$997,17,FALSE)-VLOOKUP($C93,'[2]2.행정구역별 급수인구'!$C$7:$AD$997,17,FALSE)*(1-$E93),0)),VLOOKUP($C93,'[2]2.행정구역별 급수인구'!$C$7:$AD$997,17,FALSE))))</f>
        <v>0</v>
      </c>
      <c r="H93" s="302">
        <f>IF($W$3=0,0,IF($D93="A",ROUND(VLOOKUP($C93,'[2]2.행정구역별 급수인구'!$C$7:$AD$997,25,FALSE)*$E93,0),IF($D93="B",(ROUND(VLOOKUP($C93,'[2]2.행정구역별 급수인구'!$C$7:$AD$997,25,FALSE)-VLOOKUP($C93,'[2]2.행정구역별 급수인구'!$C$7:$AD$997,25,FALSE)*(1-$E93),0)),VLOOKUP($C93,'[2]2.행정구역별 급수인구'!$C$7:$AD$997,25,FALSE))))</f>
        <v>125</v>
      </c>
      <c r="I93" s="302"/>
      <c r="J93" s="302"/>
      <c r="K93" s="302"/>
      <c r="L93" s="383">
        <f>VLOOKUP($F93,'[3]5.급수원단위'!$B$31:$G$35,2,FALSE)</f>
        <v>272</v>
      </c>
      <c r="M93" s="383">
        <f>VLOOKUP($F93,'[3]5.급수원단위'!$B$31:$G$35,3,FALSE)</f>
        <v>304</v>
      </c>
      <c r="N93" s="383">
        <f>VLOOKUP($F93,'[3]5.급수원단위'!$B$31:$G$35,4,FALSE)</f>
        <v>308</v>
      </c>
      <c r="O93" s="383">
        <f>VLOOKUP($F93,'[3]5.급수원단위'!$B$31:$G$35,5,FALSE)</f>
        <v>310</v>
      </c>
      <c r="P93" s="383">
        <f>VLOOKUP($F93,'[3]5.급수원단위'!$B$31:$G$35,6,FALSE)</f>
        <v>310</v>
      </c>
      <c r="Q93" s="302">
        <f>ROUND(IF(G93=0,0,VLOOKUP(C93,'2013실사용량 정리'!$D$6:$F$381,3,FALSE)),0)</f>
        <v>0</v>
      </c>
      <c r="R93" s="383">
        <f t="shared" si="20"/>
        <v>38</v>
      </c>
      <c r="S93" s="383">
        <f t="shared" si="20"/>
        <v>0</v>
      </c>
      <c r="T93" s="383">
        <f t="shared" si="20"/>
        <v>0</v>
      </c>
      <c r="U93" s="383">
        <f t="shared" si="20"/>
        <v>0</v>
      </c>
      <c r="Z93" s="413"/>
      <c r="AA93" s="413"/>
      <c r="AB93" s="413"/>
      <c r="AC93" s="413"/>
      <c r="AD93" s="413"/>
      <c r="AE93" s="413"/>
      <c r="AF93" s="413"/>
      <c r="AG93" s="413"/>
      <c r="AH93" s="413"/>
      <c r="AI93" s="413"/>
      <c r="AJ93" s="413"/>
      <c r="AK93" s="413"/>
      <c r="AL93" s="413"/>
      <c r="AM93" s="413"/>
      <c r="AN93" s="413"/>
      <c r="AO93" s="413"/>
      <c r="AP93" s="413"/>
      <c r="AQ93" s="413"/>
      <c r="AR93" s="413"/>
      <c r="AS93" s="413"/>
    </row>
    <row r="94" spans="1:45" s="412" customFormat="1" ht="20.100000000000001" customHeight="1">
      <c r="A94" s="421"/>
      <c r="B94" s="421"/>
      <c r="C94" s="380" t="s">
        <v>1716</v>
      </c>
      <c r="D94" s="330" t="s">
        <v>1300</v>
      </c>
      <c r="E94" s="404">
        <f>1-'2.생활용수(연산)'!E69</f>
        <v>1</v>
      </c>
      <c r="F94" s="382" t="s">
        <v>756</v>
      </c>
      <c r="G94" s="302">
        <f>IF($W$3=0,0,IF($D94="A",ROUND(VLOOKUP($C94,'[2]2.행정구역별 급수인구'!$C$7:$AD$997,17,FALSE)*$E94,0),IF($D94="B",(ROUND(VLOOKUP($C94,'[2]2.행정구역별 급수인구'!$C$7:$AD$997,17,FALSE)-VLOOKUP($C94,'[2]2.행정구역별 급수인구'!$C$7:$AD$997,17,FALSE)*(1-$E94),0)),VLOOKUP($C94,'[2]2.행정구역별 급수인구'!$C$7:$AD$997,17,FALSE))))</f>
        <v>0</v>
      </c>
      <c r="H94" s="302">
        <f>IF($W$3=0,0,IF($D94="A",ROUND(VLOOKUP($C94,'[2]2.행정구역별 급수인구'!$C$7:$AD$997,25,FALSE)*$E94,0),IF($D94="B",(ROUND(VLOOKUP($C94,'[2]2.행정구역별 급수인구'!$C$7:$AD$997,25,FALSE)-VLOOKUP($C94,'[2]2.행정구역별 급수인구'!$C$7:$AD$997,25,FALSE)*(1-$E94),0)),VLOOKUP($C94,'[2]2.행정구역별 급수인구'!$C$7:$AD$997,25,FALSE))))</f>
        <v>118</v>
      </c>
      <c r="I94" s="302"/>
      <c r="J94" s="302"/>
      <c r="K94" s="302"/>
      <c r="L94" s="383">
        <f>VLOOKUP($F94,'[3]5.급수원단위'!$B$31:$G$35,2,FALSE)</f>
        <v>272</v>
      </c>
      <c r="M94" s="383">
        <f>VLOOKUP($F94,'[3]5.급수원단위'!$B$31:$G$35,3,FALSE)</f>
        <v>304</v>
      </c>
      <c r="N94" s="383">
        <f>VLOOKUP($F94,'[3]5.급수원단위'!$B$31:$G$35,4,FALSE)</f>
        <v>308</v>
      </c>
      <c r="O94" s="383">
        <f>VLOOKUP($F94,'[3]5.급수원단위'!$B$31:$G$35,5,FALSE)</f>
        <v>310</v>
      </c>
      <c r="P94" s="383">
        <f>VLOOKUP($F94,'[3]5.급수원단위'!$B$31:$G$35,6,FALSE)</f>
        <v>310</v>
      </c>
      <c r="Q94" s="302">
        <f>ROUND(IF(G94=0,0,VLOOKUP(C94,'2013실사용량 정리'!$D$6:$F$381,3,FALSE)),0)</f>
        <v>0</v>
      </c>
      <c r="R94" s="383">
        <f t="shared" si="20"/>
        <v>36</v>
      </c>
      <c r="S94" s="383">
        <f t="shared" si="20"/>
        <v>0</v>
      </c>
      <c r="T94" s="383">
        <f t="shared" si="20"/>
        <v>0</v>
      </c>
      <c r="U94" s="383">
        <f t="shared" si="20"/>
        <v>0</v>
      </c>
      <c r="Z94" s="413"/>
      <c r="AA94" s="413"/>
      <c r="AB94" s="413"/>
      <c r="AC94" s="413"/>
      <c r="AD94" s="413"/>
      <c r="AE94" s="413"/>
      <c r="AF94" s="413"/>
      <c r="AG94" s="413"/>
      <c r="AH94" s="413"/>
      <c r="AI94" s="413"/>
      <c r="AJ94" s="413"/>
      <c r="AK94" s="413"/>
      <c r="AL94" s="413"/>
      <c r="AM94" s="413"/>
      <c r="AN94" s="413"/>
      <c r="AO94" s="413"/>
      <c r="AP94" s="413"/>
      <c r="AQ94" s="413"/>
      <c r="AR94" s="413"/>
      <c r="AS94" s="413"/>
    </row>
    <row r="95" spans="1:45" s="412" customFormat="1" ht="20.100000000000001" customHeight="1">
      <c r="A95" s="421"/>
      <c r="B95" s="421"/>
      <c r="C95" s="380" t="s">
        <v>1717</v>
      </c>
      <c r="D95" s="330" t="s">
        <v>1300</v>
      </c>
      <c r="E95" s="404">
        <f>1-'2.생활용수(연산)'!E70</f>
        <v>1</v>
      </c>
      <c r="F95" s="382" t="s">
        <v>756</v>
      </c>
      <c r="G95" s="302">
        <f>IF($W$3=0,0,IF($D95="A",ROUND(VLOOKUP($C95,'[2]2.행정구역별 급수인구'!$C$7:$AD$997,17,FALSE)*$E95,0),IF($D95="B",(ROUND(VLOOKUP($C95,'[2]2.행정구역별 급수인구'!$C$7:$AD$997,17,FALSE)-VLOOKUP($C95,'[2]2.행정구역별 급수인구'!$C$7:$AD$997,17,FALSE)*(1-$E95),0)),VLOOKUP($C95,'[2]2.행정구역별 급수인구'!$C$7:$AD$997,17,FALSE))))</f>
        <v>0</v>
      </c>
      <c r="H95" s="302">
        <f>IF($W$3=0,0,IF($D95="A",ROUND(VLOOKUP($C95,'[2]2.행정구역별 급수인구'!$C$7:$AD$997,25,FALSE)*$E95,0),IF($D95="B",(ROUND(VLOOKUP($C95,'[2]2.행정구역별 급수인구'!$C$7:$AD$997,25,FALSE)-VLOOKUP($C95,'[2]2.행정구역별 급수인구'!$C$7:$AD$997,25,FALSE)*(1-$E95),0)),VLOOKUP($C95,'[2]2.행정구역별 급수인구'!$C$7:$AD$997,25,FALSE))))</f>
        <v>141</v>
      </c>
      <c r="I95" s="302"/>
      <c r="J95" s="302"/>
      <c r="K95" s="302"/>
      <c r="L95" s="383">
        <f>VLOOKUP($F95,'[3]5.급수원단위'!$B$31:$G$35,2,FALSE)</f>
        <v>272</v>
      </c>
      <c r="M95" s="383">
        <f>VLOOKUP($F95,'[3]5.급수원단위'!$B$31:$G$35,3,FALSE)</f>
        <v>304</v>
      </c>
      <c r="N95" s="383">
        <f>VLOOKUP($F95,'[3]5.급수원단위'!$B$31:$G$35,4,FALSE)</f>
        <v>308</v>
      </c>
      <c r="O95" s="383">
        <f>VLOOKUP($F95,'[3]5.급수원단위'!$B$31:$G$35,5,FALSE)</f>
        <v>310</v>
      </c>
      <c r="P95" s="383">
        <f>VLOOKUP($F95,'[3]5.급수원단위'!$B$31:$G$35,6,FALSE)</f>
        <v>310</v>
      </c>
      <c r="Q95" s="302">
        <f>ROUND(IF(G95=0,0,VLOOKUP(C95,'2013실사용량 정리'!$D$6:$F$381,3,FALSE)),0)</f>
        <v>0</v>
      </c>
      <c r="R95" s="383">
        <f t="shared" si="20"/>
        <v>43</v>
      </c>
      <c r="S95" s="383">
        <f t="shared" si="20"/>
        <v>0</v>
      </c>
      <c r="T95" s="383">
        <f t="shared" si="20"/>
        <v>0</v>
      </c>
      <c r="U95" s="383">
        <f t="shared" si="20"/>
        <v>0</v>
      </c>
      <c r="Z95" s="413"/>
      <c r="AA95" s="413"/>
      <c r="AB95" s="413"/>
      <c r="AC95" s="413"/>
      <c r="AD95" s="413"/>
      <c r="AE95" s="413"/>
      <c r="AF95" s="413"/>
      <c r="AG95" s="413"/>
      <c r="AH95" s="413"/>
      <c r="AI95" s="413"/>
      <c r="AJ95" s="413"/>
      <c r="AK95" s="413"/>
      <c r="AL95" s="413"/>
      <c r="AM95" s="413"/>
      <c r="AN95" s="413"/>
      <c r="AO95" s="413"/>
      <c r="AP95" s="413"/>
      <c r="AQ95" s="413"/>
      <c r="AR95" s="413"/>
      <c r="AS95" s="413"/>
    </row>
    <row r="96" spans="1:45" s="412" customFormat="1" ht="20.100000000000001" customHeight="1">
      <c r="A96" s="421"/>
      <c r="B96" s="421"/>
      <c r="C96" s="380" t="s">
        <v>1718</v>
      </c>
      <c r="D96" s="330" t="s">
        <v>1300</v>
      </c>
      <c r="E96" s="404">
        <f>1-'2.생활용수(연산)'!E71</f>
        <v>1</v>
      </c>
      <c r="F96" s="382" t="s">
        <v>756</v>
      </c>
      <c r="G96" s="302">
        <f>IF($W$3=0,0,IF($D96="A",ROUND(VLOOKUP($C96,'[2]2.행정구역별 급수인구'!$C$7:$AD$997,17,FALSE)*$E96,0),IF($D96="B",(ROUND(VLOOKUP($C96,'[2]2.행정구역별 급수인구'!$C$7:$AD$997,17,FALSE)-VLOOKUP($C96,'[2]2.행정구역별 급수인구'!$C$7:$AD$997,17,FALSE)*(1-$E96),0)),VLOOKUP($C96,'[2]2.행정구역별 급수인구'!$C$7:$AD$997,17,FALSE))))</f>
        <v>0</v>
      </c>
      <c r="H96" s="302">
        <f>IF($W$3=0,0,IF($D96="A",ROUND(VLOOKUP($C96,'[2]2.행정구역별 급수인구'!$C$7:$AD$997,25,FALSE)*$E96,0),IF($D96="B",(ROUND(VLOOKUP($C96,'[2]2.행정구역별 급수인구'!$C$7:$AD$997,25,FALSE)-VLOOKUP($C96,'[2]2.행정구역별 급수인구'!$C$7:$AD$997,25,FALSE)*(1-$E96),0)),VLOOKUP($C96,'[2]2.행정구역별 급수인구'!$C$7:$AD$997,25,FALSE))))</f>
        <v>77</v>
      </c>
      <c r="I96" s="302"/>
      <c r="J96" s="302"/>
      <c r="K96" s="302"/>
      <c r="L96" s="383">
        <f>VLOOKUP($F96,'[3]5.급수원단위'!$B$31:$G$35,2,FALSE)</f>
        <v>272</v>
      </c>
      <c r="M96" s="383">
        <f>VLOOKUP($F96,'[3]5.급수원단위'!$B$31:$G$35,3,FALSE)</f>
        <v>304</v>
      </c>
      <c r="N96" s="383">
        <f>VLOOKUP($F96,'[3]5.급수원단위'!$B$31:$G$35,4,FALSE)</f>
        <v>308</v>
      </c>
      <c r="O96" s="383">
        <f>VLOOKUP($F96,'[3]5.급수원단위'!$B$31:$G$35,5,FALSE)</f>
        <v>310</v>
      </c>
      <c r="P96" s="383">
        <f>VLOOKUP($F96,'[3]5.급수원단위'!$B$31:$G$35,6,FALSE)</f>
        <v>310</v>
      </c>
      <c r="Q96" s="302">
        <f>ROUND(IF(G96=0,0,VLOOKUP(C96,'2013실사용량 정리'!$D$6:$F$381,3,FALSE)),0)</f>
        <v>0</v>
      </c>
      <c r="R96" s="383">
        <f t="shared" si="20"/>
        <v>23</v>
      </c>
      <c r="S96" s="383">
        <f t="shared" si="20"/>
        <v>0</v>
      </c>
      <c r="T96" s="383">
        <f t="shared" si="20"/>
        <v>0</v>
      </c>
      <c r="U96" s="383">
        <f t="shared" si="20"/>
        <v>0</v>
      </c>
      <c r="Z96" s="413"/>
      <c r="AA96" s="413"/>
      <c r="AB96" s="413"/>
      <c r="AC96" s="413"/>
      <c r="AD96" s="413"/>
      <c r="AE96" s="413"/>
      <c r="AF96" s="413"/>
      <c r="AG96" s="413"/>
      <c r="AH96" s="413"/>
      <c r="AI96" s="413"/>
      <c r="AJ96" s="413"/>
      <c r="AK96" s="413"/>
      <c r="AL96" s="413"/>
      <c r="AM96" s="413"/>
      <c r="AN96" s="413"/>
      <c r="AO96" s="413"/>
      <c r="AP96" s="413"/>
      <c r="AQ96" s="413"/>
      <c r="AR96" s="413"/>
      <c r="AS96" s="413"/>
    </row>
    <row r="97" spans="1:45" s="412" customFormat="1" ht="20.100000000000001" customHeight="1">
      <c r="A97" s="421"/>
      <c r="B97" s="421"/>
      <c r="C97" s="380" t="s">
        <v>1719</v>
      </c>
      <c r="D97" s="330" t="s">
        <v>1300</v>
      </c>
      <c r="E97" s="404">
        <f>1-'2.생활용수(연산)'!E72</f>
        <v>1</v>
      </c>
      <c r="F97" s="382" t="s">
        <v>756</v>
      </c>
      <c r="G97" s="302">
        <f>IF($W$3=0,0,IF($D97="A",ROUND(VLOOKUP($C97,'[2]2.행정구역별 급수인구'!$C$7:$AD$997,17,FALSE)*$E97,0),IF($D97="B",(ROUND(VLOOKUP($C97,'[2]2.행정구역별 급수인구'!$C$7:$AD$997,17,FALSE)-VLOOKUP($C97,'[2]2.행정구역별 급수인구'!$C$7:$AD$997,17,FALSE)*(1-$E97),0)),VLOOKUP($C97,'[2]2.행정구역별 급수인구'!$C$7:$AD$997,17,FALSE))))</f>
        <v>0</v>
      </c>
      <c r="H97" s="302">
        <f>IF($W$3=0,0,IF($D97="A",ROUND(VLOOKUP($C97,'[2]2.행정구역별 급수인구'!$C$7:$AD$997,25,FALSE)*$E97,0),IF($D97="B",(ROUND(VLOOKUP($C97,'[2]2.행정구역별 급수인구'!$C$7:$AD$997,25,FALSE)-VLOOKUP($C97,'[2]2.행정구역별 급수인구'!$C$7:$AD$997,25,FALSE)*(1-$E97),0)),VLOOKUP($C97,'[2]2.행정구역별 급수인구'!$C$7:$AD$997,25,FALSE))))</f>
        <v>48</v>
      </c>
      <c r="I97" s="302"/>
      <c r="J97" s="302"/>
      <c r="K97" s="302"/>
      <c r="L97" s="383">
        <f>VLOOKUP($F97,'[3]5.급수원단위'!$B$31:$G$35,2,FALSE)</f>
        <v>272</v>
      </c>
      <c r="M97" s="383">
        <f>VLOOKUP($F97,'[3]5.급수원단위'!$B$31:$G$35,3,FALSE)</f>
        <v>304</v>
      </c>
      <c r="N97" s="383">
        <f>VLOOKUP($F97,'[3]5.급수원단위'!$B$31:$G$35,4,FALSE)</f>
        <v>308</v>
      </c>
      <c r="O97" s="383">
        <f>VLOOKUP($F97,'[3]5.급수원단위'!$B$31:$G$35,5,FALSE)</f>
        <v>310</v>
      </c>
      <c r="P97" s="383">
        <f>VLOOKUP($F97,'[3]5.급수원단위'!$B$31:$G$35,6,FALSE)</f>
        <v>310</v>
      </c>
      <c r="Q97" s="302">
        <f>ROUND(IF(G97=0,0,VLOOKUP(C97,'2013실사용량 정리'!$D$6:$F$381,3,FALSE)),0)</f>
        <v>0</v>
      </c>
      <c r="R97" s="383">
        <f t="shared" si="20"/>
        <v>15</v>
      </c>
      <c r="S97" s="383">
        <f t="shared" si="20"/>
        <v>0</v>
      </c>
      <c r="T97" s="383">
        <f t="shared" si="20"/>
        <v>0</v>
      </c>
      <c r="U97" s="383">
        <f t="shared" si="20"/>
        <v>0</v>
      </c>
      <c r="Z97" s="413"/>
      <c r="AA97" s="413"/>
      <c r="AB97" s="413"/>
      <c r="AC97" s="413"/>
      <c r="AD97" s="413"/>
      <c r="AE97" s="413"/>
      <c r="AF97" s="413"/>
      <c r="AG97" s="413"/>
      <c r="AH97" s="413"/>
      <c r="AI97" s="413"/>
      <c r="AJ97" s="413"/>
      <c r="AK97" s="413"/>
      <c r="AL97" s="413"/>
      <c r="AM97" s="413"/>
      <c r="AN97" s="413"/>
      <c r="AO97" s="413"/>
      <c r="AP97" s="413"/>
      <c r="AQ97" s="413"/>
      <c r="AR97" s="413"/>
      <c r="AS97" s="413"/>
    </row>
    <row r="98" spans="1:45" s="412" customFormat="1" ht="20.100000000000001" customHeight="1">
      <c r="A98" s="421"/>
      <c r="B98" s="421"/>
      <c r="C98" s="380" t="s">
        <v>1720</v>
      </c>
      <c r="D98" s="330" t="s">
        <v>1300</v>
      </c>
      <c r="E98" s="404">
        <f>1-'2.생활용수(연산)'!E73</f>
        <v>1</v>
      </c>
      <c r="F98" s="382" t="s">
        <v>756</v>
      </c>
      <c r="G98" s="302">
        <f>IF($W$3=0,0,IF($D98="A",ROUND(VLOOKUP($C98,'[2]2.행정구역별 급수인구'!$C$7:$AD$997,17,FALSE)*$E98,0),IF($D98="B",(ROUND(VLOOKUP($C98,'[2]2.행정구역별 급수인구'!$C$7:$AD$997,17,FALSE)-VLOOKUP($C98,'[2]2.행정구역별 급수인구'!$C$7:$AD$997,17,FALSE)*(1-$E98),0)),VLOOKUP($C98,'[2]2.행정구역별 급수인구'!$C$7:$AD$997,17,FALSE))))</f>
        <v>0</v>
      </c>
      <c r="H98" s="302">
        <f>IF($W$3=0,0,IF($D98="A",ROUND(VLOOKUP($C98,'[2]2.행정구역별 급수인구'!$C$7:$AD$997,25,FALSE)*$E98,0),IF($D98="B",(ROUND(VLOOKUP($C98,'[2]2.행정구역별 급수인구'!$C$7:$AD$997,25,FALSE)-VLOOKUP($C98,'[2]2.행정구역별 급수인구'!$C$7:$AD$997,25,FALSE)*(1-$E98),0)),VLOOKUP($C98,'[2]2.행정구역별 급수인구'!$C$7:$AD$997,25,FALSE))))</f>
        <v>122</v>
      </c>
      <c r="I98" s="302"/>
      <c r="J98" s="302"/>
      <c r="K98" s="302"/>
      <c r="L98" s="383">
        <f>VLOOKUP($F98,'[3]5.급수원단위'!$B$31:$G$35,2,FALSE)</f>
        <v>272</v>
      </c>
      <c r="M98" s="383">
        <f>VLOOKUP($F98,'[3]5.급수원단위'!$B$31:$G$35,3,FALSE)</f>
        <v>304</v>
      </c>
      <c r="N98" s="383">
        <f>VLOOKUP($F98,'[3]5.급수원단위'!$B$31:$G$35,4,FALSE)</f>
        <v>308</v>
      </c>
      <c r="O98" s="383">
        <f>VLOOKUP($F98,'[3]5.급수원단위'!$B$31:$G$35,5,FALSE)</f>
        <v>310</v>
      </c>
      <c r="P98" s="383">
        <f>VLOOKUP($F98,'[3]5.급수원단위'!$B$31:$G$35,6,FALSE)</f>
        <v>310</v>
      </c>
      <c r="Q98" s="302">
        <f>ROUND(IF(G98=0,0,VLOOKUP(C98,'2013실사용량 정리'!$D$6:$F$381,3,FALSE)),0)</f>
        <v>0</v>
      </c>
      <c r="R98" s="383">
        <f t="shared" si="20"/>
        <v>37</v>
      </c>
      <c r="S98" s="383">
        <f t="shared" si="20"/>
        <v>0</v>
      </c>
      <c r="T98" s="383">
        <f t="shared" si="20"/>
        <v>0</v>
      </c>
      <c r="U98" s="383">
        <f t="shared" si="20"/>
        <v>0</v>
      </c>
      <c r="Z98" s="413"/>
      <c r="AA98" s="413"/>
      <c r="AB98" s="413"/>
      <c r="AC98" s="413"/>
      <c r="AD98" s="413"/>
      <c r="AE98" s="413"/>
      <c r="AF98" s="413"/>
      <c r="AG98" s="413"/>
      <c r="AH98" s="413"/>
      <c r="AI98" s="413"/>
      <c r="AJ98" s="413"/>
      <c r="AK98" s="413"/>
      <c r="AL98" s="413"/>
      <c r="AM98" s="413"/>
      <c r="AN98" s="413"/>
      <c r="AO98" s="413"/>
      <c r="AP98" s="413"/>
      <c r="AQ98" s="413"/>
      <c r="AR98" s="413"/>
      <c r="AS98" s="413"/>
    </row>
    <row r="99" spans="1:45" s="412" customFormat="1" ht="20.100000000000001" customHeight="1">
      <c r="A99" s="422"/>
      <c r="B99" s="422"/>
      <c r="C99" s="380" t="s">
        <v>1721</v>
      </c>
      <c r="D99" s="330" t="s">
        <v>1300</v>
      </c>
      <c r="E99" s="404">
        <f>1-'2.생활용수(연산)'!E74</f>
        <v>1</v>
      </c>
      <c r="F99" s="382" t="s">
        <v>756</v>
      </c>
      <c r="G99" s="302">
        <f>IF($W$3=0,0,IF($D99="A",ROUND(VLOOKUP($C99,'[2]2.행정구역별 급수인구'!$C$7:$AD$997,17,FALSE)*$E99,0),IF($D99="B",(ROUND(VLOOKUP($C99,'[2]2.행정구역별 급수인구'!$C$7:$AD$997,17,FALSE)-VLOOKUP($C99,'[2]2.행정구역별 급수인구'!$C$7:$AD$997,17,FALSE)*(1-$E99),0)),VLOOKUP($C99,'[2]2.행정구역별 급수인구'!$C$7:$AD$997,17,FALSE))))</f>
        <v>0</v>
      </c>
      <c r="H99" s="302">
        <f>IF($W$3=0,0,IF($D99="A",ROUND(VLOOKUP($C99,'[2]2.행정구역별 급수인구'!$C$7:$AD$997,25,FALSE)*$E99,0),IF($D99="B",(ROUND(VLOOKUP($C99,'[2]2.행정구역별 급수인구'!$C$7:$AD$997,25,FALSE)-VLOOKUP($C99,'[2]2.행정구역별 급수인구'!$C$7:$AD$997,25,FALSE)*(1-$E99),0)),VLOOKUP($C99,'[2]2.행정구역별 급수인구'!$C$7:$AD$997,25,FALSE))))</f>
        <v>82</v>
      </c>
      <c r="I99" s="302"/>
      <c r="J99" s="302"/>
      <c r="K99" s="302"/>
      <c r="L99" s="383">
        <f>VLOOKUP($F99,'[3]5.급수원단위'!$B$31:$G$35,2,FALSE)</f>
        <v>272</v>
      </c>
      <c r="M99" s="383">
        <f>VLOOKUP($F99,'[3]5.급수원단위'!$B$31:$G$35,3,FALSE)</f>
        <v>304</v>
      </c>
      <c r="N99" s="383">
        <f>VLOOKUP($F99,'[3]5.급수원단위'!$B$31:$G$35,4,FALSE)</f>
        <v>308</v>
      </c>
      <c r="O99" s="383">
        <f>VLOOKUP($F99,'[3]5.급수원단위'!$B$31:$G$35,5,FALSE)</f>
        <v>310</v>
      </c>
      <c r="P99" s="383">
        <f>VLOOKUP($F99,'[3]5.급수원단위'!$B$31:$G$35,6,FALSE)</f>
        <v>310</v>
      </c>
      <c r="Q99" s="302">
        <f>ROUND(IF(G99=0,0,VLOOKUP(C99,'2013실사용량 정리'!$D$6:$F$381,3,FALSE)),0)</f>
        <v>0</v>
      </c>
      <c r="R99" s="383">
        <f t="shared" si="20"/>
        <v>25</v>
      </c>
      <c r="S99" s="383">
        <f t="shared" si="20"/>
        <v>0</v>
      </c>
      <c r="T99" s="383">
        <f t="shared" si="20"/>
        <v>0</v>
      </c>
      <c r="U99" s="383">
        <f t="shared" si="20"/>
        <v>0</v>
      </c>
      <c r="Z99" s="413"/>
      <c r="AA99" s="413"/>
      <c r="AB99" s="413"/>
      <c r="AC99" s="413"/>
      <c r="AD99" s="413"/>
      <c r="AE99" s="413"/>
      <c r="AF99" s="413"/>
      <c r="AG99" s="413"/>
      <c r="AH99" s="413"/>
      <c r="AI99" s="413"/>
      <c r="AJ99" s="413"/>
      <c r="AK99" s="413"/>
      <c r="AL99" s="413"/>
      <c r="AM99" s="413"/>
      <c r="AN99" s="413"/>
      <c r="AO99" s="413"/>
      <c r="AP99" s="413"/>
      <c r="AQ99" s="413"/>
      <c r="AR99" s="413"/>
      <c r="AS99" s="413"/>
    </row>
    <row r="100" spans="1:45" ht="20.100000000000001" customHeight="1">
      <c r="A100" s="405"/>
      <c r="B100" s="405"/>
      <c r="C100" s="405"/>
      <c r="D100" s="405"/>
      <c r="E100" s="405"/>
      <c r="F100" s="405"/>
      <c r="G100" s="405"/>
      <c r="H100" s="405"/>
      <c r="I100" s="405"/>
      <c r="J100" s="405"/>
      <c r="K100" s="405"/>
      <c r="L100" s="405"/>
      <c r="M100" s="405"/>
      <c r="N100" s="405"/>
      <c r="O100" s="405"/>
      <c r="P100" s="405"/>
      <c r="Q100" s="405"/>
      <c r="R100" s="405"/>
      <c r="S100" s="405"/>
      <c r="T100" s="405"/>
      <c r="U100" s="405"/>
    </row>
  </sheetData>
  <autoFilter ref="A4:AS99">
    <filterColumn colId="0" showButton="0"/>
    <filterColumn colId="1" showButton="0"/>
    <filterColumn colId="2" showButton="0"/>
    <filterColumn colId="4">
      <filters>
        <filter val="1"/>
      </filters>
    </filterColumn>
  </autoFilter>
  <mergeCells count="13">
    <mergeCell ref="B73:D73"/>
    <mergeCell ref="A5:D5"/>
    <mergeCell ref="B7:D7"/>
    <mergeCell ref="B34:D34"/>
    <mergeCell ref="A3:D4"/>
    <mergeCell ref="A72:D72"/>
    <mergeCell ref="A6:D6"/>
    <mergeCell ref="B45:D45"/>
    <mergeCell ref="E3:E4"/>
    <mergeCell ref="F3:F4"/>
    <mergeCell ref="G3:K3"/>
    <mergeCell ref="L3:P3"/>
    <mergeCell ref="Q3:U3"/>
  </mergeCells>
  <phoneticPr fontId="3" type="noConversion"/>
  <printOptions horizontalCentered="1"/>
  <pageMargins left="0.62992125984251968" right="0.62992125984251968" top="0.62992125984251968" bottom="0.62992125984251968" header="0.31496062992125984" footer="0.31496062992125984"/>
  <pageSetup paperSize="9" scale="95" orientation="portrait" r:id="rId1"/>
  <ignoredErrors>
    <ignoredError sqref="G34:U34 G73:U73 L74:P74 R74:U74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>
  <dimension ref="A1:P218"/>
  <sheetViews>
    <sheetView showZeros="0" view="pageBreakPreview" zoomScale="60" zoomScaleNormal="85" workbookViewId="0">
      <selection activeCell="O21" sqref="O21"/>
    </sheetView>
  </sheetViews>
  <sheetFormatPr defaultRowHeight="11.25" outlineLevelCol="1"/>
  <cols>
    <col min="1" max="4" width="8.33203125" style="15" customWidth="1"/>
    <col min="5" max="5" width="8.33203125" style="15" hidden="1" customWidth="1" outlineLevel="1"/>
    <col min="6" max="6" width="8.33203125" style="15" customWidth="1" collapsed="1"/>
    <col min="7" max="10" width="8.33203125" style="15" customWidth="1"/>
    <col min="11" max="16384" width="8.88671875" style="15"/>
  </cols>
  <sheetData>
    <row r="1" spans="1:16" s="204" customFormat="1" ht="18" customHeight="1">
      <c r="A1" s="204" t="s">
        <v>999</v>
      </c>
    </row>
    <row r="2" spans="1:16" s="208" customFormat="1" ht="18" customHeight="1">
      <c r="A2" s="207" t="s">
        <v>1001</v>
      </c>
      <c r="G2" s="209"/>
      <c r="H2" s="209"/>
      <c r="J2" s="209"/>
      <c r="K2" s="209"/>
    </row>
    <row r="3" spans="1:16" ht="18" customHeight="1">
      <c r="A3" s="600" t="s">
        <v>57</v>
      </c>
      <c r="B3" s="600"/>
      <c r="C3" s="600"/>
      <c r="D3" s="596" t="s">
        <v>978</v>
      </c>
      <c r="E3" s="596"/>
      <c r="F3" s="596"/>
      <c r="G3" s="596"/>
      <c r="H3" s="596"/>
      <c r="I3" s="596"/>
      <c r="J3" s="600" t="s">
        <v>127</v>
      </c>
      <c r="L3" s="15">
        <f>ROUND(L6/1.31,-2)</f>
        <v>26200</v>
      </c>
    </row>
    <row r="4" spans="1:16" ht="18" customHeight="1">
      <c r="A4" s="600"/>
      <c r="B4" s="600"/>
      <c r="C4" s="600"/>
      <c r="D4" s="519" t="s">
        <v>1000</v>
      </c>
      <c r="E4" s="519" t="s">
        <v>359</v>
      </c>
      <c r="F4" s="519" t="s">
        <v>979</v>
      </c>
      <c r="G4" s="519" t="s">
        <v>980</v>
      </c>
      <c r="H4" s="519" t="s">
        <v>981</v>
      </c>
      <c r="I4" s="519" t="s">
        <v>982</v>
      </c>
      <c r="J4" s="600"/>
    </row>
    <row r="5" spans="1:16" ht="15.95" customHeight="1">
      <c r="A5" s="600" t="s">
        <v>983</v>
      </c>
      <c r="B5" s="600" t="s">
        <v>15</v>
      </c>
      <c r="C5" s="600"/>
      <c r="D5" s="220">
        <f t="shared" ref="D5:I5" si="0">SUM(D6:D10)</f>
        <v>43403</v>
      </c>
      <c r="E5" s="220">
        <f t="shared" si="0"/>
        <v>46802</v>
      </c>
      <c r="F5" s="220">
        <f t="shared" si="0"/>
        <v>53597</v>
      </c>
      <c r="G5" s="220">
        <f t="shared" si="0"/>
        <v>66868</v>
      </c>
      <c r="H5" s="220">
        <f t="shared" si="0"/>
        <v>71216</v>
      </c>
      <c r="I5" s="220">
        <f t="shared" si="0"/>
        <v>74446</v>
      </c>
      <c r="J5" s="220"/>
      <c r="L5" s="288">
        <f>ROUND(D5,-2)</f>
        <v>43400</v>
      </c>
      <c r="M5" s="288">
        <f>ROUND(F5,-2)</f>
        <v>53600</v>
      </c>
      <c r="N5" s="288">
        <f>ROUND(G5,-2)</f>
        <v>66900</v>
      </c>
      <c r="O5" s="288">
        <f>ROUND(H5,-2)</f>
        <v>71200</v>
      </c>
      <c r="P5" s="288">
        <f>ROUND(I5,-2)</f>
        <v>74400</v>
      </c>
    </row>
    <row r="6" spans="1:16" ht="15.95" customHeight="1">
      <c r="A6" s="600"/>
      <c r="B6" s="600" t="s">
        <v>258</v>
      </c>
      <c r="C6" s="600"/>
      <c r="D6" s="220">
        <f>D12+D18+D24+D30+D36+D42+D48+D54+D60+D66+D72+D78+D84+D90+D96</f>
        <v>34311</v>
      </c>
      <c r="E6" s="220">
        <f t="shared" ref="E6" si="1">E12+E18+E24+E30+E36+E42+E48+E54+E60+E66+E72+E78+E84+E90+E96</f>
        <v>37258</v>
      </c>
      <c r="F6" s="220">
        <f t="shared" ref="F6:I10" si="2">F12+F18+F24+F30+F36+F42+F48+F54+F60+F66+F72+F78+F84+F90+F96</f>
        <v>41526</v>
      </c>
      <c r="G6" s="220">
        <f t="shared" si="2"/>
        <v>51862</v>
      </c>
      <c r="H6" s="220">
        <f t="shared" si="2"/>
        <v>55168</v>
      </c>
      <c r="I6" s="220">
        <f t="shared" si="2"/>
        <v>57947</v>
      </c>
      <c r="J6" s="220"/>
      <c r="L6" s="288">
        <f>L5-L7-L9-L10</f>
        <v>34300</v>
      </c>
      <c r="M6" s="288">
        <f t="shared" ref="M6:P6" si="3">M5-M7-M9-M10</f>
        <v>41500</v>
      </c>
      <c r="N6" s="288">
        <f t="shared" si="3"/>
        <v>51900</v>
      </c>
      <c r="O6" s="288">
        <f t="shared" si="3"/>
        <v>58400</v>
      </c>
      <c r="P6" s="288">
        <f t="shared" si="3"/>
        <v>62700</v>
      </c>
    </row>
    <row r="7" spans="1:16" ht="15.95" customHeight="1">
      <c r="A7" s="600"/>
      <c r="B7" s="600" t="s">
        <v>259</v>
      </c>
      <c r="C7" s="519" t="s">
        <v>1201</v>
      </c>
      <c r="D7" s="220">
        <f>D13+D19+D25+D31+D37+D43+D49+D55+D61+D67+D73+D79+D85+D91+D97</f>
        <v>3857</v>
      </c>
      <c r="E7" s="220">
        <f t="shared" ref="E7:E8" si="4">E13+E19+E25+E31+E37+E43+E49+E55+E61+E67+E73+E79+E85+E91+E97</f>
        <v>4309</v>
      </c>
      <c r="F7" s="220">
        <f t="shared" si="2"/>
        <v>6364</v>
      </c>
      <c r="G7" s="220">
        <f t="shared" si="2"/>
        <v>8363</v>
      </c>
      <c r="H7" s="220">
        <f t="shared" si="2"/>
        <v>6233</v>
      </c>
      <c r="I7" s="220">
        <f t="shared" si="2"/>
        <v>5123</v>
      </c>
      <c r="J7" s="220"/>
      <c r="L7" s="288">
        <f>ROUND(D7,-2)</f>
        <v>3900</v>
      </c>
      <c r="M7" s="288">
        <f t="shared" ref="M7:M10" si="5">ROUND(F7,-2)</f>
        <v>6400</v>
      </c>
      <c r="N7" s="288">
        <f t="shared" ref="N7:N10" si="6">ROUND(G7,-2)</f>
        <v>8400</v>
      </c>
      <c r="O7" s="288">
        <f t="shared" ref="O7:O10" si="7">ROUND(H7,-2)</f>
        <v>6200</v>
      </c>
      <c r="P7" s="288">
        <f>ROUND(I7,-2)</f>
        <v>5100</v>
      </c>
    </row>
    <row r="8" spans="1:16" ht="15.95" customHeight="1">
      <c r="A8" s="600"/>
      <c r="B8" s="600"/>
      <c r="C8" s="519" t="s">
        <v>1202</v>
      </c>
      <c r="D8" s="220">
        <f>D14+D20+D26+D32+D38+D44+D50+D56+D62+D68+D74+D80+D86+D92+D98</f>
        <v>0</v>
      </c>
      <c r="E8" s="220">
        <f t="shared" si="4"/>
        <v>0</v>
      </c>
      <c r="F8" s="220">
        <f t="shared" si="2"/>
        <v>0</v>
      </c>
      <c r="G8" s="220">
        <f t="shared" si="2"/>
        <v>0</v>
      </c>
      <c r="H8" s="220">
        <f t="shared" si="2"/>
        <v>3172</v>
      </c>
      <c r="I8" s="220">
        <f t="shared" si="2"/>
        <v>4733</v>
      </c>
      <c r="J8" s="220"/>
      <c r="L8" s="288">
        <f>ROUND(D8,-2)</f>
        <v>0</v>
      </c>
      <c r="M8" s="288">
        <f t="shared" ref="M8" si="8">ROUND(F8,-2)</f>
        <v>0</v>
      </c>
      <c r="N8" s="288">
        <f t="shared" ref="N8" si="9">ROUND(G8,-2)</f>
        <v>0</v>
      </c>
      <c r="O8" s="288">
        <f t="shared" ref="O8" si="10">ROUND(H8,-2)</f>
        <v>3200</v>
      </c>
      <c r="P8" s="288">
        <f>ROUND(I8,-2)</f>
        <v>4700</v>
      </c>
    </row>
    <row r="9" spans="1:16" ht="15.95" customHeight="1">
      <c r="A9" s="600"/>
      <c r="B9" s="600" t="s">
        <v>260</v>
      </c>
      <c r="C9" s="600"/>
      <c r="D9" s="220">
        <f>D15+D21+D27+D33+D39+D45+D51+D57+D63+D69+D75+D81+D87+D93+D99</f>
        <v>0</v>
      </c>
      <c r="E9" s="220">
        <f t="shared" ref="E9" si="11">E15+E21+E27+E33+E39+E45+E51+E57+E63+E69+E75+E81+E87+E93+E99</f>
        <v>0</v>
      </c>
      <c r="F9" s="220">
        <f t="shared" si="2"/>
        <v>0</v>
      </c>
      <c r="G9" s="220">
        <f t="shared" si="2"/>
        <v>129</v>
      </c>
      <c r="H9" s="220">
        <f t="shared" si="2"/>
        <v>129</v>
      </c>
      <c r="I9" s="220">
        <f t="shared" si="2"/>
        <v>129</v>
      </c>
      <c r="J9" s="220"/>
      <c r="L9" s="288">
        <f>ROUND(D9,-2)</f>
        <v>0</v>
      </c>
      <c r="M9" s="288">
        <f t="shared" si="5"/>
        <v>0</v>
      </c>
      <c r="N9" s="288">
        <f t="shared" si="6"/>
        <v>100</v>
      </c>
      <c r="O9" s="288">
        <f t="shared" si="7"/>
        <v>100</v>
      </c>
      <c r="P9" s="288">
        <f>ROUND(I9,-2)</f>
        <v>100</v>
      </c>
    </row>
    <row r="10" spans="1:16" ht="15.95" customHeight="1">
      <c r="A10" s="600"/>
      <c r="B10" s="600" t="s">
        <v>2645</v>
      </c>
      <c r="C10" s="600"/>
      <c r="D10" s="220">
        <f>D16+D22+D28+D34+D40+D46+D52+D58+D64+D70+D76+D82+D88+D94+D100</f>
        <v>5235</v>
      </c>
      <c r="E10" s="220">
        <f t="shared" ref="E10" si="12">E16+E22+E28+E34+E40+E46+E52+E58+E64+E70+E76+E82+E88+E94+E100</f>
        <v>5235</v>
      </c>
      <c r="F10" s="220">
        <f t="shared" si="2"/>
        <v>5707</v>
      </c>
      <c r="G10" s="220">
        <f t="shared" si="2"/>
        <v>6514</v>
      </c>
      <c r="H10" s="220">
        <f t="shared" si="2"/>
        <v>6514</v>
      </c>
      <c r="I10" s="220">
        <f t="shared" si="2"/>
        <v>6514</v>
      </c>
      <c r="J10" s="220"/>
      <c r="L10" s="288">
        <f>ROUND(D10,-2)</f>
        <v>5200</v>
      </c>
      <c r="M10" s="288">
        <f t="shared" si="5"/>
        <v>5700</v>
      </c>
      <c r="N10" s="288">
        <f t="shared" si="6"/>
        <v>6500</v>
      </c>
      <c r="O10" s="288">
        <f t="shared" si="7"/>
        <v>6500</v>
      </c>
      <c r="P10" s="288">
        <f>ROUND(I10,-2)</f>
        <v>6500</v>
      </c>
    </row>
    <row r="11" spans="1:16" ht="15.95" customHeight="1">
      <c r="A11" s="600" t="s">
        <v>984</v>
      </c>
      <c r="B11" s="601" t="s">
        <v>15</v>
      </c>
      <c r="C11" s="602"/>
      <c r="D11" s="220">
        <f t="shared" ref="D11:I11" si="13">SUM(D12:D16)</f>
        <v>4330</v>
      </c>
      <c r="E11" s="220">
        <f t="shared" si="13"/>
        <v>4037</v>
      </c>
      <c r="F11" s="220">
        <f t="shared" si="13"/>
        <v>4770</v>
      </c>
      <c r="G11" s="220">
        <f t="shared" si="13"/>
        <v>5148</v>
      </c>
      <c r="H11" s="220">
        <f t="shared" si="13"/>
        <v>5694</v>
      </c>
      <c r="I11" s="220">
        <f t="shared" si="13"/>
        <v>5934</v>
      </c>
      <c r="J11" s="220"/>
    </row>
    <row r="12" spans="1:16" ht="15.95" customHeight="1">
      <c r="A12" s="600"/>
      <c r="B12" s="601" t="s">
        <v>258</v>
      </c>
      <c r="C12" s="602"/>
      <c r="D12" s="220">
        <f>'2.생활용수(행정구역)'!I7</f>
        <v>4330</v>
      </c>
      <c r="E12" s="220">
        <f>'2.생활용수(행정구역)'!J7</f>
        <v>4037</v>
      </c>
      <c r="F12" s="220">
        <f>'2.생활용수(행정구역)'!K7</f>
        <v>4066</v>
      </c>
      <c r="G12" s="220">
        <f>'2.생활용수(행정구역)'!L7</f>
        <v>4307</v>
      </c>
      <c r="H12" s="220">
        <f>'2.생활용수(행정구역)'!M7</f>
        <v>4643</v>
      </c>
      <c r="I12" s="220">
        <f>'2.생활용수(행정구역)'!N7</f>
        <v>4883</v>
      </c>
      <c r="J12" s="220"/>
    </row>
    <row r="13" spans="1:16" ht="15.95" customHeight="1">
      <c r="A13" s="600"/>
      <c r="B13" s="605" t="s">
        <v>259</v>
      </c>
      <c r="C13" s="519" t="s">
        <v>1201</v>
      </c>
      <c r="D13" s="220">
        <f>'3.공업용수'!G61</f>
        <v>0</v>
      </c>
      <c r="E13" s="220">
        <f>'3.공업용수'!H61</f>
        <v>0</v>
      </c>
      <c r="F13" s="220">
        <f>'3.공업용수'!I61</f>
        <v>704</v>
      </c>
      <c r="G13" s="220">
        <f>'3.공업용수'!J61</f>
        <v>841</v>
      </c>
      <c r="H13" s="220">
        <f>'3.공업용수'!K61</f>
        <v>1051</v>
      </c>
      <c r="I13" s="220">
        <f>'3.공업용수'!L61</f>
        <v>1051</v>
      </c>
      <c r="J13" s="220"/>
    </row>
    <row r="14" spans="1:16" ht="15.95" customHeight="1">
      <c r="A14" s="600"/>
      <c r="B14" s="606"/>
      <c r="C14" s="519" t="s">
        <v>1202</v>
      </c>
      <c r="D14" s="220">
        <f>'3.공업용수'!G62</f>
        <v>0</v>
      </c>
      <c r="E14" s="220"/>
      <c r="F14" s="220">
        <f>'3.공업용수'!I62</f>
        <v>0</v>
      </c>
      <c r="G14" s="220">
        <f>'3.공업용수'!J62</f>
        <v>0</v>
      </c>
      <c r="H14" s="220">
        <f>'3.공업용수'!K62</f>
        <v>0</v>
      </c>
      <c r="I14" s="220">
        <f>'3.공업용수'!L62</f>
        <v>0</v>
      </c>
      <c r="J14" s="220"/>
    </row>
    <row r="15" spans="1:16" ht="15.95" customHeight="1">
      <c r="A15" s="600"/>
      <c r="B15" s="601" t="s">
        <v>260</v>
      </c>
      <c r="C15" s="602"/>
      <c r="D15" s="220"/>
      <c r="E15" s="220"/>
      <c r="F15" s="220"/>
      <c r="G15" s="220"/>
      <c r="H15" s="220"/>
      <c r="I15" s="220"/>
      <c r="J15" s="220"/>
    </row>
    <row r="16" spans="1:16" ht="15.95" customHeight="1">
      <c r="A16" s="600"/>
      <c r="B16" s="600" t="s">
        <v>2645</v>
      </c>
      <c r="C16" s="600"/>
      <c r="D16" s="220"/>
      <c r="E16" s="220"/>
      <c r="F16" s="220"/>
      <c r="G16" s="220"/>
      <c r="H16" s="220"/>
      <c r="I16" s="220"/>
      <c r="J16" s="220"/>
    </row>
    <row r="17" spans="1:10" ht="15.95" customHeight="1">
      <c r="A17" s="600" t="s">
        <v>985</v>
      </c>
      <c r="B17" s="601" t="s">
        <v>15</v>
      </c>
      <c r="C17" s="602"/>
      <c r="D17" s="220">
        <f t="shared" ref="D17:I17" si="14">SUM(D18:D22)</f>
        <v>10827</v>
      </c>
      <c r="E17" s="220">
        <f t="shared" si="14"/>
        <v>11507</v>
      </c>
      <c r="F17" s="220">
        <f t="shared" si="14"/>
        <v>15293</v>
      </c>
      <c r="G17" s="220">
        <f t="shared" si="14"/>
        <v>16378</v>
      </c>
      <c r="H17" s="220">
        <f t="shared" si="14"/>
        <v>17513</v>
      </c>
      <c r="I17" s="220">
        <f t="shared" si="14"/>
        <v>17943</v>
      </c>
      <c r="J17" s="220"/>
    </row>
    <row r="18" spans="1:10" ht="15.95" customHeight="1">
      <c r="A18" s="600"/>
      <c r="B18" s="601" t="s">
        <v>258</v>
      </c>
      <c r="C18" s="602"/>
      <c r="D18" s="220">
        <f>'2.생활용수(행정구역)'!I22</f>
        <v>5199</v>
      </c>
      <c r="E18" s="220">
        <f>'2.생활용수(행정구역)'!J22</f>
        <v>5427</v>
      </c>
      <c r="F18" s="220">
        <f>'2.생활용수(행정구역)'!K22</f>
        <v>7390</v>
      </c>
      <c r="G18" s="220">
        <f>'2.생활용수(행정구역)'!L22</f>
        <v>8126</v>
      </c>
      <c r="H18" s="220">
        <f>'2.생활용수(행정구역)'!M22</f>
        <v>8723</v>
      </c>
      <c r="I18" s="220">
        <f>'2.생활용수(행정구역)'!N22</f>
        <v>9153</v>
      </c>
      <c r="J18" s="220"/>
    </row>
    <row r="19" spans="1:10" ht="15.95" customHeight="1">
      <c r="A19" s="600"/>
      <c r="B19" s="605" t="s">
        <v>259</v>
      </c>
      <c r="C19" s="519" t="s">
        <v>1201</v>
      </c>
      <c r="D19" s="220">
        <f>'3.공업용수'!G64</f>
        <v>393</v>
      </c>
      <c r="E19" s="220">
        <f>'3.공업용수'!H64</f>
        <v>845</v>
      </c>
      <c r="F19" s="220">
        <f>'3.공업용수'!I64</f>
        <v>2196</v>
      </c>
      <c r="G19" s="220">
        <f>'3.공업용수'!J64</f>
        <v>2545</v>
      </c>
      <c r="H19" s="220">
        <f>'3.공업용수'!K64</f>
        <v>1343</v>
      </c>
      <c r="I19" s="220">
        <f>'3.공업용수'!L64</f>
        <v>487</v>
      </c>
      <c r="J19" s="220"/>
    </row>
    <row r="20" spans="1:10" ht="15.95" customHeight="1">
      <c r="A20" s="600"/>
      <c r="B20" s="606"/>
      <c r="C20" s="519" t="s">
        <v>1202</v>
      </c>
      <c r="D20" s="220">
        <f>'3.공업용수'!G65</f>
        <v>0</v>
      </c>
      <c r="E20" s="220"/>
      <c r="F20" s="220">
        <f>'3.공업용수'!I65</f>
        <v>0</v>
      </c>
      <c r="G20" s="220">
        <f>'3.공업용수'!J65</f>
        <v>0</v>
      </c>
      <c r="H20" s="220">
        <f>'3.공업용수'!K65</f>
        <v>1740</v>
      </c>
      <c r="I20" s="220">
        <f>'3.공업용수'!L65</f>
        <v>2596</v>
      </c>
      <c r="J20" s="220"/>
    </row>
    <row r="21" spans="1:10" ht="15.95" customHeight="1">
      <c r="A21" s="600"/>
      <c r="B21" s="601" t="s">
        <v>260</v>
      </c>
      <c r="C21" s="602"/>
      <c r="D21" s="220"/>
      <c r="E21" s="220"/>
      <c r="F21" s="220"/>
      <c r="G21" s="220"/>
      <c r="H21" s="220"/>
      <c r="I21" s="220"/>
      <c r="J21" s="220"/>
    </row>
    <row r="22" spans="1:10" ht="15.95" customHeight="1">
      <c r="A22" s="600"/>
      <c r="B22" s="600" t="s">
        <v>2645</v>
      </c>
      <c r="C22" s="600"/>
      <c r="D22" s="220">
        <f>'5.기타용수(훈련소)'!B29</f>
        <v>5235</v>
      </c>
      <c r="E22" s="220">
        <f>D22</f>
        <v>5235</v>
      </c>
      <c r="F22" s="220">
        <f>'5.기타용수(훈련소)'!C29</f>
        <v>5707</v>
      </c>
      <c r="G22" s="220">
        <f>'5.기타용수(훈련소)'!D29</f>
        <v>5707</v>
      </c>
      <c r="H22" s="220">
        <f>'5.기타용수(훈련소)'!E29</f>
        <v>5707</v>
      </c>
      <c r="I22" s="220">
        <f>'5.기타용수(훈련소)'!F29</f>
        <v>5707</v>
      </c>
      <c r="J22" s="220"/>
    </row>
    <row r="23" spans="1:10" ht="15.95" customHeight="1">
      <c r="A23" s="600" t="s">
        <v>986</v>
      </c>
      <c r="B23" s="601" t="s">
        <v>15</v>
      </c>
      <c r="C23" s="602"/>
      <c r="D23" s="220">
        <f t="shared" ref="D23:I23" si="15">SUM(D24:D28)</f>
        <v>2781</v>
      </c>
      <c r="E23" s="220">
        <f t="shared" si="15"/>
        <v>2783</v>
      </c>
      <c r="F23" s="220">
        <f t="shared" si="15"/>
        <v>2903</v>
      </c>
      <c r="G23" s="220">
        <f t="shared" si="15"/>
        <v>2987</v>
      </c>
      <c r="H23" s="220">
        <f t="shared" si="15"/>
        <v>3035</v>
      </c>
      <c r="I23" s="220">
        <f t="shared" si="15"/>
        <v>3061</v>
      </c>
      <c r="J23" s="220"/>
    </row>
    <row r="24" spans="1:10" ht="15.95" customHeight="1">
      <c r="A24" s="600"/>
      <c r="B24" s="601" t="s">
        <v>258</v>
      </c>
      <c r="C24" s="602"/>
      <c r="D24" s="220">
        <f>'2.생활용수(행정구역)'!I37</f>
        <v>1248</v>
      </c>
      <c r="E24" s="220">
        <f>'2.생활용수(행정구역)'!J37</f>
        <v>1250</v>
      </c>
      <c r="F24" s="220">
        <f>'2.생활용수(행정구역)'!K37</f>
        <v>1370</v>
      </c>
      <c r="G24" s="220">
        <f>'2.생활용수(행정구역)'!L37</f>
        <v>1454</v>
      </c>
      <c r="H24" s="220">
        <f>'2.생활용수(행정구역)'!M37</f>
        <v>1502</v>
      </c>
      <c r="I24" s="220">
        <f>'2.생활용수(행정구역)'!N37</f>
        <v>1528</v>
      </c>
      <c r="J24" s="220"/>
    </row>
    <row r="25" spans="1:10" ht="15.95" customHeight="1">
      <c r="A25" s="600"/>
      <c r="B25" s="605" t="s">
        <v>259</v>
      </c>
      <c r="C25" s="519" t="s">
        <v>1201</v>
      </c>
      <c r="D25" s="220">
        <f>'3.공업용수'!G67</f>
        <v>1533</v>
      </c>
      <c r="E25" s="220">
        <f>'3.공업용수'!H67</f>
        <v>1533</v>
      </c>
      <c r="F25" s="220">
        <f>'3.공업용수'!I67</f>
        <v>1533</v>
      </c>
      <c r="G25" s="220">
        <f>'3.공업용수'!J67</f>
        <v>1533</v>
      </c>
      <c r="H25" s="220">
        <f>'3.공업용수'!K67</f>
        <v>824</v>
      </c>
      <c r="I25" s="220">
        <f>'3.공업용수'!L67</f>
        <v>475</v>
      </c>
      <c r="J25" s="220"/>
    </row>
    <row r="26" spans="1:10" ht="15.95" customHeight="1">
      <c r="A26" s="600"/>
      <c r="B26" s="606"/>
      <c r="C26" s="519" t="s">
        <v>1202</v>
      </c>
      <c r="D26" s="220">
        <f>'3.공업용수'!G68</f>
        <v>0</v>
      </c>
      <c r="E26" s="220"/>
      <c r="F26" s="220">
        <f>'3.공업용수'!I68</f>
        <v>0</v>
      </c>
      <c r="G26" s="220">
        <f>'3.공업용수'!J68</f>
        <v>0</v>
      </c>
      <c r="H26" s="220">
        <f>'3.공업용수'!K68</f>
        <v>709</v>
      </c>
      <c r="I26" s="220">
        <f>'3.공업용수'!L68</f>
        <v>1058</v>
      </c>
      <c r="J26" s="220"/>
    </row>
    <row r="27" spans="1:10" ht="15.95" customHeight="1">
      <c r="A27" s="600"/>
      <c r="B27" s="601" t="s">
        <v>260</v>
      </c>
      <c r="C27" s="602"/>
      <c r="D27" s="220"/>
      <c r="E27" s="220"/>
      <c r="F27" s="220"/>
      <c r="G27" s="220"/>
      <c r="H27" s="220"/>
      <c r="I27" s="220"/>
      <c r="J27" s="220"/>
    </row>
    <row r="28" spans="1:10" ht="15.95" customHeight="1">
      <c r="A28" s="600"/>
      <c r="B28" s="600" t="s">
        <v>2645</v>
      </c>
      <c r="C28" s="600"/>
      <c r="D28" s="220"/>
      <c r="E28" s="220"/>
      <c r="F28" s="220"/>
      <c r="G28" s="220"/>
      <c r="H28" s="220"/>
      <c r="I28" s="220"/>
      <c r="J28" s="220"/>
    </row>
    <row r="29" spans="1:10" ht="15.95" customHeight="1">
      <c r="A29" s="600" t="s">
        <v>987</v>
      </c>
      <c r="B29" s="601" t="s">
        <v>15</v>
      </c>
      <c r="C29" s="602"/>
      <c r="D29" s="220">
        <f t="shared" ref="D29:I29" si="16">SUM(D30:D34)</f>
        <v>1852</v>
      </c>
      <c r="E29" s="220">
        <f t="shared" si="16"/>
        <v>2068</v>
      </c>
      <c r="F29" s="220">
        <f t="shared" si="16"/>
        <v>2481</v>
      </c>
      <c r="G29" s="220">
        <f t="shared" si="16"/>
        <v>2808</v>
      </c>
      <c r="H29" s="220">
        <f t="shared" si="16"/>
        <v>2933</v>
      </c>
      <c r="I29" s="220">
        <f t="shared" si="16"/>
        <v>2959</v>
      </c>
      <c r="J29" s="220"/>
    </row>
    <row r="30" spans="1:10" ht="15.95" customHeight="1">
      <c r="A30" s="600"/>
      <c r="B30" s="601" t="s">
        <v>258</v>
      </c>
      <c r="C30" s="602"/>
      <c r="D30" s="220">
        <f>'2.생활용수(행정구역)'!I50</f>
        <v>396</v>
      </c>
      <c r="E30" s="220">
        <f>'2.생활용수(행정구역)'!J50</f>
        <v>612</v>
      </c>
      <c r="F30" s="220">
        <f>'2.생활용수(행정구역)'!K50</f>
        <v>1025</v>
      </c>
      <c r="G30" s="220">
        <f>'2.생활용수(행정구역)'!L50</f>
        <v>1352</v>
      </c>
      <c r="H30" s="220">
        <f>'2.생활용수(행정구역)'!M50</f>
        <v>1477</v>
      </c>
      <c r="I30" s="220">
        <f>'2.생활용수(행정구역)'!N50</f>
        <v>1503</v>
      </c>
      <c r="J30" s="220"/>
    </row>
    <row r="31" spans="1:10" ht="15.95" customHeight="1">
      <c r="A31" s="600"/>
      <c r="B31" s="605" t="s">
        <v>259</v>
      </c>
      <c r="C31" s="519" t="s">
        <v>1201</v>
      </c>
      <c r="D31" s="220">
        <f>'3.공업용수'!G70</f>
        <v>1456</v>
      </c>
      <c r="E31" s="220">
        <f>'3.공업용수'!H70</f>
        <v>1456</v>
      </c>
      <c r="F31" s="220">
        <f>'3.공업용수'!I70</f>
        <v>1456</v>
      </c>
      <c r="G31" s="220">
        <f>'3.공업용수'!J70</f>
        <v>1456</v>
      </c>
      <c r="H31" s="220">
        <f>'3.공업용수'!K70</f>
        <v>1456</v>
      </c>
      <c r="I31" s="220">
        <f>'3.공업용수'!L70</f>
        <v>1456</v>
      </c>
      <c r="J31" s="220"/>
    </row>
    <row r="32" spans="1:10" ht="15.95" customHeight="1">
      <c r="A32" s="600"/>
      <c r="B32" s="606"/>
      <c r="C32" s="519" t="s">
        <v>1202</v>
      </c>
      <c r="D32" s="220">
        <f>'3.공업용수'!G71</f>
        <v>0</v>
      </c>
      <c r="E32" s="220"/>
      <c r="F32" s="220">
        <f>'3.공업용수'!I71</f>
        <v>0</v>
      </c>
      <c r="G32" s="220">
        <f>'3.공업용수'!J71</f>
        <v>0</v>
      </c>
      <c r="H32" s="220">
        <f>'3.공업용수'!K71</f>
        <v>0</v>
      </c>
      <c r="I32" s="220">
        <f>'3.공업용수'!L71</f>
        <v>0</v>
      </c>
      <c r="J32" s="220"/>
    </row>
    <row r="33" spans="1:10" ht="15.95" customHeight="1">
      <c r="A33" s="600"/>
      <c r="B33" s="601" t="s">
        <v>260</v>
      </c>
      <c r="C33" s="602"/>
      <c r="D33" s="220"/>
      <c r="E33" s="220"/>
      <c r="F33" s="219"/>
      <c r="G33" s="219"/>
      <c r="H33" s="219"/>
      <c r="I33" s="219"/>
      <c r="J33" s="220"/>
    </row>
    <row r="34" spans="1:10" ht="15.95" customHeight="1">
      <c r="A34" s="600"/>
      <c r="B34" s="600" t="s">
        <v>2645</v>
      </c>
      <c r="C34" s="600"/>
      <c r="D34" s="220"/>
      <c r="E34" s="220"/>
      <c r="F34" s="220"/>
      <c r="G34" s="220"/>
      <c r="H34" s="220"/>
      <c r="I34" s="220"/>
      <c r="J34" s="220"/>
    </row>
    <row r="35" spans="1:10" ht="15.95" customHeight="1">
      <c r="A35" s="600" t="s">
        <v>988</v>
      </c>
      <c r="B35" s="601" t="s">
        <v>15</v>
      </c>
      <c r="C35" s="602"/>
      <c r="D35" s="220">
        <f t="shared" ref="D35:I35" si="17">SUM(D36:D40)</f>
        <v>0</v>
      </c>
      <c r="E35" s="220">
        <f t="shared" si="17"/>
        <v>0</v>
      </c>
      <c r="F35" s="220">
        <f t="shared" si="17"/>
        <v>493</v>
      </c>
      <c r="G35" s="220">
        <f t="shared" si="17"/>
        <v>2482</v>
      </c>
      <c r="H35" s="220">
        <f t="shared" si="17"/>
        <v>2718</v>
      </c>
      <c r="I35" s="220">
        <f t="shared" si="17"/>
        <v>2967</v>
      </c>
      <c r="J35" s="220"/>
    </row>
    <row r="36" spans="1:10" ht="15.95" customHeight="1">
      <c r="A36" s="600"/>
      <c r="B36" s="601" t="s">
        <v>258</v>
      </c>
      <c r="C36" s="602"/>
      <c r="D36" s="220">
        <f>'2.생활용수(행정구역)'!I65</f>
        <v>0</v>
      </c>
      <c r="E36" s="220">
        <f>'2.생활용수(행정구역)'!J65</f>
        <v>0</v>
      </c>
      <c r="F36" s="220">
        <f>'2.생활용수(행정구역)'!K65</f>
        <v>493</v>
      </c>
      <c r="G36" s="220">
        <f>'2.생활용수(행정구역)'!L65</f>
        <v>998</v>
      </c>
      <c r="H36" s="220">
        <f>'2.생활용수(행정구역)'!M65</f>
        <v>1087</v>
      </c>
      <c r="I36" s="220">
        <f>'2.생활용수(행정구역)'!N65</f>
        <v>1110</v>
      </c>
      <c r="J36" s="220"/>
    </row>
    <row r="37" spans="1:10" ht="15.95" customHeight="1">
      <c r="A37" s="600"/>
      <c r="B37" s="605" t="s">
        <v>259</v>
      </c>
      <c r="C37" s="519" t="s">
        <v>1201</v>
      </c>
      <c r="D37" s="220">
        <f>'3.공업용수'!G73</f>
        <v>0</v>
      </c>
      <c r="E37" s="220">
        <f>'3.공업용수'!H73</f>
        <v>0</v>
      </c>
      <c r="F37" s="220">
        <f>'3.공업용수'!I73</f>
        <v>0</v>
      </c>
      <c r="G37" s="220">
        <f>'3.공업용수'!J73</f>
        <v>758</v>
      </c>
      <c r="H37" s="220">
        <f>'3.공업용수'!K73</f>
        <v>905</v>
      </c>
      <c r="I37" s="220">
        <f>'3.공업용수'!L73</f>
        <v>1131</v>
      </c>
      <c r="J37" s="220"/>
    </row>
    <row r="38" spans="1:10" ht="15.95" customHeight="1">
      <c r="A38" s="600"/>
      <c r="B38" s="606"/>
      <c r="C38" s="519" t="s">
        <v>1202</v>
      </c>
      <c r="D38" s="220">
        <f>'3.공업용수'!G74</f>
        <v>0</v>
      </c>
      <c r="E38" s="220"/>
      <c r="F38" s="220">
        <f>'3.공업용수'!I74</f>
        <v>0</v>
      </c>
      <c r="G38" s="220">
        <f>'3.공업용수'!J74</f>
        <v>0</v>
      </c>
      <c r="H38" s="220">
        <f>'3.공업용수'!K74</f>
        <v>0</v>
      </c>
      <c r="I38" s="220">
        <f>'3.공업용수'!L74</f>
        <v>0</v>
      </c>
      <c r="J38" s="220"/>
    </row>
    <row r="39" spans="1:10" ht="15.95" customHeight="1">
      <c r="A39" s="600"/>
      <c r="B39" s="601" t="s">
        <v>260</v>
      </c>
      <c r="C39" s="602"/>
      <c r="D39" s="220"/>
      <c r="E39" s="220"/>
      <c r="F39" s="220"/>
      <c r="G39" s="220"/>
      <c r="H39" s="220"/>
      <c r="I39" s="220"/>
      <c r="J39" s="220"/>
    </row>
    <row r="40" spans="1:10" ht="15.95" customHeight="1">
      <c r="A40" s="600"/>
      <c r="B40" s="600" t="s">
        <v>2645</v>
      </c>
      <c r="C40" s="600"/>
      <c r="D40" s="220">
        <f>'5.기타용수(훈련소)'!B30</f>
        <v>0</v>
      </c>
      <c r="E40" s="220"/>
      <c r="F40" s="220">
        <f>'5.기타용수(훈련소)'!C30</f>
        <v>0</v>
      </c>
      <c r="G40" s="220">
        <f>'5.기타용수(훈련소)'!D30</f>
        <v>726</v>
      </c>
      <c r="H40" s="220">
        <f>'5.기타용수(훈련소)'!E30</f>
        <v>726</v>
      </c>
      <c r="I40" s="220">
        <f>'5.기타용수(훈련소)'!F30</f>
        <v>726</v>
      </c>
      <c r="J40" s="220"/>
    </row>
    <row r="41" spans="1:10" ht="15.95" customHeight="1">
      <c r="A41" s="600" t="s">
        <v>989</v>
      </c>
      <c r="B41" s="601" t="s">
        <v>15</v>
      </c>
      <c r="C41" s="602"/>
      <c r="D41" s="220">
        <f t="shared" ref="D41:I41" si="18">SUM(D42:D46)</f>
        <v>0</v>
      </c>
      <c r="E41" s="220">
        <f t="shared" si="18"/>
        <v>0</v>
      </c>
      <c r="F41" s="220">
        <f t="shared" si="18"/>
        <v>587</v>
      </c>
      <c r="G41" s="220">
        <f t="shared" si="18"/>
        <v>1135</v>
      </c>
      <c r="H41" s="220">
        <f t="shared" si="18"/>
        <v>1235</v>
      </c>
      <c r="I41" s="220">
        <f t="shared" si="18"/>
        <v>1252</v>
      </c>
      <c r="J41" s="220"/>
    </row>
    <row r="42" spans="1:10" ht="15.95" customHeight="1">
      <c r="A42" s="600"/>
      <c r="B42" s="601" t="s">
        <v>258</v>
      </c>
      <c r="C42" s="602"/>
      <c r="D42" s="220">
        <f>'2.생활용수(행정구역)'!I81</f>
        <v>0</v>
      </c>
      <c r="E42" s="220">
        <f>'2.생활용수(행정구역)'!J81</f>
        <v>0</v>
      </c>
      <c r="F42" s="220">
        <f>'2.생활용수(행정구역)'!K81</f>
        <v>587</v>
      </c>
      <c r="G42" s="220">
        <f>'2.생활용수(행정구역)'!L81</f>
        <v>1054</v>
      </c>
      <c r="H42" s="220">
        <f>'2.생활용수(행정구역)'!M81</f>
        <v>1154</v>
      </c>
      <c r="I42" s="220">
        <f>'2.생활용수(행정구역)'!N81</f>
        <v>1171</v>
      </c>
      <c r="J42" s="220"/>
    </row>
    <row r="43" spans="1:10" ht="15.95" customHeight="1">
      <c r="A43" s="600"/>
      <c r="B43" s="605" t="s">
        <v>259</v>
      </c>
      <c r="C43" s="519" t="s">
        <v>1201</v>
      </c>
      <c r="D43" s="220">
        <f>'3.공업용수'!G76</f>
        <v>0</v>
      </c>
      <c r="E43" s="220">
        <f>'3.공업용수'!H76</f>
        <v>0</v>
      </c>
      <c r="F43" s="220">
        <f>'3.공업용수'!I76</f>
        <v>0</v>
      </c>
      <c r="G43" s="220">
        <f>'3.공업용수'!J76</f>
        <v>0</v>
      </c>
      <c r="H43" s="220">
        <f>'3.공업용수'!K76</f>
        <v>0</v>
      </c>
      <c r="I43" s="220">
        <f>'3.공업용수'!L76</f>
        <v>0</v>
      </c>
      <c r="J43" s="220"/>
    </row>
    <row r="44" spans="1:10" ht="15.95" customHeight="1">
      <c r="A44" s="600"/>
      <c r="B44" s="606"/>
      <c r="C44" s="519" t="s">
        <v>1202</v>
      </c>
      <c r="D44" s="220">
        <f>'3.공업용수'!G77</f>
        <v>0</v>
      </c>
      <c r="E44" s="220"/>
      <c r="F44" s="220">
        <f>'3.공업용수'!I77</f>
        <v>0</v>
      </c>
      <c r="G44" s="220">
        <f>'3.공업용수'!J77</f>
        <v>0</v>
      </c>
      <c r="H44" s="220">
        <f>'3.공업용수'!K77</f>
        <v>0</v>
      </c>
      <c r="I44" s="220">
        <f>'3.공업용수'!L77</f>
        <v>0</v>
      </c>
      <c r="J44" s="220"/>
    </row>
    <row r="45" spans="1:10" ht="15.95" customHeight="1">
      <c r="A45" s="600"/>
      <c r="B45" s="601" t="s">
        <v>260</v>
      </c>
      <c r="C45" s="602"/>
      <c r="D45" s="220"/>
      <c r="E45" s="220"/>
      <c r="F45" s="220"/>
      <c r="G45" s="220"/>
      <c r="H45" s="220"/>
      <c r="I45" s="220"/>
      <c r="J45" s="220"/>
    </row>
    <row r="46" spans="1:10" ht="15.95" customHeight="1">
      <c r="A46" s="600"/>
      <c r="B46" s="600" t="s">
        <v>2645</v>
      </c>
      <c r="C46" s="600"/>
      <c r="D46" s="220">
        <f>'5.기타용수(훈련소)'!B31</f>
        <v>0</v>
      </c>
      <c r="E46" s="220"/>
      <c r="F46" s="220">
        <f>'5.기타용수(훈련소)'!C31</f>
        <v>0</v>
      </c>
      <c r="G46" s="220">
        <f>'5.기타용수(훈련소)'!D31</f>
        <v>81</v>
      </c>
      <c r="H46" s="220">
        <f>'5.기타용수(훈련소)'!E31</f>
        <v>81</v>
      </c>
      <c r="I46" s="220">
        <f>'5.기타용수(훈련소)'!F31</f>
        <v>81</v>
      </c>
      <c r="J46" s="220"/>
    </row>
    <row r="47" spans="1:10" ht="15.95" customHeight="1">
      <c r="A47" s="600" t="s">
        <v>990</v>
      </c>
      <c r="B47" s="601" t="s">
        <v>15</v>
      </c>
      <c r="C47" s="602"/>
      <c r="D47" s="220">
        <f t="shared" ref="D47:I47" si="19">SUM(D48:D52)</f>
        <v>941</v>
      </c>
      <c r="E47" s="220">
        <f t="shared" si="19"/>
        <v>902</v>
      </c>
      <c r="F47" s="220">
        <f t="shared" si="19"/>
        <v>1033</v>
      </c>
      <c r="G47" s="220">
        <f t="shared" si="19"/>
        <v>1100</v>
      </c>
      <c r="H47" s="220">
        <f t="shared" si="19"/>
        <v>1204</v>
      </c>
      <c r="I47" s="220">
        <f t="shared" si="19"/>
        <v>1223</v>
      </c>
      <c r="J47" s="220"/>
    </row>
    <row r="48" spans="1:10" ht="15.95" customHeight="1">
      <c r="A48" s="600"/>
      <c r="B48" s="601" t="s">
        <v>258</v>
      </c>
      <c r="C48" s="602"/>
      <c r="D48" s="220">
        <f>'2.생활용수(행정구역)'!I96</f>
        <v>941</v>
      </c>
      <c r="E48" s="220">
        <f>'2.생활용수(행정구역)'!J96</f>
        <v>902</v>
      </c>
      <c r="F48" s="220">
        <f>'2.생활용수(행정구역)'!K96</f>
        <v>1033</v>
      </c>
      <c r="G48" s="220">
        <f>'2.생활용수(행정구역)'!L96</f>
        <v>1100</v>
      </c>
      <c r="H48" s="220">
        <f>'2.생활용수(행정구역)'!M96</f>
        <v>1204</v>
      </c>
      <c r="I48" s="220">
        <f>'2.생활용수(행정구역)'!N96</f>
        <v>1223</v>
      </c>
      <c r="J48" s="220"/>
    </row>
    <row r="49" spans="1:10" ht="15.95" customHeight="1">
      <c r="A49" s="600"/>
      <c r="B49" s="605" t="s">
        <v>259</v>
      </c>
      <c r="C49" s="519" t="s">
        <v>1201</v>
      </c>
      <c r="D49" s="220">
        <f>'3.공업용수'!G79</f>
        <v>0</v>
      </c>
      <c r="E49" s="220">
        <f>'3.공업용수'!H79</f>
        <v>0</v>
      </c>
      <c r="F49" s="220">
        <f>'3.공업용수'!I79</f>
        <v>0</v>
      </c>
      <c r="G49" s="220">
        <f>'3.공업용수'!J79</f>
        <v>0</v>
      </c>
      <c r="H49" s="220">
        <f>'3.공업용수'!K79</f>
        <v>0</v>
      </c>
      <c r="I49" s="220">
        <f>'3.공업용수'!L79</f>
        <v>0</v>
      </c>
      <c r="J49" s="220"/>
    </row>
    <row r="50" spans="1:10" ht="15.95" customHeight="1">
      <c r="A50" s="600"/>
      <c r="B50" s="606"/>
      <c r="C50" s="519" t="s">
        <v>1202</v>
      </c>
      <c r="D50" s="220">
        <f>'3.공업용수'!G80</f>
        <v>0</v>
      </c>
      <c r="E50" s="220"/>
      <c r="F50" s="220">
        <f>'3.공업용수'!I80</f>
        <v>0</v>
      </c>
      <c r="G50" s="220">
        <f>'3.공업용수'!J80</f>
        <v>0</v>
      </c>
      <c r="H50" s="220">
        <f>'3.공업용수'!K80</f>
        <v>0</v>
      </c>
      <c r="I50" s="220">
        <f>'3.공업용수'!L80</f>
        <v>0</v>
      </c>
      <c r="J50" s="220"/>
    </row>
    <row r="51" spans="1:10" ht="15.95" customHeight="1">
      <c r="A51" s="600"/>
      <c r="B51" s="601" t="s">
        <v>260</v>
      </c>
      <c r="C51" s="602"/>
      <c r="D51" s="220"/>
      <c r="E51" s="220"/>
      <c r="F51" s="220">
        <f>'4.관광용수'!F15</f>
        <v>0</v>
      </c>
      <c r="G51" s="220">
        <f>F51</f>
        <v>0</v>
      </c>
      <c r="H51" s="220">
        <f>G51</f>
        <v>0</v>
      </c>
      <c r="I51" s="220">
        <f>H51</f>
        <v>0</v>
      </c>
      <c r="J51" s="220"/>
    </row>
    <row r="52" spans="1:10" ht="15.95" customHeight="1">
      <c r="A52" s="600"/>
      <c r="B52" s="600" t="s">
        <v>2645</v>
      </c>
      <c r="C52" s="600"/>
      <c r="D52" s="220"/>
      <c r="E52" s="220"/>
      <c r="F52" s="220"/>
      <c r="G52" s="220"/>
      <c r="H52" s="220"/>
      <c r="I52" s="220"/>
      <c r="J52" s="220"/>
    </row>
    <row r="53" spans="1:10" ht="15.95" customHeight="1">
      <c r="A53" s="600" t="s">
        <v>991</v>
      </c>
      <c r="B53" s="601" t="s">
        <v>15</v>
      </c>
      <c r="C53" s="602"/>
      <c r="D53" s="220">
        <f t="shared" ref="D53:I53" si="20">SUM(D54:D58)</f>
        <v>1158</v>
      </c>
      <c r="E53" s="220">
        <f t="shared" si="20"/>
        <v>682</v>
      </c>
      <c r="F53" s="220">
        <f t="shared" si="20"/>
        <v>1180</v>
      </c>
      <c r="G53" s="220">
        <f t="shared" si="20"/>
        <v>1831</v>
      </c>
      <c r="H53" s="220">
        <f t="shared" si="20"/>
        <v>1997</v>
      </c>
      <c r="I53" s="220">
        <f t="shared" si="20"/>
        <v>2036</v>
      </c>
      <c r="J53" s="220"/>
    </row>
    <row r="54" spans="1:10" ht="15.95" customHeight="1">
      <c r="A54" s="600"/>
      <c r="B54" s="601" t="s">
        <v>258</v>
      </c>
      <c r="C54" s="602"/>
      <c r="D54" s="220">
        <f>'2.생활용수(행정구역)'!I110</f>
        <v>1158</v>
      </c>
      <c r="E54" s="220">
        <f>'2.생활용수(행정구역)'!J110</f>
        <v>682</v>
      </c>
      <c r="F54" s="220">
        <f>'2.생활용수(행정구역)'!K110</f>
        <v>1180</v>
      </c>
      <c r="G54" s="220">
        <f>'2.생활용수(행정구역)'!L110</f>
        <v>1831</v>
      </c>
      <c r="H54" s="220">
        <f>'2.생활용수(행정구역)'!M110</f>
        <v>1997</v>
      </c>
      <c r="I54" s="220">
        <f>'2.생활용수(행정구역)'!N110</f>
        <v>2036</v>
      </c>
      <c r="J54" s="220"/>
    </row>
    <row r="55" spans="1:10" ht="15.95" customHeight="1">
      <c r="A55" s="600"/>
      <c r="B55" s="605" t="s">
        <v>259</v>
      </c>
      <c r="C55" s="519" t="s">
        <v>1201</v>
      </c>
      <c r="D55" s="220">
        <f>'3.공업용수'!G82</f>
        <v>0</v>
      </c>
      <c r="E55" s="220">
        <f>'3.공업용수'!H82</f>
        <v>0</v>
      </c>
      <c r="F55" s="220">
        <f>'3.공업용수'!I82</f>
        <v>0</v>
      </c>
      <c r="G55" s="220">
        <f>'3.공업용수'!J82</f>
        <v>0</v>
      </c>
      <c r="H55" s="220">
        <f>'3.공업용수'!K82</f>
        <v>0</v>
      </c>
      <c r="I55" s="220">
        <f>'3.공업용수'!L82</f>
        <v>0</v>
      </c>
      <c r="J55" s="220"/>
    </row>
    <row r="56" spans="1:10" ht="15.95" customHeight="1">
      <c r="A56" s="600"/>
      <c r="B56" s="606"/>
      <c r="C56" s="519" t="s">
        <v>1202</v>
      </c>
      <c r="D56" s="220">
        <f>'3.공업용수'!G83</f>
        <v>0</v>
      </c>
      <c r="E56" s="220"/>
      <c r="F56" s="220">
        <f>'3.공업용수'!I83</f>
        <v>0</v>
      </c>
      <c r="G56" s="220">
        <f>'3.공업용수'!J83</f>
        <v>0</v>
      </c>
      <c r="H56" s="220">
        <f>'3.공업용수'!K83</f>
        <v>0</v>
      </c>
      <c r="I56" s="220">
        <f>'3.공업용수'!L83</f>
        <v>0</v>
      </c>
      <c r="J56" s="220"/>
    </row>
    <row r="57" spans="1:10" ht="15.95" customHeight="1">
      <c r="A57" s="600"/>
      <c r="B57" s="601" t="s">
        <v>260</v>
      </c>
      <c r="C57" s="602"/>
      <c r="D57" s="220"/>
      <c r="E57" s="220"/>
      <c r="F57" s="220"/>
      <c r="G57" s="220"/>
      <c r="H57" s="220"/>
      <c r="I57" s="220"/>
      <c r="J57" s="220"/>
    </row>
    <row r="58" spans="1:10" ht="15.95" customHeight="1">
      <c r="A58" s="600"/>
      <c r="B58" s="600" t="s">
        <v>2645</v>
      </c>
      <c r="C58" s="600"/>
      <c r="D58" s="220"/>
      <c r="E58" s="220"/>
      <c r="F58" s="220"/>
      <c r="G58" s="220"/>
      <c r="H58" s="220"/>
      <c r="I58" s="220"/>
      <c r="J58" s="220"/>
    </row>
    <row r="59" spans="1:10" ht="15.95" customHeight="1">
      <c r="A59" s="600" t="s">
        <v>992</v>
      </c>
      <c r="B59" s="601" t="s">
        <v>15</v>
      </c>
      <c r="C59" s="602"/>
      <c r="D59" s="220">
        <f t="shared" ref="D59:I59" si="21">SUM(D60:D64)</f>
        <v>0</v>
      </c>
      <c r="E59" s="220">
        <f t="shared" si="21"/>
        <v>0</v>
      </c>
      <c r="F59" s="220">
        <f t="shared" si="21"/>
        <v>0</v>
      </c>
      <c r="G59" s="220">
        <f t="shared" si="21"/>
        <v>689</v>
      </c>
      <c r="H59" s="220">
        <f t="shared" si="21"/>
        <v>710</v>
      </c>
      <c r="I59" s="220">
        <f t="shared" si="21"/>
        <v>725</v>
      </c>
      <c r="J59" s="220"/>
    </row>
    <row r="60" spans="1:10" ht="15.95" customHeight="1">
      <c r="A60" s="600"/>
      <c r="B60" s="601" t="s">
        <v>258</v>
      </c>
      <c r="C60" s="602"/>
      <c r="D60" s="220">
        <f>'2.생활용수(행정구역)'!I132</f>
        <v>0</v>
      </c>
      <c r="E60" s="220">
        <f>'2.생활용수(행정구역)'!J132</f>
        <v>0</v>
      </c>
      <c r="F60" s="220">
        <f>'2.생활용수(행정구역)'!K132</f>
        <v>0</v>
      </c>
      <c r="G60" s="220">
        <f>'2.생활용수(행정구역)'!L132</f>
        <v>689</v>
      </c>
      <c r="H60" s="220">
        <f>'2.생활용수(행정구역)'!M132</f>
        <v>710</v>
      </c>
      <c r="I60" s="220">
        <f>'2.생활용수(행정구역)'!N132</f>
        <v>725</v>
      </c>
      <c r="J60" s="220"/>
    </row>
    <row r="61" spans="1:10" ht="15.95" customHeight="1">
      <c r="A61" s="600"/>
      <c r="B61" s="605" t="s">
        <v>259</v>
      </c>
      <c r="C61" s="519" t="s">
        <v>1201</v>
      </c>
      <c r="D61" s="220">
        <f>'3.공업용수'!G85</f>
        <v>0</v>
      </c>
      <c r="E61" s="220">
        <f>'3.공업용수'!H85</f>
        <v>0</v>
      </c>
      <c r="F61" s="220">
        <f>'3.공업용수'!I85</f>
        <v>0</v>
      </c>
      <c r="G61" s="220">
        <f>'3.공업용수'!J85</f>
        <v>0</v>
      </c>
      <c r="H61" s="220">
        <f>'3.공업용수'!K85</f>
        <v>0</v>
      </c>
      <c r="I61" s="220">
        <f>'3.공업용수'!L85</f>
        <v>0</v>
      </c>
      <c r="J61" s="220"/>
    </row>
    <row r="62" spans="1:10" ht="15.95" customHeight="1">
      <c r="A62" s="600"/>
      <c r="B62" s="606"/>
      <c r="C62" s="519" t="s">
        <v>1202</v>
      </c>
      <c r="D62" s="220">
        <f>'3.공업용수'!G86</f>
        <v>0</v>
      </c>
      <c r="E62" s="220"/>
      <c r="F62" s="220">
        <f>'3.공업용수'!I86</f>
        <v>0</v>
      </c>
      <c r="G62" s="220">
        <f>'3.공업용수'!J86</f>
        <v>0</v>
      </c>
      <c r="H62" s="220">
        <f>'3.공업용수'!K86</f>
        <v>0</v>
      </c>
      <c r="I62" s="220">
        <f>'3.공업용수'!L86</f>
        <v>0</v>
      </c>
      <c r="J62" s="220"/>
    </row>
    <row r="63" spans="1:10" ht="15.95" customHeight="1">
      <c r="A63" s="600"/>
      <c r="B63" s="601" t="s">
        <v>260</v>
      </c>
      <c r="C63" s="602"/>
      <c r="D63" s="220"/>
      <c r="E63" s="220"/>
      <c r="F63" s="220"/>
      <c r="G63" s="220"/>
      <c r="H63" s="220"/>
      <c r="I63" s="220"/>
      <c r="J63" s="220"/>
    </row>
    <row r="64" spans="1:10" ht="15.95" customHeight="1">
      <c r="A64" s="600"/>
      <c r="B64" s="600" t="s">
        <v>2645</v>
      </c>
      <c r="C64" s="600"/>
      <c r="D64" s="220"/>
      <c r="E64" s="220"/>
      <c r="F64" s="220"/>
      <c r="G64" s="220"/>
      <c r="H64" s="220"/>
      <c r="I64" s="220"/>
      <c r="J64" s="220"/>
    </row>
    <row r="65" spans="1:10" ht="15.95" customHeight="1">
      <c r="A65" s="600" t="s">
        <v>993</v>
      </c>
      <c r="B65" s="601" t="s">
        <v>15</v>
      </c>
      <c r="C65" s="602"/>
      <c r="D65" s="220">
        <f t="shared" ref="D65:I65" si="22">SUM(D66:D70)</f>
        <v>82</v>
      </c>
      <c r="E65" s="220">
        <f t="shared" si="22"/>
        <v>270</v>
      </c>
      <c r="F65" s="220">
        <f t="shared" si="22"/>
        <v>1130</v>
      </c>
      <c r="G65" s="220">
        <f t="shared" si="22"/>
        <v>3313</v>
      </c>
      <c r="H65" s="220">
        <f t="shared" si="22"/>
        <v>3369</v>
      </c>
      <c r="I65" s="220">
        <f t="shared" si="22"/>
        <v>3397</v>
      </c>
      <c r="J65" s="220"/>
    </row>
    <row r="66" spans="1:10" ht="15.95" customHeight="1">
      <c r="A66" s="600"/>
      <c r="B66" s="601" t="s">
        <v>258</v>
      </c>
      <c r="C66" s="602"/>
      <c r="D66" s="220">
        <f>'2.생활용수(행정구역)'!I148</f>
        <v>82</v>
      </c>
      <c r="E66" s="220">
        <f>'2.생활용수(행정구역)'!J148</f>
        <v>270</v>
      </c>
      <c r="F66" s="220">
        <f>'2.생활용수(행정구역)'!K148</f>
        <v>1130</v>
      </c>
      <c r="G66" s="220">
        <f>'2.생활용수(행정구역)'!L148</f>
        <v>3313</v>
      </c>
      <c r="H66" s="220">
        <f>'2.생활용수(행정구역)'!M148</f>
        <v>3369</v>
      </c>
      <c r="I66" s="220">
        <f>'2.생활용수(행정구역)'!N148</f>
        <v>3397</v>
      </c>
      <c r="J66" s="220"/>
    </row>
    <row r="67" spans="1:10" ht="15.95" customHeight="1">
      <c r="A67" s="600"/>
      <c r="B67" s="605" t="s">
        <v>259</v>
      </c>
      <c r="C67" s="519" t="s">
        <v>1201</v>
      </c>
      <c r="D67" s="220">
        <f>'3.공업용수'!G88</f>
        <v>0</v>
      </c>
      <c r="E67" s="220">
        <f>'3.공업용수'!H88</f>
        <v>0</v>
      </c>
      <c r="F67" s="220">
        <f>'3.공업용수'!I88</f>
        <v>0</v>
      </c>
      <c r="G67" s="220">
        <f>'3.공업용수'!J88</f>
        <v>0</v>
      </c>
      <c r="H67" s="220">
        <f>'3.공업용수'!K88</f>
        <v>0</v>
      </c>
      <c r="I67" s="220">
        <f>'3.공업용수'!L88</f>
        <v>0</v>
      </c>
      <c r="J67" s="220"/>
    </row>
    <row r="68" spans="1:10" ht="15.95" customHeight="1">
      <c r="A68" s="600"/>
      <c r="B68" s="606"/>
      <c r="C68" s="519" t="s">
        <v>1202</v>
      </c>
      <c r="D68" s="220">
        <f>'3.공업용수'!G89</f>
        <v>0</v>
      </c>
      <c r="E68" s="220"/>
      <c r="F68" s="220">
        <f>'3.공업용수'!I89</f>
        <v>0</v>
      </c>
      <c r="G68" s="220">
        <f>'3.공업용수'!J89</f>
        <v>0</v>
      </c>
      <c r="H68" s="220">
        <f>'3.공업용수'!K89</f>
        <v>0</v>
      </c>
      <c r="I68" s="220">
        <f>'3.공업용수'!L89</f>
        <v>0</v>
      </c>
      <c r="J68" s="220"/>
    </row>
    <row r="69" spans="1:10" ht="15.95" customHeight="1">
      <c r="A69" s="600"/>
      <c r="B69" s="601" t="s">
        <v>260</v>
      </c>
      <c r="C69" s="602"/>
      <c r="D69" s="220"/>
      <c r="E69" s="220"/>
      <c r="F69" s="220"/>
      <c r="G69" s="220"/>
      <c r="H69" s="220"/>
      <c r="I69" s="220"/>
      <c r="J69" s="220"/>
    </row>
    <row r="70" spans="1:10" ht="15.95" customHeight="1">
      <c r="A70" s="600"/>
      <c r="B70" s="600" t="s">
        <v>2645</v>
      </c>
      <c r="C70" s="600"/>
      <c r="D70" s="220"/>
      <c r="E70" s="220"/>
      <c r="F70" s="220"/>
      <c r="G70" s="220"/>
      <c r="H70" s="220"/>
      <c r="I70" s="220"/>
      <c r="J70" s="220"/>
    </row>
    <row r="71" spans="1:10" ht="15.95" customHeight="1">
      <c r="A71" s="600" t="s">
        <v>994</v>
      </c>
      <c r="B71" s="601" t="s">
        <v>15</v>
      </c>
      <c r="C71" s="602"/>
      <c r="D71" s="220">
        <f t="shared" ref="D71:I71" si="23">SUM(D72:D76)</f>
        <v>494</v>
      </c>
      <c r="E71" s="220">
        <f t="shared" si="23"/>
        <v>593</v>
      </c>
      <c r="F71" s="220">
        <f t="shared" si="23"/>
        <v>771</v>
      </c>
      <c r="G71" s="220">
        <f t="shared" si="23"/>
        <v>2368</v>
      </c>
      <c r="H71" s="220">
        <f t="shared" si="23"/>
        <v>2548</v>
      </c>
      <c r="I71" s="220">
        <f t="shared" si="23"/>
        <v>2795</v>
      </c>
      <c r="J71" s="220"/>
    </row>
    <row r="72" spans="1:10" ht="15.95" customHeight="1">
      <c r="A72" s="600"/>
      <c r="B72" s="601" t="s">
        <v>258</v>
      </c>
      <c r="C72" s="602"/>
      <c r="D72" s="220">
        <f>'2.생활용수(행정구역)'!I168</f>
        <v>105</v>
      </c>
      <c r="E72" s="220">
        <f>'2.생활용수(행정구역)'!J168</f>
        <v>204</v>
      </c>
      <c r="F72" s="220">
        <f>'2.생활용수(행정구역)'!K168</f>
        <v>382</v>
      </c>
      <c r="G72" s="220">
        <f>'2.생활용수(행정구역)'!L168</f>
        <v>1095</v>
      </c>
      <c r="H72" s="220">
        <f>'2.생활용수(행정구역)'!M168</f>
        <v>1128</v>
      </c>
      <c r="I72" s="220">
        <f>'2.생활용수(행정구역)'!N168</f>
        <v>1150</v>
      </c>
      <c r="J72" s="220"/>
    </row>
    <row r="73" spans="1:10" ht="15.95" customHeight="1">
      <c r="A73" s="600"/>
      <c r="B73" s="605" t="s">
        <v>259</v>
      </c>
      <c r="C73" s="519" t="s">
        <v>1201</v>
      </c>
      <c r="D73" s="220">
        <f>'3.공업용수'!G91</f>
        <v>389</v>
      </c>
      <c r="E73" s="220">
        <f>'3.공업용수'!H91</f>
        <v>389</v>
      </c>
      <c r="F73" s="220">
        <f>'3.공업용수'!I91</f>
        <v>389</v>
      </c>
      <c r="G73" s="220">
        <f>'3.공업용수'!J91</f>
        <v>1144</v>
      </c>
      <c r="H73" s="220">
        <f>'3.공업용수'!K91</f>
        <v>568</v>
      </c>
      <c r="I73" s="220">
        <f>'3.공업용수'!L91</f>
        <v>437</v>
      </c>
      <c r="J73" s="220"/>
    </row>
    <row r="74" spans="1:10" ht="15.95" customHeight="1">
      <c r="A74" s="600"/>
      <c r="B74" s="606"/>
      <c r="C74" s="519" t="s">
        <v>1202</v>
      </c>
      <c r="D74" s="220">
        <f>'3.공업용수'!G92</f>
        <v>0</v>
      </c>
      <c r="E74" s="220"/>
      <c r="F74" s="220">
        <f>'3.공업용수'!I92</f>
        <v>0</v>
      </c>
      <c r="G74" s="220">
        <f>'3.공업용수'!J92</f>
        <v>0</v>
      </c>
      <c r="H74" s="220">
        <f>'3.공업용수'!K92</f>
        <v>723</v>
      </c>
      <c r="I74" s="220">
        <f>'3.공업용수'!L92</f>
        <v>1079</v>
      </c>
      <c r="J74" s="220"/>
    </row>
    <row r="75" spans="1:10" ht="15.95" customHeight="1">
      <c r="A75" s="600"/>
      <c r="B75" s="601" t="s">
        <v>260</v>
      </c>
      <c r="C75" s="602"/>
      <c r="D75" s="220"/>
      <c r="E75" s="220"/>
      <c r="F75" s="220"/>
      <c r="G75" s="220">
        <f>'1.급수구역별 수요량'!H61</f>
        <v>129</v>
      </c>
      <c r="H75" s="220">
        <f>G75</f>
        <v>129</v>
      </c>
      <c r="I75" s="220">
        <f>H75</f>
        <v>129</v>
      </c>
      <c r="J75" s="220"/>
    </row>
    <row r="76" spans="1:10" ht="15.95" customHeight="1">
      <c r="A76" s="600"/>
      <c r="B76" s="600" t="s">
        <v>2645</v>
      </c>
      <c r="C76" s="600"/>
      <c r="D76" s="220"/>
      <c r="E76" s="220"/>
      <c r="F76" s="220"/>
      <c r="G76" s="220"/>
      <c r="H76" s="220"/>
      <c r="I76" s="220"/>
      <c r="J76" s="220"/>
    </row>
    <row r="77" spans="1:10" ht="15.95" customHeight="1">
      <c r="A77" s="600" t="s">
        <v>995</v>
      </c>
      <c r="B77" s="601" t="s">
        <v>15</v>
      </c>
      <c r="C77" s="602"/>
      <c r="D77" s="220">
        <f t="shared" ref="D77:I77" si="24">SUM(D78:D82)</f>
        <v>979</v>
      </c>
      <c r="E77" s="220">
        <f t="shared" si="24"/>
        <v>1017</v>
      </c>
      <c r="F77" s="220">
        <f t="shared" si="24"/>
        <v>1350</v>
      </c>
      <c r="G77" s="220">
        <f t="shared" si="24"/>
        <v>1575</v>
      </c>
      <c r="H77" s="220">
        <f t="shared" si="24"/>
        <v>1685</v>
      </c>
      <c r="I77" s="220">
        <f t="shared" si="24"/>
        <v>1712</v>
      </c>
      <c r="J77" s="220"/>
    </row>
    <row r="78" spans="1:10" ht="15.95" customHeight="1">
      <c r="A78" s="600"/>
      <c r="B78" s="601" t="s">
        <v>258</v>
      </c>
      <c r="C78" s="602"/>
      <c r="D78" s="220">
        <f>'2.생활용수(행정구역)'!I184</f>
        <v>893</v>
      </c>
      <c r="E78" s="220">
        <f>'2.생활용수(행정구역)'!J184</f>
        <v>931</v>
      </c>
      <c r="F78" s="220">
        <f>'2.생활용수(행정구역)'!K184</f>
        <v>1264</v>
      </c>
      <c r="G78" s="220">
        <f>'2.생활용수(행정구역)'!L184</f>
        <v>1489</v>
      </c>
      <c r="H78" s="220">
        <f>'2.생활용수(행정구역)'!M184</f>
        <v>1599</v>
      </c>
      <c r="I78" s="220">
        <f>'2.생활용수(행정구역)'!N184</f>
        <v>1626</v>
      </c>
      <c r="J78" s="220"/>
    </row>
    <row r="79" spans="1:10" ht="15.95" customHeight="1">
      <c r="A79" s="600"/>
      <c r="B79" s="605" t="s">
        <v>259</v>
      </c>
      <c r="C79" s="519" t="s">
        <v>1201</v>
      </c>
      <c r="D79" s="220">
        <f>'3.공업용수'!G94</f>
        <v>86</v>
      </c>
      <c r="E79" s="220">
        <f>'3.공업용수'!H94</f>
        <v>86</v>
      </c>
      <c r="F79" s="220">
        <f>'3.공업용수'!I94</f>
        <v>86</v>
      </c>
      <c r="G79" s="220">
        <f>'3.공업용수'!J94</f>
        <v>86</v>
      </c>
      <c r="H79" s="220">
        <f>'3.공업용수'!K94</f>
        <v>86</v>
      </c>
      <c r="I79" s="220">
        <f>'3.공업용수'!L94</f>
        <v>86</v>
      </c>
      <c r="J79" s="220"/>
    </row>
    <row r="80" spans="1:10" ht="15.95" customHeight="1">
      <c r="A80" s="600"/>
      <c r="B80" s="606"/>
      <c r="C80" s="519" t="s">
        <v>1202</v>
      </c>
      <c r="D80" s="220">
        <f>'3.공업용수'!G95</f>
        <v>0</v>
      </c>
      <c r="E80" s="220"/>
      <c r="F80" s="220">
        <f>'3.공업용수'!I95</f>
        <v>0</v>
      </c>
      <c r="G80" s="220">
        <f>'3.공업용수'!J95</f>
        <v>0</v>
      </c>
      <c r="H80" s="220">
        <f>'3.공업용수'!K95</f>
        <v>0</v>
      </c>
      <c r="I80" s="220">
        <f>'3.공업용수'!L95</f>
        <v>0</v>
      </c>
      <c r="J80" s="220"/>
    </row>
    <row r="81" spans="1:15" ht="15.95" customHeight="1">
      <c r="A81" s="600"/>
      <c r="B81" s="601" t="s">
        <v>260</v>
      </c>
      <c r="C81" s="602"/>
      <c r="D81" s="220"/>
      <c r="E81" s="220"/>
      <c r="F81" s="219"/>
      <c r="G81" s="219"/>
      <c r="H81" s="219"/>
      <c r="I81" s="219"/>
      <c r="J81" s="220"/>
    </row>
    <row r="82" spans="1:15" ht="15.95" customHeight="1">
      <c r="A82" s="600"/>
      <c r="B82" s="600" t="s">
        <v>2645</v>
      </c>
      <c r="C82" s="600"/>
      <c r="D82" s="220"/>
      <c r="E82" s="220"/>
      <c r="F82" s="220"/>
      <c r="G82" s="220"/>
      <c r="H82" s="220"/>
      <c r="I82" s="220"/>
      <c r="J82" s="220"/>
    </row>
    <row r="83" spans="1:15" ht="15.95" customHeight="1">
      <c r="A83" s="600" t="s">
        <v>996</v>
      </c>
      <c r="B83" s="601" t="s">
        <v>15</v>
      </c>
      <c r="C83" s="602"/>
      <c r="D83" s="220">
        <f t="shared" ref="D83:I83" si="25">SUM(D84:D88)</f>
        <v>605</v>
      </c>
      <c r="E83" s="220">
        <f t="shared" si="25"/>
        <v>642</v>
      </c>
      <c r="F83" s="220">
        <f t="shared" si="25"/>
        <v>777</v>
      </c>
      <c r="G83" s="220">
        <f t="shared" si="25"/>
        <v>823</v>
      </c>
      <c r="H83" s="220">
        <f t="shared" si="25"/>
        <v>849</v>
      </c>
      <c r="I83" s="220">
        <f t="shared" si="25"/>
        <v>864</v>
      </c>
      <c r="J83" s="220"/>
    </row>
    <row r="84" spans="1:15" ht="15.95" customHeight="1">
      <c r="A84" s="600"/>
      <c r="B84" s="601" t="s">
        <v>258</v>
      </c>
      <c r="C84" s="602"/>
      <c r="D84" s="220">
        <f>'2.생활용수(행정구역)'!I196</f>
        <v>605</v>
      </c>
      <c r="E84" s="220">
        <f>'2.생활용수(행정구역)'!J196</f>
        <v>642</v>
      </c>
      <c r="F84" s="220">
        <f>'2.생활용수(행정구역)'!K196</f>
        <v>777</v>
      </c>
      <c r="G84" s="220">
        <f>'2.생활용수(행정구역)'!L196</f>
        <v>823</v>
      </c>
      <c r="H84" s="220">
        <f>'2.생활용수(행정구역)'!M196</f>
        <v>849</v>
      </c>
      <c r="I84" s="220">
        <f>'2.생활용수(행정구역)'!N196</f>
        <v>864</v>
      </c>
      <c r="J84" s="220"/>
    </row>
    <row r="85" spans="1:15" ht="15.95" customHeight="1">
      <c r="A85" s="600"/>
      <c r="B85" s="605" t="s">
        <v>259</v>
      </c>
      <c r="C85" s="519" t="s">
        <v>1201</v>
      </c>
      <c r="D85" s="220">
        <f>'3.공업용수'!G97</f>
        <v>0</v>
      </c>
      <c r="E85" s="220">
        <f>'3.공업용수'!H97</f>
        <v>0</v>
      </c>
      <c r="F85" s="220">
        <f>'3.공업용수'!I97</f>
        <v>0</v>
      </c>
      <c r="G85" s="220">
        <f>'3.공업용수'!J97</f>
        <v>0</v>
      </c>
      <c r="H85" s="220">
        <f>'3.공업용수'!K97</f>
        <v>0</v>
      </c>
      <c r="I85" s="220">
        <f>'3.공업용수'!L97</f>
        <v>0</v>
      </c>
      <c r="J85" s="220"/>
    </row>
    <row r="86" spans="1:15" ht="15.95" customHeight="1">
      <c r="A86" s="600"/>
      <c r="B86" s="606"/>
      <c r="C86" s="519" t="s">
        <v>1202</v>
      </c>
      <c r="D86" s="220">
        <f>'3.공업용수'!G98</f>
        <v>0</v>
      </c>
      <c r="E86" s="220"/>
      <c r="F86" s="220">
        <f>'3.공업용수'!I98</f>
        <v>0</v>
      </c>
      <c r="G86" s="220">
        <f>'3.공업용수'!J98</f>
        <v>0</v>
      </c>
      <c r="H86" s="220">
        <f>'3.공업용수'!K98</f>
        <v>0</v>
      </c>
      <c r="I86" s="220">
        <f>'3.공업용수'!L98</f>
        <v>0</v>
      </c>
      <c r="J86" s="220"/>
    </row>
    <row r="87" spans="1:15" ht="15.95" customHeight="1">
      <c r="A87" s="600"/>
      <c r="B87" s="601" t="s">
        <v>260</v>
      </c>
      <c r="C87" s="602"/>
      <c r="D87" s="220"/>
      <c r="E87" s="220"/>
      <c r="F87" s="220"/>
      <c r="G87" s="220"/>
      <c r="H87" s="220"/>
      <c r="I87" s="220"/>
      <c r="J87" s="220"/>
      <c r="M87" s="304">
        <v>42980</v>
      </c>
      <c r="N87" s="304">
        <v>46840</v>
      </c>
      <c r="O87" s="304">
        <v>48030</v>
      </c>
    </row>
    <row r="88" spans="1:15" ht="15.95" customHeight="1">
      <c r="A88" s="600"/>
      <c r="B88" s="600" t="s">
        <v>2645</v>
      </c>
      <c r="C88" s="600"/>
      <c r="D88" s="220"/>
      <c r="E88" s="220"/>
      <c r="F88" s="220"/>
      <c r="G88" s="220"/>
      <c r="H88" s="220"/>
      <c r="I88" s="220"/>
      <c r="J88" s="220"/>
      <c r="M88" s="304">
        <v>6130</v>
      </c>
      <c r="N88" s="304">
        <v>6090</v>
      </c>
      <c r="O88" s="304">
        <v>7740</v>
      </c>
    </row>
    <row r="89" spans="1:15" ht="15.95" customHeight="1">
      <c r="A89" s="600" t="s">
        <v>997</v>
      </c>
      <c r="B89" s="601" t="s">
        <v>15</v>
      </c>
      <c r="C89" s="602"/>
      <c r="D89" s="220">
        <f t="shared" ref="D89:I89" si="26">SUM(D90:D94)</f>
        <v>13574</v>
      </c>
      <c r="E89" s="220">
        <f t="shared" si="26"/>
        <v>14591</v>
      </c>
      <c r="F89" s="220">
        <f t="shared" si="26"/>
        <v>13184</v>
      </c>
      <c r="G89" s="220">
        <f t="shared" si="26"/>
        <v>15788</v>
      </c>
      <c r="H89" s="220">
        <f t="shared" si="26"/>
        <v>16745</v>
      </c>
      <c r="I89" s="220">
        <f t="shared" si="26"/>
        <v>17938</v>
      </c>
      <c r="J89" s="220"/>
      <c r="M89" s="304">
        <v>8350</v>
      </c>
      <c r="N89" s="304">
        <v>8350</v>
      </c>
      <c r="O89" s="304">
        <v>8350</v>
      </c>
    </row>
    <row r="90" spans="1:15" ht="15.95" customHeight="1">
      <c r="A90" s="600"/>
      <c r="B90" s="601" t="s">
        <v>258</v>
      </c>
      <c r="C90" s="602"/>
      <c r="D90" s="220">
        <f>'2.생활용수(행정구역)'!I206</f>
        <v>13574</v>
      </c>
      <c r="E90" s="220">
        <f>'2.생활용수(행정구역)'!J206</f>
        <v>14591</v>
      </c>
      <c r="F90" s="220">
        <f>'2.생활용수(행정구역)'!K206</f>
        <v>13184</v>
      </c>
      <c r="G90" s="220">
        <f>'2.생활용수(행정구역)'!L206</f>
        <v>15788</v>
      </c>
      <c r="H90" s="220">
        <f>'2.생활용수(행정구역)'!M206</f>
        <v>16745</v>
      </c>
      <c r="I90" s="220">
        <f>'2.생활용수(행정구역)'!N206</f>
        <v>17938</v>
      </c>
      <c r="J90" s="220"/>
      <c r="M90" s="304"/>
      <c r="N90" s="304"/>
      <c r="O90" s="304"/>
    </row>
    <row r="91" spans="1:15" ht="15.95" customHeight="1">
      <c r="A91" s="600"/>
      <c r="B91" s="605" t="s">
        <v>259</v>
      </c>
      <c r="C91" s="265" t="s">
        <v>1201</v>
      </c>
      <c r="D91" s="220">
        <f>'3.공업용수'!G100</f>
        <v>0</v>
      </c>
      <c r="E91" s="220">
        <f>'3.공업용수'!H100</f>
        <v>0</v>
      </c>
      <c r="F91" s="220">
        <f>'3.공업용수'!I100</f>
        <v>0</v>
      </c>
      <c r="G91" s="220">
        <f>'3.공업용수'!J100</f>
        <v>0</v>
      </c>
      <c r="H91" s="220">
        <f>'3.공업용수'!K100</f>
        <v>0</v>
      </c>
      <c r="I91" s="220">
        <f>'3.공업용수'!L100</f>
        <v>0</v>
      </c>
      <c r="J91" s="220"/>
      <c r="M91" s="49">
        <f>SUM(M87:M90)</f>
        <v>57460</v>
      </c>
      <c r="N91" s="49">
        <f>SUM(N87:N90)</f>
        <v>61280</v>
      </c>
      <c r="O91" s="49">
        <f>SUM(O87:O90)</f>
        <v>64120</v>
      </c>
    </row>
    <row r="92" spans="1:15" ht="15.95" customHeight="1">
      <c r="A92" s="600"/>
      <c r="B92" s="606"/>
      <c r="C92" s="265" t="s">
        <v>1202</v>
      </c>
      <c r="D92" s="220">
        <f>'3.공업용수'!G101</f>
        <v>0</v>
      </c>
      <c r="E92" s="220"/>
      <c r="F92" s="220">
        <f>'3.공업용수'!I101</f>
        <v>0</v>
      </c>
      <c r="G92" s="220">
        <f>'3.공업용수'!J101</f>
        <v>0</v>
      </c>
      <c r="H92" s="220">
        <f>'3.공업용수'!K101</f>
        <v>0</v>
      </c>
      <c r="I92" s="220">
        <f>'3.공업용수'!L101</f>
        <v>0</v>
      </c>
      <c r="J92" s="220"/>
      <c r="M92" s="49"/>
      <c r="N92" s="49"/>
      <c r="O92" s="49"/>
    </row>
    <row r="93" spans="1:15" ht="15.95" customHeight="1">
      <c r="A93" s="600"/>
      <c r="B93" s="601" t="s">
        <v>260</v>
      </c>
      <c r="C93" s="602"/>
      <c r="D93" s="220"/>
      <c r="E93" s="220"/>
      <c r="F93" s="220">
        <f>'4.관광용수'!F7</f>
        <v>0</v>
      </c>
      <c r="G93" s="220">
        <f>F93</f>
        <v>0</v>
      </c>
      <c r="H93" s="220">
        <f>G93</f>
        <v>0</v>
      </c>
      <c r="I93" s="220">
        <f>H93</f>
        <v>0</v>
      </c>
      <c r="J93" s="220"/>
    </row>
    <row r="94" spans="1:15" ht="15.95" customHeight="1">
      <c r="A94" s="600"/>
      <c r="B94" s="600" t="s">
        <v>2645</v>
      </c>
      <c r="C94" s="600"/>
      <c r="D94" s="220"/>
      <c r="E94" s="220"/>
      <c r="F94" s="220"/>
      <c r="G94" s="220"/>
      <c r="H94" s="220"/>
      <c r="I94" s="220"/>
      <c r="J94" s="220"/>
    </row>
    <row r="95" spans="1:15" ht="15.95" customHeight="1">
      <c r="A95" s="600" t="s">
        <v>998</v>
      </c>
      <c r="B95" s="601" t="s">
        <v>15</v>
      </c>
      <c r="C95" s="602"/>
      <c r="D95" s="220">
        <f t="shared" ref="D95:I95" si="27">SUM(D96:D100)</f>
        <v>5780</v>
      </c>
      <c r="E95" s="220">
        <f t="shared" si="27"/>
        <v>7710</v>
      </c>
      <c r="F95" s="220">
        <f t="shared" si="27"/>
        <v>7645</v>
      </c>
      <c r="G95" s="220">
        <f t="shared" si="27"/>
        <v>8443</v>
      </c>
      <c r="H95" s="220">
        <f t="shared" si="27"/>
        <v>8981</v>
      </c>
      <c r="I95" s="220">
        <f t="shared" si="27"/>
        <v>9640</v>
      </c>
      <c r="J95" s="220"/>
    </row>
    <row r="96" spans="1:15" ht="15.95" customHeight="1">
      <c r="A96" s="600"/>
      <c r="B96" s="601" t="s">
        <v>258</v>
      </c>
      <c r="C96" s="602"/>
      <c r="D96" s="220">
        <f>'2.생활용수(행정구역)'!I215</f>
        <v>5780</v>
      </c>
      <c r="E96" s="220">
        <f>'2.생활용수(행정구역)'!J215</f>
        <v>7710</v>
      </c>
      <c r="F96" s="220">
        <f>'2.생활용수(행정구역)'!K215</f>
        <v>7645</v>
      </c>
      <c r="G96" s="220">
        <f>'2.생활용수(행정구역)'!L215</f>
        <v>8443</v>
      </c>
      <c r="H96" s="220">
        <f>'2.생활용수(행정구역)'!M215</f>
        <v>8981</v>
      </c>
      <c r="I96" s="220">
        <f>'2.생활용수(행정구역)'!N215</f>
        <v>9640</v>
      </c>
      <c r="J96" s="220"/>
    </row>
    <row r="97" spans="1:10" ht="15.95" customHeight="1">
      <c r="A97" s="600"/>
      <c r="B97" s="605" t="s">
        <v>259</v>
      </c>
      <c r="C97" s="265" t="s">
        <v>1201</v>
      </c>
      <c r="D97" s="220">
        <f>'3.공업용수'!G103</f>
        <v>0</v>
      </c>
      <c r="E97" s="220">
        <f>'3.공업용수'!H103</f>
        <v>0</v>
      </c>
      <c r="F97" s="220">
        <f>'3.공업용수'!I103</f>
        <v>0</v>
      </c>
      <c r="G97" s="220">
        <f>'3.공업용수'!J103</f>
        <v>0</v>
      </c>
      <c r="H97" s="220">
        <f>'3.공업용수'!K103</f>
        <v>0</v>
      </c>
      <c r="I97" s="220">
        <f>'3.공업용수'!L103</f>
        <v>0</v>
      </c>
      <c r="J97" s="220"/>
    </row>
    <row r="98" spans="1:10" ht="15.95" customHeight="1">
      <c r="A98" s="600"/>
      <c r="B98" s="606"/>
      <c r="C98" s="265" t="s">
        <v>1202</v>
      </c>
      <c r="D98" s="220">
        <f>'3.공업용수'!G104</f>
        <v>0</v>
      </c>
      <c r="E98" s="220"/>
      <c r="F98" s="220">
        <f>'3.공업용수'!I104</f>
        <v>0</v>
      </c>
      <c r="G98" s="220">
        <f>'3.공업용수'!J104</f>
        <v>0</v>
      </c>
      <c r="H98" s="220">
        <f>'3.공업용수'!K104</f>
        <v>0</v>
      </c>
      <c r="I98" s="220">
        <f>'3.공업용수'!L104</f>
        <v>0</v>
      </c>
      <c r="J98" s="220"/>
    </row>
    <row r="99" spans="1:10" ht="15.95" customHeight="1">
      <c r="A99" s="600"/>
      <c r="B99" s="601" t="s">
        <v>260</v>
      </c>
      <c r="C99" s="602"/>
      <c r="D99" s="220"/>
      <c r="E99" s="220"/>
      <c r="F99" s="220"/>
      <c r="G99" s="220"/>
      <c r="H99" s="220"/>
      <c r="I99" s="220"/>
      <c r="J99" s="220"/>
    </row>
    <row r="100" spans="1:10" ht="15.95" customHeight="1">
      <c r="A100" s="600"/>
      <c r="B100" s="600" t="s">
        <v>2645</v>
      </c>
      <c r="C100" s="600"/>
      <c r="D100" s="220"/>
      <c r="E100" s="220"/>
      <c r="F100" s="220"/>
      <c r="G100" s="220"/>
      <c r="H100" s="220"/>
      <c r="I100" s="220"/>
      <c r="J100" s="220"/>
    </row>
    <row r="101" spans="1:10" ht="16.5" customHeight="1"/>
    <row r="102" spans="1:10" ht="16.5" customHeight="1"/>
    <row r="103" spans="1:10" ht="16.5" customHeight="1"/>
    <row r="104" spans="1:10" ht="16.5" customHeight="1"/>
    <row r="105" spans="1:10" ht="16.5" customHeight="1"/>
    <row r="106" spans="1:10" ht="16.5" customHeight="1"/>
    <row r="107" spans="1:10" ht="24.95" customHeight="1"/>
    <row r="108" spans="1:10" ht="24.95" customHeight="1"/>
    <row r="109" spans="1:10" ht="24.95" customHeight="1"/>
    <row r="110" spans="1:10" ht="24.95" customHeight="1"/>
    <row r="111" spans="1:10" ht="24.95" customHeight="1"/>
    <row r="112" spans="1:10" ht="24.95" customHeight="1"/>
    <row r="113" ht="24.95" customHeight="1"/>
    <row r="114" ht="24.95" customHeight="1"/>
    <row r="115" ht="24.95" customHeight="1"/>
    <row r="116" ht="24.95" customHeight="1"/>
    <row r="117" ht="24.95" customHeight="1"/>
    <row r="118" ht="24.95" customHeight="1"/>
    <row r="119" ht="24.95" customHeight="1"/>
    <row r="120" ht="24.95" customHeight="1"/>
    <row r="121" ht="24.95" customHeight="1"/>
    <row r="122" ht="24.95" customHeight="1"/>
    <row r="123" ht="24.95" customHeight="1"/>
    <row r="124" ht="24.95" customHeight="1"/>
    <row r="125" ht="24.95" customHeight="1"/>
    <row r="126" ht="24.95" customHeight="1"/>
    <row r="127" ht="24.95" customHeight="1"/>
    <row r="128" ht="24.95" customHeight="1"/>
    <row r="129" ht="24.95" customHeight="1"/>
    <row r="130" ht="24.95" customHeight="1"/>
    <row r="131" ht="24.95" customHeight="1"/>
    <row r="132" ht="24.95" customHeight="1"/>
    <row r="133" ht="24.95" customHeight="1"/>
    <row r="134" ht="24.95" customHeight="1"/>
    <row r="135" ht="24.95" customHeight="1"/>
    <row r="136" ht="24.95" customHeight="1"/>
    <row r="137" ht="24.95" customHeight="1"/>
    <row r="138" ht="24.95" customHeight="1"/>
    <row r="139" ht="24.95" customHeight="1"/>
    <row r="140" ht="24.95" customHeight="1"/>
    <row r="141" ht="24.95" customHeight="1"/>
    <row r="142" ht="24.95" customHeight="1"/>
    <row r="143" ht="24.95" customHeight="1"/>
    <row r="144" ht="24.95" customHeight="1"/>
    <row r="145" ht="24.95" customHeight="1"/>
    <row r="146" ht="24.95" customHeight="1"/>
    <row r="147" ht="24.95" customHeight="1"/>
    <row r="148" ht="24.95" customHeight="1"/>
    <row r="149" ht="24.95" customHeight="1"/>
    <row r="150" ht="24.95" customHeight="1"/>
    <row r="151" ht="24.95" customHeight="1"/>
    <row r="152" ht="24.95" customHeight="1"/>
    <row r="153" ht="24.95" customHeight="1"/>
    <row r="154" ht="24.95" customHeight="1"/>
    <row r="155" ht="24.95" customHeight="1"/>
    <row r="156" ht="24.95" customHeight="1"/>
    <row r="157" ht="24.95" customHeight="1"/>
    <row r="158" ht="24.95" customHeight="1"/>
    <row r="159" ht="24.95" customHeight="1"/>
    <row r="160" ht="24.95" customHeight="1"/>
    <row r="161" ht="24.95" customHeight="1"/>
    <row r="162" ht="24.95" customHeight="1"/>
    <row r="163" ht="24.95" customHeight="1"/>
    <row r="164" ht="24.95" customHeight="1"/>
    <row r="165" ht="24.95" customHeight="1"/>
    <row r="166" ht="24.95" customHeight="1"/>
    <row r="167" ht="24.95" customHeight="1"/>
    <row r="168" ht="24.95" customHeight="1"/>
    <row r="169" ht="24.95" customHeight="1"/>
    <row r="170" ht="24.95" customHeight="1"/>
    <row r="171" ht="24.95" customHeight="1"/>
    <row r="172" ht="24.95" customHeight="1"/>
    <row r="173" ht="24.95" customHeight="1"/>
    <row r="174" ht="24.95" customHeight="1"/>
    <row r="175" ht="24.95" customHeight="1"/>
    <row r="176" ht="24.95" customHeight="1"/>
    <row r="177" ht="24.95" customHeight="1"/>
    <row r="178" ht="24.95" customHeight="1"/>
    <row r="179" ht="24.95" customHeight="1"/>
    <row r="180" ht="24.95" customHeight="1"/>
    <row r="181" ht="24.95" customHeight="1"/>
    <row r="182" ht="24.95" customHeight="1"/>
    <row r="183" ht="24.95" customHeight="1"/>
    <row r="184" ht="24.95" customHeight="1"/>
    <row r="185" ht="24.95" customHeight="1"/>
    <row r="186" ht="24.95" customHeight="1"/>
    <row r="187" ht="24.95" customHeight="1"/>
    <row r="188" ht="24.95" customHeight="1"/>
    <row r="189" ht="24.95" customHeight="1"/>
    <row r="190" ht="24.95" customHeight="1"/>
    <row r="191" ht="24.95" customHeight="1"/>
    <row r="192" ht="24.95" customHeight="1"/>
    <row r="193" ht="24.95" customHeight="1"/>
    <row r="194" ht="24.95" customHeight="1"/>
    <row r="195" ht="24.95" customHeight="1"/>
    <row r="196" ht="24.95" customHeight="1"/>
    <row r="197" ht="24.95" customHeight="1"/>
    <row r="198" ht="24.95" customHeight="1"/>
    <row r="199" ht="24.95" customHeight="1"/>
    <row r="200" ht="24.95" customHeight="1"/>
    <row r="201" ht="24.95" customHeight="1"/>
    <row r="202" ht="24.95" customHeight="1"/>
    <row r="203" ht="24.95" customHeight="1"/>
    <row r="204" ht="24.95" customHeight="1"/>
    <row r="205" ht="24.95" customHeight="1"/>
    <row r="206" ht="24.95" customHeight="1"/>
    <row r="207" ht="24.95" customHeight="1"/>
    <row r="208" ht="24.95" customHeight="1"/>
    <row r="209" ht="24.95" customHeight="1"/>
    <row r="210" ht="24.95" customHeight="1"/>
    <row r="211" ht="24.95" customHeight="1"/>
    <row r="212" ht="24.95" customHeight="1"/>
    <row r="213" ht="24.95" customHeight="1"/>
    <row r="214" ht="24.95" customHeight="1"/>
    <row r="215" ht="24.95" customHeight="1"/>
    <row r="216" ht="24.95" customHeight="1"/>
    <row r="217" ht="24.95" customHeight="1"/>
    <row r="218" ht="24.95" customHeight="1"/>
  </sheetData>
  <mergeCells count="99">
    <mergeCell ref="A95:A100"/>
    <mergeCell ref="A89:A94"/>
    <mergeCell ref="A83:A88"/>
    <mergeCell ref="A77:A82"/>
    <mergeCell ref="A71:A76"/>
    <mergeCell ref="D3:I3"/>
    <mergeCell ref="A29:A34"/>
    <mergeCell ref="J3:J4"/>
    <mergeCell ref="A5:A10"/>
    <mergeCell ref="A11:A16"/>
    <mergeCell ref="A17:A22"/>
    <mergeCell ref="A23:A28"/>
    <mergeCell ref="A3:C4"/>
    <mergeCell ref="B5:C5"/>
    <mergeCell ref="B6:C6"/>
    <mergeCell ref="B9:C9"/>
    <mergeCell ref="B10:C10"/>
    <mergeCell ref="B7:B8"/>
    <mergeCell ref="B29:C29"/>
    <mergeCell ref="B30:C30"/>
    <mergeCell ref="B31:B32"/>
    <mergeCell ref="A65:A70"/>
    <mergeCell ref="A59:A64"/>
    <mergeCell ref="A53:A58"/>
    <mergeCell ref="A47:A52"/>
    <mergeCell ref="A41:A46"/>
    <mergeCell ref="A35:A40"/>
    <mergeCell ref="B11:C11"/>
    <mergeCell ref="B12:C12"/>
    <mergeCell ref="B13:B14"/>
    <mergeCell ref="B15:C15"/>
    <mergeCell ref="B16:C16"/>
    <mergeCell ref="B17:C17"/>
    <mergeCell ref="B18:C18"/>
    <mergeCell ref="B19:B20"/>
    <mergeCell ref="B21:C21"/>
    <mergeCell ref="B22:C22"/>
    <mergeCell ref="B23:C23"/>
    <mergeCell ref="B24:C24"/>
    <mergeCell ref="B25:B26"/>
    <mergeCell ref="B27:C27"/>
    <mergeCell ref="B28:C28"/>
    <mergeCell ref="B33:C33"/>
    <mergeCell ref="B34:C34"/>
    <mergeCell ref="B35:C35"/>
    <mergeCell ref="B36:C36"/>
    <mergeCell ref="B37:B38"/>
    <mergeCell ref="B39:C39"/>
    <mergeCell ref="B40:C40"/>
    <mergeCell ref="B41:C41"/>
    <mergeCell ref="B42:C42"/>
    <mergeCell ref="B43:B44"/>
    <mergeCell ref="B45:C45"/>
    <mergeCell ref="B46:C46"/>
    <mergeCell ref="B47:C47"/>
    <mergeCell ref="B48:C48"/>
    <mergeCell ref="B49:B50"/>
    <mergeCell ref="B51:C51"/>
    <mergeCell ref="B52:C52"/>
    <mergeCell ref="B53:C53"/>
    <mergeCell ref="B54:C54"/>
    <mergeCell ref="B55:B56"/>
    <mergeCell ref="B57:C57"/>
    <mergeCell ref="B58:C58"/>
    <mergeCell ref="B59:C59"/>
    <mergeCell ref="B60:C60"/>
    <mergeCell ref="B61:B62"/>
    <mergeCell ref="B63:C63"/>
    <mergeCell ref="B64:C64"/>
    <mergeCell ref="B65:C65"/>
    <mergeCell ref="B66:C66"/>
    <mergeCell ref="B67:B68"/>
    <mergeCell ref="B69:C69"/>
    <mergeCell ref="B70:C70"/>
    <mergeCell ref="B71:C71"/>
    <mergeCell ref="B72:C72"/>
    <mergeCell ref="B73:B74"/>
    <mergeCell ref="B75:C75"/>
    <mergeCell ref="B76:C76"/>
    <mergeCell ref="B77:C77"/>
    <mergeCell ref="B78:C78"/>
    <mergeCell ref="B79:B80"/>
    <mergeCell ref="B81:C81"/>
    <mergeCell ref="B82:C82"/>
    <mergeCell ref="B83:C83"/>
    <mergeCell ref="B84:C84"/>
    <mergeCell ref="B85:B86"/>
    <mergeCell ref="B87:C87"/>
    <mergeCell ref="B88:C88"/>
    <mergeCell ref="B89:C89"/>
    <mergeCell ref="B90:C90"/>
    <mergeCell ref="B91:B92"/>
    <mergeCell ref="B99:C99"/>
    <mergeCell ref="B100:C100"/>
    <mergeCell ref="B93:C93"/>
    <mergeCell ref="B94:C94"/>
    <mergeCell ref="B95:C95"/>
    <mergeCell ref="B96:C96"/>
    <mergeCell ref="B97:B98"/>
  </mergeCells>
  <phoneticPr fontId="3" type="noConversion"/>
  <printOptions horizontalCentered="1"/>
  <pageMargins left="0.62992125984251968" right="0.62992125984251968" top="0.62992125984251968" bottom="0.62992125984251968" header="0.51181102362204722" footer="0.51181102362204722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dimension ref="A1:IZ135"/>
  <sheetViews>
    <sheetView topLeftCell="A19" workbookViewId="0">
      <selection activeCell="R40" sqref="R40"/>
    </sheetView>
  </sheetViews>
  <sheetFormatPr defaultRowHeight="14.1" customHeight="1" outlineLevelCol="1"/>
  <cols>
    <col min="1" max="1" width="4.21875" style="224" customWidth="1"/>
    <col min="2" max="2" width="14.77734375" style="224" customWidth="1"/>
    <col min="3" max="3" width="6.77734375" style="267" customWidth="1"/>
    <col min="4" max="5" width="6.77734375" style="224" customWidth="1"/>
    <col min="6" max="6" width="4.77734375" style="224" customWidth="1"/>
    <col min="7" max="7" width="6.77734375" style="224" customWidth="1"/>
    <col min="8" max="8" width="7.33203125" style="224" hidden="1" customWidth="1" outlineLevel="1"/>
    <col min="9" max="9" width="6.77734375" style="224" customWidth="1" collapsed="1"/>
    <col min="10" max="12" width="6.77734375" style="224" customWidth="1"/>
    <col min="13" max="13" width="6.77734375" style="358" customWidth="1"/>
    <col min="14" max="14" width="8.88671875" style="309"/>
    <col min="15" max="15" width="0" style="309" hidden="1" customWidth="1"/>
    <col min="16" max="19" width="8.88671875" style="309"/>
    <col min="20" max="16384" width="8.88671875" style="224"/>
  </cols>
  <sheetData>
    <row r="1" spans="1:260" ht="15.95" customHeight="1">
      <c r="A1" s="204" t="s">
        <v>1086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319"/>
      <c r="O1" s="319"/>
      <c r="P1" s="319"/>
      <c r="Q1" s="319"/>
      <c r="R1" s="319"/>
      <c r="S1" s="319"/>
      <c r="T1" s="204"/>
      <c r="U1" s="204"/>
      <c r="V1" s="204"/>
      <c r="W1" s="204"/>
      <c r="X1" s="204"/>
      <c r="Y1" s="204"/>
      <c r="Z1" s="204"/>
      <c r="AA1" s="204"/>
      <c r="AB1" s="204"/>
      <c r="AC1" s="204"/>
      <c r="AD1" s="204"/>
      <c r="AE1" s="204"/>
      <c r="AF1" s="204"/>
      <c r="AG1" s="204"/>
      <c r="AH1" s="204"/>
      <c r="AI1" s="204"/>
      <c r="AJ1" s="204"/>
      <c r="AK1" s="204"/>
      <c r="AL1" s="204"/>
      <c r="AM1" s="204"/>
      <c r="AN1" s="204"/>
      <c r="AO1" s="204"/>
      <c r="AP1" s="204"/>
      <c r="AQ1" s="204"/>
      <c r="AR1" s="204"/>
      <c r="AS1" s="204"/>
      <c r="AT1" s="204"/>
      <c r="AU1" s="204"/>
      <c r="AV1" s="204"/>
      <c r="AW1" s="204"/>
      <c r="AX1" s="204"/>
      <c r="AY1" s="204"/>
      <c r="AZ1" s="204"/>
      <c r="BA1" s="204"/>
      <c r="BB1" s="204"/>
      <c r="BC1" s="204"/>
      <c r="BD1" s="204"/>
      <c r="BE1" s="204"/>
      <c r="BF1" s="204"/>
      <c r="BG1" s="204"/>
      <c r="BH1" s="204"/>
      <c r="BI1" s="204"/>
      <c r="BJ1" s="204"/>
      <c r="BK1" s="204"/>
      <c r="BL1" s="204"/>
      <c r="BM1" s="204"/>
      <c r="BN1" s="204"/>
      <c r="BO1" s="204"/>
      <c r="BP1" s="204"/>
      <c r="BQ1" s="204"/>
      <c r="BR1" s="204"/>
      <c r="BS1" s="204"/>
      <c r="BT1" s="204"/>
      <c r="BU1" s="204"/>
      <c r="BV1" s="204"/>
      <c r="BW1" s="204"/>
      <c r="BX1" s="204"/>
      <c r="BY1" s="204"/>
      <c r="BZ1" s="204"/>
      <c r="CA1" s="204"/>
      <c r="CB1" s="204"/>
      <c r="CC1" s="204"/>
      <c r="CD1" s="204"/>
      <c r="CE1" s="204"/>
      <c r="CF1" s="204"/>
      <c r="CG1" s="204"/>
      <c r="CH1" s="204"/>
      <c r="CI1" s="204"/>
      <c r="CJ1" s="204"/>
      <c r="CK1" s="204"/>
      <c r="CL1" s="204"/>
      <c r="CM1" s="204"/>
      <c r="CN1" s="204"/>
      <c r="CO1" s="204"/>
      <c r="CP1" s="204"/>
      <c r="CQ1" s="204"/>
      <c r="CR1" s="204"/>
      <c r="CS1" s="204"/>
      <c r="CT1" s="204"/>
      <c r="CU1" s="204"/>
      <c r="CV1" s="204"/>
      <c r="CW1" s="204"/>
      <c r="CX1" s="204"/>
      <c r="CY1" s="204"/>
      <c r="CZ1" s="204"/>
      <c r="DA1" s="204"/>
      <c r="DB1" s="204"/>
      <c r="DC1" s="204"/>
      <c r="DD1" s="204"/>
      <c r="DE1" s="204"/>
      <c r="DF1" s="204"/>
      <c r="DG1" s="204"/>
      <c r="DH1" s="204"/>
      <c r="DI1" s="204"/>
      <c r="DJ1" s="204"/>
      <c r="DK1" s="204"/>
      <c r="DL1" s="204"/>
      <c r="DM1" s="204"/>
      <c r="DN1" s="204"/>
      <c r="DO1" s="204"/>
      <c r="DP1" s="204"/>
      <c r="DQ1" s="204"/>
      <c r="DR1" s="204"/>
      <c r="DS1" s="204"/>
      <c r="DT1" s="204"/>
      <c r="DU1" s="204"/>
      <c r="DV1" s="204"/>
      <c r="DW1" s="204"/>
      <c r="DX1" s="204"/>
      <c r="DY1" s="204"/>
      <c r="DZ1" s="204"/>
      <c r="EA1" s="204"/>
      <c r="EB1" s="204"/>
      <c r="EC1" s="204"/>
      <c r="ED1" s="204"/>
      <c r="EE1" s="204"/>
      <c r="EF1" s="204"/>
      <c r="EG1" s="204"/>
      <c r="EH1" s="204"/>
      <c r="EI1" s="204"/>
      <c r="EJ1" s="204"/>
      <c r="EK1" s="204"/>
      <c r="EL1" s="204"/>
      <c r="EM1" s="204"/>
      <c r="EN1" s="204"/>
      <c r="EO1" s="204"/>
      <c r="EP1" s="204"/>
      <c r="EQ1" s="204"/>
      <c r="ER1" s="204"/>
      <c r="ES1" s="204"/>
      <c r="ET1" s="204"/>
      <c r="EU1" s="204"/>
      <c r="EV1" s="204"/>
      <c r="EW1" s="204"/>
      <c r="EX1" s="204"/>
      <c r="EY1" s="204"/>
      <c r="EZ1" s="204"/>
      <c r="FA1" s="204"/>
      <c r="FB1" s="204"/>
      <c r="FC1" s="204"/>
      <c r="FD1" s="204"/>
      <c r="FE1" s="204"/>
      <c r="FF1" s="204"/>
      <c r="FG1" s="204"/>
      <c r="FH1" s="204"/>
      <c r="FI1" s="204"/>
      <c r="FJ1" s="204"/>
      <c r="FK1" s="204"/>
      <c r="FL1" s="204"/>
      <c r="FM1" s="204"/>
      <c r="FN1" s="204"/>
      <c r="FO1" s="204"/>
      <c r="FP1" s="204"/>
      <c r="FQ1" s="204"/>
      <c r="FR1" s="204"/>
      <c r="FS1" s="204"/>
      <c r="FT1" s="204"/>
      <c r="FU1" s="204"/>
      <c r="FV1" s="204"/>
      <c r="FW1" s="204"/>
      <c r="FX1" s="204"/>
      <c r="FY1" s="204"/>
      <c r="FZ1" s="204"/>
      <c r="GA1" s="204"/>
      <c r="GB1" s="204"/>
      <c r="GC1" s="204"/>
      <c r="GD1" s="204"/>
      <c r="GE1" s="204"/>
      <c r="GF1" s="204"/>
      <c r="GG1" s="204"/>
      <c r="GH1" s="204"/>
      <c r="GI1" s="204"/>
      <c r="GJ1" s="204"/>
      <c r="GK1" s="204"/>
      <c r="GL1" s="204"/>
      <c r="GM1" s="204"/>
      <c r="GN1" s="204"/>
      <c r="GO1" s="204"/>
      <c r="GP1" s="204"/>
      <c r="GQ1" s="204"/>
      <c r="GR1" s="204"/>
      <c r="GS1" s="204"/>
      <c r="GT1" s="204"/>
      <c r="GU1" s="204"/>
      <c r="GV1" s="204"/>
      <c r="GW1" s="204"/>
      <c r="GX1" s="204"/>
      <c r="GY1" s="204"/>
      <c r="GZ1" s="204"/>
      <c r="HA1" s="204"/>
      <c r="HB1" s="204"/>
      <c r="HC1" s="204"/>
      <c r="HD1" s="204"/>
      <c r="HE1" s="204"/>
      <c r="HF1" s="204"/>
      <c r="HG1" s="204"/>
      <c r="HH1" s="204"/>
      <c r="HI1" s="204"/>
      <c r="HJ1" s="204"/>
      <c r="HK1" s="204"/>
      <c r="HL1" s="204"/>
      <c r="HM1" s="204"/>
      <c r="HN1" s="204"/>
      <c r="HO1" s="204"/>
      <c r="HP1" s="204"/>
      <c r="HQ1" s="204"/>
      <c r="HR1" s="204"/>
      <c r="HS1" s="204"/>
      <c r="HT1" s="204"/>
      <c r="HU1" s="204"/>
      <c r="HV1" s="204"/>
      <c r="HW1" s="204"/>
      <c r="HX1" s="204"/>
      <c r="HY1" s="204"/>
      <c r="HZ1" s="204"/>
      <c r="IA1" s="204"/>
      <c r="IB1" s="204"/>
      <c r="IC1" s="204"/>
      <c r="ID1" s="204"/>
      <c r="IE1" s="204"/>
      <c r="IF1" s="204"/>
      <c r="IG1" s="204"/>
      <c r="IH1" s="204"/>
      <c r="II1" s="204"/>
      <c r="IJ1" s="204"/>
      <c r="IK1" s="204"/>
      <c r="IL1" s="204"/>
      <c r="IM1" s="204"/>
      <c r="IN1" s="204"/>
      <c r="IO1" s="204"/>
      <c r="IP1" s="204"/>
      <c r="IQ1" s="204"/>
      <c r="IR1" s="204"/>
      <c r="IS1" s="204"/>
      <c r="IT1" s="204"/>
      <c r="IU1" s="204"/>
      <c r="IV1" s="204"/>
      <c r="IW1" s="204"/>
      <c r="IX1" s="204"/>
      <c r="IY1" s="204"/>
      <c r="IZ1" s="204"/>
    </row>
    <row r="2" spans="1:260" ht="15.95" customHeight="1">
      <c r="A2" s="207" t="s">
        <v>1076</v>
      </c>
      <c r="B2" s="208"/>
      <c r="C2" s="208"/>
      <c r="D2" s="208"/>
      <c r="E2" s="208"/>
      <c r="F2" s="208"/>
      <c r="G2" s="208"/>
      <c r="H2" s="208"/>
      <c r="I2" s="209"/>
      <c r="J2" s="209"/>
      <c r="K2" s="208"/>
      <c r="L2" s="209"/>
      <c r="M2" s="209"/>
      <c r="N2" s="209"/>
      <c r="O2" s="209"/>
      <c r="P2" s="209"/>
      <c r="Q2" s="209"/>
      <c r="R2" s="209"/>
      <c r="S2" s="209"/>
      <c r="T2" s="208"/>
      <c r="U2" s="208"/>
      <c r="V2" s="208"/>
      <c r="W2" s="208"/>
      <c r="X2" s="208"/>
      <c r="Y2" s="208"/>
      <c r="Z2" s="208"/>
      <c r="AA2" s="208"/>
      <c r="AB2" s="208"/>
      <c r="AC2" s="208"/>
      <c r="AD2" s="208"/>
      <c r="AE2" s="208"/>
      <c r="AF2" s="208"/>
      <c r="AG2" s="208"/>
      <c r="AH2" s="208"/>
      <c r="AI2" s="208"/>
      <c r="AJ2" s="208"/>
      <c r="AK2" s="208"/>
      <c r="AL2" s="208"/>
      <c r="AM2" s="208"/>
      <c r="AN2" s="208"/>
      <c r="AO2" s="208"/>
      <c r="AP2" s="208"/>
      <c r="AQ2" s="208"/>
      <c r="AR2" s="208"/>
      <c r="AS2" s="208"/>
      <c r="AT2" s="208"/>
      <c r="AU2" s="208"/>
      <c r="AV2" s="208"/>
      <c r="AW2" s="208"/>
      <c r="AX2" s="208"/>
      <c r="AY2" s="208"/>
      <c r="AZ2" s="208"/>
      <c r="BA2" s="208"/>
      <c r="BB2" s="208"/>
      <c r="BC2" s="208"/>
      <c r="BD2" s="208"/>
      <c r="BE2" s="208"/>
      <c r="BF2" s="208"/>
      <c r="BG2" s="208"/>
      <c r="BH2" s="208"/>
      <c r="BI2" s="208"/>
      <c r="BJ2" s="208"/>
      <c r="BK2" s="208"/>
      <c r="BL2" s="208"/>
      <c r="BM2" s="208"/>
      <c r="BN2" s="208"/>
      <c r="BO2" s="208"/>
      <c r="BP2" s="208"/>
      <c r="BQ2" s="208"/>
      <c r="BR2" s="208"/>
      <c r="BS2" s="208"/>
      <c r="BT2" s="208"/>
      <c r="BU2" s="208"/>
      <c r="BV2" s="208"/>
      <c r="BW2" s="208"/>
      <c r="BX2" s="208"/>
      <c r="BY2" s="208"/>
      <c r="BZ2" s="208"/>
      <c r="CA2" s="208"/>
      <c r="CB2" s="208"/>
      <c r="CC2" s="208"/>
      <c r="CD2" s="208"/>
      <c r="CE2" s="208"/>
      <c r="CF2" s="208"/>
      <c r="CG2" s="208"/>
      <c r="CH2" s="208"/>
      <c r="CI2" s="208"/>
      <c r="CJ2" s="208"/>
      <c r="CK2" s="208"/>
      <c r="CL2" s="208"/>
      <c r="CM2" s="208"/>
      <c r="CN2" s="208"/>
      <c r="CO2" s="208"/>
      <c r="CP2" s="208"/>
      <c r="CQ2" s="208"/>
      <c r="CR2" s="208"/>
      <c r="CS2" s="208"/>
      <c r="CT2" s="208"/>
      <c r="CU2" s="208"/>
      <c r="CV2" s="208"/>
      <c r="CW2" s="208"/>
      <c r="CX2" s="208"/>
      <c r="CY2" s="208"/>
      <c r="CZ2" s="208"/>
      <c r="DA2" s="208"/>
      <c r="DB2" s="208"/>
      <c r="DC2" s="208"/>
      <c r="DD2" s="208"/>
      <c r="DE2" s="208"/>
      <c r="DF2" s="208"/>
      <c r="DG2" s="208"/>
      <c r="DH2" s="208"/>
      <c r="DI2" s="208"/>
      <c r="DJ2" s="208"/>
      <c r="DK2" s="208"/>
      <c r="DL2" s="208"/>
      <c r="DM2" s="208"/>
      <c r="DN2" s="208"/>
      <c r="DO2" s="208"/>
      <c r="DP2" s="208"/>
      <c r="DQ2" s="208"/>
      <c r="DR2" s="208"/>
      <c r="DS2" s="208"/>
      <c r="DT2" s="208"/>
      <c r="DU2" s="208"/>
      <c r="DV2" s="208"/>
      <c r="DW2" s="208"/>
      <c r="DX2" s="208"/>
      <c r="DY2" s="208"/>
      <c r="DZ2" s="208"/>
      <c r="EA2" s="208"/>
      <c r="EB2" s="208"/>
      <c r="EC2" s="208"/>
      <c r="ED2" s="208"/>
      <c r="EE2" s="208"/>
      <c r="EF2" s="208"/>
      <c r="EG2" s="208"/>
      <c r="EH2" s="208"/>
      <c r="EI2" s="208"/>
      <c r="EJ2" s="208"/>
      <c r="EK2" s="208"/>
      <c r="EL2" s="208"/>
      <c r="EM2" s="208"/>
      <c r="EN2" s="208"/>
      <c r="EO2" s="208"/>
      <c r="EP2" s="208"/>
      <c r="EQ2" s="208"/>
      <c r="ER2" s="208"/>
      <c r="ES2" s="208"/>
      <c r="ET2" s="208"/>
      <c r="EU2" s="208"/>
      <c r="EV2" s="208"/>
      <c r="EW2" s="208"/>
      <c r="EX2" s="208"/>
      <c r="EY2" s="208"/>
      <c r="EZ2" s="208"/>
      <c r="FA2" s="208"/>
      <c r="FB2" s="208"/>
      <c r="FC2" s="208"/>
      <c r="FD2" s="208"/>
      <c r="FE2" s="208"/>
      <c r="FF2" s="208"/>
      <c r="FG2" s="208"/>
      <c r="FH2" s="208"/>
      <c r="FI2" s="208"/>
      <c r="FJ2" s="208"/>
      <c r="FK2" s="208"/>
      <c r="FL2" s="208"/>
      <c r="FM2" s="208"/>
      <c r="FN2" s="208"/>
      <c r="FO2" s="208"/>
      <c r="FP2" s="208"/>
      <c r="FQ2" s="208"/>
      <c r="FR2" s="208"/>
      <c r="FS2" s="208"/>
      <c r="FT2" s="208"/>
      <c r="FU2" s="208"/>
      <c r="FV2" s="208"/>
      <c r="FW2" s="208"/>
      <c r="FX2" s="208"/>
      <c r="FY2" s="208"/>
      <c r="FZ2" s="208"/>
      <c r="GA2" s="208"/>
      <c r="GB2" s="208"/>
      <c r="GC2" s="208"/>
      <c r="GD2" s="208"/>
      <c r="GE2" s="208"/>
      <c r="GF2" s="208"/>
      <c r="GG2" s="208"/>
      <c r="GH2" s="208"/>
      <c r="GI2" s="208"/>
      <c r="GJ2" s="208"/>
      <c r="GK2" s="208"/>
      <c r="GL2" s="208"/>
      <c r="GM2" s="208"/>
      <c r="GN2" s="208"/>
      <c r="GO2" s="208"/>
      <c r="GP2" s="208"/>
      <c r="GQ2" s="208"/>
      <c r="GR2" s="208"/>
      <c r="GS2" s="208"/>
      <c r="GT2" s="208"/>
      <c r="GU2" s="208"/>
      <c r="GV2" s="208"/>
      <c r="GW2" s="208"/>
      <c r="GX2" s="208"/>
      <c r="GY2" s="208"/>
      <c r="GZ2" s="208"/>
      <c r="HA2" s="208"/>
      <c r="HB2" s="208"/>
      <c r="HC2" s="208"/>
      <c r="HD2" s="208"/>
      <c r="HE2" s="208"/>
      <c r="HF2" s="208"/>
      <c r="HG2" s="208"/>
      <c r="HH2" s="208"/>
      <c r="HI2" s="208"/>
      <c r="HJ2" s="208"/>
      <c r="HK2" s="208"/>
      <c r="HL2" s="208"/>
      <c r="HM2" s="208"/>
      <c r="HN2" s="208"/>
      <c r="HO2" s="208"/>
      <c r="HP2" s="208"/>
      <c r="HQ2" s="208"/>
      <c r="HR2" s="208"/>
      <c r="HS2" s="208"/>
      <c r="HT2" s="208"/>
      <c r="HU2" s="208"/>
      <c r="HV2" s="208"/>
      <c r="HW2" s="208"/>
      <c r="HX2" s="208"/>
      <c r="HY2" s="208"/>
      <c r="HZ2" s="208"/>
      <c r="IA2" s="208"/>
      <c r="IB2" s="208"/>
      <c r="IC2" s="208"/>
      <c r="ID2" s="208"/>
      <c r="IE2" s="208"/>
      <c r="IF2" s="208"/>
      <c r="IG2" s="208"/>
      <c r="IH2" s="208"/>
      <c r="II2" s="208"/>
      <c r="IJ2" s="208"/>
      <c r="IK2" s="208"/>
      <c r="IL2" s="208"/>
      <c r="IM2" s="208"/>
      <c r="IN2" s="208"/>
      <c r="IO2" s="208"/>
      <c r="IP2" s="208"/>
      <c r="IQ2" s="208"/>
      <c r="IR2" s="208"/>
      <c r="IS2" s="208"/>
      <c r="IT2" s="208"/>
      <c r="IU2" s="208"/>
      <c r="IV2" s="208"/>
      <c r="IW2" s="208"/>
      <c r="IX2" s="208"/>
      <c r="IY2" s="208"/>
      <c r="IZ2" s="208"/>
    </row>
    <row r="3" spans="1:260" ht="13.9" customHeight="1">
      <c r="A3" s="679" t="s">
        <v>410</v>
      </c>
      <c r="B3" s="679"/>
      <c r="C3" s="679"/>
      <c r="D3" s="266" t="s">
        <v>1085</v>
      </c>
      <c r="E3" s="266" t="s">
        <v>1182</v>
      </c>
      <c r="F3" s="266" t="s">
        <v>1084</v>
      </c>
      <c r="G3" s="266">
        <v>2013</v>
      </c>
      <c r="H3" s="266">
        <v>2014</v>
      </c>
      <c r="I3" s="266">
        <v>2015</v>
      </c>
      <c r="J3" s="266">
        <v>2020</v>
      </c>
      <c r="K3" s="266">
        <v>2025</v>
      </c>
      <c r="L3" s="266">
        <v>2030</v>
      </c>
      <c r="M3" s="357"/>
    </row>
    <row r="4" spans="1:260" s="267" customFormat="1" ht="13.9" customHeight="1">
      <c r="A4" s="679" t="s">
        <v>1203</v>
      </c>
      <c r="B4" s="679"/>
      <c r="C4" s="266" t="s">
        <v>1245</v>
      </c>
      <c r="D4" s="266"/>
      <c r="E4" s="211">
        <f>SUM(E5:E6)</f>
        <v>9856</v>
      </c>
      <c r="F4" s="213"/>
      <c r="G4" s="211">
        <f t="shared" ref="G4:L4" si="0">SUM(G5:G6)</f>
        <v>3857</v>
      </c>
      <c r="H4" s="211">
        <f t="shared" si="0"/>
        <v>4309</v>
      </c>
      <c r="I4" s="211">
        <f t="shared" si="0"/>
        <v>6364</v>
      </c>
      <c r="J4" s="211">
        <f t="shared" si="0"/>
        <v>8363</v>
      </c>
      <c r="K4" s="211">
        <f t="shared" si="0"/>
        <v>9405</v>
      </c>
      <c r="L4" s="211">
        <f t="shared" si="0"/>
        <v>9856</v>
      </c>
      <c r="M4" s="364"/>
      <c r="N4" s="309">
        <f>ROUND(G4,-1)</f>
        <v>3860</v>
      </c>
      <c r="O4" s="309">
        <f t="shared" ref="O4:S4" si="1">ROUND(H4,-1)</f>
        <v>4310</v>
      </c>
      <c r="P4" s="309">
        <f t="shared" si="1"/>
        <v>6360</v>
      </c>
      <c r="Q4" s="309">
        <f t="shared" si="1"/>
        <v>8360</v>
      </c>
      <c r="R4" s="309">
        <f t="shared" si="1"/>
        <v>9410</v>
      </c>
      <c r="S4" s="309">
        <f t="shared" si="1"/>
        <v>9860</v>
      </c>
    </row>
    <row r="5" spans="1:260" s="289" customFormat="1" ht="13.9" customHeight="1">
      <c r="A5" s="679"/>
      <c r="B5" s="679"/>
      <c r="C5" s="266" t="s">
        <v>1204</v>
      </c>
      <c r="D5" s="266"/>
      <c r="E5" s="211">
        <f>E8+E38</f>
        <v>5123</v>
      </c>
      <c r="F5" s="213"/>
      <c r="G5" s="211">
        <f t="shared" ref="G5:L5" si="2">G8+G38</f>
        <v>3857</v>
      </c>
      <c r="H5" s="211">
        <f t="shared" si="2"/>
        <v>4309</v>
      </c>
      <c r="I5" s="211">
        <f t="shared" si="2"/>
        <v>6364</v>
      </c>
      <c r="J5" s="211">
        <f t="shared" si="2"/>
        <v>8363</v>
      </c>
      <c r="K5" s="211">
        <f t="shared" si="2"/>
        <v>6233</v>
      </c>
      <c r="L5" s="211">
        <f t="shared" si="2"/>
        <v>5123</v>
      </c>
      <c r="M5" s="364"/>
      <c r="N5" s="309">
        <f t="shared" ref="N5:N9" si="3">ROUND(G5,-1)</f>
        <v>3860</v>
      </c>
      <c r="O5" s="309">
        <f t="shared" ref="O5:O9" si="4">ROUND(H5,-1)</f>
        <v>4310</v>
      </c>
      <c r="P5" s="309">
        <f t="shared" ref="P5:P9" si="5">ROUND(I5,-1)</f>
        <v>6360</v>
      </c>
      <c r="Q5" s="309">
        <f t="shared" ref="Q5:Q9" si="6">ROUND(J5,-1)</f>
        <v>8360</v>
      </c>
      <c r="R5" s="309">
        <f t="shared" ref="R5:S9" si="7">ROUND(K5,-1)</f>
        <v>6230</v>
      </c>
      <c r="S5" s="309">
        <f t="shared" si="7"/>
        <v>5120</v>
      </c>
    </row>
    <row r="6" spans="1:260" s="289" customFormat="1" ht="13.9" customHeight="1">
      <c r="A6" s="679"/>
      <c r="B6" s="679"/>
      <c r="C6" s="266" t="s">
        <v>1205</v>
      </c>
      <c r="D6" s="266"/>
      <c r="E6" s="211">
        <f>E9+E39</f>
        <v>4733</v>
      </c>
      <c r="F6" s="213"/>
      <c r="G6" s="211">
        <f t="shared" ref="G6:L6" si="8">G9+G39</f>
        <v>0</v>
      </c>
      <c r="H6" s="211">
        <f t="shared" si="8"/>
        <v>0</v>
      </c>
      <c r="I6" s="211">
        <f t="shared" si="8"/>
        <v>0</v>
      </c>
      <c r="J6" s="211">
        <f t="shared" si="8"/>
        <v>0</v>
      </c>
      <c r="K6" s="211">
        <f t="shared" si="8"/>
        <v>3172</v>
      </c>
      <c r="L6" s="211">
        <f t="shared" si="8"/>
        <v>4733</v>
      </c>
      <c r="M6" s="364"/>
      <c r="N6" s="309">
        <f t="shared" si="3"/>
        <v>0</v>
      </c>
      <c r="O6" s="309">
        <f t="shared" si="4"/>
        <v>0</v>
      </c>
      <c r="P6" s="309">
        <f t="shared" si="5"/>
        <v>0</v>
      </c>
      <c r="Q6" s="309">
        <f t="shared" si="6"/>
        <v>0</v>
      </c>
      <c r="R6" s="309">
        <f t="shared" si="7"/>
        <v>3170</v>
      </c>
      <c r="S6" s="309">
        <f t="shared" si="7"/>
        <v>4730</v>
      </c>
    </row>
    <row r="7" spans="1:260" s="289" customFormat="1" ht="13.9" customHeight="1">
      <c r="A7" s="676" t="s">
        <v>1206</v>
      </c>
      <c r="B7" s="676" t="s">
        <v>1207</v>
      </c>
      <c r="C7" s="266" t="s">
        <v>1245</v>
      </c>
      <c r="D7" s="266"/>
      <c r="E7" s="211">
        <f>SUM(E8:E9)</f>
        <v>3857</v>
      </c>
      <c r="F7" s="213"/>
      <c r="G7" s="213">
        <f>SUM(G8:G9)</f>
        <v>3857</v>
      </c>
      <c r="H7" s="213">
        <f t="shared" ref="H7:L7" si="9">SUM(H8:H9)</f>
        <v>3857</v>
      </c>
      <c r="I7" s="213">
        <f t="shared" si="9"/>
        <v>3857</v>
      </c>
      <c r="J7" s="213">
        <f t="shared" si="9"/>
        <v>3857</v>
      </c>
      <c r="K7" s="213">
        <f t="shared" si="9"/>
        <v>3857</v>
      </c>
      <c r="L7" s="213">
        <f t="shared" si="9"/>
        <v>3857</v>
      </c>
      <c r="M7" s="365"/>
      <c r="N7" s="309">
        <f t="shared" si="3"/>
        <v>3860</v>
      </c>
      <c r="O7" s="309">
        <f t="shared" si="4"/>
        <v>3860</v>
      </c>
      <c r="P7" s="309">
        <f t="shared" si="5"/>
        <v>3860</v>
      </c>
      <c r="Q7" s="309">
        <f t="shared" si="6"/>
        <v>3860</v>
      </c>
      <c r="R7" s="309">
        <f t="shared" si="7"/>
        <v>3860</v>
      </c>
      <c r="S7" s="309">
        <f t="shared" si="7"/>
        <v>3860</v>
      </c>
    </row>
    <row r="8" spans="1:260" s="289" customFormat="1" ht="13.9" customHeight="1">
      <c r="A8" s="677"/>
      <c r="B8" s="677"/>
      <c r="C8" s="266" t="s">
        <v>1204</v>
      </c>
      <c r="D8" s="266"/>
      <c r="E8" s="211">
        <f>SUMIF($C$10:$C$36,$C8,E$10:E$36)</f>
        <v>2799</v>
      </c>
      <c r="F8" s="213"/>
      <c r="G8" s="213">
        <f>SUMIF($C$10:$C$36,$C8,G$10:G$36)</f>
        <v>3857</v>
      </c>
      <c r="H8" s="213">
        <f t="shared" ref="H8:L9" si="10">SUMIF($C$10:$C$36,$C8,H$10:H$36)</f>
        <v>3857</v>
      </c>
      <c r="I8" s="213">
        <f t="shared" si="10"/>
        <v>3857</v>
      </c>
      <c r="J8" s="213">
        <f t="shared" si="10"/>
        <v>3857</v>
      </c>
      <c r="K8" s="213">
        <f t="shared" si="10"/>
        <v>3148</v>
      </c>
      <c r="L8" s="213">
        <f t="shared" si="10"/>
        <v>2799</v>
      </c>
      <c r="M8" s="365"/>
      <c r="N8" s="309">
        <f t="shared" si="3"/>
        <v>3860</v>
      </c>
      <c r="O8" s="309">
        <f t="shared" si="4"/>
        <v>3860</v>
      </c>
      <c r="P8" s="309">
        <f t="shared" si="5"/>
        <v>3860</v>
      </c>
      <c r="Q8" s="309">
        <f t="shared" si="6"/>
        <v>3860</v>
      </c>
      <c r="R8" s="309">
        <f t="shared" si="7"/>
        <v>3150</v>
      </c>
      <c r="S8" s="309">
        <f t="shared" si="7"/>
        <v>2800</v>
      </c>
    </row>
    <row r="9" spans="1:260" s="289" customFormat="1" ht="13.9" customHeight="1">
      <c r="A9" s="677"/>
      <c r="B9" s="678"/>
      <c r="C9" s="266" t="s">
        <v>1205</v>
      </c>
      <c r="D9" s="266"/>
      <c r="E9" s="211">
        <f>SUMIF($C$10:$C$36,$C9,E$10:E$36)</f>
        <v>1058</v>
      </c>
      <c r="F9" s="213"/>
      <c r="G9" s="213">
        <f>SUMIF($C$10:$C$36,$C9,G$10:G$36)</f>
        <v>0</v>
      </c>
      <c r="H9" s="213">
        <f t="shared" si="10"/>
        <v>0</v>
      </c>
      <c r="I9" s="213">
        <f t="shared" si="10"/>
        <v>0</v>
      </c>
      <c r="J9" s="213">
        <f t="shared" si="10"/>
        <v>0</v>
      </c>
      <c r="K9" s="213">
        <f t="shared" si="10"/>
        <v>709</v>
      </c>
      <c r="L9" s="213">
        <f t="shared" si="10"/>
        <v>1058</v>
      </c>
      <c r="M9" s="365"/>
      <c r="N9" s="309">
        <f t="shared" si="3"/>
        <v>0</v>
      </c>
      <c r="O9" s="309">
        <f t="shared" si="4"/>
        <v>0</v>
      </c>
      <c r="P9" s="309">
        <f t="shared" si="5"/>
        <v>0</v>
      </c>
      <c r="Q9" s="309">
        <f t="shared" si="6"/>
        <v>0</v>
      </c>
      <c r="R9" s="309">
        <f t="shared" si="7"/>
        <v>710</v>
      </c>
      <c r="S9" s="309">
        <f t="shared" si="7"/>
        <v>1060</v>
      </c>
    </row>
    <row r="10" spans="1:260" s="289" customFormat="1" ht="13.9" customHeight="1">
      <c r="A10" s="677"/>
      <c r="B10" s="726" t="s">
        <v>1208</v>
      </c>
      <c r="C10" s="266" t="s">
        <v>1245</v>
      </c>
      <c r="D10" s="266" t="s">
        <v>1209</v>
      </c>
      <c r="E10" s="211">
        <f>'3.기존공장용수량'!J32</f>
        <v>72</v>
      </c>
      <c r="F10" s="213" t="s">
        <v>1206</v>
      </c>
      <c r="G10" s="211">
        <f t="shared" ref="G10:G33" si="11">ROUND(IF($F10="기존",E10,0),0)</f>
        <v>72</v>
      </c>
      <c r="H10" s="211">
        <f t="shared" ref="H10:H33" si="12">G10</f>
        <v>72</v>
      </c>
      <c r="I10" s="211">
        <f t="shared" ref="I10:I33" si="13">ROUND(IF($F10="기존",E10,IF($F10=1,E10*0.67,0)),0)</f>
        <v>72</v>
      </c>
      <c r="J10" s="211">
        <f t="shared" ref="J10:J33" si="14">ROUND(IF($F10="기존",E10,IF(F10=1,E10*0.8,IF(F10=2,E10*0.67,0))),0)</f>
        <v>72</v>
      </c>
      <c r="K10" s="211">
        <f t="shared" ref="K10:K33" si="15">ROUND(IF($F10="기존",E10,IF(F10=1,E10,IF(F10=2,E10*0.8,IF(F10=3,E10*0.67,0)))),0)</f>
        <v>72</v>
      </c>
      <c r="L10" s="211">
        <f>ROUND(IF($F10="기존",E10,IF(F10=1,E10,IF(F10=2,E10,IF(F10=3,E10,IF(F10=4,E10,0))))),0)</f>
        <v>72</v>
      </c>
      <c r="M10" s="366"/>
      <c r="N10" s="320"/>
      <c r="O10" s="320"/>
      <c r="P10" s="320"/>
      <c r="Q10" s="320"/>
      <c r="R10" s="320"/>
      <c r="S10" s="320"/>
    </row>
    <row r="11" spans="1:260" s="289" customFormat="1" ht="13.9" customHeight="1">
      <c r="A11" s="677"/>
      <c r="B11" s="727"/>
      <c r="C11" s="266" t="s">
        <v>1204</v>
      </c>
      <c r="D11" s="266" t="s">
        <v>1209</v>
      </c>
      <c r="E11" s="211">
        <f>E10-E12</f>
        <v>72</v>
      </c>
      <c r="F11" s="213" t="s">
        <v>1206</v>
      </c>
      <c r="G11" s="211">
        <f t="shared" ref="G11" si="16">G10-G12</f>
        <v>72</v>
      </c>
      <c r="H11" s="211">
        <f t="shared" ref="H11" si="17">H10-H12</f>
        <v>72</v>
      </c>
      <c r="I11" s="211">
        <f t="shared" ref="I11" si="18">I10-I12</f>
        <v>72</v>
      </c>
      <c r="J11" s="211">
        <f t="shared" ref="J11" si="19">J10-J12</f>
        <v>72</v>
      </c>
      <c r="K11" s="211">
        <f t="shared" ref="K11" si="20">K10-K12</f>
        <v>72</v>
      </c>
      <c r="L11" s="211">
        <f t="shared" ref="L11" si="21">L10-L12</f>
        <v>72</v>
      </c>
      <c r="M11" s="364"/>
      <c r="N11" s="320"/>
      <c r="O11" s="320"/>
      <c r="P11" s="320"/>
      <c r="Q11" s="320"/>
      <c r="R11" s="320"/>
      <c r="S11" s="320"/>
    </row>
    <row r="12" spans="1:260" s="289" customFormat="1" ht="13.9" customHeight="1">
      <c r="A12" s="677"/>
      <c r="B12" s="728"/>
      <c r="C12" s="266" t="s">
        <v>1205</v>
      </c>
      <c r="D12" s="266" t="s">
        <v>1209</v>
      </c>
      <c r="E12" s="211">
        <f>'3.전용공업용수(침전수)'!F7</f>
        <v>0</v>
      </c>
      <c r="F12" s="213">
        <v>3</v>
      </c>
      <c r="G12" s="211">
        <f t="shared" si="11"/>
        <v>0</v>
      </c>
      <c r="H12" s="211">
        <f t="shared" si="12"/>
        <v>0</v>
      </c>
      <c r="I12" s="211">
        <f t="shared" si="13"/>
        <v>0</v>
      </c>
      <c r="J12" s="211">
        <f t="shared" si="14"/>
        <v>0</v>
      </c>
      <c r="K12" s="211">
        <f t="shared" si="15"/>
        <v>0</v>
      </c>
      <c r="L12" s="211">
        <f>ROUND(IF($F12="기존",E12,IF(F12=1,E12,IF(F12=2,E12,IF(F12=3,E12,IF(F12=4,E12,0))))),0)</f>
        <v>0</v>
      </c>
      <c r="M12" s="366"/>
      <c r="N12" s="320"/>
      <c r="O12" s="320"/>
      <c r="P12" s="320"/>
      <c r="Q12" s="320"/>
      <c r="R12" s="320"/>
      <c r="S12" s="320"/>
    </row>
    <row r="13" spans="1:260" s="289" customFormat="1" ht="13.9" customHeight="1">
      <c r="A13" s="677"/>
      <c r="B13" s="726" t="s">
        <v>1210</v>
      </c>
      <c r="C13" s="266" t="s">
        <v>1245</v>
      </c>
      <c r="D13" s="266" t="s">
        <v>1211</v>
      </c>
      <c r="E13" s="211">
        <f>'3.기존공장용수량'!J33</f>
        <v>48</v>
      </c>
      <c r="F13" s="213" t="s">
        <v>1206</v>
      </c>
      <c r="G13" s="211">
        <f t="shared" si="11"/>
        <v>48</v>
      </c>
      <c r="H13" s="211">
        <f t="shared" si="12"/>
        <v>48</v>
      </c>
      <c r="I13" s="211">
        <f t="shared" si="13"/>
        <v>48</v>
      </c>
      <c r="J13" s="211">
        <f t="shared" si="14"/>
        <v>48</v>
      </c>
      <c r="K13" s="211">
        <f t="shared" si="15"/>
        <v>48</v>
      </c>
      <c r="L13" s="211">
        <f>ROUND(IF($F13="기존",E13,IF(F13=1,E13,IF(F13=2,E13,IF(F13=3,E13,IF(F13=4,E13,0))))),0)</f>
        <v>48</v>
      </c>
      <c r="M13" s="366"/>
      <c r="N13" s="320"/>
      <c r="O13" s="320"/>
      <c r="P13" s="320"/>
      <c r="Q13" s="320"/>
      <c r="R13" s="320"/>
      <c r="S13" s="320"/>
    </row>
    <row r="14" spans="1:260" s="289" customFormat="1" ht="13.9" customHeight="1">
      <c r="A14" s="677"/>
      <c r="B14" s="727"/>
      <c r="C14" s="266" t="s">
        <v>1204</v>
      </c>
      <c r="D14" s="266" t="s">
        <v>1211</v>
      </c>
      <c r="E14" s="211">
        <f>E13-E15</f>
        <v>48</v>
      </c>
      <c r="F14" s="213" t="s">
        <v>1206</v>
      </c>
      <c r="G14" s="211">
        <f t="shared" ref="G14" si="22">G13-G15</f>
        <v>48</v>
      </c>
      <c r="H14" s="211">
        <f t="shared" ref="H14" si="23">H13-H15</f>
        <v>48</v>
      </c>
      <c r="I14" s="211">
        <f t="shared" ref="I14" si="24">I13-I15</f>
        <v>48</v>
      </c>
      <c r="J14" s="211">
        <f t="shared" ref="J14" si="25">J13-J15</f>
        <v>48</v>
      </c>
      <c r="K14" s="211">
        <f t="shared" ref="K14:L14" si="26">K13-K15</f>
        <v>48</v>
      </c>
      <c r="L14" s="211">
        <f t="shared" si="26"/>
        <v>48</v>
      </c>
      <c r="M14" s="364"/>
      <c r="N14" s="320"/>
      <c r="O14" s="320"/>
      <c r="P14" s="320"/>
      <c r="Q14" s="320"/>
      <c r="R14" s="320"/>
      <c r="S14" s="320"/>
    </row>
    <row r="15" spans="1:260" s="289" customFormat="1" ht="13.9" customHeight="1">
      <c r="A15" s="677"/>
      <c r="B15" s="728"/>
      <c r="C15" s="266" t="s">
        <v>1205</v>
      </c>
      <c r="D15" s="266" t="s">
        <v>1211</v>
      </c>
      <c r="E15" s="211">
        <f>'3.전용공업용수(침전수)'!F12</f>
        <v>0</v>
      </c>
      <c r="F15" s="213">
        <v>3</v>
      </c>
      <c r="G15" s="211">
        <f t="shared" si="11"/>
        <v>0</v>
      </c>
      <c r="H15" s="211">
        <f t="shared" si="12"/>
        <v>0</v>
      </c>
      <c r="I15" s="211">
        <f t="shared" si="13"/>
        <v>0</v>
      </c>
      <c r="J15" s="211">
        <f t="shared" si="14"/>
        <v>0</v>
      </c>
      <c r="K15" s="211">
        <f t="shared" si="15"/>
        <v>0</v>
      </c>
      <c r="L15" s="211">
        <f>ROUND(IF($F15="기존",E15,IF(F15=1,E15,IF(F15=2,E15,IF(F15=3,E15,IF(F15=4,E15,0))))),0)</f>
        <v>0</v>
      </c>
      <c r="M15" s="366"/>
      <c r="N15" s="320"/>
      <c r="O15" s="320"/>
      <c r="P15" s="320"/>
      <c r="Q15" s="320"/>
      <c r="R15" s="320"/>
      <c r="S15" s="320"/>
    </row>
    <row r="16" spans="1:260" s="289" customFormat="1" ht="13.9" customHeight="1">
      <c r="A16" s="677"/>
      <c r="B16" s="726" t="s">
        <v>1212</v>
      </c>
      <c r="C16" s="266" t="s">
        <v>1245</v>
      </c>
      <c r="D16" s="266" t="s">
        <v>1211</v>
      </c>
      <c r="E16" s="211">
        <f>'3.기존공장용수량'!J34</f>
        <v>25</v>
      </c>
      <c r="F16" s="213" t="s">
        <v>1206</v>
      </c>
      <c r="G16" s="211">
        <f t="shared" si="11"/>
        <v>25</v>
      </c>
      <c r="H16" s="211">
        <f t="shared" si="12"/>
        <v>25</v>
      </c>
      <c r="I16" s="211">
        <f t="shared" si="13"/>
        <v>25</v>
      </c>
      <c r="J16" s="211">
        <f t="shared" si="14"/>
        <v>25</v>
      </c>
      <c r="K16" s="211">
        <f t="shared" si="15"/>
        <v>25</v>
      </c>
      <c r="L16" s="211">
        <f>ROUND(IF($F16="기존",E16,IF(F16=1,E16,IF(F16=2,E16,IF(F16=3,E16,IF(F16=4,E16,0))))),0)</f>
        <v>25</v>
      </c>
      <c r="M16" s="366"/>
      <c r="N16" s="320"/>
      <c r="O16" s="320"/>
      <c r="P16" s="320"/>
      <c r="Q16" s="320"/>
      <c r="R16" s="320"/>
      <c r="S16" s="320"/>
    </row>
    <row r="17" spans="1:19" s="289" customFormat="1" ht="13.9" customHeight="1">
      <c r="A17" s="677"/>
      <c r="B17" s="727"/>
      <c r="C17" s="266" t="s">
        <v>1204</v>
      </c>
      <c r="D17" s="266" t="s">
        <v>1211</v>
      </c>
      <c r="E17" s="211">
        <f>E16-E18</f>
        <v>25</v>
      </c>
      <c r="F17" s="213" t="s">
        <v>1206</v>
      </c>
      <c r="G17" s="211">
        <f t="shared" ref="G17" si="27">G16-G18</f>
        <v>25</v>
      </c>
      <c r="H17" s="211">
        <f t="shared" ref="H17" si="28">H16-H18</f>
        <v>25</v>
      </c>
      <c r="I17" s="211">
        <f t="shared" ref="I17" si="29">I16-I18</f>
        <v>25</v>
      </c>
      <c r="J17" s="211">
        <f t="shared" ref="J17" si="30">J16-J18</f>
        <v>25</v>
      </c>
      <c r="K17" s="211">
        <f t="shared" ref="K17:L17" si="31">K16-K18</f>
        <v>25</v>
      </c>
      <c r="L17" s="211">
        <f t="shared" si="31"/>
        <v>25</v>
      </c>
      <c r="M17" s="364"/>
      <c r="N17" s="320"/>
      <c r="O17" s="320"/>
      <c r="P17" s="320"/>
      <c r="Q17" s="320"/>
      <c r="R17" s="320"/>
      <c r="S17" s="320"/>
    </row>
    <row r="18" spans="1:19" s="289" customFormat="1" ht="13.9" customHeight="1">
      <c r="A18" s="677"/>
      <c r="B18" s="728"/>
      <c r="C18" s="266" t="s">
        <v>1205</v>
      </c>
      <c r="D18" s="266" t="s">
        <v>1211</v>
      </c>
      <c r="E18" s="211">
        <f>'3.전용공업용수(침전수)'!F8</f>
        <v>0</v>
      </c>
      <c r="F18" s="213">
        <v>3</v>
      </c>
      <c r="G18" s="211">
        <f t="shared" si="11"/>
        <v>0</v>
      </c>
      <c r="H18" s="211">
        <f t="shared" si="12"/>
        <v>0</v>
      </c>
      <c r="I18" s="211">
        <f t="shared" si="13"/>
        <v>0</v>
      </c>
      <c r="J18" s="211">
        <f t="shared" si="14"/>
        <v>0</v>
      </c>
      <c r="K18" s="211">
        <f t="shared" si="15"/>
        <v>0</v>
      </c>
      <c r="L18" s="211">
        <f>ROUND(IF($F18="기존",E18,IF(F18=1,E18,IF(F18=2,E18,IF(F18=3,E18,IF(F18=4,E18,0))))),0)</f>
        <v>0</v>
      </c>
      <c r="M18" s="366"/>
      <c r="N18" s="320"/>
      <c r="O18" s="320"/>
      <c r="P18" s="320"/>
      <c r="Q18" s="320"/>
      <c r="R18" s="320"/>
      <c r="S18" s="320"/>
    </row>
    <row r="19" spans="1:19" s="289" customFormat="1" ht="13.9" customHeight="1">
      <c r="A19" s="677"/>
      <c r="B19" s="726" t="s">
        <v>1213</v>
      </c>
      <c r="C19" s="266" t="s">
        <v>1245</v>
      </c>
      <c r="D19" s="266" t="s">
        <v>1211</v>
      </c>
      <c r="E19" s="211">
        <f>'3.기존공장용수량'!J35</f>
        <v>320</v>
      </c>
      <c r="F19" s="213" t="s">
        <v>1206</v>
      </c>
      <c r="G19" s="211">
        <f t="shared" si="11"/>
        <v>320</v>
      </c>
      <c r="H19" s="211">
        <f t="shared" si="12"/>
        <v>320</v>
      </c>
      <c r="I19" s="211">
        <f t="shared" si="13"/>
        <v>320</v>
      </c>
      <c r="J19" s="211">
        <f t="shared" si="14"/>
        <v>320</v>
      </c>
      <c r="K19" s="211">
        <f t="shared" si="15"/>
        <v>320</v>
      </c>
      <c r="L19" s="211">
        <f>ROUND(IF($F19="기존",E19,IF(F19=1,E19,IF(F19=2,E19,IF(F19=3,E19,IF(F19=4,E19,0))))),0)</f>
        <v>320</v>
      </c>
      <c r="M19" s="366"/>
      <c r="N19" s="320"/>
      <c r="O19" s="320"/>
      <c r="P19" s="320"/>
      <c r="Q19" s="320"/>
      <c r="R19" s="320"/>
      <c r="S19" s="320"/>
    </row>
    <row r="20" spans="1:19" s="289" customFormat="1" ht="13.9" customHeight="1">
      <c r="A20" s="677"/>
      <c r="B20" s="727"/>
      <c r="C20" s="266" t="s">
        <v>1204</v>
      </c>
      <c r="D20" s="266" t="s">
        <v>1211</v>
      </c>
      <c r="E20" s="211">
        <f>E19-E21</f>
        <v>320</v>
      </c>
      <c r="F20" s="213" t="s">
        <v>1206</v>
      </c>
      <c r="G20" s="211">
        <f t="shared" ref="G20" si="32">G19-G21</f>
        <v>320</v>
      </c>
      <c r="H20" s="211">
        <f t="shared" ref="H20" si="33">H19-H21</f>
        <v>320</v>
      </c>
      <c r="I20" s="211">
        <f t="shared" ref="I20" si="34">I19-I21</f>
        <v>320</v>
      </c>
      <c r="J20" s="211">
        <f t="shared" ref="J20" si="35">J19-J21</f>
        <v>320</v>
      </c>
      <c r="K20" s="211">
        <f t="shared" ref="K20:L20" si="36">K19-K21</f>
        <v>320</v>
      </c>
      <c r="L20" s="211">
        <f t="shared" si="36"/>
        <v>320</v>
      </c>
      <c r="M20" s="364"/>
      <c r="N20" s="320"/>
      <c r="O20" s="320"/>
      <c r="P20" s="320"/>
      <c r="Q20" s="320"/>
      <c r="R20" s="320"/>
      <c r="S20" s="320"/>
    </row>
    <row r="21" spans="1:19" s="289" customFormat="1" ht="13.9" customHeight="1">
      <c r="A21" s="677"/>
      <c r="B21" s="728"/>
      <c r="C21" s="266" t="s">
        <v>1205</v>
      </c>
      <c r="D21" s="266" t="s">
        <v>1211</v>
      </c>
      <c r="E21" s="211">
        <f>'3.전용공업용수(침전수)'!F9</f>
        <v>0</v>
      </c>
      <c r="F21" s="213">
        <v>3</v>
      </c>
      <c r="G21" s="211">
        <f t="shared" si="11"/>
        <v>0</v>
      </c>
      <c r="H21" s="211">
        <f t="shared" si="12"/>
        <v>0</v>
      </c>
      <c r="I21" s="211">
        <f t="shared" si="13"/>
        <v>0</v>
      </c>
      <c r="J21" s="211">
        <f t="shared" si="14"/>
        <v>0</v>
      </c>
      <c r="K21" s="211">
        <f t="shared" si="15"/>
        <v>0</v>
      </c>
      <c r="L21" s="211">
        <f>ROUND(IF($F21="기존",E21,IF(F21=1,E21,IF(F21=2,E21,IF(F21=3,E21,IF(F21=4,E21,0))))),0)</f>
        <v>0</v>
      </c>
      <c r="M21" s="366"/>
      <c r="N21" s="320"/>
      <c r="O21" s="320"/>
      <c r="P21" s="320"/>
      <c r="Q21" s="320"/>
      <c r="R21" s="320"/>
      <c r="S21" s="320"/>
    </row>
    <row r="22" spans="1:19" s="289" customFormat="1" ht="13.9" customHeight="1">
      <c r="A22" s="677"/>
      <c r="B22" s="726" t="s">
        <v>1214</v>
      </c>
      <c r="C22" s="266" t="s">
        <v>1245</v>
      </c>
      <c r="D22" s="266" t="s">
        <v>1215</v>
      </c>
      <c r="E22" s="211">
        <f>'3.기존공장용수량'!J36</f>
        <v>86</v>
      </c>
      <c r="F22" s="213" t="s">
        <v>1206</v>
      </c>
      <c r="G22" s="211">
        <f t="shared" si="11"/>
        <v>86</v>
      </c>
      <c r="H22" s="211">
        <f t="shared" si="12"/>
        <v>86</v>
      </c>
      <c r="I22" s="211">
        <f t="shared" si="13"/>
        <v>86</v>
      </c>
      <c r="J22" s="211">
        <f t="shared" si="14"/>
        <v>86</v>
      </c>
      <c r="K22" s="211">
        <f t="shared" si="15"/>
        <v>86</v>
      </c>
      <c r="L22" s="211">
        <f>ROUND(IF($F22="기존",E22,IF(F22=1,E22,IF(F22=2,E22,IF(F22=3,E22,IF(F22=4,E22,0))))),0)</f>
        <v>86</v>
      </c>
      <c r="M22" s="366"/>
      <c r="N22" s="320"/>
      <c r="O22" s="320"/>
      <c r="P22" s="320"/>
      <c r="Q22" s="320"/>
      <c r="R22" s="320"/>
      <c r="S22" s="320"/>
    </row>
    <row r="23" spans="1:19" s="289" customFormat="1" ht="13.9" customHeight="1">
      <c r="A23" s="677"/>
      <c r="B23" s="727"/>
      <c r="C23" s="266" t="s">
        <v>1204</v>
      </c>
      <c r="D23" s="266" t="s">
        <v>1215</v>
      </c>
      <c r="E23" s="211">
        <f>E22-E24</f>
        <v>86</v>
      </c>
      <c r="F23" s="213" t="s">
        <v>1206</v>
      </c>
      <c r="G23" s="211">
        <f t="shared" ref="G23" si="37">G22-G24</f>
        <v>86</v>
      </c>
      <c r="H23" s="211">
        <f t="shared" ref="H23" si="38">H22-H24</f>
        <v>86</v>
      </c>
      <c r="I23" s="211">
        <f t="shared" ref="I23" si="39">I22-I24</f>
        <v>86</v>
      </c>
      <c r="J23" s="211">
        <f t="shared" ref="J23" si="40">J22-J24</f>
        <v>86</v>
      </c>
      <c r="K23" s="211">
        <f t="shared" ref="K23:L23" si="41">K22-K24</f>
        <v>86</v>
      </c>
      <c r="L23" s="211">
        <f t="shared" si="41"/>
        <v>86</v>
      </c>
      <c r="M23" s="364"/>
      <c r="N23" s="320"/>
      <c r="O23" s="320"/>
      <c r="P23" s="320"/>
      <c r="Q23" s="320"/>
      <c r="R23" s="320"/>
      <c r="S23" s="320"/>
    </row>
    <row r="24" spans="1:19" s="289" customFormat="1" ht="13.9" customHeight="1">
      <c r="A24" s="677"/>
      <c r="B24" s="728"/>
      <c r="C24" s="266" t="s">
        <v>1205</v>
      </c>
      <c r="D24" s="266" t="s">
        <v>1215</v>
      </c>
      <c r="E24" s="211">
        <f>'3.전용공업용수(침전수)'!F11</f>
        <v>0</v>
      </c>
      <c r="F24" s="213">
        <v>3</v>
      </c>
      <c r="G24" s="211">
        <f t="shared" si="11"/>
        <v>0</v>
      </c>
      <c r="H24" s="211">
        <f t="shared" si="12"/>
        <v>0</v>
      </c>
      <c r="I24" s="211">
        <f t="shared" si="13"/>
        <v>0</v>
      </c>
      <c r="J24" s="211">
        <f t="shared" si="14"/>
        <v>0</v>
      </c>
      <c r="K24" s="211">
        <f t="shared" si="15"/>
        <v>0</v>
      </c>
      <c r="L24" s="211">
        <f>ROUND(IF($F24="기존",E24,IF(F24=1,E24,IF(F24=2,E24,IF(F24=3,E24,IF(F24=4,E24,0))))),0)</f>
        <v>0</v>
      </c>
      <c r="M24" s="366"/>
      <c r="N24" s="320"/>
      <c r="O24" s="320"/>
      <c r="P24" s="320"/>
      <c r="Q24" s="320"/>
      <c r="R24" s="320"/>
      <c r="S24" s="320"/>
    </row>
    <row r="25" spans="1:19" s="289" customFormat="1" ht="13.9" customHeight="1">
      <c r="A25" s="677"/>
      <c r="B25" s="726" t="s">
        <v>1269</v>
      </c>
      <c r="C25" s="266" t="s">
        <v>1245</v>
      </c>
      <c r="D25" s="266" t="s">
        <v>1209</v>
      </c>
      <c r="E25" s="211">
        <f>'3.기존공장용수량'!J37+'3.기존공장용수량'!J38</f>
        <v>317</v>
      </c>
      <c r="F25" s="213" t="s">
        <v>1206</v>
      </c>
      <c r="G25" s="211">
        <f t="shared" si="11"/>
        <v>317</v>
      </c>
      <c r="H25" s="211">
        <f t="shared" si="12"/>
        <v>317</v>
      </c>
      <c r="I25" s="211">
        <f t="shared" si="13"/>
        <v>317</v>
      </c>
      <c r="J25" s="211">
        <f t="shared" si="14"/>
        <v>317</v>
      </c>
      <c r="K25" s="211">
        <f t="shared" si="15"/>
        <v>317</v>
      </c>
      <c r="L25" s="211">
        <f>ROUND(IF($F25="기존",E25,IF(F25=1,E25,IF(F25=2,E25,IF(F25=3,E25,IF(F25=4,E25,0))))),0)</f>
        <v>317</v>
      </c>
      <c r="M25" s="366"/>
      <c r="N25" s="320"/>
      <c r="O25" s="320"/>
      <c r="P25" s="320"/>
      <c r="Q25" s="320"/>
      <c r="R25" s="320"/>
      <c r="S25" s="320"/>
    </row>
    <row r="26" spans="1:19" s="289" customFormat="1" ht="13.9" customHeight="1">
      <c r="A26" s="677"/>
      <c r="B26" s="727"/>
      <c r="C26" s="266" t="s">
        <v>1204</v>
      </c>
      <c r="D26" s="266" t="s">
        <v>1209</v>
      </c>
      <c r="E26" s="211">
        <f>E25-E27</f>
        <v>317</v>
      </c>
      <c r="F26" s="213" t="s">
        <v>1206</v>
      </c>
      <c r="G26" s="211">
        <f t="shared" ref="G26" si="42">G25-G27</f>
        <v>317</v>
      </c>
      <c r="H26" s="211">
        <f t="shared" ref="H26" si="43">H25-H27</f>
        <v>317</v>
      </c>
      <c r="I26" s="211">
        <f t="shared" ref="I26" si="44">I25-I27</f>
        <v>317</v>
      </c>
      <c r="J26" s="211">
        <f t="shared" ref="J26" si="45">J25-J27</f>
        <v>317</v>
      </c>
      <c r="K26" s="211">
        <f t="shared" ref="K26:L26" si="46">K25-K27</f>
        <v>317</v>
      </c>
      <c r="L26" s="211">
        <f t="shared" si="46"/>
        <v>317</v>
      </c>
      <c r="M26" s="364"/>
      <c r="N26" s="320"/>
      <c r="O26" s="320"/>
      <c r="P26" s="320"/>
      <c r="Q26" s="320"/>
      <c r="R26" s="320"/>
      <c r="S26" s="320"/>
    </row>
    <row r="27" spans="1:19" s="289" customFormat="1" ht="13.9" customHeight="1">
      <c r="A27" s="677"/>
      <c r="B27" s="728"/>
      <c r="C27" s="266" t="s">
        <v>1205</v>
      </c>
      <c r="D27" s="266" t="s">
        <v>1209</v>
      </c>
      <c r="E27" s="211">
        <f>'3.전용공업용수(침전수)'!F16</f>
        <v>0</v>
      </c>
      <c r="F27" s="213">
        <v>3</v>
      </c>
      <c r="G27" s="211">
        <f t="shared" si="11"/>
        <v>0</v>
      </c>
      <c r="H27" s="211">
        <f t="shared" si="12"/>
        <v>0</v>
      </c>
      <c r="I27" s="211">
        <f t="shared" si="13"/>
        <v>0</v>
      </c>
      <c r="J27" s="211">
        <f t="shared" si="14"/>
        <v>0</v>
      </c>
      <c r="K27" s="211">
        <f t="shared" si="15"/>
        <v>0</v>
      </c>
      <c r="L27" s="211">
        <f>ROUND(IF($F27="기존",E27,IF(F27=1,E27,IF(F27=2,E27,IF(F27=3,E27,IF(F27=4,E27,0))))),0)</f>
        <v>0</v>
      </c>
      <c r="M27" s="366"/>
      <c r="N27" s="320"/>
      <c r="O27" s="320"/>
      <c r="P27" s="320"/>
      <c r="Q27" s="320"/>
      <c r="R27" s="320"/>
      <c r="S27" s="320"/>
    </row>
    <row r="28" spans="1:19" s="289" customFormat="1" ht="13.9" customHeight="1">
      <c r="A28" s="677"/>
      <c r="B28" s="676" t="s">
        <v>1216</v>
      </c>
      <c r="C28" s="266" t="s">
        <v>1245</v>
      </c>
      <c r="D28" s="266" t="s">
        <v>1217</v>
      </c>
      <c r="E28" s="211">
        <f>'3.기존공장용수량'!J40</f>
        <v>495</v>
      </c>
      <c r="F28" s="213" t="s">
        <v>1206</v>
      </c>
      <c r="G28" s="211">
        <f t="shared" si="11"/>
        <v>495</v>
      </c>
      <c r="H28" s="211">
        <f t="shared" si="12"/>
        <v>495</v>
      </c>
      <c r="I28" s="211">
        <f t="shared" si="13"/>
        <v>495</v>
      </c>
      <c r="J28" s="211">
        <f t="shared" si="14"/>
        <v>495</v>
      </c>
      <c r="K28" s="211">
        <f t="shared" si="15"/>
        <v>495</v>
      </c>
      <c r="L28" s="211">
        <f>ROUND(IF($F28="기존",E28,IF(F28=1,E28,IF(F28=2,E28,IF(F28=3,E28,IF(F28=4,E28,0))))),0)</f>
        <v>495</v>
      </c>
      <c r="M28" s="366"/>
      <c r="N28" s="320"/>
      <c r="O28" s="320"/>
      <c r="P28" s="320"/>
      <c r="Q28" s="320"/>
      <c r="R28" s="320"/>
      <c r="S28" s="320"/>
    </row>
    <row r="29" spans="1:19" s="289" customFormat="1" ht="13.9" customHeight="1">
      <c r="A29" s="677"/>
      <c r="B29" s="677"/>
      <c r="C29" s="266" t="s">
        <v>1204</v>
      </c>
      <c r="D29" s="266" t="s">
        <v>1217</v>
      </c>
      <c r="E29" s="211">
        <f>E28-E30</f>
        <v>239</v>
      </c>
      <c r="F29" s="213" t="s">
        <v>1206</v>
      </c>
      <c r="G29" s="211">
        <f t="shared" ref="G29:L29" si="47">G28-G30</f>
        <v>495</v>
      </c>
      <c r="H29" s="211">
        <f t="shared" si="47"/>
        <v>495</v>
      </c>
      <c r="I29" s="211">
        <f t="shared" si="47"/>
        <v>495</v>
      </c>
      <c r="J29" s="211">
        <f t="shared" si="47"/>
        <v>495</v>
      </c>
      <c r="K29" s="211">
        <f t="shared" si="47"/>
        <v>323</v>
      </c>
      <c r="L29" s="211">
        <f t="shared" si="47"/>
        <v>239</v>
      </c>
      <c r="M29" s="364"/>
      <c r="N29" s="320"/>
      <c r="O29" s="320"/>
      <c r="P29" s="320"/>
      <c r="Q29" s="320"/>
      <c r="R29" s="320"/>
      <c r="S29" s="320"/>
    </row>
    <row r="30" spans="1:19" s="289" customFormat="1" ht="13.9" customHeight="1">
      <c r="A30" s="677"/>
      <c r="B30" s="678"/>
      <c r="C30" s="266" t="s">
        <v>1205</v>
      </c>
      <c r="D30" s="266" t="s">
        <v>1217</v>
      </c>
      <c r="E30" s="211">
        <f>'3.전용공업용수(침전수)'!F13</f>
        <v>256</v>
      </c>
      <c r="F30" s="213">
        <v>3</v>
      </c>
      <c r="G30" s="211">
        <f t="shared" si="11"/>
        <v>0</v>
      </c>
      <c r="H30" s="211">
        <f t="shared" si="12"/>
        <v>0</v>
      </c>
      <c r="I30" s="211">
        <f t="shared" si="13"/>
        <v>0</v>
      </c>
      <c r="J30" s="211">
        <f t="shared" si="14"/>
        <v>0</v>
      </c>
      <c r="K30" s="211">
        <f t="shared" si="15"/>
        <v>172</v>
      </c>
      <c r="L30" s="211">
        <f>ROUND(IF($F30="기존",E30,IF(F30=1,E30,IF(F30=2,E30,IF(F30=3,E30,IF(F30=4,E30,0))))),0)</f>
        <v>256</v>
      </c>
      <c r="M30" s="366"/>
      <c r="N30" s="320"/>
      <c r="O30" s="320"/>
      <c r="P30" s="320"/>
      <c r="Q30" s="320"/>
      <c r="R30" s="320"/>
      <c r="S30" s="320"/>
    </row>
    <row r="31" spans="1:19" s="289" customFormat="1" ht="13.9" customHeight="1">
      <c r="A31" s="677"/>
      <c r="B31" s="676" t="s">
        <v>1218</v>
      </c>
      <c r="C31" s="266" t="s">
        <v>1245</v>
      </c>
      <c r="D31" s="266" t="s">
        <v>1217</v>
      </c>
      <c r="E31" s="211">
        <f>'3.기존공장용수량'!J41</f>
        <v>1038</v>
      </c>
      <c r="F31" s="213" t="s">
        <v>1206</v>
      </c>
      <c r="G31" s="211">
        <f t="shared" si="11"/>
        <v>1038</v>
      </c>
      <c r="H31" s="211">
        <f t="shared" si="12"/>
        <v>1038</v>
      </c>
      <c r="I31" s="211">
        <f t="shared" si="13"/>
        <v>1038</v>
      </c>
      <c r="J31" s="211">
        <f t="shared" si="14"/>
        <v>1038</v>
      </c>
      <c r="K31" s="211">
        <f t="shared" si="15"/>
        <v>1038</v>
      </c>
      <c r="L31" s="211">
        <f>ROUND(IF($F31="기존",E31,IF(F31=1,E31,IF(F31=2,E31,IF(F31=3,E31,IF(F31=4,E31,0))))),0)</f>
        <v>1038</v>
      </c>
      <c r="M31" s="366"/>
      <c r="N31" s="320"/>
      <c r="O31" s="320"/>
      <c r="P31" s="320"/>
      <c r="Q31" s="320"/>
      <c r="R31" s="320"/>
      <c r="S31" s="320"/>
    </row>
    <row r="32" spans="1:19" s="289" customFormat="1" ht="13.9" customHeight="1">
      <c r="A32" s="677"/>
      <c r="B32" s="677"/>
      <c r="C32" s="266" t="s">
        <v>1204</v>
      </c>
      <c r="D32" s="266" t="s">
        <v>1217</v>
      </c>
      <c r="E32" s="211">
        <f>E31-E33</f>
        <v>236</v>
      </c>
      <c r="F32" s="213" t="s">
        <v>1206</v>
      </c>
      <c r="G32" s="211">
        <f t="shared" ref="G32" si="48">G31-G33</f>
        <v>1038</v>
      </c>
      <c r="H32" s="211">
        <f t="shared" ref="H32" si="49">H31-H33</f>
        <v>1038</v>
      </c>
      <c r="I32" s="211">
        <f t="shared" ref="I32" si="50">I31-I33</f>
        <v>1038</v>
      </c>
      <c r="J32" s="211">
        <f t="shared" ref="J32" si="51">J31-J33</f>
        <v>1038</v>
      </c>
      <c r="K32" s="211">
        <f t="shared" ref="K32:L32" si="52">K31-K33</f>
        <v>501</v>
      </c>
      <c r="L32" s="211">
        <f t="shared" si="52"/>
        <v>236</v>
      </c>
      <c r="M32" s="364"/>
      <c r="N32" s="320"/>
      <c r="O32" s="320"/>
      <c r="P32" s="320"/>
      <c r="Q32" s="320"/>
      <c r="R32" s="320"/>
      <c r="S32" s="320"/>
    </row>
    <row r="33" spans="1:19" s="289" customFormat="1" ht="13.9" customHeight="1">
      <c r="A33" s="677"/>
      <c r="B33" s="678"/>
      <c r="C33" s="266" t="s">
        <v>1205</v>
      </c>
      <c r="D33" s="266" t="s">
        <v>1217</v>
      </c>
      <c r="E33" s="211">
        <f>'3.전용공업용수(침전수)'!F14</f>
        <v>802</v>
      </c>
      <c r="F33" s="213">
        <v>3</v>
      </c>
      <c r="G33" s="211">
        <f t="shared" si="11"/>
        <v>0</v>
      </c>
      <c r="H33" s="211">
        <f t="shared" si="12"/>
        <v>0</v>
      </c>
      <c r="I33" s="211">
        <f t="shared" si="13"/>
        <v>0</v>
      </c>
      <c r="J33" s="211">
        <f t="shared" si="14"/>
        <v>0</v>
      </c>
      <c r="K33" s="211">
        <f t="shared" si="15"/>
        <v>537</v>
      </c>
      <c r="L33" s="211">
        <f>ROUND(IF($F33="기존",E33,IF(F33=1,E33,IF(F33=2,E33,IF(F33=3,E33,IF(F33=4,E33,0))))),0)</f>
        <v>802</v>
      </c>
      <c r="M33" s="366"/>
      <c r="N33" s="320"/>
      <c r="O33" s="320"/>
      <c r="P33" s="320"/>
      <c r="Q33" s="320"/>
      <c r="R33" s="320"/>
      <c r="S33" s="320"/>
    </row>
    <row r="34" spans="1:19" s="289" customFormat="1" ht="13.9" customHeight="1">
      <c r="A34" s="677"/>
      <c r="B34" s="676" t="s">
        <v>1219</v>
      </c>
      <c r="C34" s="266" t="s">
        <v>1245</v>
      </c>
      <c r="D34" s="266" t="s">
        <v>1220</v>
      </c>
      <c r="E34" s="211">
        <f>'3.기존공장용수량'!J39</f>
        <v>1456</v>
      </c>
      <c r="F34" s="213" t="s">
        <v>1206</v>
      </c>
      <c r="G34" s="211">
        <f t="shared" ref="G34:G36" si="53">ROUND(IF($F34="기존",E34,0),0)</f>
        <v>1456</v>
      </c>
      <c r="H34" s="211">
        <f t="shared" ref="H34:H36" si="54">G34</f>
        <v>1456</v>
      </c>
      <c r="I34" s="211">
        <f t="shared" ref="I34:I36" si="55">ROUND(IF($F34="기존",E34,IF($F34=1,E34*0.67,0)),0)</f>
        <v>1456</v>
      </c>
      <c r="J34" s="211">
        <f t="shared" ref="J34:J36" si="56">ROUND(IF($F34="기존",E34,IF(F34=1,E34*0.8,IF(F34=2,E34*0.67,0))),0)</f>
        <v>1456</v>
      </c>
      <c r="K34" s="211">
        <f t="shared" ref="K34:K36" si="57">ROUND(IF($F34="기존",E34,IF(F34=1,E34,IF(F34=2,E34*0.8,IF(F34=3,E34*0.67,0)))),0)</f>
        <v>1456</v>
      </c>
      <c r="L34" s="211">
        <f>ROUND(IF($F34="기존",E34,IF(F34=1,E34,IF(F34=2,E34,IF(F34=3,E34,IF(F34=4,E34,0))))),0)</f>
        <v>1456</v>
      </c>
      <c r="M34" s="366"/>
      <c r="N34" s="320"/>
      <c r="O34" s="320"/>
      <c r="P34" s="320"/>
      <c r="Q34" s="320"/>
      <c r="R34" s="320"/>
      <c r="S34" s="320"/>
    </row>
    <row r="35" spans="1:19" s="289" customFormat="1" ht="13.9" customHeight="1">
      <c r="A35" s="677"/>
      <c r="B35" s="677"/>
      <c r="C35" s="266" t="s">
        <v>1204</v>
      </c>
      <c r="D35" s="266" t="s">
        <v>1220</v>
      </c>
      <c r="E35" s="211">
        <f>E34-E36</f>
        <v>1456</v>
      </c>
      <c r="F35" s="213" t="s">
        <v>1206</v>
      </c>
      <c r="G35" s="211">
        <f t="shared" ref="G35" si="58">G34-G36</f>
        <v>1456</v>
      </c>
      <c r="H35" s="211">
        <f t="shared" ref="H35" si="59">H34-H36</f>
        <v>1456</v>
      </c>
      <c r="I35" s="211">
        <f t="shared" ref="I35" si="60">I34-I36</f>
        <v>1456</v>
      </c>
      <c r="J35" s="211">
        <f t="shared" ref="J35" si="61">J34-J36</f>
        <v>1456</v>
      </c>
      <c r="K35" s="211">
        <f t="shared" ref="K35:L35" si="62">K34-K36</f>
        <v>1456</v>
      </c>
      <c r="L35" s="211">
        <f t="shared" si="62"/>
        <v>1456</v>
      </c>
      <c r="M35" s="364"/>
      <c r="N35" s="320"/>
      <c r="O35" s="320"/>
      <c r="P35" s="320"/>
      <c r="Q35" s="320"/>
      <c r="R35" s="320"/>
      <c r="S35" s="320"/>
    </row>
    <row r="36" spans="1:19" s="289" customFormat="1" ht="13.9" customHeight="1">
      <c r="A36" s="678"/>
      <c r="B36" s="678"/>
      <c r="C36" s="266" t="s">
        <v>1205</v>
      </c>
      <c r="D36" s="266" t="s">
        <v>1220</v>
      </c>
      <c r="E36" s="211">
        <f>'3.전용공업용수(침전수)'!F15</f>
        <v>0</v>
      </c>
      <c r="F36" s="213">
        <v>3</v>
      </c>
      <c r="G36" s="211">
        <f t="shared" si="53"/>
        <v>0</v>
      </c>
      <c r="H36" s="211">
        <f t="shared" si="54"/>
        <v>0</v>
      </c>
      <c r="I36" s="211">
        <f t="shared" si="55"/>
        <v>0</v>
      </c>
      <c r="J36" s="211">
        <f t="shared" si="56"/>
        <v>0</v>
      </c>
      <c r="K36" s="211">
        <f t="shared" si="57"/>
        <v>0</v>
      </c>
      <c r="L36" s="211">
        <f>ROUND(IF($F36="기존",E36,IF(F36=1,E36,IF(F36=2,E36,IF(F36=3,E36,IF(F36=4,E36,0))))),0)</f>
        <v>0</v>
      </c>
      <c r="M36" s="366"/>
      <c r="N36" s="320"/>
      <c r="O36" s="320"/>
      <c r="P36" s="320"/>
      <c r="Q36" s="320"/>
      <c r="R36" s="320"/>
      <c r="S36" s="320"/>
    </row>
    <row r="37" spans="1:19" s="289" customFormat="1" ht="13.9" customHeight="1">
      <c r="A37" s="676" t="s">
        <v>1221</v>
      </c>
      <c r="B37" s="676" t="s">
        <v>1207</v>
      </c>
      <c r="C37" s="266" t="s">
        <v>1245</v>
      </c>
      <c r="D37" s="266"/>
      <c r="E37" s="211">
        <f>SUM(E38:E39)</f>
        <v>5999</v>
      </c>
      <c r="F37" s="213"/>
      <c r="G37" s="213">
        <f t="shared" ref="G37:L37" si="63">SUM(G38:G39)</f>
        <v>0</v>
      </c>
      <c r="H37" s="213">
        <f t="shared" si="63"/>
        <v>452</v>
      </c>
      <c r="I37" s="213">
        <f t="shared" si="63"/>
        <v>2507</v>
      </c>
      <c r="J37" s="213">
        <f t="shared" si="63"/>
        <v>4506</v>
      </c>
      <c r="K37" s="213">
        <f t="shared" si="63"/>
        <v>5548</v>
      </c>
      <c r="L37" s="213">
        <f t="shared" si="63"/>
        <v>5999</v>
      </c>
      <c r="M37" s="365"/>
      <c r="N37" s="309">
        <f>ROUND(G37,-1)</f>
        <v>0</v>
      </c>
      <c r="O37" s="309">
        <f t="shared" ref="O37:O39" si="64">ROUND(H37,-1)</f>
        <v>450</v>
      </c>
      <c r="P37" s="309">
        <f t="shared" ref="P37:P39" si="65">ROUND(I37,-1)</f>
        <v>2510</v>
      </c>
      <c r="Q37" s="309">
        <f t="shared" ref="Q37:Q39" si="66">ROUND(J37,-1)</f>
        <v>4510</v>
      </c>
      <c r="R37" s="309">
        <f t="shared" ref="R37:S39" si="67">ROUND(K37,-1)</f>
        <v>5550</v>
      </c>
      <c r="S37" s="309">
        <f t="shared" si="67"/>
        <v>6000</v>
      </c>
    </row>
    <row r="38" spans="1:19" s="289" customFormat="1" ht="13.9" customHeight="1">
      <c r="A38" s="677"/>
      <c r="B38" s="677"/>
      <c r="C38" s="266" t="s">
        <v>1204</v>
      </c>
      <c r="D38" s="266"/>
      <c r="E38" s="211">
        <f>SUMIF($C$40:$C$54,$C38,E$40:E$54)</f>
        <v>2324</v>
      </c>
      <c r="F38" s="213"/>
      <c r="G38" s="213">
        <f t="shared" ref="G38:L39" si="68">SUMIF($C$40:$C$54,$C38,G$40:G$54)</f>
        <v>0</v>
      </c>
      <c r="H38" s="213">
        <f t="shared" si="68"/>
        <v>452</v>
      </c>
      <c r="I38" s="213">
        <f t="shared" si="68"/>
        <v>2507</v>
      </c>
      <c r="J38" s="213">
        <f t="shared" si="68"/>
        <v>4506</v>
      </c>
      <c r="K38" s="213">
        <f t="shared" si="68"/>
        <v>3085</v>
      </c>
      <c r="L38" s="213">
        <f t="shared" si="68"/>
        <v>2324</v>
      </c>
      <c r="M38" s="365"/>
      <c r="N38" s="309">
        <f>ROUND(G38,-1)</f>
        <v>0</v>
      </c>
      <c r="O38" s="309">
        <f t="shared" si="64"/>
        <v>450</v>
      </c>
      <c r="P38" s="309">
        <f t="shared" si="65"/>
        <v>2510</v>
      </c>
      <c r="Q38" s="309">
        <f t="shared" si="66"/>
        <v>4510</v>
      </c>
      <c r="R38" s="309">
        <f t="shared" si="67"/>
        <v>3090</v>
      </c>
      <c r="S38" s="309">
        <f t="shared" si="67"/>
        <v>2320</v>
      </c>
    </row>
    <row r="39" spans="1:19" s="289" customFormat="1" ht="13.9" customHeight="1">
      <c r="A39" s="677"/>
      <c r="B39" s="678"/>
      <c r="C39" s="266" t="s">
        <v>1205</v>
      </c>
      <c r="D39" s="266"/>
      <c r="E39" s="211">
        <f>SUMIF($C$40:$C$54,$C39,E$40:E$54)</f>
        <v>3675</v>
      </c>
      <c r="F39" s="213"/>
      <c r="G39" s="213">
        <f t="shared" si="68"/>
        <v>0</v>
      </c>
      <c r="H39" s="213">
        <f t="shared" si="68"/>
        <v>0</v>
      </c>
      <c r="I39" s="213">
        <f t="shared" si="68"/>
        <v>0</v>
      </c>
      <c r="J39" s="213">
        <f t="shared" si="68"/>
        <v>0</v>
      </c>
      <c r="K39" s="213">
        <f t="shared" si="68"/>
        <v>2463</v>
      </c>
      <c r="L39" s="213">
        <f t="shared" si="68"/>
        <v>3675</v>
      </c>
      <c r="M39" s="365"/>
      <c r="N39" s="309">
        <f>ROUND(G39,-1)</f>
        <v>0</v>
      </c>
      <c r="O39" s="309">
        <f t="shared" si="64"/>
        <v>0</v>
      </c>
      <c r="P39" s="309">
        <f t="shared" si="65"/>
        <v>0</v>
      </c>
      <c r="Q39" s="309">
        <f t="shared" si="66"/>
        <v>0</v>
      </c>
      <c r="R39" s="309">
        <f t="shared" si="67"/>
        <v>2460</v>
      </c>
      <c r="S39" s="309">
        <f t="shared" si="67"/>
        <v>3680</v>
      </c>
    </row>
    <row r="40" spans="1:19" s="289" customFormat="1" ht="13.9" customHeight="1">
      <c r="A40" s="677"/>
      <c r="B40" s="676" t="s">
        <v>1222</v>
      </c>
      <c r="C40" s="266" t="s">
        <v>1245</v>
      </c>
      <c r="D40" s="266" t="s">
        <v>1211</v>
      </c>
      <c r="E40" s="211">
        <f>'3.계획산단용수량'!I6</f>
        <v>674</v>
      </c>
      <c r="F40" s="213">
        <v>1</v>
      </c>
      <c r="G40" s="211">
        <f t="shared" ref="G40" si="69">ROUND(IF($F40="기존",E40,0),0)</f>
        <v>0</v>
      </c>
      <c r="H40" s="211">
        <f>G40+I40</f>
        <v>452</v>
      </c>
      <c r="I40" s="211">
        <f>ROUND(IF($F40="기존",E40,IF($F40=1,E40*0.67,0)),0)</f>
        <v>452</v>
      </c>
      <c r="J40" s="211">
        <f>ROUND(IF($F40="기존",E40,IF(F40=1,E40*0.8,IF(F40=2,E40*0.67,0))),0)</f>
        <v>539</v>
      </c>
      <c r="K40" s="211">
        <f>ROUND(IF($F40="기존",E40,IF(F40=1,E40,IF(F40=2,E40*0.8,IF(F40=3,E40*0.67,0)))),0)</f>
        <v>674</v>
      </c>
      <c r="L40" s="211">
        <f>ROUND(IF($F40="기존",E40,IF(F40=1,E40,IF(F40=2,E40,IF(F40=3,E40,IF(F40=4,E40,0))))),0)</f>
        <v>674</v>
      </c>
      <c r="M40" s="366"/>
      <c r="N40" s="320"/>
      <c r="O40" s="320"/>
      <c r="P40" s="320"/>
      <c r="Q40" s="320"/>
      <c r="R40" s="320"/>
      <c r="S40" s="320"/>
    </row>
    <row r="41" spans="1:19" s="289" customFormat="1" ht="13.9" customHeight="1">
      <c r="A41" s="677"/>
      <c r="B41" s="677"/>
      <c r="C41" s="266" t="s">
        <v>1204</v>
      </c>
      <c r="D41" s="266" t="s">
        <v>1211</v>
      </c>
      <c r="E41" s="211">
        <f>E40-E42</f>
        <v>0</v>
      </c>
      <c r="F41" s="213">
        <v>1</v>
      </c>
      <c r="G41" s="211">
        <f t="shared" ref="G41" si="70">G40-G42</f>
        <v>0</v>
      </c>
      <c r="H41" s="211">
        <f t="shared" ref="H41" si="71">H40-H42</f>
        <v>452</v>
      </c>
      <c r="I41" s="211">
        <f t="shared" ref="I41" si="72">I40-I42</f>
        <v>452</v>
      </c>
      <c r="J41" s="211">
        <f t="shared" ref="J41" si="73">J40-J42</f>
        <v>539</v>
      </c>
      <c r="K41" s="211">
        <f t="shared" ref="K41:L41" si="74">K40-K42</f>
        <v>222</v>
      </c>
      <c r="L41" s="211">
        <f t="shared" si="74"/>
        <v>0</v>
      </c>
      <c r="M41" s="364"/>
      <c r="N41" s="320"/>
      <c r="O41" s="320"/>
      <c r="P41" s="320"/>
      <c r="Q41" s="320"/>
      <c r="R41" s="320"/>
      <c r="S41" s="320"/>
    </row>
    <row r="42" spans="1:19" s="289" customFormat="1" ht="13.9" customHeight="1">
      <c r="A42" s="677"/>
      <c r="B42" s="678"/>
      <c r="C42" s="266" t="s">
        <v>1205</v>
      </c>
      <c r="D42" s="266" t="s">
        <v>1211</v>
      </c>
      <c r="E42" s="211">
        <f>'3.전용공업용수(침전수)'!F19</f>
        <v>674</v>
      </c>
      <c r="F42" s="213">
        <v>3</v>
      </c>
      <c r="G42" s="211">
        <f t="shared" ref="G42" si="75">ROUND(IF($F42="기존",E42,0),0)</f>
        <v>0</v>
      </c>
      <c r="H42" s="211">
        <f>G42+I42</f>
        <v>0</v>
      </c>
      <c r="I42" s="211">
        <f>ROUND(IF($F42="기존",E42,IF($F42=1,E42*0.67,0)),0)</f>
        <v>0</v>
      </c>
      <c r="J42" s="211">
        <f>ROUND(IF($F42="기존",E42,IF(F42=1,E42*0.8,IF(F42=2,E42*0.67,0))),0)</f>
        <v>0</v>
      </c>
      <c r="K42" s="211">
        <f>ROUND(IF($F42="기존",E42,IF(F42=1,E42,IF(F42=2,E42*0.8,IF(F42=3,E42*0.67,0)))),0)</f>
        <v>452</v>
      </c>
      <c r="L42" s="211">
        <f>ROUND(IF($F42="기존",E42,IF(F42=1,E42,IF(F42=2,E42,IF(F42=3,E42,IF(F42=4,E42,0))))),0)</f>
        <v>674</v>
      </c>
      <c r="M42" s="366"/>
      <c r="N42" s="320"/>
      <c r="O42" s="320"/>
      <c r="P42" s="320"/>
      <c r="Q42" s="320"/>
      <c r="R42" s="320"/>
      <c r="S42" s="320"/>
    </row>
    <row r="43" spans="1:19" s="289" customFormat="1" ht="13.9" customHeight="1">
      <c r="A43" s="677"/>
      <c r="B43" s="676" t="s">
        <v>1223</v>
      </c>
      <c r="C43" s="266" t="s">
        <v>1245</v>
      </c>
      <c r="D43" s="266" t="s">
        <v>1211</v>
      </c>
      <c r="E43" s="211">
        <f>'3.계획산단용수량'!I8</f>
        <v>2016</v>
      </c>
      <c r="F43" s="213">
        <v>1</v>
      </c>
      <c r="G43" s="211">
        <f t="shared" ref="G43" si="76">ROUND(IF($F43="기존",E43,0),0)</f>
        <v>0</v>
      </c>
      <c r="H43" s="211">
        <f t="shared" ref="H43" si="77">G43</f>
        <v>0</v>
      </c>
      <c r="I43" s="211">
        <f>ROUND(IF($F43="기존",E43,IF($F43=1,E43*0.67,0)),0)</f>
        <v>1351</v>
      </c>
      <c r="J43" s="211">
        <f>ROUND(IF($F43="기존",E43,IF(F43=1,E43*0.8,IF(F43=2,E43*0.67,0))),0)</f>
        <v>1613</v>
      </c>
      <c r="K43" s="211">
        <f>ROUND(IF($F43="기존",E43,IF(F43=1,E43,IF(F43=2,E43*0.8,IF(F43=3,E43*0.67,0)))),0)</f>
        <v>2016</v>
      </c>
      <c r="L43" s="211">
        <f>ROUND(IF($F43="기존",E43,IF(F43=1,E43,IF(F43=2,E43,IF(F43=3,E43,IF(F43=4,E43,0))))),0)</f>
        <v>2016</v>
      </c>
      <c r="M43" s="366"/>
      <c r="N43" s="320"/>
      <c r="O43" s="320"/>
      <c r="P43" s="320"/>
      <c r="Q43" s="320"/>
      <c r="R43" s="320"/>
      <c r="S43" s="320"/>
    </row>
    <row r="44" spans="1:19" s="289" customFormat="1" ht="13.9" customHeight="1">
      <c r="A44" s="677"/>
      <c r="B44" s="677"/>
      <c r="C44" s="266" t="s">
        <v>1204</v>
      </c>
      <c r="D44" s="266" t="s">
        <v>1211</v>
      </c>
      <c r="E44" s="211">
        <f>E43-E45</f>
        <v>94</v>
      </c>
      <c r="F44" s="213">
        <v>1</v>
      </c>
      <c r="G44" s="211">
        <f t="shared" ref="G44" si="78">G43-G45</f>
        <v>0</v>
      </c>
      <c r="H44" s="211">
        <f t="shared" ref="H44" si="79">H43-H45</f>
        <v>0</v>
      </c>
      <c r="I44" s="211">
        <f t="shared" ref="I44" si="80">I43-I45</f>
        <v>1351</v>
      </c>
      <c r="J44" s="211">
        <f t="shared" ref="J44" si="81">J43-J45</f>
        <v>1613</v>
      </c>
      <c r="K44" s="211">
        <f t="shared" ref="K44:L44" si="82">K43-K45</f>
        <v>728</v>
      </c>
      <c r="L44" s="211">
        <f t="shared" si="82"/>
        <v>94</v>
      </c>
      <c r="M44" s="364"/>
      <c r="N44" s="320"/>
      <c r="O44" s="320"/>
      <c r="P44" s="320"/>
      <c r="Q44" s="320"/>
      <c r="R44" s="320"/>
      <c r="S44" s="320"/>
    </row>
    <row r="45" spans="1:19" s="289" customFormat="1" ht="13.9" customHeight="1">
      <c r="A45" s="677"/>
      <c r="B45" s="678"/>
      <c r="C45" s="266" t="s">
        <v>1205</v>
      </c>
      <c r="D45" s="266" t="s">
        <v>1211</v>
      </c>
      <c r="E45" s="211">
        <f>'3.전용공업용수(침전수)'!F20</f>
        <v>1922</v>
      </c>
      <c r="F45" s="213">
        <v>3</v>
      </c>
      <c r="G45" s="211">
        <f t="shared" ref="G45:G54" si="83">ROUND(IF($F45="기존",E45,0),0)</f>
        <v>0</v>
      </c>
      <c r="H45" s="211">
        <f t="shared" ref="H45:H54" si="84">G45</f>
        <v>0</v>
      </c>
      <c r="I45" s="211">
        <f t="shared" ref="I45:I54" si="85">ROUND(IF($F45="기존",E45,IF($F45=1,E45*0.67,0)),0)</f>
        <v>0</v>
      </c>
      <c r="J45" s="211">
        <f t="shared" ref="J45:J54" si="86">ROUND(IF($F45="기존",E45,IF(F45=1,E45*0.8,IF(F45=2,E45*0.67,0))),0)</f>
        <v>0</v>
      </c>
      <c r="K45" s="211">
        <f t="shared" ref="K45:K54" si="87">ROUND(IF($F45="기존",E45,IF(F45=1,E45,IF(F45=2,E45*0.8,IF(F45=3,E45*0.67,0)))),0)</f>
        <v>1288</v>
      </c>
      <c r="L45" s="211">
        <f>ROUND(IF($F45="기존",E45,IF(F45=1,E45,IF(F45=2,E45,IF(F45=3,E45,IF(F45=4,E45,0))))),0)</f>
        <v>1922</v>
      </c>
      <c r="M45" s="366"/>
      <c r="N45" s="320"/>
      <c r="O45" s="320"/>
      <c r="P45" s="320"/>
      <c r="Q45" s="320"/>
      <c r="R45" s="320"/>
      <c r="S45" s="320"/>
    </row>
    <row r="46" spans="1:19" s="289" customFormat="1" ht="13.9" customHeight="1">
      <c r="A46" s="677"/>
      <c r="B46" s="676" t="s">
        <v>1224</v>
      </c>
      <c r="C46" s="266" t="s">
        <v>1245</v>
      </c>
      <c r="D46" s="266" t="s">
        <v>1225</v>
      </c>
      <c r="E46" s="211">
        <f>'3.계획산단용수량'!I25</f>
        <v>1051</v>
      </c>
      <c r="F46" s="213">
        <v>1</v>
      </c>
      <c r="G46" s="211">
        <f t="shared" si="83"/>
        <v>0</v>
      </c>
      <c r="H46" s="211">
        <f t="shared" si="84"/>
        <v>0</v>
      </c>
      <c r="I46" s="211">
        <f t="shared" si="85"/>
        <v>704</v>
      </c>
      <c r="J46" s="211">
        <f t="shared" si="86"/>
        <v>841</v>
      </c>
      <c r="K46" s="211">
        <f t="shared" si="87"/>
        <v>1051</v>
      </c>
      <c r="L46" s="211">
        <f>ROUND(IF($F46="기존",E46,IF(F46=1,E46,IF(F46=2,E46,IF(F46=3,E46,IF(F46=4,E46,0))))),0)</f>
        <v>1051</v>
      </c>
      <c r="M46" s="366"/>
      <c r="N46" s="320"/>
      <c r="O46" s="320"/>
      <c r="P46" s="320"/>
      <c r="Q46" s="320"/>
      <c r="R46" s="320"/>
      <c r="S46" s="320"/>
    </row>
    <row r="47" spans="1:19" s="289" customFormat="1" ht="13.9" customHeight="1">
      <c r="A47" s="677"/>
      <c r="B47" s="677"/>
      <c r="C47" s="266" t="s">
        <v>1204</v>
      </c>
      <c r="D47" s="266" t="s">
        <v>1225</v>
      </c>
      <c r="E47" s="211">
        <f>E46-E48</f>
        <v>1051</v>
      </c>
      <c r="F47" s="213">
        <v>1</v>
      </c>
      <c r="G47" s="211">
        <f t="shared" ref="G47" si="88">G46-G48</f>
        <v>0</v>
      </c>
      <c r="H47" s="211">
        <f t="shared" ref="H47" si="89">H46-H48</f>
        <v>0</v>
      </c>
      <c r="I47" s="211">
        <f t="shared" ref="I47" si="90">I46-I48</f>
        <v>704</v>
      </c>
      <c r="J47" s="211">
        <f t="shared" ref="J47" si="91">J46-J48</f>
        <v>841</v>
      </c>
      <c r="K47" s="211">
        <f t="shared" ref="K47:L47" si="92">K46-K48</f>
        <v>1051</v>
      </c>
      <c r="L47" s="211">
        <f t="shared" si="92"/>
        <v>1051</v>
      </c>
      <c r="M47" s="364"/>
      <c r="N47" s="320"/>
      <c r="O47" s="320"/>
      <c r="P47" s="320"/>
      <c r="Q47" s="320"/>
      <c r="R47" s="320"/>
      <c r="S47" s="320"/>
    </row>
    <row r="48" spans="1:19" s="289" customFormat="1" ht="13.9" customHeight="1">
      <c r="A48" s="677"/>
      <c r="B48" s="678"/>
      <c r="C48" s="266" t="s">
        <v>1205</v>
      </c>
      <c r="D48" s="266" t="s">
        <v>1225</v>
      </c>
      <c r="E48" s="211">
        <f>'3.전용공업용수(침전수)'!F21</f>
        <v>0</v>
      </c>
      <c r="F48" s="213">
        <v>3</v>
      </c>
      <c r="G48" s="211">
        <f t="shared" si="83"/>
        <v>0</v>
      </c>
      <c r="H48" s="211">
        <f t="shared" si="84"/>
        <v>0</v>
      </c>
      <c r="I48" s="211">
        <f t="shared" si="85"/>
        <v>0</v>
      </c>
      <c r="J48" s="211">
        <f t="shared" si="86"/>
        <v>0</v>
      </c>
      <c r="K48" s="211">
        <f t="shared" si="87"/>
        <v>0</v>
      </c>
      <c r="L48" s="211">
        <f>ROUND(IF($F48="기존",E48,IF(F48=1,E48,IF(F48=2,E48,IF(F48=3,E48,IF(F48=4,E48,0))))),0)</f>
        <v>0</v>
      </c>
      <c r="M48" s="366"/>
      <c r="N48" s="320"/>
      <c r="O48" s="320"/>
      <c r="P48" s="320"/>
      <c r="Q48" s="320"/>
      <c r="R48" s="320"/>
      <c r="S48" s="320"/>
    </row>
    <row r="49" spans="1:260" s="289" customFormat="1" ht="13.9" customHeight="1">
      <c r="A49" s="677"/>
      <c r="B49" s="676" t="s">
        <v>1226</v>
      </c>
      <c r="C49" s="266" t="s">
        <v>1245</v>
      </c>
      <c r="D49" s="266" t="s">
        <v>1209</v>
      </c>
      <c r="E49" s="211">
        <f>'3.계획산단용수량'!I27</f>
        <v>1127</v>
      </c>
      <c r="F49" s="213">
        <v>2</v>
      </c>
      <c r="G49" s="211">
        <f t="shared" si="83"/>
        <v>0</v>
      </c>
      <c r="H49" s="211">
        <f t="shared" si="84"/>
        <v>0</v>
      </c>
      <c r="I49" s="211">
        <f t="shared" si="85"/>
        <v>0</v>
      </c>
      <c r="J49" s="211">
        <f t="shared" si="86"/>
        <v>755</v>
      </c>
      <c r="K49" s="211">
        <f t="shared" si="87"/>
        <v>902</v>
      </c>
      <c r="L49" s="211">
        <f>ROUND(IF($F49="기존",E49,IF(F49=1,E49,IF(F49=2,E49,IF(F49=3,E49,IF(F49=4,E49,0))))),0)</f>
        <v>1127</v>
      </c>
      <c r="M49" s="366"/>
      <c r="N49" s="320"/>
      <c r="O49" s="320"/>
      <c r="P49" s="320"/>
      <c r="Q49" s="320"/>
      <c r="R49" s="320"/>
      <c r="S49" s="320"/>
    </row>
    <row r="50" spans="1:260" s="289" customFormat="1" ht="13.9" customHeight="1">
      <c r="A50" s="677"/>
      <c r="B50" s="677"/>
      <c r="C50" s="266" t="s">
        <v>1204</v>
      </c>
      <c r="D50" s="266" t="s">
        <v>1209</v>
      </c>
      <c r="E50" s="211">
        <f>E49-E51</f>
        <v>48</v>
      </c>
      <c r="F50" s="213">
        <v>2</v>
      </c>
      <c r="G50" s="211">
        <f t="shared" ref="G50" si="93">G49-G51</f>
        <v>0</v>
      </c>
      <c r="H50" s="211">
        <f t="shared" ref="H50" si="94">H49-H51</f>
        <v>0</v>
      </c>
      <c r="I50" s="211">
        <f t="shared" ref="I50" si="95">I49-I51</f>
        <v>0</v>
      </c>
      <c r="J50" s="211">
        <f t="shared" ref="J50" si="96">J49-J51</f>
        <v>755</v>
      </c>
      <c r="K50" s="211">
        <f t="shared" ref="K50:L50" si="97">K49-K51</f>
        <v>179</v>
      </c>
      <c r="L50" s="211">
        <f t="shared" si="97"/>
        <v>48</v>
      </c>
      <c r="M50" s="364"/>
      <c r="N50" s="320"/>
      <c r="O50" s="320"/>
      <c r="P50" s="320"/>
      <c r="Q50" s="320"/>
      <c r="R50" s="320"/>
      <c r="S50" s="320"/>
    </row>
    <row r="51" spans="1:260" s="289" customFormat="1" ht="13.9" customHeight="1">
      <c r="A51" s="677"/>
      <c r="B51" s="678"/>
      <c r="C51" s="266" t="s">
        <v>1205</v>
      </c>
      <c r="D51" s="266" t="s">
        <v>1209</v>
      </c>
      <c r="E51" s="211">
        <f>'3.전용공업용수(침전수)'!F22</f>
        <v>1079</v>
      </c>
      <c r="F51" s="213">
        <v>3</v>
      </c>
      <c r="G51" s="211">
        <f t="shared" si="83"/>
        <v>0</v>
      </c>
      <c r="H51" s="211">
        <f t="shared" si="84"/>
        <v>0</v>
      </c>
      <c r="I51" s="211">
        <f t="shared" si="85"/>
        <v>0</v>
      </c>
      <c r="J51" s="211">
        <f t="shared" si="86"/>
        <v>0</v>
      </c>
      <c r="K51" s="211">
        <f t="shared" si="87"/>
        <v>723</v>
      </c>
      <c r="L51" s="211">
        <f>ROUND(IF($F51="기존",E51,IF(F51=1,E51,IF(F51=2,E51,IF(F51=3,E51,IF(F51=4,E51,0))))),0)</f>
        <v>1079</v>
      </c>
      <c r="M51" s="366"/>
      <c r="N51" s="320"/>
      <c r="O51" s="320"/>
      <c r="P51" s="320"/>
      <c r="Q51" s="320"/>
      <c r="R51" s="320"/>
      <c r="S51" s="320"/>
    </row>
    <row r="52" spans="1:260" s="289" customFormat="1" ht="13.9" customHeight="1">
      <c r="A52" s="677"/>
      <c r="B52" s="676" t="s">
        <v>1227</v>
      </c>
      <c r="C52" s="266" t="s">
        <v>1245</v>
      </c>
      <c r="D52" s="266" t="s">
        <v>1228</v>
      </c>
      <c r="E52" s="211">
        <f>'3.계획산단용수량'!I38</f>
        <v>1131</v>
      </c>
      <c r="F52" s="213">
        <v>2</v>
      </c>
      <c r="G52" s="211">
        <f t="shared" si="83"/>
        <v>0</v>
      </c>
      <c r="H52" s="211">
        <f t="shared" si="84"/>
        <v>0</v>
      </c>
      <c r="I52" s="211">
        <f t="shared" si="85"/>
        <v>0</v>
      </c>
      <c r="J52" s="211">
        <f t="shared" si="86"/>
        <v>758</v>
      </c>
      <c r="K52" s="211">
        <f t="shared" si="87"/>
        <v>905</v>
      </c>
      <c r="L52" s="211">
        <f>ROUND(IF($F52="기존",E52,IF(F52=1,E52,IF(F52=2,E52,IF(F52=3,E52,IF(F52=4,E52,0))))),0)</f>
        <v>1131</v>
      </c>
      <c r="M52" s="366"/>
      <c r="N52" s="320"/>
      <c r="O52" s="320"/>
      <c r="P52" s="320"/>
      <c r="Q52" s="320"/>
      <c r="R52" s="320"/>
      <c r="S52" s="320"/>
    </row>
    <row r="53" spans="1:260" s="289" customFormat="1" ht="13.9" customHeight="1">
      <c r="A53" s="677"/>
      <c r="B53" s="677"/>
      <c r="C53" s="266" t="s">
        <v>1204</v>
      </c>
      <c r="D53" s="266" t="s">
        <v>1228</v>
      </c>
      <c r="E53" s="211">
        <f>E52-E54</f>
        <v>1131</v>
      </c>
      <c r="F53" s="213">
        <v>2</v>
      </c>
      <c r="G53" s="211">
        <f t="shared" ref="G53" si="98">G52-G54</f>
        <v>0</v>
      </c>
      <c r="H53" s="211">
        <f t="shared" ref="H53" si="99">H52-H54</f>
        <v>0</v>
      </c>
      <c r="I53" s="211">
        <f t="shared" ref="I53" si="100">I52-I54</f>
        <v>0</v>
      </c>
      <c r="J53" s="211">
        <f t="shared" ref="J53" si="101">J52-J54</f>
        <v>758</v>
      </c>
      <c r="K53" s="211">
        <f t="shared" ref="K53:L53" si="102">K52-K54</f>
        <v>905</v>
      </c>
      <c r="L53" s="211">
        <f t="shared" si="102"/>
        <v>1131</v>
      </c>
      <c r="M53" s="364"/>
      <c r="N53" s="320"/>
      <c r="O53" s="320"/>
      <c r="P53" s="320"/>
      <c r="Q53" s="320"/>
      <c r="R53" s="320"/>
      <c r="S53" s="320"/>
    </row>
    <row r="54" spans="1:260" s="289" customFormat="1" ht="13.9" customHeight="1">
      <c r="A54" s="678"/>
      <c r="B54" s="678"/>
      <c r="C54" s="266" t="s">
        <v>1205</v>
      </c>
      <c r="D54" s="266" t="s">
        <v>1228</v>
      </c>
      <c r="E54" s="211">
        <f>'3.전용공업용수(침전수)'!F23</f>
        <v>0</v>
      </c>
      <c r="F54" s="213">
        <v>3</v>
      </c>
      <c r="G54" s="211">
        <f t="shared" si="83"/>
        <v>0</v>
      </c>
      <c r="H54" s="211">
        <f t="shared" si="84"/>
        <v>0</v>
      </c>
      <c r="I54" s="211">
        <f t="shared" si="85"/>
        <v>0</v>
      </c>
      <c r="J54" s="211">
        <f t="shared" si="86"/>
        <v>0</v>
      </c>
      <c r="K54" s="211">
        <f t="shared" si="87"/>
        <v>0</v>
      </c>
      <c r="L54" s="211">
        <f>ROUND(IF($F54="기존",E54,IF(F54=1,E54,IF(F54=2,E54,IF(F54=3,E54,IF(F54=4,E54,0))))),0)</f>
        <v>0</v>
      </c>
      <c r="M54" s="366"/>
      <c r="N54" s="320"/>
      <c r="O54" s="320"/>
      <c r="P54" s="320"/>
      <c r="Q54" s="320"/>
      <c r="R54" s="320"/>
      <c r="S54" s="320"/>
    </row>
    <row r="55" spans="1:260" ht="20.100000000000001" customHeight="1">
      <c r="A55" s="207" t="s">
        <v>1183</v>
      </c>
      <c r="B55" s="208"/>
      <c r="C55" s="208"/>
      <c r="D55" s="208"/>
      <c r="E55" s="208"/>
      <c r="F55" s="208"/>
      <c r="G55" s="208"/>
      <c r="H55" s="208"/>
      <c r="I55" s="209"/>
      <c r="J55" s="209"/>
      <c r="K55" s="208"/>
      <c r="L55" s="209"/>
      <c r="M55" s="209"/>
      <c r="N55" s="209"/>
      <c r="O55" s="209"/>
      <c r="P55" s="209"/>
      <c r="Q55" s="209"/>
      <c r="R55" s="209"/>
      <c r="S55" s="209"/>
      <c r="T55" s="208"/>
      <c r="U55" s="208"/>
      <c r="V55" s="208"/>
      <c r="W55" s="208"/>
      <c r="X55" s="208"/>
      <c r="Y55" s="208"/>
      <c r="Z55" s="208"/>
      <c r="AA55" s="208"/>
      <c r="AB55" s="208"/>
      <c r="AC55" s="208"/>
      <c r="AD55" s="208"/>
      <c r="AE55" s="208"/>
      <c r="AF55" s="208"/>
      <c r="AG55" s="208"/>
      <c r="AH55" s="208"/>
      <c r="AI55" s="208"/>
      <c r="AJ55" s="208"/>
      <c r="AK55" s="208"/>
      <c r="AL55" s="208"/>
      <c r="AM55" s="208"/>
      <c r="AN55" s="208"/>
      <c r="AO55" s="208"/>
      <c r="AP55" s="208"/>
      <c r="AQ55" s="208"/>
      <c r="AR55" s="208"/>
      <c r="AS55" s="208"/>
      <c r="AT55" s="208"/>
      <c r="AU55" s="208"/>
      <c r="AV55" s="208"/>
      <c r="AW55" s="208"/>
      <c r="AX55" s="208"/>
      <c r="AY55" s="208"/>
      <c r="AZ55" s="208"/>
      <c r="BA55" s="208"/>
      <c r="BB55" s="208"/>
      <c r="BC55" s="208"/>
      <c r="BD55" s="208"/>
      <c r="BE55" s="208"/>
      <c r="BF55" s="208"/>
      <c r="BG55" s="208"/>
      <c r="BH55" s="208"/>
      <c r="BI55" s="208"/>
      <c r="BJ55" s="208"/>
      <c r="BK55" s="208"/>
      <c r="BL55" s="208"/>
      <c r="BM55" s="208"/>
      <c r="BN55" s="208"/>
      <c r="BO55" s="208"/>
      <c r="BP55" s="208"/>
      <c r="BQ55" s="208"/>
      <c r="BR55" s="208"/>
      <c r="BS55" s="208"/>
      <c r="BT55" s="208"/>
      <c r="BU55" s="208"/>
      <c r="BV55" s="208"/>
      <c r="BW55" s="208"/>
      <c r="BX55" s="208"/>
      <c r="BY55" s="208"/>
      <c r="BZ55" s="208"/>
      <c r="CA55" s="208"/>
      <c r="CB55" s="208"/>
      <c r="CC55" s="208"/>
      <c r="CD55" s="208"/>
      <c r="CE55" s="208"/>
      <c r="CF55" s="208"/>
      <c r="CG55" s="208"/>
      <c r="CH55" s="208"/>
      <c r="CI55" s="208"/>
      <c r="CJ55" s="208"/>
      <c r="CK55" s="208"/>
      <c r="CL55" s="208"/>
      <c r="CM55" s="208"/>
      <c r="CN55" s="208"/>
      <c r="CO55" s="208"/>
      <c r="CP55" s="208"/>
      <c r="CQ55" s="208"/>
      <c r="CR55" s="208"/>
      <c r="CS55" s="208"/>
      <c r="CT55" s="208"/>
      <c r="CU55" s="208"/>
      <c r="CV55" s="208"/>
      <c r="CW55" s="208"/>
      <c r="CX55" s="208"/>
      <c r="CY55" s="208"/>
      <c r="CZ55" s="208"/>
      <c r="DA55" s="208"/>
      <c r="DB55" s="208"/>
      <c r="DC55" s="208"/>
      <c r="DD55" s="208"/>
      <c r="DE55" s="208"/>
      <c r="DF55" s="208"/>
      <c r="DG55" s="208"/>
      <c r="DH55" s="208"/>
      <c r="DI55" s="208"/>
      <c r="DJ55" s="208"/>
      <c r="DK55" s="208"/>
      <c r="DL55" s="208"/>
      <c r="DM55" s="208"/>
      <c r="DN55" s="208"/>
      <c r="DO55" s="208"/>
      <c r="DP55" s="208"/>
      <c r="DQ55" s="208"/>
      <c r="DR55" s="208"/>
      <c r="DS55" s="208"/>
      <c r="DT55" s="208"/>
      <c r="DU55" s="208"/>
      <c r="DV55" s="208"/>
      <c r="DW55" s="208"/>
      <c r="DX55" s="208"/>
      <c r="DY55" s="208"/>
      <c r="DZ55" s="208"/>
      <c r="EA55" s="208"/>
      <c r="EB55" s="208"/>
      <c r="EC55" s="208"/>
      <c r="ED55" s="208"/>
      <c r="EE55" s="208"/>
      <c r="EF55" s="208"/>
      <c r="EG55" s="208"/>
      <c r="EH55" s="208"/>
      <c r="EI55" s="208"/>
      <c r="EJ55" s="208"/>
      <c r="EK55" s="208"/>
      <c r="EL55" s="208"/>
      <c r="EM55" s="208"/>
      <c r="EN55" s="208"/>
      <c r="EO55" s="208"/>
      <c r="EP55" s="208"/>
      <c r="EQ55" s="208"/>
      <c r="ER55" s="208"/>
      <c r="ES55" s="208"/>
      <c r="ET55" s="208"/>
      <c r="EU55" s="208"/>
      <c r="EV55" s="208"/>
      <c r="EW55" s="208"/>
      <c r="EX55" s="208"/>
      <c r="EY55" s="208"/>
      <c r="EZ55" s="208"/>
      <c r="FA55" s="208"/>
      <c r="FB55" s="208"/>
      <c r="FC55" s="208"/>
      <c r="FD55" s="208"/>
      <c r="FE55" s="208"/>
      <c r="FF55" s="208"/>
      <c r="FG55" s="208"/>
      <c r="FH55" s="208"/>
      <c r="FI55" s="208"/>
      <c r="FJ55" s="208"/>
      <c r="FK55" s="208"/>
      <c r="FL55" s="208"/>
      <c r="FM55" s="208"/>
      <c r="FN55" s="208"/>
      <c r="FO55" s="208"/>
      <c r="FP55" s="208"/>
      <c r="FQ55" s="208"/>
      <c r="FR55" s="208"/>
      <c r="FS55" s="208"/>
      <c r="FT55" s="208"/>
      <c r="FU55" s="208"/>
      <c r="FV55" s="208"/>
      <c r="FW55" s="208"/>
      <c r="FX55" s="208"/>
      <c r="FY55" s="208"/>
      <c r="FZ55" s="208"/>
      <c r="GA55" s="208"/>
      <c r="GB55" s="208"/>
      <c r="GC55" s="208"/>
      <c r="GD55" s="208"/>
      <c r="GE55" s="208"/>
      <c r="GF55" s="208"/>
      <c r="GG55" s="208"/>
      <c r="GH55" s="208"/>
      <c r="GI55" s="208"/>
      <c r="GJ55" s="208"/>
      <c r="GK55" s="208"/>
      <c r="GL55" s="208"/>
      <c r="GM55" s="208"/>
      <c r="GN55" s="208"/>
      <c r="GO55" s="208"/>
      <c r="GP55" s="208"/>
      <c r="GQ55" s="208"/>
      <c r="GR55" s="208"/>
      <c r="GS55" s="208"/>
      <c r="GT55" s="208"/>
      <c r="GU55" s="208"/>
      <c r="GV55" s="208"/>
      <c r="GW55" s="208"/>
      <c r="GX55" s="208"/>
      <c r="GY55" s="208"/>
      <c r="GZ55" s="208"/>
      <c r="HA55" s="208"/>
      <c r="HB55" s="208"/>
      <c r="HC55" s="208"/>
      <c r="HD55" s="208"/>
      <c r="HE55" s="208"/>
      <c r="HF55" s="208"/>
      <c r="HG55" s="208"/>
      <c r="HH55" s="208"/>
      <c r="HI55" s="208"/>
      <c r="HJ55" s="208"/>
      <c r="HK55" s="208"/>
      <c r="HL55" s="208"/>
      <c r="HM55" s="208"/>
      <c r="HN55" s="208"/>
      <c r="HO55" s="208"/>
      <c r="HP55" s="208"/>
      <c r="HQ55" s="208"/>
      <c r="HR55" s="208"/>
      <c r="HS55" s="208"/>
      <c r="HT55" s="208"/>
      <c r="HU55" s="208"/>
      <c r="HV55" s="208"/>
      <c r="HW55" s="208"/>
      <c r="HX55" s="208"/>
      <c r="HY55" s="208"/>
      <c r="HZ55" s="208"/>
      <c r="IA55" s="208"/>
      <c r="IB55" s="208"/>
      <c r="IC55" s="208"/>
      <c r="ID55" s="208"/>
      <c r="IE55" s="208"/>
      <c r="IF55" s="208"/>
      <c r="IG55" s="208"/>
      <c r="IH55" s="208"/>
      <c r="II55" s="208"/>
      <c r="IJ55" s="208"/>
      <c r="IK55" s="208"/>
      <c r="IL55" s="208"/>
      <c r="IM55" s="208"/>
      <c r="IN55" s="208"/>
      <c r="IO55" s="208"/>
      <c r="IP55" s="208"/>
      <c r="IQ55" s="208"/>
      <c r="IR55" s="208"/>
      <c r="IS55" s="208"/>
      <c r="IT55" s="208"/>
      <c r="IU55" s="208"/>
      <c r="IV55" s="208"/>
      <c r="IW55" s="208"/>
      <c r="IX55" s="208"/>
      <c r="IY55" s="208"/>
      <c r="IZ55" s="208"/>
    </row>
    <row r="56" spans="1:260" ht="15" customHeight="1">
      <c r="A56" s="679" t="s">
        <v>410</v>
      </c>
      <c r="B56" s="679"/>
      <c r="C56" s="679"/>
      <c r="D56" s="679"/>
      <c r="E56" s="679"/>
      <c r="F56" s="679"/>
      <c r="G56" s="266">
        <v>2013</v>
      </c>
      <c r="H56" s="266">
        <v>2014</v>
      </c>
      <c r="I56" s="266">
        <v>2015</v>
      </c>
      <c r="J56" s="266">
        <v>2020</v>
      </c>
      <c r="K56" s="266">
        <v>2025</v>
      </c>
      <c r="L56" s="266">
        <v>2030</v>
      </c>
      <c r="M56" s="357"/>
    </row>
    <row r="57" spans="1:260" s="267" customFormat="1" ht="15" customHeight="1">
      <c r="A57" s="673" t="s">
        <v>698</v>
      </c>
      <c r="B57" s="729"/>
      <c r="C57" s="723"/>
      <c r="D57" s="720" t="s">
        <v>1245</v>
      </c>
      <c r="E57" s="721"/>
      <c r="F57" s="722"/>
      <c r="G57" s="303">
        <f ca="1">SUM(G58:G59)</f>
        <v>3857</v>
      </c>
      <c r="H57" s="303">
        <f t="shared" ref="H57:L57" ca="1" si="103">SUM(H58:H59)</f>
        <v>4309</v>
      </c>
      <c r="I57" s="303">
        <f t="shared" ca="1" si="103"/>
        <v>6364</v>
      </c>
      <c r="J57" s="303">
        <f t="shared" ca="1" si="103"/>
        <v>8363</v>
      </c>
      <c r="K57" s="303">
        <f t="shared" ca="1" si="103"/>
        <v>9405</v>
      </c>
      <c r="L57" s="303">
        <f t="shared" ca="1" si="103"/>
        <v>9856</v>
      </c>
      <c r="M57" s="364"/>
      <c r="N57" s="309"/>
      <c r="O57" s="309"/>
      <c r="P57" s="309"/>
      <c r="Q57" s="309"/>
      <c r="R57" s="309"/>
      <c r="S57" s="309"/>
    </row>
    <row r="58" spans="1:260" ht="15" customHeight="1">
      <c r="A58" s="674"/>
      <c r="B58" s="730"/>
      <c r="C58" s="724"/>
      <c r="D58" s="679" t="s">
        <v>1201</v>
      </c>
      <c r="E58" s="679"/>
      <c r="F58" s="679"/>
      <c r="G58" s="303">
        <f ca="1">SUMIF($D$60:$F$104,$D58,G$60:G$104)</f>
        <v>3857</v>
      </c>
      <c r="H58" s="303">
        <f t="shared" ref="H58:L59" ca="1" si="104">SUMIF($D$60:$F$104,$D58,H$60:H$104)</f>
        <v>4309</v>
      </c>
      <c r="I58" s="303">
        <f t="shared" ca="1" si="104"/>
        <v>6364</v>
      </c>
      <c r="J58" s="303">
        <f t="shared" ca="1" si="104"/>
        <v>8363</v>
      </c>
      <c r="K58" s="303">
        <f t="shared" ca="1" si="104"/>
        <v>6233</v>
      </c>
      <c r="L58" s="303">
        <f t="shared" ca="1" si="104"/>
        <v>5123</v>
      </c>
      <c r="M58" s="364"/>
    </row>
    <row r="59" spans="1:260" s="267" customFormat="1" ht="15" customHeight="1">
      <c r="A59" s="675"/>
      <c r="B59" s="731"/>
      <c r="C59" s="725"/>
      <c r="D59" s="679" t="s">
        <v>1202</v>
      </c>
      <c r="E59" s="679"/>
      <c r="F59" s="679"/>
      <c r="G59" s="303">
        <f ca="1">SUMIF($D$60:$F$104,$D59,G$60:G$104)</f>
        <v>0</v>
      </c>
      <c r="H59" s="303">
        <f t="shared" ca="1" si="104"/>
        <v>0</v>
      </c>
      <c r="I59" s="303">
        <f t="shared" ca="1" si="104"/>
        <v>0</v>
      </c>
      <c r="J59" s="303">
        <f t="shared" ca="1" si="104"/>
        <v>0</v>
      </c>
      <c r="K59" s="303">
        <f t="shared" ca="1" si="104"/>
        <v>3172</v>
      </c>
      <c r="L59" s="303">
        <f t="shared" ca="1" si="104"/>
        <v>4733</v>
      </c>
      <c r="M59" s="364"/>
      <c r="N59" s="309"/>
      <c r="O59" s="309"/>
      <c r="P59" s="309"/>
      <c r="Q59" s="309"/>
      <c r="R59" s="309"/>
      <c r="S59" s="309"/>
    </row>
    <row r="60" spans="1:260" s="267" customFormat="1" ht="15" customHeight="1">
      <c r="A60" s="676"/>
      <c r="B60" s="673" t="s">
        <v>699</v>
      </c>
      <c r="C60" s="723"/>
      <c r="D60" s="720" t="s">
        <v>1245</v>
      </c>
      <c r="E60" s="721"/>
      <c r="F60" s="722"/>
      <c r="G60" s="303">
        <f>SUM(G61:G62)</f>
        <v>0</v>
      </c>
      <c r="H60" s="303">
        <f t="shared" ref="H60:L60" si="105">SUM(H61:H62)</f>
        <v>0</v>
      </c>
      <c r="I60" s="303">
        <f t="shared" si="105"/>
        <v>704</v>
      </c>
      <c r="J60" s="303">
        <f t="shared" si="105"/>
        <v>841</v>
      </c>
      <c r="K60" s="303">
        <f t="shared" si="105"/>
        <v>1051</v>
      </c>
      <c r="L60" s="303">
        <f t="shared" si="105"/>
        <v>1051</v>
      </c>
      <c r="M60" s="364"/>
      <c r="N60" s="309"/>
      <c r="O60" s="309"/>
      <c r="P60" s="309"/>
      <c r="Q60" s="309"/>
      <c r="R60" s="309"/>
      <c r="S60" s="309"/>
    </row>
    <row r="61" spans="1:260" ht="15" customHeight="1">
      <c r="A61" s="677"/>
      <c r="B61" s="674"/>
      <c r="C61" s="724"/>
      <c r="D61" s="679" t="s">
        <v>1201</v>
      </c>
      <c r="E61" s="679"/>
      <c r="F61" s="679"/>
      <c r="G61" s="303">
        <f>SUMPRODUCT(($D$7:$D$54=$B60)*($C$7:$C$54=$D61)*(G$7:G$54))</f>
        <v>0</v>
      </c>
      <c r="H61" s="303">
        <f t="shared" ref="H61:L61" si="106">SUMPRODUCT(($D$7:$D$54=$B60)*($C$7:$C$54=$D61)*(H$7:H$54))</f>
        <v>0</v>
      </c>
      <c r="I61" s="303">
        <f t="shared" si="106"/>
        <v>704</v>
      </c>
      <c r="J61" s="303">
        <f t="shared" si="106"/>
        <v>841</v>
      </c>
      <c r="K61" s="303">
        <f t="shared" si="106"/>
        <v>1051</v>
      </c>
      <c r="L61" s="303">
        <f t="shared" si="106"/>
        <v>1051</v>
      </c>
      <c r="M61" s="364"/>
    </row>
    <row r="62" spans="1:260" s="267" customFormat="1" ht="15" customHeight="1">
      <c r="A62" s="677"/>
      <c r="B62" s="675"/>
      <c r="C62" s="725"/>
      <c r="D62" s="679" t="s">
        <v>1202</v>
      </c>
      <c r="E62" s="679"/>
      <c r="F62" s="679"/>
      <c r="G62" s="303">
        <f>SUMPRODUCT(($D$7:$D$54=$B60)*($C$7:$C$54=$D62)*(G$7:G$54))</f>
        <v>0</v>
      </c>
      <c r="H62" s="303">
        <f t="shared" ref="H62:L62" si="107">SUMPRODUCT(($D$7:$D$54=$B60)*($C$7:$C$54=$D62)*(H$7:H$54))</f>
        <v>0</v>
      </c>
      <c r="I62" s="303">
        <f t="shared" si="107"/>
        <v>0</v>
      </c>
      <c r="J62" s="303">
        <f t="shared" si="107"/>
        <v>0</v>
      </c>
      <c r="K62" s="303">
        <f t="shared" si="107"/>
        <v>0</v>
      </c>
      <c r="L62" s="303">
        <f t="shared" si="107"/>
        <v>0</v>
      </c>
      <c r="M62" s="364"/>
      <c r="N62" s="309"/>
      <c r="O62" s="309"/>
      <c r="P62" s="309"/>
      <c r="Q62" s="309"/>
      <c r="R62" s="309"/>
      <c r="S62" s="309"/>
    </row>
    <row r="63" spans="1:260" s="267" customFormat="1" ht="15" customHeight="1">
      <c r="A63" s="677"/>
      <c r="B63" s="673" t="s">
        <v>700</v>
      </c>
      <c r="C63" s="723"/>
      <c r="D63" s="720" t="s">
        <v>1245</v>
      </c>
      <c r="E63" s="721"/>
      <c r="F63" s="722"/>
      <c r="G63" s="303">
        <f>SUM(G64:G65)</f>
        <v>393</v>
      </c>
      <c r="H63" s="303">
        <f t="shared" ref="H63" si="108">SUM(H64:H65)</f>
        <v>845</v>
      </c>
      <c r="I63" s="303">
        <f t="shared" ref="I63" si="109">SUM(I64:I65)</f>
        <v>2196</v>
      </c>
      <c r="J63" s="303">
        <f t="shared" ref="J63" si="110">SUM(J64:J65)</f>
        <v>2545</v>
      </c>
      <c r="K63" s="303">
        <f t="shared" ref="K63" si="111">SUM(K64:K65)</f>
        <v>3083</v>
      </c>
      <c r="L63" s="303">
        <f t="shared" ref="L63" si="112">SUM(L64:L65)</f>
        <v>3083</v>
      </c>
      <c r="M63" s="364"/>
      <c r="N63" s="309"/>
      <c r="O63" s="309"/>
      <c r="P63" s="309"/>
      <c r="Q63" s="309"/>
      <c r="R63" s="309"/>
      <c r="S63" s="309"/>
    </row>
    <row r="64" spans="1:260" ht="15" customHeight="1">
      <c r="A64" s="677"/>
      <c r="B64" s="674"/>
      <c r="C64" s="724"/>
      <c r="D64" s="679" t="s">
        <v>1201</v>
      </c>
      <c r="E64" s="679"/>
      <c r="F64" s="679"/>
      <c r="G64" s="303">
        <f>SUMPRODUCT(($D$7:$D$54=$B63)*($C$7:$C$54=$D64)*(G$7:G$54))</f>
        <v>393</v>
      </c>
      <c r="H64" s="303">
        <f t="shared" ref="H64:L64" si="113">SUMPRODUCT(($D$7:$D$54=$B63)*($C$7:$C$54=$D64)*(H$7:H$54))</f>
        <v>845</v>
      </c>
      <c r="I64" s="303">
        <f t="shared" si="113"/>
        <v>2196</v>
      </c>
      <c r="J64" s="303">
        <f t="shared" si="113"/>
        <v>2545</v>
      </c>
      <c r="K64" s="303">
        <f t="shared" si="113"/>
        <v>1343</v>
      </c>
      <c r="L64" s="303">
        <f t="shared" si="113"/>
        <v>487</v>
      </c>
      <c r="M64" s="364"/>
    </row>
    <row r="65" spans="1:19" s="267" customFormat="1" ht="15" customHeight="1">
      <c r="A65" s="677"/>
      <c r="B65" s="675"/>
      <c r="C65" s="725"/>
      <c r="D65" s="679" t="s">
        <v>1202</v>
      </c>
      <c r="E65" s="679"/>
      <c r="F65" s="679"/>
      <c r="G65" s="303">
        <f>SUMPRODUCT(($D$7:$D$54=$B63)*($C$7:$C$54=$D65)*(G$7:G$54))</f>
        <v>0</v>
      </c>
      <c r="H65" s="303">
        <f t="shared" ref="H65:L65" si="114">SUMPRODUCT(($D$7:$D$54=$B63)*($C$7:$C$54=$D65)*(H$7:H$54))</f>
        <v>0</v>
      </c>
      <c r="I65" s="303">
        <f t="shared" si="114"/>
        <v>0</v>
      </c>
      <c r="J65" s="303">
        <f t="shared" si="114"/>
        <v>0</v>
      </c>
      <c r="K65" s="303">
        <f t="shared" si="114"/>
        <v>1740</v>
      </c>
      <c r="L65" s="303">
        <f t="shared" si="114"/>
        <v>2596</v>
      </c>
      <c r="M65" s="364"/>
      <c r="N65" s="309"/>
      <c r="O65" s="309"/>
      <c r="P65" s="309"/>
      <c r="Q65" s="309"/>
      <c r="R65" s="309"/>
      <c r="S65" s="309"/>
    </row>
    <row r="66" spans="1:19" s="267" customFormat="1" ht="15" customHeight="1">
      <c r="A66" s="677"/>
      <c r="B66" s="673" t="s">
        <v>701</v>
      </c>
      <c r="C66" s="723"/>
      <c r="D66" s="720" t="s">
        <v>1245</v>
      </c>
      <c r="E66" s="721"/>
      <c r="F66" s="722"/>
      <c r="G66" s="303">
        <f>SUM(G67:G68)</f>
        <v>1533</v>
      </c>
      <c r="H66" s="303">
        <f t="shared" ref="H66:L66" si="115">SUM(H67:H68)</f>
        <v>1533</v>
      </c>
      <c r="I66" s="303">
        <f t="shared" si="115"/>
        <v>1533</v>
      </c>
      <c r="J66" s="303">
        <f t="shared" si="115"/>
        <v>1533</v>
      </c>
      <c r="K66" s="303">
        <f t="shared" si="115"/>
        <v>1533</v>
      </c>
      <c r="L66" s="303">
        <f t="shared" si="115"/>
        <v>1533</v>
      </c>
      <c r="M66" s="364"/>
      <c r="N66" s="309"/>
      <c r="O66" s="309"/>
      <c r="P66" s="309"/>
      <c r="Q66" s="309"/>
      <c r="R66" s="309"/>
      <c r="S66" s="309"/>
    </row>
    <row r="67" spans="1:19" ht="15" customHeight="1">
      <c r="A67" s="677"/>
      <c r="B67" s="674"/>
      <c r="C67" s="724"/>
      <c r="D67" s="679" t="s">
        <v>1201</v>
      </c>
      <c r="E67" s="679"/>
      <c r="F67" s="679"/>
      <c r="G67" s="303">
        <f>SUMPRODUCT(($D$7:$D$54=$B66)*($C$7:$C$54=$D67)*(G$7:G$54))</f>
        <v>1533</v>
      </c>
      <c r="H67" s="303">
        <f t="shared" ref="H67:L67" si="116">SUMPRODUCT(($D$7:$D$54=$B66)*($C$7:$C$54=$D67)*(H$7:H$54))</f>
        <v>1533</v>
      </c>
      <c r="I67" s="303">
        <f t="shared" si="116"/>
        <v>1533</v>
      </c>
      <c r="J67" s="303">
        <f t="shared" si="116"/>
        <v>1533</v>
      </c>
      <c r="K67" s="303">
        <f t="shared" si="116"/>
        <v>824</v>
      </c>
      <c r="L67" s="303">
        <f t="shared" si="116"/>
        <v>475</v>
      </c>
      <c r="M67" s="364"/>
    </row>
    <row r="68" spans="1:19" s="267" customFormat="1" ht="15" customHeight="1">
      <c r="A68" s="677"/>
      <c r="B68" s="675"/>
      <c r="C68" s="725"/>
      <c r="D68" s="679" t="s">
        <v>1202</v>
      </c>
      <c r="E68" s="679"/>
      <c r="F68" s="679"/>
      <c r="G68" s="303">
        <f>SUMPRODUCT(($D$7:$D$54=$B66)*($C$7:$C$54=$D68)*(G$7:G$54))</f>
        <v>0</v>
      </c>
      <c r="H68" s="303">
        <f t="shared" ref="H68:L68" si="117">SUMPRODUCT(($D$7:$D$54=$B66)*($C$7:$C$54=$D68)*(H$7:H$54))</f>
        <v>0</v>
      </c>
      <c r="I68" s="303">
        <f t="shared" si="117"/>
        <v>0</v>
      </c>
      <c r="J68" s="303">
        <f t="shared" si="117"/>
        <v>0</v>
      </c>
      <c r="K68" s="303">
        <f t="shared" si="117"/>
        <v>709</v>
      </c>
      <c r="L68" s="303">
        <f t="shared" si="117"/>
        <v>1058</v>
      </c>
      <c r="M68" s="364"/>
      <c r="N68" s="309"/>
      <c r="O68" s="309"/>
      <c r="P68" s="309"/>
      <c r="Q68" s="309"/>
      <c r="R68" s="309"/>
      <c r="S68" s="309"/>
    </row>
    <row r="69" spans="1:19" s="267" customFormat="1" ht="15" customHeight="1">
      <c r="A69" s="677"/>
      <c r="B69" s="673" t="s">
        <v>702</v>
      </c>
      <c r="C69" s="723"/>
      <c r="D69" s="720" t="s">
        <v>1245</v>
      </c>
      <c r="E69" s="721"/>
      <c r="F69" s="722"/>
      <c r="G69" s="303">
        <f>SUM(G70:G71)</f>
        <v>1456</v>
      </c>
      <c r="H69" s="303">
        <f t="shared" ref="H69:L69" si="118">SUM(H70:H71)</f>
        <v>1456</v>
      </c>
      <c r="I69" s="303">
        <f t="shared" si="118"/>
        <v>1456</v>
      </c>
      <c r="J69" s="303">
        <f t="shared" si="118"/>
        <v>1456</v>
      </c>
      <c r="K69" s="303">
        <f t="shared" si="118"/>
        <v>1456</v>
      </c>
      <c r="L69" s="303">
        <f t="shared" si="118"/>
        <v>1456</v>
      </c>
      <c r="M69" s="364"/>
      <c r="N69" s="309"/>
      <c r="O69" s="309"/>
      <c r="P69" s="309"/>
      <c r="Q69" s="309"/>
      <c r="R69" s="309"/>
      <c r="S69" s="309"/>
    </row>
    <row r="70" spans="1:19" ht="15" customHeight="1">
      <c r="A70" s="677"/>
      <c r="B70" s="674"/>
      <c r="C70" s="724"/>
      <c r="D70" s="679" t="s">
        <v>1201</v>
      </c>
      <c r="E70" s="679"/>
      <c r="F70" s="679"/>
      <c r="G70" s="303">
        <f>SUMPRODUCT(($D$7:$D$54=$B69)*($C$7:$C$54=$D70)*(G$7:G$54))</f>
        <v>1456</v>
      </c>
      <c r="H70" s="303">
        <f t="shared" ref="H70:L70" si="119">SUMPRODUCT(($D$7:$D$54=$B69)*($C$7:$C$54=$D70)*(H$7:H$54))</f>
        <v>1456</v>
      </c>
      <c r="I70" s="303">
        <f t="shared" si="119"/>
        <v>1456</v>
      </c>
      <c r="J70" s="303">
        <f t="shared" si="119"/>
        <v>1456</v>
      </c>
      <c r="K70" s="303">
        <f t="shared" si="119"/>
        <v>1456</v>
      </c>
      <c r="L70" s="303">
        <f t="shared" si="119"/>
        <v>1456</v>
      </c>
      <c r="M70" s="364"/>
    </row>
    <row r="71" spans="1:19" s="267" customFormat="1" ht="15" customHeight="1">
      <c r="A71" s="677"/>
      <c r="B71" s="675"/>
      <c r="C71" s="725"/>
      <c r="D71" s="679" t="s">
        <v>1202</v>
      </c>
      <c r="E71" s="679"/>
      <c r="F71" s="679"/>
      <c r="G71" s="303">
        <f>SUMPRODUCT(($D$7:$D$54=$B69)*($C$7:$C$54=$D71)*(G$7:G$54))</f>
        <v>0</v>
      </c>
      <c r="H71" s="303">
        <f t="shared" ref="H71:L71" si="120">SUMPRODUCT(($D$7:$D$54=$B69)*($C$7:$C$54=$D71)*(H$7:H$54))</f>
        <v>0</v>
      </c>
      <c r="I71" s="303">
        <f t="shared" si="120"/>
        <v>0</v>
      </c>
      <c r="J71" s="303">
        <f t="shared" si="120"/>
        <v>0</v>
      </c>
      <c r="K71" s="303">
        <f t="shared" si="120"/>
        <v>0</v>
      </c>
      <c r="L71" s="303">
        <f t="shared" si="120"/>
        <v>0</v>
      </c>
      <c r="M71" s="364"/>
      <c r="N71" s="309"/>
      <c r="O71" s="309"/>
      <c r="P71" s="309"/>
      <c r="Q71" s="309"/>
      <c r="R71" s="309"/>
      <c r="S71" s="309"/>
    </row>
    <row r="72" spans="1:19" s="267" customFormat="1" ht="15" customHeight="1">
      <c r="A72" s="677"/>
      <c r="B72" s="673" t="s">
        <v>703</v>
      </c>
      <c r="C72" s="723"/>
      <c r="D72" s="720" t="s">
        <v>1245</v>
      </c>
      <c r="E72" s="721"/>
      <c r="F72" s="722"/>
      <c r="G72" s="303">
        <f t="shared" ref="G72" si="121">SUM(G73:G74)</f>
        <v>0</v>
      </c>
      <c r="H72" s="303">
        <f t="shared" ref="H72" si="122">SUM(H73:H74)</f>
        <v>0</v>
      </c>
      <c r="I72" s="303">
        <f t="shared" ref="I72" si="123">SUM(I73:I74)</f>
        <v>0</v>
      </c>
      <c r="J72" s="303">
        <f t="shared" ref="J72" si="124">SUM(J73:J74)</f>
        <v>758</v>
      </c>
      <c r="K72" s="303">
        <f t="shared" ref="K72" si="125">SUM(K73:K74)</f>
        <v>905</v>
      </c>
      <c r="L72" s="303">
        <f t="shared" ref="L72" si="126">SUM(L73:L74)</f>
        <v>1131</v>
      </c>
      <c r="M72" s="364"/>
      <c r="N72" s="309"/>
      <c r="O72" s="309"/>
      <c r="P72" s="309"/>
      <c r="Q72" s="309"/>
      <c r="R72" s="309"/>
      <c r="S72" s="309"/>
    </row>
    <row r="73" spans="1:19" ht="15" customHeight="1">
      <c r="A73" s="677"/>
      <c r="B73" s="674"/>
      <c r="C73" s="724"/>
      <c r="D73" s="679" t="s">
        <v>1201</v>
      </c>
      <c r="E73" s="679"/>
      <c r="F73" s="679"/>
      <c r="G73" s="303">
        <f t="shared" ref="G73" si="127">SUMPRODUCT(($D$7:$D$54=$B72)*($C$7:$C$54=$D73)*(G$7:G$54))</f>
        <v>0</v>
      </c>
      <c r="H73" s="303">
        <f t="shared" ref="H73" si="128">SUMPRODUCT(($D$7:$D$54=$B72)*($C$7:$C$54=$D73)*(H$7:H$54))</f>
        <v>0</v>
      </c>
      <c r="I73" s="303">
        <f t="shared" ref="I73" si="129">SUMPRODUCT(($D$7:$D$54=$B72)*($C$7:$C$54=$D73)*(I$7:I$54))</f>
        <v>0</v>
      </c>
      <c r="J73" s="303">
        <f t="shared" ref="J73" si="130">SUMPRODUCT(($D$7:$D$54=$B72)*($C$7:$C$54=$D73)*(J$7:J$54))</f>
        <v>758</v>
      </c>
      <c r="K73" s="303">
        <f t="shared" ref="K73" si="131">SUMPRODUCT(($D$7:$D$54=$B72)*($C$7:$C$54=$D73)*(K$7:K$54))</f>
        <v>905</v>
      </c>
      <c r="L73" s="303">
        <f t="shared" ref="L73" si="132">SUMPRODUCT(($D$7:$D$54=$B72)*($C$7:$C$54=$D73)*(L$7:L$54))</f>
        <v>1131</v>
      </c>
      <c r="M73" s="364"/>
    </row>
    <row r="74" spans="1:19" s="267" customFormat="1" ht="15" customHeight="1">
      <c r="A74" s="677"/>
      <c r="B74" s="675"/>
      <c r="C74" s="725"/>
      <c r="D74" s="679" t="s">
        <v>1202</v>
      </c>
      <c r="E74" s="679"/>
      <c r="F74" s="679"/>
      <c r="G74" s="303">
        <f t="shared" ref="G74:L74" si="133">SUMPRODUCT(($D$7:$D$54=$B72)*($C$7:$C$54=$D74)*(G$7:G$54))</f>
        <v>0</v>
      </c>
      <c r="H74" s="303">
        <f t="shared" si="133"/>
        <v>0</v>
      </c>
      <c r="I74" s="303">
        <f t="shared" si="133"/>
        <v>0</v>
      </c>
      <c r="J74" s="303">
        <f t="shared" si="133"/>
        <v>0</v>
      </c>
      <c r="K74" s="303">
        <f t="shared" si="133"/>
        <v>0</v>
      </c>
      <c r="L74" s="303">
        <f t="shared" si="133"/>
        <v>0</v>
      </c>
      <c r="M74" s="364"/>
      <c r="N74" s="309"/>
      <c r="O74" s="309"/>
      <c r="P74" s="309"/>
      <c r="Q74" s="309"/>
      <c r="R74" s="309"/>
      <c r="S74" s="309"/>
    </row>
    <row r="75" spans="1:19" s="267" customFormat="1" ht="15" customHeight="1">
      <c r="A75" s="677"/>
      <c r="B75" s="673" t="s">
        <v>704</v>
      </c>
      <c r="C75" s="723"/>
      <c r="D75" s="720" t="s">
        <v>1245</v>
      </c>
      <c r="E75" s="721"/>
      <c r="F75" s="722"/>
      <c r="G75" s="303">
        <f t="shared" ref="G75" si="134">SUM(G76:G77)</f>
        <v>0</v>
      </c>
      <c r="H75" s="303">
        <f t="shared" ref="H75" si="135">SUM(H76:H77)</f>
        <v>0</v>
      </c>
      <c r="I75" s="303">
        <f t="shared" ref="I75" si="136">SUM(I76:I77)</f>
        <v>0</v>
      </c>
      <c r="J75" s="303">
        <f t="shared" ref="J75" si="137">SUM(J76:J77)</f>
        <v>0</v>
      </c>
      <c r="K75" s="303">
        <f t="shared" ref="K75" si="138">SUM(K76:K77)</f>
        <v>0</v>
      </c>
      <c r="L75" s="303">
        <f t="shared" ref="L75" si="139">SUM(L76:L77)</f>
        <v>0</v>
      </c>
      <c r="M75" s="364"/>
      <c r="N75" s="309"/>
      <c r="O75" s="309"/>
      <c r="P75" s="309"/>
      <c r="Q75" s="309"/>
      <c r="R75" s="309"/>
      <c r="S75" s="309"/>
    </row>
    <row r="76" spans="1:19" ht="15" customHeight="1">
      <c r="A76" s="677"/>
      <c r="B76" s="674"/>
      <c r="C76" s="724"/>
      <c r="D76" s="679" t="s">
        <v>1201</v>
      </c>
      <c r="E76" s="679"/>
      <c r="F76" s="679"/>
      <c r="G76" s="303">
        <f t="shared" ref="G76" si="140">SUMPRODUCT(($D$7:$D$54=$B75)*($C$7:$C$54=$D76)*(G$7:G$54))</f>
        <v>0</v>
      </c>
      <c r="H76" s="303">
        <f t="shared" ref="H76" si="141">SUMPRODUCT(($D$7:$D$54=$B75)*($C$7:$C$54=$D76)*(H$7:H$54))</f>
        <v>0</v>
      </c>
      <c r="I76" s="303">
        <f t="shared" ref="I76" si="142">SUMPRODUCT(($D$7:$D$54=$B75)*($C$7:$C$54=$D76)*(I$7:I$54))</f>
        <v>0</v>
      </c>
      <c r="J76" s="303">
        <f t="shared" ref="J76" si="143">SUMPRODUCT(($D$7:$D$54=$B75)*($C$7:$C$54=$D76)*(J$7:J$54))</f>
        <v>0</v>
      </c>
      <c r="K76" s="303">
        <f t="shared" ref="K76" si="144">SUMPRODUCT(($D$7:$D$54=$B75)*($C$7:$C$54=$D76)*(K$7:K$54))</f>
        <v>0</v>
      </c>
      <c r="L76" s="303">
        <f t="shared" ref="L76" si="145">SUMPRODUCT(($D$7:$D$54=$B75)*($C$7:$C$54=$D76)*(L$7:L$54))</f>
        <v>0</v>
      </c>
      <c r="M76" s="364"/>
    </row>
    <row r="77" spans="1:19" s="267" customFormat="1" ht="15" customHeight="1">
      <c r="A77" s="677"/>
      <c r="B77" s="675"/>
      <c r="C77" s="725"/>
      <c r="D77" s="679" t="s">
        <v>1202</v>
      </c>
      <c r="E77" s="679"/>
      <c r="F77" s="679"/>
      <c r="G77" s="303">
        <f t="shared" ref="G77:L77" si="146">SUMPRODUCT(($D$7:$D$54=$B75)*($C$7:$C$54=$D77)*(G$7:G$54))</f>
        <v>0</v>
      </c>
      <c r="H77" s="303">
        <f t="shared" si="146"/>
        <v>0</v>
      </c>
      <c r="I77" s="303">
        <f t="shared" si="146"/>
        <v>0</v>
      </c>
      <c r="J77" s="303">
        <f t="shared" si="146"/>
        <v>0</v>
      </c>
      <c r="K77" s="303">
        <f t="shared" si="146"/>
        <v>0</v>
      </c>
      <c r="L77" s="303">
        <f t="shared" si="146"/>
        <v>0</v>
      </c>
      <c r="M77" s="364"/>
      <c r="N77" s="309"/>
      <c r="O77" s="309"/>
      <c r="P77" s="309"/>
      <c r="Q77" s="309"/>
      <c r="R77" s="309"/>
      <c r="S77" s="309"/>
    </row>
    <row r="78" spans="1:19" s="267" customFormat="1" ht="15" customHeight="1">
      <c r="A78" s="677"/>
      <c r="B78" s="673" t="s">
        <v>705</v>
      </c>
      <c r="C78" s="723"/>
      <c r="D78" s="720" t="s">
        <v>1245</v>
      </c>
      <c r="E78" s="721"/>
      <c r="F78" s="722"/>
      <c r="G78" s="303">
        <f t="shared" ref="G78" si="147">SUM(G79:G80)</f>
        <v>0</v>
      </c>
      <c r="H78" s="303">
        <f t="shared" ref="H78" si="148">SUM(H79:H80)</f>
        <v>0</v>
      </c>
      <c r="I78" s="303">
        <f t="shared" ref="I78" si="149">SUM(I79:I80)</f>
        <v>0</v>
      </c>
      <c r="J78" s="303">
        <f t="shared" ref="J78" si="150">SUM(J79:J80)</f>
        <v>0</v>
      </c>
      <c r="K78" s="303">
        <f t="shared" ref="K78" si="151">SUM(K79:K80)</f>
        <v>0</v>
      </c>
      <c r="L78" s="303">
        <f t="shared" ref="L78" si="152">SUM(L79:L80)</f>
        <v>0</v>
      </c>
      <c r="M78" s="364"/>
      <c r="N78" s="309"/>
      <c r="O78" s="309"/>
      <c r="P78" s="309"/>
      <c r="Q78" s="309"/>
      <c r="R78" s="309"/>
      <c r="S78" s="309"/>
    </row>
    <row r="79" spans="1:19" ht="15" customHeight="1">
      <c r="A79" s="677"/>
      <c r="B79" s="674"/>
      <c r="C79" s="724"/>
      <c r="D79" s="679" t="s">
        <v>1201</v>
      </c>
      <c r="E79" s="679"/>
      <c r="F79" s="679"/>
      <c r="G79" s="303">
        <f t="shared" ref="G79" si="153">SUMPRODUCT(($D$7:$D$54=$B78)*($C$7:$C$54=$D79)*(G$7:G$54))</f>
        <v>0</v>
      </c>
      <c r="H79" s="303">
        <f t="shared" ref="H79" si="154">SUMPRODUCT(($D$7:$D$54=$B78)*($C$7:$C$54=$D79)*(H$7:H$54))</f>
        <v>0</v>
      </c>
      <c r="I79" s="303">
        <f t="shared" ref="I79" si="155">SUMPRODUCT(($D$7:$D$54=$B78)*($C$7:$C$54=$D79)*(I$7:I$54))</f>
        <v>0</v>
      </c>
      <c r="J79" s="303">
        <f t="shared" ref="J79" si="156">SUMPRODUCT(($D$7:$D$54=$B78)*($C$7:$C$54=$D79)*(J$7:J$54))</f>
        <v>0</v>
      </c>
      <c r="K79" s="303">
        <f t="shared" ref="K79" si="157">SUMPRODUCT(($D$7:$D$54=$B78)*($C$7:$C$54=$D79)*(K$7:K$54))</f>
        <v>0</v>
      </c>
      <c r="L79" s="303">
        <f t="shared" ref="L79" si="158">SUMPRODUCT(($D$7:$D$54=$B78)*($C$7:$C$54=$D79)*(L$7:L$54))</f>
        <v>0</v>
      </c>
      <c r="M79" s="364"/>
    </row>
    <row r="80" spans="1:19" s="267" customFormat="1" ht="15" customHeight="1">
      <c r="A80" s="677"/>
      <c r="B80" s="675"/>
      <c r="C80" s="725"/>
      <c r="D80" s="679" t="s">
        <v>1202</v>
      </c>
      <c r="E80" s="679"/>
      <c r="F80" s="679"/>
      <c r="G80" s="303">
        <f t="shared" ref="G80:L80" si="159">SUMPRODUCT(($D$7:$D$54=$B78)*($C$7:$C$54=$D80)*(G$7:G$54))</f>
        <v>0</v>
      </c>
      <c r="H80" s="303">
        <f t="shared" si="159"/>
        <v>0</v>
      </c>
      <c r="I80" s="303">
        <f t="shared" si="159"/>
        <v>0</v>
      </c>
      <c r="J80" s="303">
        <f t="shared" si="159"/>
        <v>0</v>
      </c>
      <c r="K80" s="303">
        <f t="shared" si="159"/>
        <v>0</v>
      </c>
      <c r="L80" s="303">
        <f t="shared" si="159"/>
        <v>0</v>
      </c>
      <c r="M80" s="364"/>
      <c r="N80" s="309"/>
      <c r="O80" s="309"/>
      <c r="P80" s="309"/>
      <c r="Q80" s="309"/>
      <c r="R80" s="309"/>
      <c r="S80" s="309"/>
    </row>
    <row r="81" spans="1:19" s="267" customFormat="1" ht="15" customHeight="1">
      <c r="A81" s="677"/>
      <c r="B81" s="673" t="s">
        <v>706</v>
      </c>
      <c r="C81" s="723"/>
      <c r="D81" s="720" t="s">
        <v>1245</v>
      </c>
      <c r="E81" s="721"/>
      <c r="F81" s="722"/>
      <c r="G81" s="303">
        <f t="shared" ref="G81" si="160">SUM(G82:G83)</f>
        <v>0</v>
      </c>
      <c r="H81" s="303">
        <f t="shared" ref="H81" si="161">SUM(H82:H83)</f>
        <v>0</v>
      </c>
      <c r="I81" s="303">
        <f t="shared" ref="I81" si="162">SUM(I82:I83)</f>
        <v>0</v>
      </c>
      <c r="J81" s="303">
        <f t="shared" ref="J81" si="163">SUM(J82:J83)</f>
        <v>0</v>
      </c>
      <c r="K81" s="303">
        <f t="shared" ref="K81" si="164">SUM(K82:K83)</f>
        <v>0</v>
      </c>
      <c r="L81" s="303">
        <f t="shared" ref="L81" si="165">SUM(L82:L83)</f>
        <v>0</v>
      </c>
      <c r="M81" s="364"/>
      <c r="N81" s="309"/>
      <c r="O81" s="309"/>
      <c r="P81" s="309"/>
      <c r="Q81" s="309"/>
      <c r="R81" s="309"/>
      <c r="S81" s="309"/>
    </row>
    <row r="82" spans="1:19" ht="15" customHeight="1">
      <c r="A82" s="677"/>
      <c r="B82" s="674"/>
      <c r="C82" s="724"/>
      <c r="D82" s="679" t="s">
        <v>1201</v>
      </c>
      <c r="E82" s="679"/>
      <c r="F82" s="679"/>
      <c r="G82" s="303">
        <f t="shared" ref="G82" si="166">SUMPRODUCT(($D$7:$D$54=$B81)*($C$7:$C$54=$D82)*(G$7:G$54))</f>
        <v>0</v>
      </c>
      <c r="H82" s="303">
        <f t="shared" ref="H82" si="167">SUMPRODUCT(($D$7:$D$54=$B81)*($C$7:$C$54=$D82)*(H$7:H$54))</f>
        <v>0</v>
      </c>
      <c r="I82" s="303">
        <f t="shared" ref="I82" si="168">SUMPRODUCT(($D$7:$D$54=$B81)*($C$7:$C$54=$D82)*(I$7:I$54))</f>
        <v>0</v>
      </c>
      <c r="J82" s="303">
        <f t="shared" ref="J82" si="169">SUMPRODUCT(($D$7:$D$54=$B81)*($C$7:$C$54=$D82)*(J$7:J$54))</f>
        <v>0</v>
      </c>
      <c r="K82" s="303">
        <f t="shared" ref="K82" si="170">SUMPRODUCT(($D$7:$D$54=$B81)*($C$7:$C$54=$D82)*(K$7:K$54))</f>
        <v>0</v>
      </c>
      <c r="L82" s="303">
        <f t="shared" ref="L82" si="171">SUMPRODUCT(($D$7:$D$54=$B81)*($C$7:$C$54=$D82)*(L$7:L$54))</f>
        <v>0</v>
      </c>
      <c r="M82" s="364"/>
    </row>
    <row r="83" spans="1:19" s="267" customFormat="1" ht="15" customHeight="1">
      <c r="A83" s="677"/>
      <c r="B83" s="675"/>
      <c r="C83" s="725"/>
      <c r="D83" s="679" t="s">
        <v>1202</v>
      </c>
      <c r="E83" s="679"/>
      <c r="F83" s="679"/>
      <c r="G83" s="303">
        <f t="shared" ref="G83:L83" si="172">SUMPRODUCT(($D$7:$D$54=$B81)*($C$7:$C$54=$D83)*(G$7:G$54))</f>
        <v>0</v>
      </c>
      <c r="H83" s="303">
        <f t="shared" si="172"/>
        <v>0</v>
      </c>
      <c r="I83" s="303">
        <f t="shared" si="172"/>
        <v>0</v>
      </c>
      <c r="J83" s="303">
        <f t="shared" si="172"/>
        <v>0</v>
      </c>
      <c r="K83" s="303">
        <f t="shared" si="172"/>
        <v>0</v>
      </c>
      <c r="L83" s="303">
        <f t="shared" si="172"/>
        <v>0</v>
      </c>
      <c r="M83" s="364"/>
      <c r="N83" s="309"/>
      <c r="O83" s="309"/>
      <c r="P83" s="309"/>
      <c r="Q83" s="309"/>
      <c r="R83" s="309"/>
      <c r="S83" s="309"/>
    </row>
    <row r="84" spans="1:19" s="267" customFormat="1" ht="15" customHeight="1">
      <c r="A84" s="677"/>
      <c r="B84" s="673" t="s">
        <v>707</v>
      </c>
      <c r="C84" s="723"/>
      <c r="D84" s="720" t="s">
        <v>1245</v>
      </c>
      <c r="E84" s="721"/>
      <c r="F84" s="722"/>
      <c r="G84" s="303">
        <f t="shared" ref="G84" si="173">SUM(G85:G86)</f>
        <v>0</v>
      </c>
      <c r="H84" s="303">
        <f t="shared" ref="H84" si="174">SUM(H85:H86)</f>
        <v>0</v>
      </c>
      <c r="I84" s="303">
        <f t="shared" ref="I84" si="175">SUM(I85:I86)</f>
        <v>0</v>
      </c>
      <c r="J84" s="303">
        <f t="shared" ref="J84" si="176">SUM(J85:J86)</f>
        <v>0</v>
      </c>
      <c r="K84" s="303">
        <f t="shared" ref="K84" si="177">SUM(K85:K86)</f>
        <v>0</v>
      </c>
      <c r="L84" s="303">
        <f t="shared" ref="L84" si="178">SUM(L85:L86)</f>
        <v>0</v>
      </c>
      <c r="M84" s="364"/>
      <c r="N84" s="309"/>
      <c r="O84" s="309"/>
      <c r="P84" s="309"/>
      <c r="Q84" s="309"/>
      <c r="R84" s="309"/>
      <c r="S84" s="309"/>
    </row>
    <row r="85" spans="1:19" ht="15" customHeight="1">
      <c r="A85" s="677"/>
      <c r="B85" s="674"/>
      <c r="C85" s="724"/>
      <c r="D85" s="679" t="s">
        <v>1201</v>
      </c>
      <c r="E85" s="679"/>
      <c r="F85" s="679"/>
      <c r="G85" s="303">
        <f t="shared" ref="G85" si="179">SUMPRODUCT(($D$7:$D$54=$B84)*($C$7:$C$54=$D85)*(G$7:G$54))</f>
        <v>0</v>
      </c>
      <c r="H85" s="303">
        <f t="shared" ref="H85" si="180">SUMPRODUCT(($D$7:$D$54=$B84)*($C$7:$C$54=$D85)*(H$7:H$54))</f>
        <v>0</v>
      </c>
      <c r="I85" s="303">
        <f t="shared" ref="I85" si="181">SUMPRODUCT(($D$7:$D$54=$B84)*($C$7:$C$54=$D85)*(I$7:I$54))</f>
        <v>0</v>
      </c>
      <c r="J85" s="303">
        <f t="shared" ref="J85" si="182">SUMPRODUCT(($D$7:$D$54=$B84)*($C$7:$C$54=$D85)*(J$7:J$54))</f>
        <v>0</v>
      </c>
      <c r="K85" s="303">
        <f t="shared" ref="K85" si="183">SUMPRODUCT(($D$7:$D$54=$B84)*($C$7:$C$54=$D85)*(K$7:K$54))</f>
        <v>0</v>
      </c>
      <c r="L85" s="303">
        <f t="shared" ref="L85" si="184">SUMPRODUCT(($D$7:$D$54=$B84)*($C$7:$C$54=$D85)*(L$7:L$54))</f>
        <v>0</v>
      </c>
      <c r="M85" s="364"/>
    </row>
    <row r="86" spans="1:19" s="267" customFormat="1" ht="15" customHeight="1">
      <c r="A86" s="677"/>
      <c r="B86" s="675"/>
      <c r="C86" s="725"/>
      <c r="D86" s="679" t="s">
        <v>1202</v>
      </c>
      <c r="E86" s="679"/>
      <c r="F86" s="679"/>
      <c r="G86" s="303">
        <f t="shared" ref="G86:L86" si="185">SUMPRODUCT(($D$7:$D$54=$B84)*($C$7:$C$54=$D86)*(G$7:G$54))</f>
        <v>0</v>
      </c>
      <c r="H86" s="303">
        <f t="shared" si="185"/>
        <v>0</v>
      </c>
      <c r="I86" s="303">
        <f t="shared" si="185"/>
        <v>0</v>
      </c>
      <c r="J86" s="303">
        <f t="shared" si="185"/>
        <v>0</v>
      </c>
      <c r="K86" s="303">
        <f t="shared" si="185"/>
        <v>0</v>
      </c>
      <c r="L86" s="303">
        <f t="shared" si="185"/>
        <v>0</v>
      </c>
      <c r="M86" s="364"/>
      <c r="N86" s="309"/>
      <c r="O86" s="309"/>
      <c r="P86" s="309"/>
      <c r="Q86" s="309"/>
      <c r="R86" s="309"/>
      <c r="S86" s="309"/>
    </row>
    <row r="87" spans="1:19" s="267" customFormat="1" ht="15" customHeight="1">
      <c r="A87" s="677"/>
      <c r="B87" s="673" t="s">
        <v>708</v>
      </c>
      <c r="C87" s="723"/>
      <c r="D87" s="720" t="s">
        <v>1245</v>
      </c>
      <c r="E87" s="721"/>
      <c r="F87" s="722"/>
      <c r="G87" s="303">
        <f t="shared" ref="G87" si="186">SUM(G88:G89)</f>
        <v>0</v>
      </c>
      <c r="H87" s="303">
        <f t="shared" ref="H87" si="187">SUM(H88:H89)</f>
        <v>0</v>
      </c>
      <c r="I87" s="303">
        <f t="shared" ref="I87" si="188">SUM(I88:I89)</f>
        <v>0</v>
      </c>
      <c r="J87" s="303">
        <f t="shared" ref="J87" si="189">SUM(J88:J89)</f>
        <v>0</v>
      </c>
      <c r="K87" s="303">
        <f t="shared" ref="K87" si="190">SUM(K88:K89)</f>
        <v>0</v>
      </c>
      <c r="L87" s="303">
        <f t="shared" ref="L87" si="191">SUM(L88:L89)</f>
        <v>0</v>
      </c>
      <c r="M87" s="364"/>
      <c r="N87" s="309"/>
      <c r="O87" s="309"/>
      <c r="P87" s="309"/>
      <c r="Q87" s="309"/>
      <c r="R87" s="309"/>
      <c r="S87" s="309"/>
    </row>
    <row r="88" spans="1:19" ht="15" customHeight="1">
      <c r="A88" s="677"/>
      <c r="B88" s="674"/>
      <c r="C88" s="724"/>
      <c r="D88" s="679" t="s">
        <v>1201</v>
      </c>
      <c r="E88" s="679"/>
      <c r="F88" s="679"/>
      <c r="G88" s="303">
        <f t="shared" ref="G88" si="192">SUMPRODUCT(($D$7:$D$54=$B87)*($C$7:$C$54=$D88)*(G$7:G$54))</f>
        <v>0</v>
      </c>
      <c r="H88" s="303">
        <f t="shared" ref="H88" si="193">SUMPRODUCT(($D$7:$D$54=$B87)*($C$7:$C$54=$D88)*(H$7:H$54))</f>
        <v>0</v>
      </c>
      <c r="I88" s="303">
        <f t="shared" ref="I88" si="194">SUMPRODUCT(($D$7:$D$54=$B87)*($C$7:$C$54=$D88)*(I$7:I$54))</f>
        <v>0</v>
      </c>
      <c r="J88" s="303">
        <f t="shared" ref="J88" si="195">SUMPRODUCT(($D$7:$D$54=$B87)*($C$7:$C$54=$D88)*(J$7:J$54))</f>
        <v>0</v>
      </c>
      <c r="K88" s="303">
        <f t="shared" ref="K88" si="196">SUMPRODUCT(($D$7:$D$54=$B87)*($C$7:$C$54=$D88)*(K$7:K$54))</f>
        <v>0</v>
      </c>
      <c r="L88" s="303">
        <f t="shared" ref="L88" si="197">SUMPRODUCT(($D$7:$D$54=$B87)*($C$7:$C$54=$D88)*(L$7:L$54))</f>
        <v>0</v>
      </c>
      <c r="M88" s="364"/>
    </row>
    <row r="89" spans="1:19" s="267" customFormat="1" ht="15" customHeight="1">
      <c r="A89" s="677"/>
      <c r="B89" s="675"/>
      <c r="C89" s="725"/>
      <c r="D89" s="679" t="s">
        <v>1202</v>
      </c>
      <c r="E89" s="679"/>
      <c r="F89" s="679"/>
      <c r="G89" s="303">
        <f t="shared" ref="G89:L89" si="198">SUMPRODUCT(($D$7:$D$54=$B87)*($C$7:$C$54=$D89)*(G$7:G$54))</f>
        <v>0</v>
      </c>
      <c r="H89" s="303">
        <f t="shared" si="198"/>
        <v>0</v>
      </c>
      <c r="I89" s="303">
        <f t="shared" si="198"/>
        <v>0</v>
      </c>
      <c r="J89" s="303">
        <f t="shared" si="198"/>
        <v>0</v>
      </c>
      <c r="K89" s="303">
        <f t="shared" si="198"/>
        <v>0</v>
      </c>
      <c r="L89" s="303">
        <f t="shared" si="198"/>
        <v>0</v>
      </c>
      <c r="M89" s="364"/>
      <c r="N89" s="309"/>
      <c r="O89" s="309"/>
      <c r="P89" s="309"/>
      <c r="Q89" s="309"/>
      <c r="R89" s="309"/>
      <c r="S89" s="309"/>
    </row>
    <row r="90" spans="1:19" s="267" customFormat="1" ht="15" customHeight="1">
      <c r="A90" s="677"/>
      <c r="B90" s="673" t="s">
        <v>709</v>
      </c>
      <c r="C90" s="723"/>
      <c r="D90" s="720" t="s">
        <v>1245</v>
      </c>
      <c r="E90" s="721"/>
      <c r="F90" s="722"/>
      <c r="G90" s="303">
        <f t="shared" ref="G90" si="199">SUM(G91:G92)</f>
        <v>389</v>
      </c>
      <c r="H90" s="303">
        <f t="shared" ref="H90" si="200">SUM(H91:H92)</f>
        <v>389</v>
      </c>
      <c r="I90" s="303">
        <f t="shared" ref="I90" si="201">SUM(I91:I92)</f>
        <v>389</v>
      </c>
      <c r="J90" s="303">
        <f t="shared" ref="J90" si="202">SUM(J91:J92)</f>
        <v>1144</v>
      </c>
      <c r="K90" s="303">
        <f t="shared" ref="K90" si="203">SUM(K91:K92)</f>
        <v>1291</v>
      </c>
      <c r="L90" s="303">
        <f t="shared" ref="L90" si="204">SUM(L91:L92)</f>
        <v>1516</v>
      </c>
      <c r="M90" s="364"/>
      <c r="N90" s="309"/>
      <c r="O90" s="309"/>
      <c r="P90" s="309"/>
      <c r="Q90" s="309"/>
      <c r="R90" s="309"/>
      <c r="S90" s="309"/>
    </row>
    <row r="91" spans="1:19" ht="15" customHeight="1">
      <c r="A91" s="677"/>
      <c r="B91" s="674"/>
      <c r="C91" s="724"/>
      <c r="D91" s="679" t="s">
        <v>1201</v>
      </c>
      <c r="E91" s="679"/>
      <c r="F91" s="679"/>
      <c r="G91" s="303">
        <f t="shared" ref="G91" si="205">SUMPRODUCT(($D$7:$D$54=$B90)*($C$7:$C$54=$D91)*(G$7:G$54))</f>
        <v>389</v>
      </c>
      <c r="H91" s="303">
        <f t="shared" ref="H91" si="206">SUMPRODUCT(($D$7:$D$54=$B90)*($C$7:$C$54=$D91)*(H$7:H$54))</f>
        <v>389</v>
      </c>
      <c r="I91" s="303">
        <f t="shared" ref="I91" si="207">SUMPRODUCT(($D$7:$D$54=$B90)*($C$7:$C$54=$D91)*(I$7:I$54))</f>
        <v>389</v>
      </c>
      <c r="J91" s="303">
        <f t="shared" ref="J91" si="208">SUMPRODUCT(($D$7:$D$54=$B90)*($C$7:$C$54=$D91)*(J$7:J$54))</f>
        <v>1144</v>
      </c>
      <c r="K91" s="303">
        <f t="shared" ref="K91" si="209">SUMPRODUCT(($D$7:$D$54=$B90)*($C$7:$C$54=$D91)*(K$7:K$54))</f>
        <v>568</v>
      </c>
      <c r="L91" s="303">
        <f t="shared" ref="L91" si="210">SUMPRODUCT(($D$7:$D$54=$B90)*($C$7:$C$54=$D91)*(L$7:L$54))</f>
        <v>437</v>
      </c>
      <c r="M91" s="364"/>
    </row>
    <row r="92" spans="1:19" s="267" customFormat="1" ht="15" customHeight="1">
      <c r="A92" s="677"/>
      <c r="B92" s="675"/>
      <c r="C92" s="725"/>
      <c r="D92" s="679" t="s">
        <v>1202</v>
      </c>
      <c r="E92" s="679"/>
      <c r="F92" s="679"/>
      <c r="G92" s="303">
        <f t="shared" ref="G92:L92" si="211">SUMPRODUCT(($D$7:$D$54=$B90)*($C$7:$C$54=$D92)*(G$7:G$54))</f>
        <v>0</v>
      </c>
      <c r="H92" s="303">
        <f t="shared" si="211"/>
        <v>0</v>
      </c>
      <c r="I92" s="303">
        <f t="shared" si="211"/>
        <v>0</v>
      </c>
      <c r="J92" s="303">
        <f t="shared" si="211"/>
        <v>0</v>
      </c>
      <c r="K92" s="303">
        <f t="shared" si="211"/>
        <v>723</v>
      </c>
      <c r="L92" s="303">
        <f t="shared" si="211"/>
        <v>1079</v>
      </c>
      <c r="M92" s="364"/>
      <c r="N92" s="309"/>
      <c r="O92" s="309"/>
      <c r="P92" s="309"/>
      <c r="Q92" s="309"/>
      <c r="R92" s="309"/>
      <c r="S92" s="309"/>
    </row>
    <row r="93" spans="1:19" s="267" customFormat="1" ht="15" customHeight="1">
      <c r="A93" s="677"/>
      <c r="B93" s="673" t="s">
        <v>710</v>
      </c>
      <c r="C93" s="723"/>
      <c r="D93" s="720" t="s">
        <v>1245</v>
      </c>
      <c r="E93" s="721"/>
      <c r="F93" s="722"/>
      <c r="G93" s="303">
        <f t="shared" ref="G93" si="212">SUM(G94:G95)</f>
        <v>86</v>
      </c>
      <c r="H93" s="303">
        <f t="shared" ref="H93" si="213">SUM(H94:H95)</f>
        <v>86</v>
      </c>
      <c r="I93" s="303">
        <f t="shared" ref="I93" si="214">SUM(I94:I95)</f>
        <v>86</v>
      </c>
      <c r="J93" s="303">
        <f t="shared" ref="J93" si="215">SUM(J94:J95)</f>
        <v>86</v>
      </c>
      <c r="K93" s="303">
        <f t="shared" ref="K93" si="216">SUM(K94:K95)</f>
        <v>86</v>
      </c>
      <c r="L93" s="303">
        <f t="shared" ref="L93" si="217">SUM(L94:L95)</f>
        <v>86</v>
      </c>
      <c r="M93" s="364"/>
      <c r="N93" s="309"/>
      <c r="O93" s="309"/>
      <c r="P93" s="309"/>
      <c r="Q93" s="309"/>
      <c r="R93" s="309"/>
      <c r="S93" s="309"/>
    </row>
    <row r="94" spans="1:19" ht="15" customHeight="1">
      <c r="A94" s="677"/>
      <c r="B94" s="674"/>
      <c r="C94" s="724"/>
      <c r="D94" s="679" t="s">
        <v>1201</v>
      </c>
      <c r="E94" s="679"/>
      <c r="F94" s="679"/>
      <c r="G94" s="303">
        <f t="shared" ref="G94" si="218">SUMPRODUCT(($D$7:$D$54=$B93)*($C$7:$C$54=$D94)*(G$7:G$54))</f>
        <v>86</v>
      </c>
      <c r="H94" s="303">
        <f t="shared" ref="H94" si="219">SUMPRODUCT(($D$7:$D$54=$B93)*($C$7:$C$54=$D94)*(H$7:H$54))</f>
        <v>86</v>
      </c>
      <c r="I94" s="303">
        <f t="shared" ref="I94" si="220">SUMPRODUCT(($D$7:$D$54=$B93)*($C$7:$C$54=$D94)*(I$7:I$54))</f>
        <v>86</v>
      </c>
      <c r="J94" s="303">
        <f t="shared" ref="J94" si="221">SUMPRODUCT(($D$7:$D$54=$B93)*($C$7:$C$54=$D94)*(J$7:J$54))</f>
        <v>86</v>
      </c>
      <c r="K94" s="303">
        <f t="shared" ref="K94" si="222">SUMPRODUCT(($D$7:$D$54=$B93)*($C$7:$C$54=$D94)*(K$7:K$54))</f>
        <v>86</v>
      </c>
      <c r="L94" s="303">
        <f t="shared" ref="L94" si="223">SUMPRODUCT(($D$7:$D$54=$B93)*($C$7:$C$54=$D94)*(L$7:L$54))</f>
        <v>86</v>
      </c>
      <c r="M94" s="364"/>
    </row>
    <row r="95" spans="1:19" s="267" customFormat="1" ht="15" customHeight="1">
      <c r="A95" s="677"/>
      <c r="B95" s="675"/>
      <c r="C95" s="725"/>
      <c r="D95" s="679" t="s">
        <v>1202</v>
      </c>
      <c r="E95" s="679"/>
      <c r="F95" s="679"/>
      <c r="G95" s="303">
        <f t="shared" ref="G95:L95" si="224">SUMPRODUCT(($D$7:$D$54=$B93)*($C$7:$C$54=$D95)*(G$7:G$54))</f>
        <v>0</v>
      </c>
      <c r="H95" s="303">
        <f t="shared" si="224"/>
        <v>0</v>
      </c>
      <c r="I95" s="303">
        <f t="shared" si="224"/>
        <v>0</v>
      </c>
      <c r="J95" s="303">
        <f t="shared" si="224"/>
        <v>0</v>
      </c>
      <c r="K95" s="303">
        <f t="shared" si="224"/>
        <v>0</v>
      </c>
      <c r="L95" s="303">
        <f t="shared" si="224"/>
        <v>0</v>
      </c>
      <c r="M95" s="364"/>
      <c r="N95" s="309"/>
      <c r="O95" s="309"/>
      <c r="P95" s="309"/>
      <c r="Q95" s="309"/>
      <c r="R95" s="309"/>
      <c r="S95" s="309"/>
    </row>
    <row r="96" spans="1:19" s="267" customFormat="1" ht="15" customHeight="1">
      <c r="A96" s="677"/>
      <c r="B96" s="673" t="s">
        <v>711</v>
      </c>
      <c r="C96" s="723"/>
      <c r="D96" s="720" t="s">
        <v>1245</v>
      </c>
      <c r="E96" s="721"/>
      <c r="F96" s="722"/>
      <c r="G96" s="303">
        <f t="shared" ref="G96" si="225">SUM(G97:G98)</f>
        <v>0</v>
      </c>
      <c r="H96" s="303">
        <f t="shared" ref="H96" si="226">SUM(H97:H98)</f>
        <v>0</v>
      </c>
      <c r="I96" s="303">
        <f t="shared" ref="I96" si="227">SUM(I97:I98)</f>
        <v>0</v>
      </c>
      <c r="J96" s="303">
        <f t="shared" ref="J96" si="228">SUM(J97:J98)</f>
        <v>0</v>
      </c>
      <c r="K96" s="303">
        <f t="shared" ref="K96" si="229">SUM(K97:K98)</f>
        <v>0</v>
      </c>
      <c r="L96" s="303">
        <f t="shared" ref="L96" si="230">SUM(L97:L98)</f>
        <v>0</v>
      </c>
      <c r="M96" s="364"/>
      <c r="N96" s="309"/>
      <c r="O96" s="309"/>
      <c r="P96" s="309"/>
      <c r="Q96" s="309"/>
      <c r="R96" s="309"/>
      <c r="S96" s="309"/>
    </row>
    <row r="97" spans="1:19" ht="15" customHeight="1">
      <c r="A97" s="677"/>
      <c r="B97" s="674"/>
      <c r="C97" s="724"/>
      <c r="D97" s="679" t="s">
        <v>1201</v>
      </c>
      <c r="E97" s="679"/>
      <c r="F97" s="679"/>
      <c r="G97" s="303">
        <f t="shared" ref="G97" si="231">SUMPRODUCT(($D$7:$D$54=$B96)*($C$7:$C$54=$D97)*(G$7:G$54))</f>
        <v>0</v>
      </c>
      <c r="H97" s="303">
        <f t="shared" ref="H97" si="232">SUMPRODUCT(($D$7:$D$54=$B96)*($C$7:$C$54=$D97)*(H$7:H$54))</f>
        <v>0</v>
      </c>
      <c r="I97" s="303">
        <f t="shared" ref="I97" si="233">SUMPRODUCT(($D$7:$D$54=$B96)*($C$7:$C$54=$D97)*(I$7:I$54))</f>
        <v>0</v>
      </c>
      <c r="J97" s="303">
        <f t="shared" ref="J97" si="234">SUMPRODUCT(($D$7:$D$54=$B96)*($C$7:$C$54=$D97)*(J$7:J$54))</f>
        <v>0</v>
      </c>
      <c r="K97" s="303">
        <f t="shared" ref="K97" si="235">SUMPRODUCT(($D$7:$D$54=$B96)*($C$7:$C$54=$D97)*(K$7:K$54))</f>
        <v>0</v>
      </c>
      <c r="L97" s="303">
        <f t="shared" ref="L97" si="236">SUMPRODUCT(($D$7:$D$54=$B96)*($C$7:$C$54=$D97)*(L$7:L$54))</f>
        <v>0</v>
      </c>
      <c r="M97" s="364"/>
    </row>
    <row r="98" spans="1:19" s="267" customFormat="1" ht="15" customHeight="1">
      <c r="A98" s="677"/>
      <c r="B98" s="675"/>
      <c r="C98" s="725"/>
      <c r="D98" s="679" t="s">
        <v>1202</v>
      </c>
      <c r="E98" s="679"/>
      <c r="F98" s="679"/>
      <c r="G98" s="303">
        <f t="shared" ref="G98:L98" si="237">SUMPRODUCT(($D$7:$D$54=$B96)*($C$7:$C$54=$D98)*(G$7:G$54))</f>
        <v>0</v>
      </c>
      <c r="H98" s="303">
        <f t="shared" si="237"/>
        <v>0</v>
      </c>
      <c r="I98" s="303">
        <f t="shared" si="237"/>
        <v>0</v>
      </c>
      <c r="J98" s="303">
        <f t="shared" si="237"/>
        <v>0</v>
      </c>
      <c r="K98" s="303">
        <f t="shared" si="237"/>
        <v>0</v>
      </c>
      <c r="L98" s="303">
        <f t="shared" si="237"/>
        <v>0</v>
      </c>
      <c r="M98" s="364"/>
      <c r="N98" s="309"/>
      <c r="O98" s="309"/>
      <c r="P98" s="309"/>
      <c r="Q98" s="309"/>
      <c r="R98" s="309"/>
      <c r="S98" s="309"/>
    </row>
    <row r="99" spans="1:19" s="267" customFormat="1" ht="15" customHeight="1">
      <c r="A99" s="677"/>
      <c r="B99" s="673" t="s">
        <v>712</v>
      </c>
      <c r="C99" s="723"/>
      <c r="D99" s="720" t="s">
        <v>1245</v>
      </c>
      <c r="E99" s="721"/>
      <c r="F99" s="722"/>
      <c r="G99" s="303">
        <f t="shared" ref="G99" si="238">SUM(G100:G101)</f>
        <v>0</v>
      </c>
      <c r="H99" s="303">
        <f t="shared" ref="H99" si="239">SUM(H100:H101)</f>
        <v>0</v>
      </c>
      <c r="I99" s="303">
        <f t="shared" ref="I99" si="240">SUM(I100:I101)</f>
        <v>0</v>
      </c>
      <c r="J99" s="303">
        <f t="shared" ref="J99" si="241">SUM(J100:J101)</f>
        <v>0</v>
      </c>
      <c r="K99" s="303">
        <f t="shared" ref="K99" si="242">SUM(K100:K101)</f>
        <v>0</v>
      </c>
      <c r="L99" s="303">
        <f t="shared" ref="L99" si="243">SUM(L100:L101)</f>
        <v>0</v>
      </c>
      <c r="M99" s="364"/>
      <c r="N99" s="309"/>
      <c r="O99" s="309"/>
      <c r="P99" s="309"/>
      <c r="Q99" s="309"/>
      <c r="R99" s="309"/>
      <c r="S99" s="309"/>
    </row>
    <row r="100" spans="1:19" ht="15" customHeight="1">
      <c r="A100" s="677"/>
      <c r="B100" s="674"/>
      <c r="C100" s="724"/>
      <c r="D100" s="679" t="s">
        <v>1201</v>
      </c>
      <c r="E100" s="679"/>
      <c r="F100" s="679"/>
      <c r="G100" s="303">
        <f t="shared" ref="G100" si="244">SUMPRODUCT(($D$7:$D$54=$B99)*($C$7:$C$54=$D100)*(G$7:G$54))</f>
        <v>0</v>
      </c>
      <c r="H100" s="303">
        <f t="shared" ref="H100" si="245">SUMPRODUCT(($D$7:$D$54=$B99)*($C$7:$C$54=$D100)*(H$7:H$54))</f>
        <v>0</v>
      </c>
      <c r="I100" s="303">
        <f t="shared" ref="I100" si="246">SUMPRODUCT(($D$7:$D$54=$B99)*($C$7:$C$54=$D100)*(I$7:I$54))</f>
        <v>0</v>
      </c>
      <c r="J100" s="303">
        <f t="shared" ref="J100" si="247">SUMPRODUCT(($D$7:$D$54=$B99)*($C$7:$C$54=$D100)*(J$7:J$54))</f>
        <v>0</v>
      </c>
      <c r="K100" s="303">
        <f t="shared" ref="K100" si="248">SUMPRODUCT(($D$7:$D$54=$B99)*($C$7:$C$54=$D100)*(K$7:K$54))</f>
        <v>0</v>
      </c>
      <c r="L100" s="303">
        <f t="shared" ref="L100" si="249">SUMPRODUCT(($D$7:$D$54=$B99)*($C$7:$C$54=$D100)*(L$7:L$54))</f>
        <v>0</v>
      </c>
      <c r="M100" s="364"/>
    </row>
    <row r="101" spans="1:19" s="267" customFormat="1" ht="15" customHeight="1">
      <c r="A101" s="677"/>
      <c r="B101" s="675"/>
      <c r="C101" s="725"/>
      <c r="D101" s="679" t="s">
        <v>1202</v>
      </c>
      <c r="E101" s="679"/>
      <c r="F101" s="679"/>
      <c r="G101" s="303">
        <f t="shared" ref="G101:L101" si="250">SUMPRODUCT(($D$7:$D$54=$B99)*($C$7:$C$54=$D101)*(G$7:G$54))</f>
        <v>0</v>
      </c>
      <c r="H101" s="303">
        <f t="shared" si="250"/>
        <v>0</v>
      </c>
      <c r="I101" s="303">
        <f t="shared" si="250"/>
        <v>0</v>
      </c>
      <c r="J101" s="303">
        <f t="shared" si="250"/>
        <v>0</v>
      </c>
      <c r="K101" s="303">
        <f t="shared" si="250"/>
        <v>0</v>
      </c>
      <c r="L101" s="303">
        <f t="shared" si="250"/>
        <v>0</v>
      </c>
      <c r="M101" s="364"/>
      <c r="N101" s="309"/>
      <c r="O101" s="309"/>
      <c r="P101" s="309"/>
      <c r="Q101" s="309"/>
      <c r="R101" s="309"/>
      <c r="S101" s="309"/>
    </row>
    <row r="102" spans="1:19" s="267" customFormat="1" ht="15" customHeight="1">
      <c r="A102" s="677"/>
      <c r="B102" s="673" t="s">
        <v>713</v>
      </c>
      <c r="C102" s="723"/>
      <c r="D102" s="720" t="s">
        <v>1245</v>
      </c>
      <c r="E102" s="721"/>
      <c r="F102" s="722"/>
      <c r="G102" s="303">
        <f t="shared" ref="G102" si="251">SUM(G103:G104)</f>
        <v>0</v>
      </c>
      <c r="H102" s="303">
        <f t="shared" ref="H102" si="252">SUM(H103:H104)</f>
        <v>0</v>
      </c>
      <c r="I102" s="303">
        <f t="shared" ref="I102" si="253">SUM(I103:I104)</f>
        <v>0</v>
      </c>
      <c r="J102" s="303">
        <f t="shared" ref="J102" si="254">SUM(J103:J104)</f>
        <v>0</v>
      </c>
      <c r="K102" s="303">
        <f t="shared" ref="K102" si="255">SUM(K103:K104)</f>
        <v>0</v>
      </c>
      <c r="L102" s="303">
        <f t="shared" ref="L102" si="256">SUM(L103:L104)</f>
        <v>0</v>
      </c>
      <c r="M102" s="364"/>
      <c r="N102" s="309"/>
      <c r="O102" s="309"/>
      <c r="P102" s="309"/>
      <c r="Q102" s="309"/>
      <c r="R102" s="309"/>
      <c r="S102" s="309"/>
    </row>
    <row r="103" spans="1:19" ht="15" customHeight="1">
      <c r="A103" s="677"/>
      <c r="B103" s="674"/>
      <c r="C103" s="724"/>
      <c r="D103" s="679" t="s">
        <v>1201</v>
      </c>
      <c r="E103" s="679"/>
      <c r="F103" s="679"/>
      <c r="G103" s="303">
        <f t="shared" ref="G103" si="257">SUMPRODUCT(($D$7:$D$54=$B102)*($C$7:$C$54=$D103)*(G$7:G$54))</f>
        <v>0</v>
      </c>
      <c r="H103" s="303">
        <f t="shared" ref="H103" si="258">SUMPRODUCT(($D$7:$D$54=$B102)*($C$7:$C$54=$D103)*(H$7:H$54))</f>
        <v>0</v>
      </c>
      <c r="I103" s="303">
        <f t="shared" ref="I103" si="259">SUMPRODUCT(($D$7:$D$54=$B102)*($C$7:$C$54=$D103)*(I$7:I$54))</f>
        <v>0</v>
      </c>
      <c r="J103" s="303">
        <f t="shared" ref="J103" si="260">SUMPRODUCT(($D$7:$D$54=$B102)*($C$7:$C$54=$D103)*(J$7:J$54))</f>
        <v>0</v>
      </c>
      <c r="K103" s="303">
        <f t="shared" ref="K103" si="261">SUMPRODUCT(($D$7:$D$54=$B102)*($C$7:$C$54=$D103)*(K$7:K$54))</f>
        <v>0</v>
      </c>
      <c r="L103" s="303">
        <f t="shared" ref="L103" si="262">SUMPRODUCT(($D$7:$D$54=$B102)*($C$7:$C$54=$D103)*(L$7:L$54))</f>
        <v>0</v>
      </c>
      <c r="M103" s="364"/>
    </row>
    <row r="104" spans="1:19" s="267" customFormat="1" ht="15" customHeight="1">
      <c r="A104" s="678"/>
      <c r="B104" s="675"/>
      <c r="C104" s="725"/>
      <c r="D104" s="679" t="s">
        <v>1202</v>
      </c>
      <c r="E104" s="679"/>
      <c r="F104" s="679"/>
      <c r="G104" s="303">
        <f t="shared" ref="G104:L104" si="263">SUMPRODUCT(($D$7:$D$54=$B102)*($C$7:$C$54=$D104)*(G$7:G$54))</f>
        <v>0</v>
      </c>
      <c r="H104" s="303">
        <f t="shared" si="263"/>
        <v>0</v>
      </c>
      <c r="I104" s="303">
        <f t="shared" si="263"/>
        <v>0</v>
      </c>
      <c r="J104" s="303">
        <f t="shared" si="263"/>
        <v>0</v>
      </c>
      <c r="K104" s="303">
        <f t="shared" si="263"/>
        <v>0</v>
      </c>
      <c r="L104" s="303">
        <f t="shared" si="263"/>
        <v>0</v>
      </c>
      <c r="M104" s="364"/>
      <c r="N104" s="309"/>
      <c r="O104" s="309"/>
      <c r="P104" s="309"/>
      <c r="Q104" s="309"/>
      <c r="R104" s="309"/>
      <c r="S104" s="309"/>
    </row>
    <row r="105" spans="1:19" ht="14.1" customHeight="1">
      <c r="B105" s="732"/>
      <c r="C105" s="732"/>
      <c r="D105" s="732"/>
      <c r="E105" s="732"/>
      <c r="F105" s="732"/>
    </row>
    <row r="106" spans="1:19" ht="14.1" customHeight="1">
      <c r="B106" s="732"/>
      <c r="C106" s="732"/>
      <c r="D106" s="732"/>
      <c r="E106" s="732"/>
      <c r="F106" s="732"/>
    </row>
    <row r="107" spans="1:19" ht="14.1" customHeight="1">
      <c r="B107" s="732"/>
      <c r="C107" s="732"/>
      <c r="D107" s="732"/>
      <c r="E107" s="732"/>
      <c r="F107" s="732"/>
    </row>
    <row r="108" spans="1:19" ht="14.1" customHeight="1">
      <c r="B108" s="732"/>
      <c r="C108" s="732"/>
      <c r="D108" s="732"/>
      <c r="E108" s="732"/>
      <c r="F108" s="732"/>
    </row>
    <row r="109" spans="1:19" ht="14.1" customHeight="1">
      <c r="B109" s="732"/>
      <c r="C109" s="732"/>
      <c r="D109" s="732"/>
      <c r="E109" s="732"/>
      <c r="F109" s="732"/>
    </row>
    <row r="110" spans="1:19" ht="14.1" customHeight="1">
      <c r="B110" s="732"/>
      <c r="C110" s="732"/>
      <c r="D110" s="732"/>
      <c r="E110" s="732"/>
      <c r="F110" s="732"/>
    </row>
    <row r="111" spans="1:19" ht="14.1" customHeight="1">
      <c r="B111" s="732"/>
      <c r="C111" s="732"/>
      <c r="D111" s="732"/>
      <c r="E111" s="732"/>
      <c r="F111" s="732"/>
    </row>
    <row r="112" spans="1:19" ht="14.1" customHeight="1">
      <c r="B112" s="732"/>
      <c r="C112" s="732"/>
      <c r="D112" s="732"/>
      <c r="E112" s="732"/>
      <c r="F112" s="732"/>
    </row>
    <row r="113" spans="2:6" ht="14.1" customHeight="1">
      <c r="B113" s="732"/>
      <c r="C113" s="732"/>
      <c r="D113" s="732"/>
      <c r="E113" s="732"/>
      <c r="F113" s="732"/>
    </row>
    <row r="114" spans="2:6" ht="14.1" customHeight="1">
      <c r="B114" s="732"/>
      <c r="C114" s="732"/>
      <c r="D114" s="732"/>
      <c r="E114" s="732"/>
      <c r="F114" s="732"/>
    </row>
    <row r="115" spans="2:6" ht="14.1" customHeight="1">
      <c r="B115" s="732"/>
      <c r="C115" s="732"/>
      <c r="D115" s="732"/>
      <c r="E115" s="732"/>
      <c r="F115" s="732"/>
    </row>
    <row r="116" spans="2:6" ht="14.1" customHeight="1">
      <c r="B116" s="732"/>
      <c r="C116" s="732"/>
      <c r="D116" s="732"/>
      <c r="E116" s="732"/>
      <c r="F116" s="732"/>
    </row>
    <row r="117" spans="2:6" ht="14.1" customHeight="1">
      <c r="B117" s="732"/>
      <c r="C117" s="732"/>
      <c r="D117" s="732"/>
      <c r="E117" s="732"/>
      <c r="F117" s="732"/>
    </row>
    <row r="118" spans="2:6" ht="14.1" customHeight="1">
      <c r="B118" s="732"/>
      <c r="C118" s="732"/>
      <c r="D118" s="732"/>
      <c r="E118" s="732"/>
      <c r="F118" s="732"/>
    </row>
    <row r="119" spans="2:6" ht="14.1" customHeight="1">
      <c r="B119" s="732"/>
      <c r="C119" s="732"/>
      <c r="D119" s="732"/>
      <c r="E119" s="732"/>
      <c r="F119" s="732"/>
    </row>
    <row r="120" spans="2:6" ht="14.1" customHeight="1">
      <c r="B120" s="732"/>
      <c r="C120" s="732"/>
      <c r="D120" s="732"/>
      <c r="E120" s="732"/>
      <c r="F120" s="732"/>
    </row>
    <row r="121" spans="2:6" ht="14.1" customHeight="1">
      <c r="B121" s="732"/>
      <c r="C121" s="732"/>
      <c r="D121" s="732"/>
      <c r="E121" s="732"/>
      <c r="F121" s="732"/>
    </row>
    <row r="122" spans="2:6" ht="14.1" customHeight="1">
      <c r="B122" s="732"/>
      <c r="C122" s="732"/>
      <c r="D122" s="732"/>
      <c r="E122" s="732"/>
      <c r="F122" s="732"/>
    </row>
    <row r="123" spans="2:6" ht="14.1" customHeight="1">
      <c r="B123" s="732"/>
      <c r="C123" s="732"/>
      <c r="D123" s="732"/>
      <c r="E123" s="732"/>
      <c r="F123" s="732"/>
    </row>
    <row r="124" spans="2:6" ht="14.1" customHeight="1">
      <c r="B124" s="732"/>
      <c r="C124" s="732"/>
      <c r="D124" s="732"/>
      <c r="E124" s="732"/>
      <c r="F124" s="732"/>
    </row>
    <row r="125" spans="2:6" ht="14.1" customHeight="1">
      <c r="B125" s="732"/>
      <c r="C125" s="732"/>
      <c r="D125" s="732"/>
      <c r="E125" s="732"/>
      <c r="F125" s="732"/>
    </row>
    <row r="126" spans="2:6" ht="14.1" customHeight="1">
      <c r="B126" s="732"/>
      <c r="C126" s="732"/>
      <c r="D126" s="732"/>
      <c r="E126" s="732"/>
      <c r="F126" s="732"/>
    </row>
    <row r="127" spans="2:6" ht="14.1" customHeight="1">
      <c r="B127" s="732"/>
      <c r="C127" s="732"/>
      <c r="D127" s="732"/>
      <c r="E127" s="732"/>
      <c r="F127" s="732"/>
    </row>
    <row r="128" spans="2:6" ht="14.1" customHeight="1">
      <c r="B128" s="732"/>
      <c r="C128" s="732"/>
      <c r="D128" s="732"/>
      <c r="E128" s="732"/>
      <c r="F128" s="732"/>
    </row>
    <row r="129" spans="2:6" ht="14.1" customHeight="1">
      <c r="B129" s="732"/>
      <c r="C129" s="732"/>
      <c r="D129" s="732"/>
      <c r="E129" s="732"/>
      <c r="F129" s="732"/>
    </row>
    <row r="130" spans="2:6" ht="14.1" customHeight="1">
      <c r="B130" s="732"/>
      <c r="C130" s="732"/>
      <c r="D130" s="732"/>
      <c r="E130" s="732"/>
      <c r="F130" s="732"/>
    </row>
    <row r="131" spans="2:6" ht="14.1" customHeight="1">
      <c r="B131" s="732"/>
      <c r="C131" s="732"/>
      <c r="D131" s="732"/>
      <c r="E131" s="732"/>
      <c r="F131" s="732"/>
    </row>
    <row r="132" spans="2:6" ht="14.1" customHeight="1">
      <c r="B132" s="732"/>
      <c r="C132" s="732"/>
      <c r="D132" s="732"/>
      <c r="E132" s="732"/>
      <c r="F132" s="732"/>
    </row>
    <row r="133" spans="2:6" ht="14.1" customHeight="1">
      <c r="B133" s="732"/>
      <c r="C133" s="732"/>
      <c r="D133" s="732"/>
      <c r="E133" s="732"/>
      <c r="F133" s="732"/>
    </row>
    <row r="134" spans="2:6" ht="14.1" customHeight="1">
      <c r="B134" s="732"/>
      <c r="C134" s="732"/>
      <c r="D134" s="732"/>
      <c r="E134" s="732"/>
      <c r="F134" s="732"/>
    </row>
    <row r="135" spans="2:6" ht="14.1" customHeight="1">
      <c r="B135" s="732"/>
      <c r="C135" s="732"/>
      <c r="D135" s="732"/>
      <c r="E135" s="732"/>
      <c r="F135" s="732"/>
    </row>
  </sheetData>
  <mergeCells count="117">
    <mergeCell ref="A3:C3"/>
    <mergeCell ref="B115:F115"/>
    <mergeCell ref="B116:F116"/>
    <mergeCell ref="B107:F107"/>
    <mergeCell ref="B108:F108"/>
    <mergeCell ref="B109:F109"/>
    <mergeCell ref="B110:F110"/>
    <mergeCell ref="B111:F111"/>
    <mergeCell ref="B105:F105"/>
    <mergeCell ref="B106:F106"/>
    <mergeCell ref="B37:B39"/>
    <mergeCell ref="B40:B42"/>
    <mergeCell ref="B112:F112"/>
    <mergeCell ref="B113:F113"/>
    <mergeCell ref="B114:F114"/>
    <mergeCell ref="A37:A54"/>
    <mergeCell ref="D94:F94"/>
    <mergeCell ref="D95:F95"/>
    <mergeCell ref="D97:F97"/>
    <mergeCell ref="D98:F98"/>
    <mergeCell ref="D100:F100"/>
    <mergeCell ref="D86:F86"/>
    <mergeCell ref="D88:F88"/>
    <mergeCell ref="D103:F103"/>
    <mergeCell ref="B132:F132"/>
    <mergeCell ref="B133:F133"/>
    <mergeCell ref="B134:F134"/>
    <mergeCell ref="B135:F135"/>
    <mergeCell ref="B127:F127"/>
    <mergeCell ref="B128:F128"/>
    <mergeCell ref="B129:F129"/>
    <mergeCell ref="B130:F130"/>
    <mergeCell ref="B131:F131"/>
    <mergeCell ref="B123:F123"/>
    <mergeCell ref="B124:F124"/>
    <mergeCell ref="B125:F125"/>
    <mergeCell ref="B126:F126"/>
    <mergeCell ref="B117:F117"/>
    <mergeCell ref="B118:F118"/>
    <mergeCell ref="B119:F119"/>
    <mergeCell ref="B120:F120"/>
    <mergeCell ref="B121:F121"/>
    <mergeCell ref="B122:F122"/>
    <mergeCell ref="B43:B45"/>
    <mergeCell ref="B46:B48"/>
    <mergeCell ref="B49:B51"/>
    <mergeCell ref="B52:B54"/>
    <mergeCell ref="A57:C59"/>
    <mergeCell ref="D58:F58"/>
    <mergeCell ref="D59:F59"/>
    <mergeCell ref="D61:F61"/>
    <mergeCell ref="D57:F57"/>
    <mergeCell ref="A60:A104"/>
    <mergeCell ref="B60:C62"/>
    <mergeCell ref="B63:C65"/>
    <mergeCell ref="B66:C68"/>
    <mergeCell ref="D60:F60"/>
    <mergeCell ref="D63:F63"/>
    <mergeCell ref="D66:F66"/>
    <mergeCell ref="A56:F56"/>
    <mergeCell ref="D62:F62"/>
    <mergeCell ref="D64:F64"/>
    <mergeCell ref="D65:F65"/>
    <mergeCell ref="D67:F67"/>
    <mergeCell ref="D68:F68"/>
    <mergeCell ref="D71:F71"/>
    <mergeCell ref="D79:F79"/>
    <mergeCell ref="A4:B6"/>
    <mergeCell ref="B7:B9"/>
    <mergeCell ref="A7:A36"/>
    <mergeCell ref="B10:B12"/>
    <mergeCell ref="B13:B15"/>
    <mergeCell ref="B16:B18"/>
    <mergeCell ref="B19:B21"/>
    <mergeCell ref="B22:B24"/>
    <mergeCell ref="B25:B27"/>
    <mergeCell ref="B28:B30"/>
    <mergeCell ref="B31:B33"/>
    <mergeCell ref="B34:B36"/>
    <mergeCell ref="B69:C71"/>
    <mergeCell ref="B72:C74"/>
    <mergeCell ref="B75:C77"/>
    <mergeCell ref="D81:F81"/>
    <mergeCell ref="D84:F84"/>
    <mergeCell ref="D74:F74"/>
    <mergeCell ref="D76:F76"/>
    <mergeCell ref="D77:F77"/>
    <mergeCell ref="B96:C98"/>
    <mergeCell ref="D83:F83"/>
    <mergeCell ref="D89:F89"/>
    <mergeCell ref="D91:F91"/>
    <mergeCell ref="D92:F92"/>
    <mergeCell ref="B78:C80"/>
    <mergeCell ref="B81:C83"/>
    <mergeCell ref="B84:C86"/>
    <mergeCell ref="B87:C89"/>
    <mergeCell ref="B90:C92"/>
    <mergeCell ref="B93:C95"/>
    <mergeCell ref="D69:F69"/>
    <mergeCell ref="D72:F72"/>
    <mergeCell ref="D75:F75"/>
    <mergeCell ref="D78:F78"/>
    <mergeCell ref="D70:F70"/>
    <mergeCell ref="D80:F80"/>
    <mergeCell ref="D82:F82"/>
    <mergeCell ref="D73:F73"/>
    <mergeCell ref="D102:F102"/>
    <mergeCell ref="B99:C101"/>
    <mergeCell ref="B102:C104"/>
    <mergeCell ref="D87:F87"/>
    <mergeCell ref="D90:F90"/>
    <mergeCell ref="D93:F93"/>
    <mergeCell ref="D96:F96"/>
    <mergeCell ref="D99:F99"/>
    <mergeCell ref="D85:F85"/>
    <mergeCell ref="D101:F101"/>
    <mergeCell ref="D104:F104"/>
  </mergeCells>
  <phoneticPr fontId="3" type="noConversion"/>
  <printOptions horizontalCentered="1"/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IW48"/>
  <sheetViews>
    <sheetView view="pageBreakPreview" zoomScaleSheetLayoutView="100" workbookViewId="0">
      <selection activeCell="L24" sqref="L24"/>
    </sheetView>
  </sheetViews>
  <sheetFormatPr defaultRowHeight="11.25"/>
  <cols>
    <col min="1" max="1" width="12.44140625" style="231" customWidth="1"/>
    <col min="2" max="2" width="27" style="231" customWidth="1"/>
    <col min="3" max="8" width="8.77734375" style="231" customWidth="1"/>
    <col min="9" max="9" width="8.77734375" style="250" customWidth="1"/>
    <col min="10" max="10" width="8.77734375" style="231" customWidth="1"/>
    <col min="11" max="11" width="8.88671875" style="231"/>
    <col min="12" max="14" width="11.109375" style="231" customWidth="1"/>
    <col min="15" max="16384" width="8.88671875" style="231"/>
  </cols>
  <sheetData>
    <row r="1" spans="1:257" ht="20.100000000000001" customHeight="1">
      <c r="A1" s="204" t="s">
        <v>1086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204"/>
      <c r="Q1" s="204"/>
      <c r="R1" s="204"/>
      <c r="S1" s="204"/>
      <c r="T1" s="204"/>
      <c r="U1" s="204"/>
      <c r="V1" s="204"/>
      <c r="W1" s="204"/>
      <c r="X1" s="204"/>
      <c r="Y1" s="204"/>
      <c r="Z1" s="204"/>
      <c r="AA1" s="204"/>
      <c r="AB1" s="204"/>
      <c r="AC1" s="204"/>
      <c r="AD1" s="204"/>
      <c r="AE1" s="204"/>
      <c r="AF1" s="204"/>
      <c r="AG1" s="204"/>
      <c r="AH1" s="204"/>
      <c r="AI1" s="204"/>
      <c r="AJ1" s="204"/>
      <c r="AK1" s="204"/>
      <c r="AL1" s="204"/>
      <c r="AM1" s="204"/>
      <c r="AN1" s="204"/>
      <c r="AO1" s="204"/>
      <c r="AP1" s="204"/>
      <c r="AQ1" s="204"/>
      <c r="AR1" s="204"/>
      <c r="AS1" s="204"/>
      <c r="AT1" s="204"/>
      <c r="AU1" s="204"/>
      <c r="AV1" s="204"/>
      <c r="AW1" s="204"/>
      <c r="AX1" s="204"/>
      <c r="AY1" s="204"/>
      <c r="AZ1" s="204"/>
      <c r="BA1" s="204"/>
      <c r="BB1" s="204"/>
      <c r="BC1" s="204"/>
      <c r="BD1" s="204"/>
      <c r="BE1" s="204"/>
      <c r="BF1" s="204"/>
      <c r="BG1" s="204"/>
      <c r="BH1" s="204"/>
      <c r="BI1" s="204"/>
      <c r="BJ1" s="204"/>
      <c r="BK1" s="204"/>
      <c r="BL1" s="204"/>
      <c r="BM1" s="204"/>
      <c r="BN1" s="204"/>
      <c r="BO1" s="204"/>
      <c r="BP1" s="204"/>
      <c r="BQ1" s="204"/>
      <c r="BR1" s="204"/>
      <c r="BS1" s="204"/>
      <c r="BT1" s="204"/>
      <c r="BU1" s="204"/>
      <c r="BV1" s="204"/>
      <c r="BW1" s="204"/>
      <c r="BX1" s="204"/>
      <c r="BY1" s="204"/>
      <c r="BZ1" s="204"/>
      <c r="CA1" s="204"/>
      <c r="CB1" s="204"/>
      <c r="CC1" s="204"/>
      <c r="CD1" s="204"/>
      <c r="CE1" s="204"/>
      <c r="CF1" s="204"/>
      <c r="CG1" s="204"/>
      <c r="CH1" s="204"/>
      <c r="CI1" s="204"/>
      <c r="CJ1" s="204"/>
      <c r="CK1" s="204"/>
      <c r="CL1" s="204"/>
      <c r="CM1" s="204"/>
      <c r="CN1" s="204"/>
      <c r="CO1" s="204"/>
      <c r="CP1" s="204"/>
      <c r="CQ1" s="204"/>
      <c r="CR1" s="204"/>
      <c r="CS1" s="204"/>
      <c r="CT1" s="204"/>
      <c r="CU1" s="204"/>
      <c r="CV1" s="204"/>
      <c r="CW1" s="204"/>
      <c r="CX1" s="204"/>
      <c r="CY1" s="204"/>
      <c r="CZ1" s="204"/>
      <c r="DA1" s="204"/>
      <c r="DB1" s="204"/>
      <c r="DC1" s="204"/>
      <c r="DD1" s="204"/>
      <c r="DE1" s="204"/>
      <c r="DF1" s="204"/>
      <c r="DG1" s="204"/>
      <c r="DH1" s="204"/>
      <c r="DI1" s="204"/>
      <c r="DJ1" s="204"/>
      <c r="DK1" s="204"/>
      <c r="DL1" s="204"/>
      <c r="DM1" s="204"/>
      <c r="DN1" s="204"/>
      <c r="DO1" s="204"/>
      <c r="DP1" s="204"/>
      <c r="DQ1" s="204"/>
      <c r="DR1" s="204"/>
      <c r="DS1" s="204"/>
      <c r="DT1" s="204"/>
      <c r="DU1" s="204"/>
      <c r="DV1" s="204"/>
      <c r="DW1" s="204"/>
      <c r="DX1" s="204"/>
      <c r="DY1" s="204"/>
      <c r="DZ1" s="204"/>
      <c r="EA1" s="204"/>
      <c r="EB1" s="204"/>
      <c r="EC1" s="204"/>
      <c r="ED1" s="204"/>
      <c r="EE1" s="204"/>
      <c r="EF1" s="204"/>
      <c r="EG1" s="204"/>
      <c r="EH1" s="204"/>
      <c r="EI1" s="204"/>
      <c r="EJ1" s="204"/>
      <c r="EK1" s="204"/>
      <c r="EL1" s="204"/>
      <c r="EM1" s="204"/>
      <c r="EN1" s="204"/>
      <c r="EO1" s="204"/>
      <c r="EP1" s="204"/>
      <c r="EQ1" s="204"/>
      <c r="ER1" s="204"/>
      <c r="ES1" s="204"/>
      <c r="ET1" s="204"/>
      <c r="EU1" s="204"/>
      <c r="EV1" s="204"/>
      <c r="EW1" s="204"/>
      <c r="EX1" s="204"/>
      <c r="EY1" s="204"/>
      <c r="EZ1" s="204"/>
      <c r="FA1" s="204"/>
      <c r="FB1" s="204"/>
      <c r="FC1" s="204"/>
      <c r="FD1" s="204"/>
      <c r="FE1" s="204"/>
      <c r="FF1" s="204"/>
      <c r="FG1" s="204"/>
      <c r="FH1" s="204"/>
      <c r="FI1" s="204"/>
      <c r="FJ1" s="204"/>
      <c r="FK1" s="204"/>
      <c r="FL1" s="204"/>
      <c r="FM1" s="204"/>
      <c r="FN1" s="204"/>
      <c r="FO1" s="204"/>
      <c r="FP1" s="204"/>
      <c r="FQ1" s="204"/>
      <c r="FR1" s="204"/>
      <c r="FS1" s="204"/>
      <c r="FT1" s="204"/>
      <c r="FU1" s="204"/>
      <c r="FV1" s="204"/>
      <c r="FW1" s="204"/>
      <c r="FX1" s="204"/>
      <c r="FY1" s="204"/>
      <c r="FZ1" s="204"/>
      <c r="GA1" s="204"/>
      <c r="GB1" s="204"/>
      <c r="GC1" s="204"/>
      <c r="GD1" s="204"/>
      <c r="GE1" s="204"/>
      <c r="GF1" s="204"/>
      <c r="GG1" s="204"/>
      <c r="GH1" s="204"/>
      <c r="GI1" s="204"/>
      <c r="GJ1" s="204"/>
      <c r="GK1" s="204"/>
      <c r="GL1" s="204"/>
      <c r="GM1" s="204"/>
      <c r="GN1" s="204"/>
      <c r="GO1" s="204"/>
      <c r="GP1" s="204"/>
      <c r="GQ1" s="204"/>
      <c r="GR1" s="204"/>
      <c r="GS1" s="204"/>
      <c r="GT1" s="204"/>
      <c r="GU1" s="204"/>
      <c r="GV1" s="204"/>
      <c r="GW1" s="204"/>
      <c r="GX1" s="204"/>
      <c r="GY1" s="204"/>
      <c r="GZ1" s="204"/>
      <c r="HA1" s="204"/>
      <c r="HB1" s="204"/>
      <c r="HC1" s="204"/>
      <c r="HD1" s="204"/>
      <c r="HE1" s="204"/>
      <c r="HF1" s="204"/>
      <c r="HG1" s="204"/>
      <c r="HH1" s="204"/>
      <c r="HI1" s="204"/>
      <c r="HJ1" s="204"/>
      <c r="HK1" s="204"/>
      <c r="HL1" s="204"/>
      <c r="HM1" s="204"/>
      <c r="HN1" s="204"/>
      <c r="HO1" s="204"/>
      <c r="HP1" s="204"/>
      <c r="HQ1" s="204"/>
      <c r="HR1" s="204"/>
      <c r="HS1" s="204"/>
      <c r="HT1" s="204"/>
      <c r="HU1" s="204"/>
      <c r="HV1" s="204"/>
      <c r="HW1" s="204"/>
      <c r="HX1" s="204"/>
      <c r="HY1" s="204"/>
      <c r="HZ1" s="204"/>
      <c r="IA1" s="204"/>
      <c r="IB1" s="204"/>
      <c r="IC1" s="204"/>
      <c r="ID1" s="204"/>
      <c r="IE1" s="204"/>
      <c r="IF1" s="204"/>
      <c r="IG1" s="204"/>
      <c r="IH1" s="204"/>
      <c r="II1" s="204"/>
      <c r="IJ1" s="204"/>
      <c r="IK1" s="204"/>
      <c r="IL1" s="204"/>
      <c r="IM1" s="204"/>
      <c r="IN1" s="204"/>
      <c r="IO1" s="204"/>
      <c r="IP1" s="204"/>
      <c r="IQ1" s="204"/>
      <c r="IR1" s="204"/>
      <c r="IS1" s="204"/>
      <c r="IT1" s="204"/>
      <c r="IU1" s="204"/>
      <c r="IV1" s="204"/>
      <c r="IW1" s="204"/>
    </row>
    <row r="2" spans="1:257" ht="20.100000000000001" customHeight="1">
      <c r="A2" s="207" t="s">
        <v>1078</v>
      </c>
      <c r="B2" s="208"/>
      <c r="C2" s="208"/>
      <c r="D2" s="209"/>
      <c r="E2" s="209"/>
      <c r="F2" s="208"/>
      <c r="G2" s="209"/>
      <c r="H2" s="209"/>
      <c r="I2" s="209"/>
      <c r="J2" s="208"/>
      <c r="K2" s="208"/>
      <c r="L2" s="208"/>
      <c r="M2" s="208"/>
      <c r="N2" s="208"/>
      <c r="O2" s="208"/>
      <c r="P2" s="208"/>
      <c r="Q2" s="208"/>
      <c r="R2" s="208"/>
      <c r="S2" s="208"/>
      <c r="T2" s="208"/>
      <c r="U2" s="208"/>
      <c r="V2" s="208"/>
      <c r="W2" s="208"/>
      <c r="X2" s="208"/>
      <c r="Y2" s="208"/>
      <c r="Z2" s="208"/>
      <c r="AA2" s="208"/>
      <c r="AB2" s="208"/>
      <c r="AC2" s="208"/>
      <c r="AD2" s="208"/>
      <c r="AE2" s="208"/>
      <c r="AF2" s="208"/>
      <c r="AG2" s="208"/>
      <c r="AH2" s="208"/>
      <c r="AI2" s="208"/>
      <c r="AJ2" s="208"/>
      <c r="AK2" s="208"/>
      <c r="AL2" s="208"/>
      <c r="AM2" s="208"/>
      <c r="AN2" s="208"/>
      <c r="AO2" s="208"/>
      <c r="AP2" s="208"/>
      <c r="AQ2" s="208"/>
      <c r="AR2" s="208"/>
      <c r="AS2" s="208"/>
      <c r="AT2" s="208"/>
      <c r="AU2" s="208"/>
      <c r="AV2" s="208"/>
      <c r="AW2" s="208"/>
      <c r="AX2" s="208"/>
      <c r="AY2" s="208"/>
      <c r="AZ2" s="208"/>
      <c r="BA2" s="208"/>
      <c r="BB2" s="208"/>
      <c r="BC2" s="208"/>
      <c r="BD2" s="208"/>
      <c r="BE2" s="208"/>
      <c r="BF2" s="208"/>
      <c r="BG2" s="208"/>
      <c r="BH2" s="208"/>
      <c r="BI2" s="208"/>
      <c r="BJ2" s="208"/>
      <c r="BK2" s="208"/>
      <c r="BL2" s="208"/>
      <c r="BM2" s="208"/>
      <c r="BN2" s="208"/>
      <c r="BO2" s="208"/>
      <c r="BP2" s="208"/>
      <c r="BQ2" s="208"/>
      <c r="BR2" s="208"/>
      <c r="BS2" s="208"/>
      <c r="BT2" s="208"/>
      <c r="BU2" s="208"/>
      <c r="BV2" s="208"/>
      <c r="BW2" s="208"/>
      <c r="BX2" s="208"/>
      <c r="BY2" s="208"/>
      <c r="BZ2" s="208"/>
      <c r="CA2" s="208"/>
      <c r="CB2" s="208"/>
      <c r="CC2" s="208"/>
      <c r="CD2" s="208"/>
      <c r="CE2" s="208"/>
      <c r="CF2" s="208"/>
      <c r="CG2" s="208"/>
      <c r="CH2" s="208"/>
      <c r="CI2" s="208"/>
      <c r="CJ2" s="208"/>
      <c r="CK2" s="208"/>
      <c r="CL2" s="208"/>
      <c r="CM2" s="208"/>
      <c r="CN2" s="208"/>
      <c r="CO2" s="208"/>
      <c r="CP2" s="208"/>
      <c r="CQ2" s="208"/>
      <c r="CR2" s="208"/>
      <c r="CS2" s="208"/>
      <c r="CT2" s="208"/>
      <c r="CU2" s="208"/>
      <c r="CV2" s="208"/>
      <c r="CW2" s="208"/>
      <c r="CX2" s="208"/>
      <c r="CY2" s="208"/>
      <c r="CZ2" s="208"/>
      <c r="DA2" s="208"/>
      <c r="DB2" s="208"/>
      <c r="DC2" s="208"/>
      <c r="DD2" s="208"/>
      <c r="DE2" s="208"/>
      <c r="DF2" s="208"/>
      <c r="DG2" s="208"/>
      <c r="DH2" s="208"/>
      <c r="DI2" s="208"/>
      <c r="DJ2" s="208"/>
      <c r="DK2" s="208"/>
      <c r="DL2" s="208"/>
      <c r="DM2" s="208"/>
      <c r="DN2" s="208"/>
      <c r="DO2" s="208"/>
      <c r="DP2" s="208"/>
      <c r="DQ2" s="208"/>
      <c r="DR2" s="208"/>
      <c r="DS2" s="208"/>
      <c r="DT2" s="208"/>
      <c r="DU2" s="208"/>
      <c r="DV2" s="208"/>
      <c r="DW2" s="208"/>
      <c r="DX2" s="208"/>
      <c r="DY2" s="208"/>
      <c r="DZ2" s="208"/>
      <c r="EA2" s="208"/>
      <c r="EB2" s="208"/>
      <c r="EC2" s="208"/>
      <c r="ED2" s="208"/>
      <c r="EE2" s="208"/>
      <c r="EF2" s="208"/>
      <c r="EG2" s="208"/>
      <c r="EH2" s="208"/>
      <c r="EI2" s="208"/>
      <c r="EJ2" s="208"/>
      <c r="EK2" s="208"/>
      <c r="EL2" s="208"/>
      <c r="EM2" s="208"/>
      <c r="EN2" s="208"/>
      <c r="EO2" s="208"/>
      <c r="EP2" s="208"/>
      <c r="EQ2" s="208"/>
      <c r="ER2" s="208"/>
      <c r="ES2" s="208"/>
      <c r="ET2" s="208"/>
      <c r="EU2" s="208"/>
      <c r="EV2" s="208"/>
      <c r="EW2" s="208"/>
      <c r="EX2" s="208"/>
      <c r="EY2" s="208"/>
      <c r="EZ2" s="208"/>
      <c r="FA2" s="208"/>
      <c r="FB2" s="208"/>
      <c r="FC2" s="208"/>
      <c r="FD2" s="208"/>
      <c r="FE2" s="208"/>
      <c r="FF2" s="208"/>
      <c r="FG2" s="208"/>
      <c r="FH2" s="208"/>
      <c r="FI2" s="208"/>
      <c r="FJ2" s="208"/>
      <c r="FK2" s="208"/>
      <c r="FL2" s="208"/>
      <c r="FM2" s="208"/>
      <c r="FN2" s="208"/>
      <c r="FO2" s="208"/>
      <c r="FP2" s="208"/>
      <c r="FQ2" s="208"/>
      <c r="FR2" s="208"/>
      <c r="FS2" s="208"/>
      <c r="FT2" s="208"/>
      <c r="FU2" s="208"/>
      <c r="FV2" s="208"/>
      <c r="FW2" s="208"/>
      <c r="FX2" s="208"/>
      <c r="FY2" s="208"/>
      <c r="FZ2" s="208"/>
      <c r="GA2" s="208"/>
      <c r="GB2" s="208"/>
      <c r="GC2" s="208"/>
      <c r="GD2" s="208"/>
      <c r="GE2" s="208"/>
      <c r="GF2" s="208"/>
      <c r="GG2" s="208"/>
      <c r="GH2" s="208"/>
      <c r="GI2" s="208"/>
      <c r="GJ2" s="208"/>
      <c r="GK2" s="208"/>
      <c r="GL2" s="208"/>
      <c r="GM2" s="208"/>
      <c r="GN2" s="208"/>
      <c r="GO2" s="208"/>
      <c r="GP2" s="208"/>
      <c r="GQ2" s="208"/>
      <c r="GR2" s="208"/>
      <c r="GS2" s="208"/>
      <c r="GT2" s="208"/>
      <c r="GU2" s="208"/>
      <c r="GV2" s="208"/>
      <c r="GW2" s="208"/>
      <c r="GX2" s="208"/>
      <c r="GY2" s="208"/>
      <c r="GZ2" s="208"/>
      <c r="HA2" s="208"/>
      <c r="HB2" s="208"/>
      <c r="HC2" s="208"/>
      <c r="HD2" s="208"/>
      <c r="HE2" s="208"/>
      <c r="HF2" s="208"/>
      <c r="HG2" s="208"/>
      <c r="HH2" s="208"/>
      <c r="HI2" s="208"/>
      <c r="HJ2" s="208"/>
      <c r="HK2" s="208"/>
      <c r="HL2" s="208"/>
      <c r="HM2" s="208"/>
      <c r="HN2" s="208"/>
      <c r="HO2" s="208"/>
      <c r="HP2" s="208"/>
      <c r="HQ2" s="208"/>
      <c r="HR2" s="208"/>
      <c r="HS2" s="208"/>
      <c r="HT2" s="208"/>
      <c r="HU2" s="208"/>
      <c r="HV2" s="208"/>
      <c r="HW2" s="208"/>
      <c r="HX2" s="208"/>
      <c r="HY2" s="208"/>
      <c r="HZ2" s="208"/>
      <c r="IA2" s="208"/>
      <c r="IB2" s="208"/>
      <c r="IC2" s="208"/>
      <c r="ID2" s="208"/>
      <c r="IE2" s="208"/>
      <c r="IF2" s="208"/>
      <c r="IG2" s="208"/>
      <c r="IH2" s="208"/>
      <c r="II2" s="208"/>
      <c r="IJ2" s="208"/>
      <c r="IK2" s="208"/>
      <c r="IL2" s="208"/>
      <c r="IM2" s="208"/>
      <c r="IN2" s="208"/>
      <c r="IO2" s="208"/>
      <c r="IP2" s="208"/>
      <c r="IQ2" s="208"/>
      <c r="IR2" s="208"/>
      <c r="IS2" s="208"/>
      <c r="IT2" s="208"/>
      <c r="IU2" s="208"/>
      <c r="IV2" s="208"/>
      <c r="IW2" s="208"/>
    </row>
    <row r="3" spans="1:257" ht="18" customHeight="1">
      <c r="A3" s="733" t="s">
        <v>1037</v>
      </c>
      <c r="B3" s="733" t="s">
        <v>1038</v>
      </c>
      <c r="C3" s="736" t="s">
        <v>1039</v>
      </c>
      <c r="D3" s="736" t="s">
        <v>1040</v>
      </c>
      <c r="E3" s="733" t="s">
        <v>1041</v>
      </c>
      <c r="F3" s="733"/>
      <c r="G3" s="733" t="s">
        <v>1042</v>
      </c>
      <c r="H3" s="733"/>
      <c r="I3" s="733"/>
      <c r="J3" s="733" t="s">
        <v>1043</v>
      </c>
      <c r="L3" s="230" t="s">
        <v>1044</v>
      </c>
      <c r="M3" s="230" t="s">
        <v>1045</v>
      </c>
      <c r="N3" s="230" t="s">
        <v>1044</v>
      </c>
    </row>
    <row r="4" spans="1:257" ht="24.95" customHeight="1">
      <c r="A4" s="733"/>
      <c r="B4" s="733"/>
      <c r="C4" s="736"/>
      <c r="D4" s="736"/>
      <c r="E4" s="455" t="s">
        <v>1046</v>
      </c>
      <c r="F4" s="455" t="s">
        <v>1047</v>
      </c>
      <c r="G4" s="455" t="s">
        <v>1048</v>
      </c>
      <c r="H4" s="455" t="s">
        <v>1049</v>
      </c>
      <c r="I4" s="455" t="s">
        <v>1165</v>
      </c>
      <c r="J4" s="733"/>
    </row>
    <row r="5" spans="1:257" ht="18" customHeight="1">
      <c r="A5" s="233" t="s">
        <v>1050</v>
      </c>
      <c r="B5" s="233" t="s">
        <v>1051</v>
      </c>
      <c r="C5" s="272">
        <f>SUMIF($B$6:$B$40,$B$6,C6:C40)</f>
        <v>1004.3403</v>
      </c>
      <c r="D5" s="272">
        <f>SUMIF($B$6:$B$40,$B$6,D6:D40)</f>
        <v>3725</v>
      </c>
      <c r="E5" s="273" t="s">
        <v>1051</v>
      </c>
      <c r="F5" s="273" t="s">
        <v>1051</v>
      </c>
      <c r="G5" s="272">
        <f>SUMIF($B$6:$B$40,$B$6,G6:G40)</f>
        <v>5999</v>
      </c>
      <c r="H5" s="272">
        <f>SUMIF($B$6:$B$40,$B$6,H6:H40)</f>
        <v>0</v>
      </c>
      <c r="I5" s="272">
        <f>SUMIF($B$6:$B$40,$B$6,I6:I40)</f>
        <v>5999</v>
      </c>
      <c r="J5" s="233"/>
    </row>
    <row r="6" spans="1:257" ht="18" customHeight="1">
      <c r="A6" s="734" t="s">
        <v>1052</v>
      </c>
      <c r="B6" s="234" t="s">
        <v>1053</v>
      </c>
      <c r="C6" s="274">
        <f>SUM(C7:C7)</f>
        <v>104.1665</v>
      </c>
      <c r="D6" s="274">
        <f>SUM(D7:D7)</f>
        <v>584</v>
      </c>
      <c r="E6" s="275"/>
      <c r="F6" s="275"/>
      <c r="G6" s="274">
        <f>SUM(G7:G7)</f>
        <v>674</v>
      </c>
      <c r="H6" s="274">
        <f>SUM(H7:H7)</f>
        <v>0</v>
      </c>
      <c r="I6" s="274">
        <f>SUM(I7:I7)</f>
        <v>674</v>
      </c>
      <c r="J6" s="234">
        <v>2014</v>
      </c>
      <c r="L6" s="735" t="s">
        <v>1054</v>
      </c>
      <c r="M6" s="735"/>
    </row>
    <row r="7" spans="1:257" ht="18" customHeight="1">
      <c r="A7" s="734"/>
      <c r="B7" s="235" t="s">
        <v>1055</v>
      </c>
      <c r="C7" s="276">
        <f>('[1]2.사회적인구-산업단지'!E7/1000)</f>
        <v>104.1665</v>
      </c>
      <c r="D7" s="276">
        <f>'[1]2.사회적인구-산업단지'!G6</f>
        <v>584</v>
      </c>
      <c r="E7" s="292">
        <f>IF($L$3=$M$3,VLOOKUP(B7,[1]각종원단위!$A$55:$K$78,(IF($J$8=2011,7,IF($J$8=2012,8,IF($J$8=2013,9,IF($J$8=2014,10,IF($J$8=2015,11,"-")))))),FALSE),VLOOKUP(B7,[1]각종원단위!$A$55:$K$78,(IF($J$8=2011,7,IF($J$8=2012,8,IF($J$8=2013,9,IF($J$8=2014,10,IF($J$8=2015,11,"-")))))),FALSE))</f>
        <v>6.47</v>
      </c>
      <c r="F7" s="277">
        <f>$M$9</f>
        <v>80</v>
      </c>
      <c r="G7" s="276">
        <f>ROUND(E7*C7,0)</f>
        <v>674</v>
      </c>
      <c r="H7" s="276"/>
      <c r="I7" s="276">
        <f>G7+H7</f>
        <v>674</v>
      </c>
      <c r="J7" s="454"/>
      <c r="L7" s="230" t="s">
        <v>809</v>
      </c>
      <c r="M7" s="230" t="s">
        <v>1056</v>
      </c>
    </row>
    <row r="8" spans="1:257" ht="18" customHeight="1">
      <c r="A8" s="733" t="s">
        <v>1057</v>
      </c>
      <c r="B8" s="234" t="s">
        <v>1053</v>
      </c>
      <c r="C8" s="274">
        <f>SUM(C9:C22)</f>
        <v>476.75179999999995</v>
      </c>
      <c r="D8" s="274">
        <f>SUM(D9:D22)</f>
        <v>1565</v>
      </c>
      <c r="E8" s="293"/>
      <c r="F8" s="275"/>
      <c r="G8" s="274">
        <f>SUM(G9:G24)-SUMIF($J$9:$J$24,"제외",$G$9:$G$24)</f>
        <v>2016</v>
      </c>
      <c r="H8" s="274">
        <f>SUM(H9:H24)</f>
        <v>0</v>
      </c>
      <c r="I8" s="274">
        <f>SUM(I9:I24)-SUMIF($J$9:$J$24,"제외",$I$9:$I$24)</f>
        <v>2016</v>
      </c>
      <c r="J8" s="234">
        <v>2015</v>
      </c>
      <c r="L8" s="230" t="s">
        <v>1058</v>
      </c>
      <c r="M8" s="230" t="s">
        <v>1059</v>
      </c>
    </row>
    <row r="9" spans="1:257" ht="18" customHeight="1">
      <c r="A9" s="733"/>
      <c r="B9" s="235" t="s">
        <v>1068</v>
      </c>
      <c r="C9" s="276">
        <f>('[1]2.사회적인구-산업단지'!E9/1000)</f>
        <v>8.4077999999999999</v>
      </c>
      <c r="D9" s="276">
        <f>ROUND(C9*VLOOKUP(B9,[1]각종원단위!$A$3:$K$26,(IF($J$8=2011,7,IF($J$8=2012,8,IF($J$8=2013,9,IF($J$8=2014,10,IF($J$8=2015,11,"-")))))),FALSE),0)</f>
        <v>35</v>
      </c>
      <c r="E9" s="292">
        <f>IF($L$3=$M$3,VLOOKUP(B9,[1]각종원단위!$A$55:$K$78,(IF($J$8=2011,7,IF($J$8=2012,8,IF($J$8=2013,9,IF($J$8=2014,10,IF($J$8=2015,11,"-")))))),FALSE),VLOOKUP(B9,[1]각종원단위!$A$55:$K$78,(IF($J$8=2011,7,IF($J$8=2012,8,IF($J$8=2013,9,IF($J$8=2014,10,IF($J$8=2015,11,"-")))))),FALSE))</f>
        <v>11.13</v>
      </c>
      <c r="F9" s="277">
        <f t="shared" ref="F9:F24" si="0">$M$9</f>
        <v>80</v>
      </c>
      <c r="G9" s="276">
        <f t="shared" ref="G9" si="1">ROUND(E9*C9,0)</f>
        <v>94</v>
      </c>
      <c r="H9" s="276"/>
      <c r="I9" s="276">
        <f t="shared" ref="I9:I22" si="2">G9+H9</f>
        <v>94</v>
      </c>
      <c r="J9" s="454"/>
      <c r="K9" s="232"/>
      <c r="L9" s="230" t="s">
        <v>1060</v>
      </c>
      <c r="M9" s="230">
        <v>80</v>
      </c>
    </row>
    <row r="10" spans="1:257" ht="18" customHeight="1">
      <c r="A10" s="733"/>
      <c r="B10" s="235" t="s">
        <v>2406</v>
      </c>
      <c r="C10" s="276">
        <f>('[1]2.사회적인구-산업단지'!E10/1000)</f>
        <v>12.994299999999999</v>
      </c>
      <c r="D10" s="276">
        <f>ROUND(C10*VLOOKUP(B10,[1]각종원단위!$A$3:$K$26,(IF($J$8=2011,7,IF($J$8=2012,8,IF($J$8=2013,9,IF($J$8=2014,10,IF($J$8=2015,11,"-")))))),FALSE),0)</f>
        <v>23</v>
      </c>
      <c r="E10" s="292">
        <f>IF($L$3=$M$3,VLOOKUP(B10,[1]각종원단위!$A$55:$K$78,(IF($J$8=2011,7,IF($J$8=2012,8,IF($J$8=2013,9,IF($J$8=2014,10,IF($J$8=2015,11,"-")))))),FALSE),VLOOKUP(B10,[1]각종원단위!$A$55:$K$78,(IF($J$8=2011,7,IF($J$8=2012,8,IF($J$8=2013,9,IF($J$8=2014,10,IF($J$8=2015,11,"-")))))),FALSE))</f>
        <v>8.08</v>
      </c>
      <c r="F10" s="277">
        <f t="shared" si="0"/>
        <v>80</v>
      </c>
      <c r="G10" s="276">
        <f t="shared" ref="G10:G22" si="3">ROUND(E10*C10,0)</f>
        <v>105</v>
      </c>
      <c r="H10" s="276"/>
      <c r="I10" s="276">
        <f t="shared" ref="I10:I20" si="4">G10+H10</f>
        <v>105</v>
      </c>
      <c r="J10" s="454"/>
      <c r="K10" s="232"/>
    </row>
    <row r="11" spans="1:257" ht="18" customHeight="1">
      <c r="A11" s="733"/>
      <c r="B11" s="235" t="s">
        <v>1063</v>
      </c>
      <c r="C11" s="276">
        <f>('[1]2.사회적인구-산업단지'!E11/1000)</f>
        <v>58.019400000000005</v>
      </c>
      <c r="D11" s="276">
        <f>ROUND(C11*VLOOKUP(B11,[1]각종원단위!$A$3:$K$26,(IF($J$8=2011,7,IF($J$8=2012,8,IF($J$8=2013,9,IF($J$8=2014,10,IF($J$8=2015,11,"-")))))),FALSE),0)</f>
        <v>176</v>
      </c>
      <c r="E11" s="292">
        <f>IF($L$3=$M$3,VLOOKUP(B11,[1]각종원단위!$A$55:$K$78,(IF($J$8=2011,7,IF($J$8=2012,8,IF($J$8=2013,9,IF($J$8=2014,10,IF($J$8=2015,11,"-")))))),FALSE),VLOOKUP(B11,[1]각종원단위!$A$55:$K$78,(IF($J$8=2011,7,IF($J$8=2012,8,IF($J$8=2013,9,IF($J$8=2014,10,IF($J$8=2015,11,"-")))))),FALSE))</f>
        <v>3.22</v>
      </c>
      <c r="F11" s="277">
        <f t="shared" si="0"/>
        <v>80</v>
      </c>
      <c r="G11" s="276">
        <f t="shared" si="3"/>
        <v>187</v>
      </c>
      <c r="H11" s="276"/>
      <c r="I11" s="276">
        <f t="shared" si="4"/>
        <v>187</v>
      </c>
      <c r="J11" s="454"/>
      <c r="K11" s="232"/>
    </row>
    <row r="12" spans="1:257" s="456" customFormat="1" ht="18" customHeight="1">
      <c r="A12" s="733"/>
      <c r="B12" s="235" t="s">
        <v>1064</v>
      </c>
      <c r="C12" s="276">
        <f>('[1]2.사회적인구-산업단지'!E12/1000)</f>
        <v>16.314899999999998</v>
      </c>
      <c r="D12" s="276">
        <f>ROUND(C12*VLOOKUP(B12,[1]각종원단위!$A$3:$K$26,(IF($J$8=2011,7,IF($J$8=2012,8,IF($J$8=2013,9,IF($J$8=2014,10,IF($J$8=2015,11,"-")))))),FALSE),0)</f>
        <v>80</v>
      </c>
      <c r="E12" s="292">
        <f>IF($L$3=$M$3,VLOOKUP(B12,[1]각종원단위!$A$55:$K$78,(IF($J$8=2011,7,IF($J$8=2012,8,IF($J$8=2013,9,IF($J$8=2014,10,IF($J$8=2015,11,"-")))))),FALSE),VLOOKUP(B12,[1]각종원단위!$A$55:$K$78,(IF($J$8=2011,7,IF($J$8=2012,8,IF($J$8=2013,9,IF($J$8=2014,10,IF($J$8=2015,11,"-")))))),FALSE))</f>
        <v>4.6399999999999997</v>
      </c>
      <c r="F12" s="277">
        <f t="shared" si="0"/>
        <v>80</v>
      </c>
      <c r="G12" s="276">
        <f t="shared" si="3"/>
        <v>76</v>
      </c>
      <c r="H12" s="276"/>
      <c r="I12" s="276">
        <f t="shared" si="4"/>
        <v>76</v>
      </c>
      <c r="J12" s="454"/>
      <c r="K12" s="232"/>
    </row>
    <row r="13" spans="1:257" s="456" customFormat="1" ht="18" customHeight="1">
      <c r="A13" s="733"/>
      <c r="B13" s="235" t="s">
        <v>1065</v>
      </c>
      <c r="C13" s="276">
        <f>('[1]2.사회적인구-산업단지'!E13/1000)</f>
        <v>14.9694</v>
      </c>
      <c r="D13" s="276">
        <f>ROUND(C13*VLOOKUP(B13,[1]각종원단위!$A$3:$K$26,(IF($J$8=2011,7,IF($J$8=2012,8,IF($J$8=2013,9,IF($J$8=2014,10,IF($J$8=2015,11,"-")))))),FALSE),0)</f>
        <v>19</v>
      </c>
      <c r="E13" s="292">
        <f>IF($L$3=$M$3,VLOOKUP(B13,[1]각종원단위!$A$55:$K$78,(IF($J$8=2011,7,IF($J$8=2012,8,IF($J$8=2013,9,IF($J$8=2014,10,IF($J$8=2015,11,"-")))))),FALSE),VLOOKUP(B13,[1]각종원단위!$A$55:$K$78,(IF($J$8=2011,7,IF($J$8=2012,8,IF($J$8=2013,9,IF($J$8=2014,10,IF($J$8=2015,11,"-")))))),FALSE))</f>
        <v>4.3099999999999996</v>
      </c>
      <c r="F13" s="277">
        <f t="shared" si="0"/>
        <v>80</v>
      </c>
      <c r="G13" s="276">
        <f t="shared" si="3"/>
        <v>65</v>
      </c>
      <c r="H13" s="276"/>
      <c r="I13" s="276">
        <f t="shared" si="4"/>
        <v>65</v>
      </c>
      <c r="J13" s="454"/>
      <c r="K13" s="232"/>
    </row>
    <row r="14" spans="1:257" s="456" customFormat="1" ht="18" customHeight="1">
      <c r="A14" s="733"/>
      <c r="B14" s="235" t="s">
        <v>1065</v>
      </c>
      <c r="C14" s="276">
        <f>('[1]2.사회적인구-산업단지'!E14/1000)</f>
        <v>13.9816</v>
      </c>
      <c r="D14" s="276">
        <f>ROUND(C14*VLOOKUP(B14,[1]각종원단위!$A$3:$K$26,(IF($J$8=2011,7,IF($J$8=2012,8,IF($J$8=2013,9,IF($J$8=2014,10,IF($J$8=2015,11,"-")))))),FALSE),0)</f>
        <v>17</v>
      </c>
      <c r="E14" s="292">
        <f>IF($L$3=$M$3,VLOOKUP(B14,[1]각종원단위!$A$55:$K$78,(IF($J$8=2011,7,IF($J$8=2012,8,IF($J$8=2013,9,IF($J$8=2014,10,IF($J$8=2015,11,"-")))))),FALSE),VLOOKUP(B14,[1]각종원단위!$A$55:$K$78,(IF($J$8=2011,7,IF($J$8=2012,8,IF($J$8=2013,9,IF($J$8=2014,10,IF($J$8=2015,11,"-")))))),FALSE))</f>
        <v>4.3099999999999996</v>
      </c>
      <c r="F14" s="277">
        <f t="shared" si="0"/>
        <v>80</v>
      </c>
      <c r="G14" s="276">
        <f t="shared" si="3"/>
        <v>60</v>
      </c>
      <c r="H14" s="276"/>
      <c r="I14" s="276">
        <f t="shared" si="4"/>
        <v>60</v>
      </c>
      <c r="J14" s="457" t="s">
        <v>2426</v>
      </c>
      <c r="K14" s="232"/>
    </row>
    <row r="15" spans="1:257" s="456" customFormat="1" ht="18" customHeight="1">
      <c r="A15" s="733"/>
      <c r="B15" s="235" t="s">
        <v>1070</v>
      </c>
      <c r="C15" s="276">
        <f>('[1]2.사회적인구-산업단지'!E15/1000)</f>
        <v>220.24939999999998</v>
      </c>
      <c r="D15" s="276">
        <f>ROUND(C15*VLOOKUP(B15,[1]각종원단위!$A$3:$K$26,(IF($J$8=2011,7,IF($J$8=2012,8,IF($J$8=2013,9,IF($J$8=2014,10,IF($J$8=2015,11,"-")))))),FALSE),0)</f>
        <v>363</v>
      </c>
      <c r="E15" s="292">
        <f>IF($L$3=$M$3,VLOOKUP(B15,[1]각종원단위!$A$55:$K$78,(IF($J$8=2011,7,IF($J$8=2012,8,IF($J$8=2013,9,IF($J$8=2014,10,IF($J$8=2015,11,"-")))))),FALSE),VLOOKUP(B15,[1]각종원단위!$A$55:$K$78,(IF($J$8=2011,7,IF($J$8=2012,8,IF($J$8=2013,9,IF($J$8=2014,10,IF($J$8=2015,11,"-")))))),FALSE))</f>
        <v>3.66</v>
      </c>
      <c r="F15" s="277">
        <f t="shared" si="0"/>
        <v>80</v>
      </c>
      <c r="G15" s="276">
        <f t="shared" si="3"/>
        <v>806</v>
      </c>
      <c r="H15" s="276"/>
      <c r="I15" s="276">
        <f t="shared" si="4"/>
        <v>806</v>
      </c>
      <c r="J15" s="454"/>
      <c r="K15" s="232"/>
    </row>
    <row r="16" spans="1:257" s="456" customFormat="1" ht="18" customHeight="1">
      <c r="A16" s="733"/>
      <c r="B16" s="235" t="s">
        <v>1055</v>
      </c>
      <c r="C16" s="276">
        <f>('[1]2.사회적인구-산업단지'!E16/1000)</f>
        <v>16.6142</v>
      </c>
      <c r="D16" s="276">
        <f>ROUND(C16*VLOOKUP(B16,[1]각종원단위!$A$3:$K$26,(IF($J$8=2011,7,IF($J$8=2012,8,IF($J$8=2013,9,IF($J$8=2014,10,IF($J$8=2015,11,"-")))))),FALSE),0)</f>
        <v>89</v>
      </c>
      <c r="E16" s="292">
        <f>IF($L$3=$M$3,VLOOKUP(B16,[1]각종원단위!$A$55:$K$78,(IF($J$8=2011,7,IF($J$8=2012,8,IF($J$8=2013,9,IF($J$8=2014,10,IF($J$8=2015,11,"-")))))),FALSE),VLOOKUP(B16,[1]각종원단위!$A$55:$K$78,(IF($J$8=2011,7,IF($J$8=2012,8,IF($J$8=2013,9,IF($J$8=2014,10,IF($J$8=2015,11,"-")))))),FALSE))</f>
        <v>6.47</v>
      </c>
      <c r="F16" s="277">
        <f t="shared" si="0"/>
        <v>80</v>
      </c>
      <c r="G16" s="276">
        <f t="shared" si="3"/>
        <v>107</v>
      </c>
      <c r="H16" s="276"/>
      <c r="I16" s="276">
        <f t="shared" si="4"/>
        <v>107</v>
      </c>
      <c r="J16" s="454"/>
      <c r="K16" s="232"/>
    </row>
    <row r="17" spans="1:13" s="456" customFormat="1" ht="18" customHeight="1">
      <c r="A17" s="733"/>
      <c r="B17" s="235" t="s">
        <v>1061</v>
      </c>
      <c r="C17" s="276">
        <f>('[1]2.사회적인구-산업단지'!E17/1000)</f>
        <v>4.6773999999999996</v>
      </c>
      <c r="D17" s="276">
        <f>ROUND(C17*VLOOKUP(B17,[1]각종원단위!$A$3:$K$26,(IF($J$8=2011,7,IF($J$8=2012,8,IF($J$8=2013,9,IF($J$8=2014,10,IF($J$8=2015,11,"-")))))),FALSE),0)</f>
        <v>48</v>
      </c>
      <c r="E17" s="292">
        <f>IF($L$3=$M$3,VLOOKUP(B17,[1]각종원단위!$A$55:$K$78,(IF($J$8=2011,7,IF($J$8=2012,8,IF($J$8=2013,9,IF($J$8=2014,10,IF($J$8=2015,11,"-")))))),FALSE),VLOOKUP(B17,[1]각종원단위!$A$55:$K$78,(IF($J$8=2011,7,IF($J$8=2012,8,IF($J$8=2013,9,IF($J$8=2014,10,IF($J$8=2015,11,"-")))))),FALSE))</f>
        <v>14.62</v>
      </c>
      <c r="F17" s="277">
        <f t="shared" si="0"/>
        <v>80</v>
      </c>
      <c r="G17" s="276">
        <f t="shared" si="3"/>
        <v>68</v>
      </c>
      <c r="H17" s="276"/>
      <c r="I17" s="276">
        <f t="shared" si="4"/>
        <v>68</v>
      </c>
      <c r="J17" s="454"/>
      <c r="K17" s="232"/>
    </row>
    <row r="18" spans="1:13" s="456" customFormat="1" ht="18" customHeight="1">
      <c r="A18" s="733"/>
      <c r="B18" s="235" t="s">
        <v>1071</v>
      </c>
      <c r="C18" s="276">
        <f>('[1]2.사회적인구-산업단지'!E18/1000)</f>
        <v>3.6899000000000002</v>
      </c>
      <c r="D18" s="276">
        <f>ROUND(C18*VLOOKUP(B18,[1]각종원단위!$A$3:$K$26,(IF($J$8=2011,7,IF($J$8=2012,8,IF($J$8=2013,9,IF($J$8=2014,10,IF($J$8=2015,11,"-")))))),FALSE),0)</f>
        <v>46</v>
      </c>
      <c r="E18" s="292">
        <f>IF($L$3=$M$3,VLOOKUP(B18,[1]각종원단위!$A$55:$K$78,(IF($J$8=2011,7,IF($J$8=2012,8,IF($J$8=2013,9,IF($J$8=2014,10,IF($J$8=2015,11,"-")))))),FALSE),VLOOKUP(B18,[1]각종원단위!$A$55:$K$78,(IF($J$8=2011,7,IF($J$8=2012,8,IF($J$8=2013,9,IF($J$8=2014,10,IF($J$8=2015,11,"-")))))),FALSE))</f>
        <v>19.350000000000001</v>
      </c>
      <c r="F18" s="277">
        <f t="shared" si="0"/>
        <v>80</v>
      </c>
      <c r="G18" s="276">
        <f t="shared" si="3"/>
        <v>71</v>
      </c>
      <c r="H18" s="276"/>
      <c r="I18" s="276">
        <f t="shared" si="4"/>
        <v>71</v>
      </c>
      <c r="J18" s="454"/>
      <c r="K18" s="232"/>
    </row>
    <row r="19" spans="1:13" s="456" customFormat="1" ht="18" customHeight="1">
      <c r="A19" s="733"/>
      <c r="B19" s="235" t="s">
        <v>2407</v>
      </c>
      <c r="C19" s="276">
        <f>('[1]2.사회적인구-산업단지'!E19/1000)</f>
        <v>43.162500000000001</v>
      </c>
      <c r="D19" s="276">
        <f>ROUND(C19*VLOOKUP(B19,[1]각종원단위!$A$3:$K$26,(IF($J$8=2011,7,IF($J$8=2012,8,IF($J$8=2013,9,IF($J$8=2014,10,IF($J$8=2015,11,"-")))))),FALSE),0)</f>
        <v>309</v>
      </c>
      <c r="E19" s="292">
        <f>IF($L$3=$M$3,VLOOKUP(B19,[1]각종원단위!$A$55:$K$78,(IF($J$8=2011,7,IF($J$8=2012,8,IF($J$8=2013,9,IF($J$8=2014,10,IF($J$8=2015,11,"-")))))),FALSE),VLOOKUP(B19,[1]각종원단위!$A$55:$K$78,(IF($J$8=2011,7,IF($J$8=2012,8,IF($J$8=2013,9,IF($J$8=2014,10,IF($J$8=2015,11,"-")))))),FALSE))</f>
        <v>6.24</v>
      </c>
      <c r="F19" s="277">
        <f t="shared" si="0"/>
        <v>80</v>
      </c>
      <c r="G19" s="276">
        <f t="shared" si="3"/>
        <v>269</v>
      </c>
      <c r="H19" s="276"/>
      <c r="I19" s="276">
        <f t="shared" si="4"/>
        <v>269</v>
      </c>
      <c r="J19" s="454"/>
      <c r="K19" s="232"/>
    </row>
    <row r="20" spans="1:13" s="456" customFormat="1" ht="18" customHeight="1">
      <c r="A20" s="733"/>
      <c r="B20" s="235" t="s">
        <v>1062</v>
      </c>
      <c r="C20" s="276">
        <f>('[1]2.사회적인구-산업단지'!E20/1000)</f>
        <v>11.503500000000001</v>
      </c>
      <c r="D20" s="276">
        <f>ROUND(C20*VLOOKUP(B20,[1]각종원단위!$A$3:$K$26,(IF($J$8=2011,7,IF($J$8=2012,8,IF($J$8=2013,9,IF($J$8=2014,10,IF($J$8=2015,11,"-")))))),FALSE),0)</f>
        <v>72</v>
      </c>
      <c r="E20" s="292">
        <f>IF($L$3=$M$3,VLOOKUP(B20,[1]각종원단위!$A$55:$K$78,(IF($J$8=2011,7,IF($J$8=2012,8,IF($J$8=2013,9,IF($J$8=2014,10,IF($J$8=2015,11,"-")))))),FALSE),VLOOKUP(B20,[1]각종원단위!$A$55:$K$78,(IF($J$8=2011,7,IF($J$8=2012,8,IF($J$8=2013,9,IF($J$8=2014,10,IF($J$8=2015,11,"-")))))),FALSE))</f>
        <v>4.95</v>
      </c>
      <c r="F20" s="277">
        <f t="shared" si="0"/>
        <v>80</v>
      </c>
      <c r="G20" s="276">
        <f t="shared" si="3"/>
        <v>57</v>
      </c>
      <c r="H20" s="276"/>
      <c r="I20" s="276">
        <f t="shared" si="4"/>
        <v>57</v>
      </c>
      <c r="J20" s="454"/>
      <c r="K20" s="232"/>
    </row>
    <row r="21" spans="1:13" ht="18" customHeight="1">
      <c r="A21" s="733"/>
      <c r="B21" s="235" t="s">
        <v>1062</v>
      </c>
      <c r="C21" s="276">
        <f>('[1]2.사회적인구-산업단지'!E21/1000)</f>
        <v>21.238799999999998</v>
      </c>
      <c r="D21" s="276">
        <f>ROUND(C21*VLOOKUP(B21,[1]각종원단위!$A$3:$K$26,(IF($J$8=2011,7,IF($J$8=2012,8,IF($J$8=2013,9,IF($J$8=2014,10,IF($J$8=2015,11,"-")))))),FALSE),0)</f>
        <v>132</v>
      </c>
      <c r="E21" s="292">
        <f>IF($L$3=$M$3,VLOOKUP(B21,[1]각종원단위!$A$55:$K$78,(IF($J$8=2011,7,IF($J$8=2012,8,IF($J$8=2013,9,IF($J$8=2014,10,IF($J$8=2015,11,"-")))))),FALSE),VLOOKUP(B21,[1]각종원단위!$A$55:$K$78,(IF($J$8=2011,7,IF($J$8=2012,8,IF($J$8=2013,9,IF($J$8=2014,10,IF($J$8=2015,11,"-")))))),FALSE))</f>
        <v>4.95</v>
      </c>
      <c r="F21" s="277">
        <f t="shared" si="0"/>
        <v>80</v>
      </c>
      <c r="G21" s="276">
        <f t="shared" si="3"/>
        <v>105</v>
      </c>
      <c r="H21" s="276"/>
      <c r="I21" s="276">
        <f t="shared" si="2"/>
        <v>105</v>
      </c>
      <c r="J21" s="457" t="s">
        <v>2426</v>
      </c>
      <c r="K21" s="232"/>
    </row>
    <row r="22" spans="1:13" ht="18" customHeight="1">
      <c r="A22" s="733"/>
      <c r="B22" s="235" t="s">
        <v>1072</v>
      </c>
      <c r="C22" s="276">
        <f>('[1]2.사회적인구-산업단지'!E22/1000)</f>
        <v>30.928699999999999</v>
      </c>
      <c r="D22" s="276">
        <f>ROUND(C22*VLOOKUP(B22,[1]각종원단위!$A$3:$K$26,(IF($J$8=2011,7,IF($J$8=2012,8,IF($J$8=2013,9,IF($J$8=2014,10,IF($J$8=2015,11,"-")))))),FALSE),0)</f>
        <v>156</v>
      </c>
      <c r="E22" s="292">
        <f>IF($L$3=$M$3,VLOOKUP(B22,[1]각종원단위!$A$55:$K$78,(IF($J$8=2011,7,IF($J$8=2012,8,IF($J$8=2013,9,IF($J$8=2014,10,IF($J$8=2015,11,"-")))))),FALSE),VLOOKUP(B22,[1]각종원단위!$A$55:$K$78,(IF($J$8=2011,7,IF($J$8=2012,8,IF($J$8=2013,9,IF($J$8=2014,10,IF($J$8=2015,11,"-")))))),FALSE))</f>
        <v>3.59</v>
      </c>
      <c r="F22" s="277">
        <f t="shared" si="0"/>
        <v>80</v>
      </c>
      <c r="G22" s="276">
        <f t="shared" si="3"/>
        <v>111</v>
      </c>
      <c r="H22" s="276"/>
      <c r="I22" s="276">
        <f t="shared" si="2"/>
        <v>111</v>
      </c>
      <c r="J22" s="454"/>
      <c r="K22" s="232"/>
    </row>
    <row r="23" spans="1:13" s="250" customFormat="1" ht="18" customHeight="1">
      <c r="A23" s="733"/>
      <c r="B23" s="235" t="s">
        <v>1166</v>
      </c>
      <c r="C23" s="276">
        <v>20</v>
      </c>
      <c r="D23" s="276">
        <f>C23*1000*0.16</f>
        <v>3200</v>
      </c>
      <c r="E23" s="292"/>
      <c r="F23" s="277">
        <v>200</v>
      </c>
      <c r="G23" s="276">
        <f t="shared" ref="G23:G24" si="5">ROUND(E23*C23,0)</f>
        <v>0</v>
      </c>
      <c r="H23" s="276"/>
      <c r="I23" s="276">
        <f t="shared" ref="I23:I24" si="6">G23+H23</f>
        <v>0</v>
      </c>
      <c r="J23" s="454"/>
      <c r="K23" s="225"/>
      <c r="M23" s="250">
        <v>0.16</v>
      </c>
    </row>
    <row r="24" spans="1:13" s="250" customFormat="1" ht="18" customHeight="1">
      <c r="A24" s="733"/>
      <c r="B24" s="235" t="s">
        <v>1167</v>
      </c>
      <c r="C24" s="276">
        <v>5</v>
      </c>
      <c r="D24" s="276">
        <f>ROUND(SUM(D9:D22)/10,0)</f>
        <v>157</v>
      </c>
      <c r="E24" s="292"/>
      <c r="F24" s="277">
        <f t="shared" si="0"/>
        <v>80</v>
      </c>
      <c r="G24" s="276">
        <f t="shared" si="5"/>
        <v>0</v>
      </c>
      <c r="H24" s="276"/>
      <c r="I24" s="276">
        <f t="shared" si="6"/>
        <v>0</v>
      </c>
      <c r="J24" s="455"/>
      <c r="K24" s="225"/>
      <c r="M24" s="250" t="e">
        <f>#REF!*M23</f>
        <v>#REF!</v>
      </c>
    </row>
    <row r="25" spans="1:13" ht="18" customHeight="1">
      <c r="A25" s="733" t="s">
        <v>1067</v>
      </c>
      <c r="B25" s="234" t="s">
        <v>1053</v>
      </c>
      <c r="C25" s="274">
        <f>SUM(C26)</f>
        <v>94.421999999999997</v>
      </c>
      <c r="D25" s="274">
        <f>SUM(D26)</f>
        <v>388</v>
      </c>
      <c r="E25" s="293"/>
      <c r="F25" s="275"/>
      <c r="G25" s="274">
        <f>SUM(G26)</f>
        <v>1051</v>
      </c>
      <c r="H25" s="274">
        <f>SUM(H26)</f>
        <v>0</v>
      </c>
      <c r="I25" s="274">
        <f>SUM(I26)</f>
        <v>1051</v>
      </c>
      <c r="J25" s="234">
        <v>2015</v>
      </c>
    </row>
    <row r="26" spans="1:13" ht="18" customHeight="1">
      <c r="A26" s="733"/>
      <c r="B26" s="235" t="s">
        <v>1068</v>
      </c>
      <c r="C26" s="276">
        <f>('[1]2.사회적인구-산업단지'!E23/1000)</f>
        <v>94.421999999999997</v>
      </c>
      <c r="D26" s="276">
        <f>ROUND(C26*VLOOKUP(B26,[1]각종원단위!$A$3:$K$26,(IF($J$25=2011,7,IF($J$25=2012,8,IF($J$25=2013,9,IF($J$25=2014,10,IF($J$25=2015,11,"-")))))),FALSE),0)</f>
        <v>388</v>
      </c>
      <c r="E26" s="292">
        <f>IF($L$3=$M$3,VLOOKUP(B26,[1]각종원단위!$A$55:$K$78,(IF($J$25=2011,7,IF($J$25=2012,8,IF($J$25=2013,9,IF($J$25=2014,10,IF($J$25=2015,11,"-")))))),FALSE),VLOOKUP(B26,[1]각종원단위!$A$55:$K$78,(IF($J$25=2011,7,IF($J$25=2012,8,IF($J$25=2013,9,IF($J$25=2014,10,IF($J$25=2015,11,"-")))))),FALSE))</f>
        <v>11.13</v>
      </c>
      <c r="F26" s="277">
        <f>$M$9</f>
        <v>80</v>
      </c>
      <c r="G26" s="276">
        <f>ROUND(E26*C26,0)</f>
        <v>1051</v>
      </c>
      <c r="H26" s="276"/>
      <c r="I26" s="276">
        <f>G26+H26</f>
        <v>1051</v>
      </c>
      <c r="J26" s="454"/>
    </row>
    <row r="27" spans="1:13" ht="18" customHeight="1">
      <c r="A27" s="733" t="s">
        <v>1069</v>
      </c>
      <c r="B27" s="234" t="s">
        <v>1053</v>
      </c>
      <c r="C27" s="274">
        <f>SUM(C28:C37)</f>
        <v>221</v>
      </c>
      <c r="D27" s="274">
        <f>SUM(D28:D37)</f>
        <v>735</v>
      </c>
      <c r="E27" s="293"/>
      <c r="F27" s="275"/>
      <c r="G27" s="274">
        <f>SUM(G28:G37)</f>
        <v>1127</v>
      </c>
      <c r="H27" s="274">
        <f>SUM(H28:H37)</f>
        <v>0</v>
      </c>
      <c r="I27" s="274">
        <f>SUM(I28:I37)</f>
        <v>1127</v>
      </c>
      <c r="J27" s="234">
        <v>2015</v>
      </c>
    </row>
    <row r="28" spans="1:13" ht="18" customHeight="1">
      <c r="A28" s="733"/>
      <c r="B28" s="235" t="s">
        <v>1070</v>
      </c>
      <c r="C28" s="276">
        <v>54</v>
      </c>
      <c r="D28" s="276">
        <f>ROUND(C28*VLOOKUP(B28,[1]각종원단위!$A$3:$K$26,(IF($J$27=2011,7,IF($J$27=2012,8,IF($J$27=2013,9,IF($J$27=2014,10,IF($J$27=2015,11,"-")))))),FALSE),0)</f>
        <v>89</v>
      </c>
      <c r="E28" s="292">
        <f>IF($L$3=$M$3,VLOOKUP(B28,[1]각종원단위!$A$55:$K$78,(IF($J$27=2011,7,IF($J$27=2012,8,IF($J$27=2013,9,IF($J$27=2014,10,IF($J$27=2015,11,"-")))))),FALSE),VLOOKUP(B28,[1]각종원단위!$A$55:$K$78,(IF($J$27=2011,7,IF($J$27=2012,8,IF($J$27=2013,9,IF($J$27=2014,10,IF($J$27=2015,11,"-")))))),FALSE))</f>
        <v>3.66</v>
      </c>
      <c r="F28" s="277">
        <f>$M$9</f>
        <v>80</v>
      </c>
      <c r="G28" s="276">
        <f t="shared" ref="G28:G37" si="7">ROUND(E28*C28,0)</f>
        <v>198</v>
      </c>
      <c r="H28" s="276"/>
      <c r="I28" s="276">
        <f t="shared" ref="I28:I36" si="8">G28+H28</f>
        <v>198</v>
      </c>
      <c r="J28" s="454"/>
    </row>
    <row r="29" spans="1:13" ht="18" customHeight="1">
      <c r="A29" s="733"/>
      <c r="B29" s="235" t="s">
        <v>1064</v>
      </c>
      <c r="C29" s="276">
        <v>7</v>
      </c>
      <c r="D29" s="276">
        <f>ROUND(C29*VLOOKUP(B29,[1]각종원단위!$A$3:$K$26,(IF($J$27=2011,7,IF($J$27=2012,8,IF($J$27=2013,9,IF($J$27=2014,10,IF($J$27=2015,11,"-")))))),FALSE),0)</f>
        <v>34</v>
      </c>
      <c r="E29" s="292">
        <f>IF($L$3=$M$3,VLOOKUP(B29,[1]각종원단위!$A$55:$K$78,(IF($J$27=2011,7,IF($J$27=2012,8,IF($J$27=2013,9,IF($J$27=2014,10,IF($J$27=2015,11,"-")))))),FALSE),VLOOKUP(B29,[1]각종원단위!$A$55:$K$78,(IF($J$27=2011,7,IF($J$27=2012,8,IF($J$27=2013,9,IF($J$27=2014,10,IF($J$27=2015,11,"-")))))),FALSE))</f>
        <v>4.6399999999999997</v>
      </c>
      <c r="F29" s="277">
        <f t="shared" ref="F29:F37" si="9">$M$9</f>
        <v>80</v>
      </c>
      <c r="G29" s="276">
        <f t="shared" si="7"/>
        <v>32</v>
      </c>
      <c r="H29" s="276"/>
      <c r="I29" s="276">
        <f t="shared" si="8"/>
        <v>32</v>
      </c>
      <c r="J29" s="454"/>
    </row>
    <row r="30" spans="1:13" ht="18" customHeight="1">
      <c r="A30" s="733"/>
      <c r="B30" s="235" t="s">
        <v>1070</v>
      </c>
      <c r="C30" s="276">
        <v>7</v>
      </c>
      <c r="D30" s="276">
        <f>ROUND(C30*VLOOKUP(B30,[1]각종원단위!$A$3:$K$26,(IF($J$27=2011,7,IF($J$27=2012,8,IF($J$27=2013,9,IF($J$27=2014,10,IF($J$27=2015,11,"-")))))),FALSE),0)</f>
        <v>12</v>
      </c>
      <c r="E30" s="292">
        <f>IF($L$3=$M$3,VLOOKUP(B30,[1]각종원단위!$A$55:$K$78,(IF($J$27=2011,7,IF($J$27=2012,8,IF($J$27=2013,9,IF($J$27=2014,10,IF($J$27=2015,11,"-")))))),FALSE),VLOOKUP(B30,[1]각종원단위!$A$55:$K$78,(IF($J$27=2011,7,IF($J$27=2012,8,IF($J$27=2013,9,IF($J$27=2014,10,IF($J$27=2015,11,"-")))))),FALSE))</f>
        <v>3.66</v>
      </c>
      <c r="F30" s="277">
        <f t="shared" si="9"/>
        <v>80</v>
      </c>
      <c r="G30" s="276">
        <f t="shared" si="7"/>
        <v>26</v>
      </c>
      <c r="H30" s="276"/>
      <c r="I30" s="276">
        <f t="shared" si="8"/>
        <v>26</v>
      </c>
      <c r="J30" s="454"/>
    </row>
    <row r="31" spans="1:13" ht="18" customHeight="1">
      <c r="A31" s="733"/>
      <c r="B31" s="235" t="s">
        <v>1055</v>
      </c>
      <c r="C31" s="276">
        <v>7</v>
      </c>
      <c r="D31" s="276">
        <f>ROUND(C31*VLOOKUP(B31,[1]각종원단위!$A$3:$K$26,(IF($J$27=2011,7,IF($J$27=2012,8,IF($J$27=2013,9,IF($J$27=2014,10,IF($J$27=2015,11,"-")))))),FALSE),0)</f>
        <v>38</v>
      </c>
      <c r="E31" s="292">
        <f>IF($L$3=$M$3,VLOOKUP(B31,[1]각종원단위!$A$55:$K$78,(IF($J$27=2011,7,IF($J$27=2012,8,IF($J$27=2013,9,IF($J$27=2014,10,IF($J$27=2015,11,"-")))))),FALSE),VLOOKUP(B31,[1]각종원단위!$A$55:$K$78,(IF($J$27=2011,7,IF($J$27=2012,8,IF($J$27=2013,9,IF($J$27=2014,10,IF($J$27=2015,11,"-")))))),FALSE))</f>
        <v>6.47</v>
      </c>
      <c r="F31" s="277">
        <f t="shared" si="9"/>
        <v>80</v>
      </c>
      <c r="G31" s="276">
        <f t="shared" si="7"/>
        <v>45</v>
      </c>
      <c r="H31" s="276"/>
      <c r="I31" s="276">
        <f t="shared" si="8"/>
        <v>45</v>
      </c>
      <c r="J31" s="454"/>
    </row>
    <row r="32" spans="1:13" s="571" customFormat="1" ht="18" customHeight="1">
      <c r="A32" s="733"/>
      <c r="B32" s="235" t="s">
        <v>1061</v>
      </c>
      <c r="C32" s="276">
        <v>7</v>
      </c>
      <c r="D32" s="276">
        <f>ROUND(C32*VLOOKUP(B32,[1]각종원단위!$A$3:$K$26,(IF($J$27=2011,7,IF($J$27=2012,8,IF($J$27=2013,9,IF($J$27=2014,10,IF($J$27=2015,11,"-")))))),FALSE),0)</f>
        <v>72</v>
      </c>
      <c r="E32" s="292">
        <f>IF($L$3=$M$3,VLOOKUP(B32,[1]각종원단위!$A$55:$K$78,(IF($J$27=2011,7,IF($J$27=2012,8,IF($J$27=2013,9,IF($J$27=2014,10,IF($J$27=2015,11,"-")))))),FALSE),VLOOKUP(B32,[1]각종원단위!$A$55:$K$78,(IF($J$27=2011,7,IF($J$27=2012,8,IF($J$27=2013,9,IF($J$27=2014,10,IF($J$27=2015,11,"-")))))),FALSE))</f>
        <v>14.62</v>
      </c>
      <c r="F32" s="277">
        <f t="shared" si="9"/>
        <v>80</v>
      </c>
      <c r="G32" s="276">
        <f t="shared" si="7"/>
        <v>102</v>
      </c>
      <c r="H32" s="276"/>
      <c r="I32" s="276">
        <f t="shared" si="8"/>
        <v>102</v>
      </c>
      <c r="J32" s="570"/>
    </row>
    <row r="33" spans="1:13" s="571" customFormat="1" ht="18" customHeight="1">
      <c r="A33" s="733"/>
      <c r="B33" s="235" t="s">
        <v>1071</v>
      </c>
      <c r="C33" s="276">
        <v>7</v>
      </c>
      <c r="D33" s="276">
        <f>ROUND(C33*VLOOKUP(B33,[1]각종원단위!$A$3:$K$26,(IF($J$27=2011,7,IF($J$27=2012,8,IF($J$27=2013,9,IF($J$27=2014,10,IF($J$27=2015,11,"-")))))),FALSE),0)</f>
        <v>88</v>
      </c>
      <c r="E33" s="292">
        <f>IF($L$3=$M$3,VLOOKUP(B33,[1]각종원단위!$A$55:$K$78,(IF($J$27=2011,7,IF($J$27=2012,8,IF($J$27=2013,9,IF($J$27=2014,10,IF($J$27=2015,11,"-")))))),FALSE),VLOOKUP(B33,[1]각종원단위!$A$55:$K$78,(IF($J$27=2011,7,IF($J$27=2012,8,IF($J$27=2013,9,IF($J$27=2014,10,IF($J$27=2015,11,"-")))))),FALSE))</f>
        <v>19.350000000000001</v>
      </c>
      <c r="F33" s="277">
        <f t="shared" si="9"/>
        <v>80</v>
      </c>
      <c r="G33" s="276">
        <f t="shared" si="7"/>
        <v>135</v>
      </c>
      <c r="H33" s="276"/>
      <c r="I33" s="276">
        <f t="shared" si="8"/>
        <v>135</v>
      </c>
      <c r="J33" s="570"/>
    </row>
    <row r="34" spans="1:13" s="571" customFormat="1" ht="18" customHeight="1">
      <c r="A34" s="733"/>
      <c r="B34" s="235" t="s">
        <v>1072</v>
      </c>
      <c r="C34" s="276">
        <v>7</v>
      </c>
      <c r="D34" s="276">
        <f>ROUND(C34*VLOOKUP(B34,[1]각종원단위!$A$3:$K$26,(IF($J$27=2011,7,IF($J$27=2012,8,IF($J$27=2013,9,IF($J$27=2014,10,IF($J$27=2015,11,"-")))))),FALSE),0)</f>
        <v>35</v>
      </c>
      <c r="E34" s="292">
        <f>IF($L$3=$M$3,VLOOKUP(B34,[1]각종원단위!$A$55:$K$78,(IF($J$27=2011,7,IF($J$27=2012,8,IF($J$27=2013,9,IF($J$27=2014,10,IF($J$27=2015,11,"-")))))),FALSE),VLOOKUP(B34,[1]각종원단위!$A$55:$K$78,(IF($J$27=2011,7,IF($J$27=2012,8,IF($J$27=2013,9,IF($J$27=2014,10,IF($J$27=2015,11,"-")))))),FALSE))</f>
        <v>3.59</v>
      </c>
      <c r="F34" s="277">
        <f t="shared" si="9"/>
        <v>80</v>
      </c>
      <c r="G34" s="276">
        <f t="shared" si="7"/>
        <v>25</v>
      </c>
      <c r="H34" s="276"/>
      <c r="I34" s="276">
        <f t="shared" si="8"/>
        <v>25</v>
      </c>
      <c r="J34" s="570"/>
    </row>
    <row r="35" spans="1:13" s="571" customFormat="1" ht="18" customHeight="1">
      <c r="A35" s="733"/>
      <c r="B35" s="235" t="s">
        <v>1066</v>
      </c>
      <c r="C35" s="276">
        <v>7</v>
      </c>
      <c r="D35" s="276">
        <f>ROUND(C35*VLOOKUP(B35,[1]각종원단위!$A$3:$K$26,(IF($J$27=2011,7,IF($J$27=2012,8,IF($J$27=2013,9,IF($J$27=2014,10,IF($J$27=2015,11,"-")))))),FALSE),0)</f>
        <v>24</v>
      </c>
      <c r="E35" s="292">
        <f>IF($L$3=$M$3,VLOOKUP(B35,[1]각종원단위!$A$55:$K$78,(IF($J$27=2011,7,IF($J$27=2012,8,IF($J$27=2013,9,IF($J$27=2014,10,IF($J$27=2015,11,"-")))))),FALSE),VLOOKUP(B35,[1]각종원단위!$A$55:$K$78,(IF($J$27=2011,7,IF($J$27=2012,8,IF($J$27=2013,9,IF($J$27=2014,10,IF($J$27=2015,11,"-")))))),FALSE))</f>
        <v>2.89</v>
      </c>
      <c r="F35" s="277">
        <f t="shared" si="9"/>
        <v>80</v>
      </c>
      <c r="G35" s="276">
        <f t="shared" si="7"/>
        <v>20</v>
      </c>
      <c r="H35" s="276"/>
      <c r="I35" s="276">
        <f t="shared" si="8"/>
        <v>20</v>
      </c>
      <c r="J35" s="570"/>
    </row>
    <row r="36" spans="1:13" s="571" customFormat="1" ht="18" customHeight="1">
      <c r="A36" s="733"/>
      <c r="B36" s="235" t="s">
        <v>1055</v>
      </c>
      <c r="C36" s="276">
        <v>40</v>
      </c>
      <c r="D36" s="276">
        <f>ROUND(C36*VLOOKUP(B36,[1]각종원단위!$A$3:$K$26,(IF($J$27=2011,7,IF($J$27=2012,8,IF($J$27=2013,9,IF($J$27=2014,10,IF($J$27=2015,11,"-")))))),FALSE),0)</f>
        <v>214</v>
      </c>
      <c r="E36" s="292">
        <f>IF($L$3=$M$3,VLOOKUP(B36,[1]각종원단위!$A$55:$K$78,(IF($J$27=2011,7,IF($J$27=2012,8,IF($J$27=2013,9,IF($J$27=2014,10,IF($J$27=2015,11,"-")))))),FALSE),VLOOKUP(B36,[1]각종원단위!$A$55:$K$78,(IF($J$27=2011,7,IF($J$27=2012,8,IF($J$27=2013,9,IF($J$27=2014,10,IF($J$27=2015,11,"-")))))),FALSE))</f>
        <v>6.47</v>
      </c>
      <c r="F36" s="277">
        <f t="shared" si="9"/>
        <v>80</v>
      </c>
      <c r="G36" s="276">
        <f t="shared" si="7"/>
        <v>259</v>
      </c>
      <c r="H36" s="276"/>
      <c r="I36" s="276">
        <f t="shared" si="8"/>
        <v>259</v>
      </c>
      <c r="J36" s="570"/>
    </row>
    <row r="37" spans="1:13" s="571" customFormat="1" ht="18" customHeight="1">
      <c r="A37" s="733"/>
      <c r="B37" s="235" t="s">
        <v>1070</v>
      </c>
      <c r="C37" s="276">
        <v>78</v>
      </c>
      <c r="D37" s="276">
        <f>ROUND(C37*VLOOKUP(B37,[1]각종원단위!$A$3:$K$26,(IF($J$27=2011,7,IF($J$27=2012,8,IF($J$27=2013,9,IF($J$27=2014,10,IF($J$27=2015,11,"-")))))),FALSE),0)</f>
        <v>129</v>
      </c>
      <c r="E37" s="292">
        <f>IF($L$3=$M$3,VLOOKUP(B37,[1]각종원단위!$A$55:$K$78,(IF($J$27=2011,7,IF($J$27=2012,8,IF($J$27=2013,9,IF($J$27=2014,10,IF($J$27=2015,11,"-")))))),FALSE),VLOOKUP(B37,[1]각종원단위!$A$55:$K$78,(IF($J$27=2011,7,IF($J$27=2012,8,IF($J$27=2013,9,IF($J$27=2014,10,IF($J$27=2015,11,"-")))))),FALSE))</f>
        <v>3.66</v>
      </c>
      <c r="F37" s="277">
        <f t="shared" si="9"/>
        <v>80</v>
      </c>
      <c r="G37" s="276">
        <f t="shared" si="7"/>
        <v>285</v>
      </c>
      <c r="H37" s="276"/>
      <c r="I37" s="276">
        <f>G37+H37</f>
        <v>285</v>
      </c>
      <c r="J37" s="570"/>
    </row>
    <row r="38" spans="1:13" ht="18" customHeight="1">
      <c r="A38" s="733" t="s">
        <v>1073</v>
      </c>
      <c r="B38" s="234" t="s">
        <v>1053</v>
      </c>
      <c r="C38" s="274">
        <f>SUM(C39:C40)</f>
        <v>108</v>
      </c>
      <c r="D38" s="274">
        <f>SUM(D39:D40)</f>
        <v>453</v>
      </c>
      <c r="E38" s="293"/>
      <c r="F38" s="275"/>
      <c r="G38" s="274">
        <f>SUM(G39:G40)-SUMIF($J$39:$J$40,"제외",$G$39:$G$40)</f>
        <v>1131</v>
      </c>
      <c r="H38" s="274">
        <f>SUM(H39:H40)</f>
        <v>0</v>
      </c>
      <c r="I38" s="274">
        <f>SUM(I39:I40)-SUMIF($J$39:$J$40,"제외",$I$39:$I$40)</f>
        <v>1131</v>
      </c>
      <c r="J38" s="234">
        <v>2015</v>
      </c>
    </row>
    <row r="39" spans="1:13" ht="18" customHeight="1">
      <c r="A39" s="733"/>
      <c r="B39" s="235" t="s">
        <v>1068</v>
      </c>
      <c r="C39" s="276">
        <v>97</v>
      </c>
      <c r="D39" s="276">
        <f>ROUND(C39*VLOOKUP(B39,[1]각종원단위!$A$3:$K$26,(IF($J$38=2011,7,IF($J$38=2012,8,IF($J$38=2013,9,IF($J$38=2014,10,IF($J$38=2015,11,"-")))))),FALSE),0)</f>
        <v>399</v>
      </c>
      <c r="E39" s="292">
        <f>IF($L$3=$M$3,VLOOKUP(B39,[1]각종원단위!$A$55:$K$78,(IF($J$38=2011,7,IF($J$38=2012,8,IF($J$38=2013,9,IF($J$38=2014,10,IF($J$38=2015,11,"-")))))),FALSE),VLOOKUP(B39,[1]각종원단위!$A$55:$K$78,(IF($J$38=2011,7,IF($J$38=2012,8,IF($J$38=2013,9,IF($J$38=2014,10,IF($J$38=2015,11,"-")))))),FALSE))</f>
        <v>11.13</v>
      </c>
      <c r="F39" s="277">
        <f>$M$9</f>
        <v>80</v>
      </c>
      <c r="G39" s="276">
        <f>ROUND(E39*C39,0)</f>
        <v>1080</v>
      </c>
      <c r="H39" s="276"/>
      <c r="I39" s="276">
        <f t="shared" ref="I39" si="10">G39+H39</f>
        <v>1080</v>
      </c>
      <c r="J39" s="454"/>
    </row>
    <row r="40" spans="1:13" s="513" customFormat="1" ht="18" customHeight="1">
      <c r="A40" s="733"/>
      <c r="B40" s="235" t="s">
        <v>1064</v>
      </c>
      <c r="C40" s="276">
        <v>11</v>
      </c>
      <c r="D40" s="276">
        <f>ROUND(C40*VLOOKUP(B40,[1]각종원단위!$A$3:$K$26,(IF($J$38=2011,7,IF($J$38=2012,8,IF($J$38=2013,9,IF($J$38=2014,10,IF($J$38=2015,11,"-")))))),FALSE),0)</f>
        <v>54</v>
      </c>
      <c r="E40" s="292">
        <f>IF($L$3=$M$3,VLOOKUP(B40,[1]각종원단위!$A$55:$K$78,(IF($J$38=2011,7,IF($J$38=2012,8,IF($J$38=2013,9,IF($J$38=2014,10,IF($J$38=2015,11,"-")))))),FALSE),VLOOKUP(B40,[1]각종원단위!$A$55:$K$78,(IF($J$38=2011,7,IF($J$38=2012,8,IF($J$38=2013,9,IF($J$38=2014,10,IF($J$38=2015,11,"-")))))),FALSE))</f>
        <v>4.6399999999999997</v>
      </c>
      <c r="F40" s="277">
        <f>$M$9</f>
        <v>80</v>
      </c>
      <c r="G40" s="276">
        <f>ROUND(E40*C40,0)</f>
        <v>51</v>
      </c>
      <c r="H40" s="276"/>
      <c r="I40" s="276">
        <f t="shared" ref="I40" si="11">G40+H40</f>
        <v>51</v>
      </c>
      <c r="J40" s="512"/>
    </row>
    <row r="41" spans="1:13" ht="18" customHeight="1">
      <c r="A41" s="236" t="s">
        <v>1074</v>
      </c>
      <c r="B41" s="237"/>
      <c r="C41" s="237"/>
      <c r="D41" s="237"/>
      <c r="E41" s="237"/>
      <c r="F41" s="237"/>
      <c r="G41" s="237"/>
      <c r="H41" s="237"/>
      <c r="I41" s="237"/>
      <c r="J41" s="237"/>
    </row>
    <row r="42" spans="1:13" ht="18" customHeight="1">
      <c r="A42" s="237"/>
      <c r="B42" s="237"/>
      <c r="C42" s="237"/>
      <c r="D42" s="237"/>
      <c r="E42" s="237"/>
      <c r="F42" s="237"/>
      <c r="G42" s="237"/>
      <c r="H42" s="237"/>
      <c r="I42" s="237"/>
      <c r="J42" s="237"/>
    </row>
    <row r="43" spans="1:13" ht="18" customHeight="1">
      <c r="A43" s="237"/>
      <c r="B43" s="237"/>
      <c r="C43" s="237"/>
      <c r="D43" s="237"/>
      <c r="E43" s="237"/>
      <c r="F43" s="237"/>
      <c r="G43" s="237"/>
      <c r="H43" s="237"/>
      <c r="I43" s="237"/>
      <c r="J43" s="237"/>
      <c r="M43" s="458"/>
    </row>
    <row r="44" spans="1:13" ht="18" customHeight="1"/>
    <row r="45" spans="1:13" ht="20.100000000000001" customHeight="1"/>
    <row r="46" spans="1:13" ht="20.100000000000001" customHeight="1"/>
    <row r="47" spans="1:13" ht="20.100000000000001" customHeight="1"/>
    <row r="48" spans="1:13" ht="20.100000000000001" customHeight="1"/>
  </sheetData>
  <mergeCells count="13">
    <mergeCell ref="J3:J4"/>
    <mergeCell ref="A3:A4"/>
    <mergeCell ref="B3:B4"/>
    <mergeCell ref="C3:C4"/>
    <mergeCell ref="D3:D4"/>
    <mergeCell ref="E3:F3"/>
    <mergeCell ref="G3:I3"/>
    <mergeCell ref="A38:A40"/>
    <mergeCell ref="A6:A7"/>
    <mergeCell ref="L6:M6"/>
    <mergeCell ref="A25:A26"/>
    <mergeCell ref="A8:A24"/>
    <mergeCell ref="A27:A37"/>
  </mergeCells>
  <phoneticPr fontId="3" type="noConversion"/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IV74"/>
  <sheetViews>
    <sheetView workbookViewId="0">
      <selection activeCell="P27" sqref="P27"/>
    </sheetView>
  </sheetViews>
  <sheetFormatPr defaultRowHeight="24.95" customHeight="1"/>
  <cols>
    <col min="1" max="2" width="10.77734375" style="224" customWidth="1"/>
    <col min="3" max="3" width="8.21875" style="224" hidden="1" customWidth="1"/>
    <col min="4" max="14" width="8.21875" style="224" customWidth="1"/>
    <col min="15" max="16384" width="8.88671875" style="224"/>
  </cols>
  <sheetData>
    <row r="1" spans="1:256" ht="24.95" customHeight="1">
      <c r="A1" s="204" t="s">
        <v>1086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204"/>
      <c r="Q1" s="204"/>
      <c r="R1" s="204"/>
      <c r="S1" s="204"/>
      <c r="T1" s="204"/>
      <c r="U1" s="204"/>
      <c r="V1" s="204"/>
      <c r="W1" s="204"/>
      <c r="X1" s="204"/>
      <c r="Y1" s="204"/>
      <c r="Z1" s="204"/>
      <c r="AA1" s="204"/>
      <c r="AB1" s="204"/>
      <c r="AC1" s="204"/>
      <c r="AD1" s="204"/>
      <c r="AE1" s="204"/>
      <c r="AF1" s="204"/>
      <c r="AG1" s="204"/>
      <c r="AH1" s="204"/>
      <c r="AI1" s="204"/>
      <c r="AJ1" s="204"/>
      <c r="AK1" s="204"/>
      <c r="AL1" s="204"/>
      <c r="AM1" s="204"/>
      <c r="AN1" s="204"/>
      <c r="AO1" s="204"/>
      <c r="AP1" s="204"/>
      <c r="AQ1" s="204"/>
      <c r="AR1" s="204"/>
      <c r="AS1" s="204"/>
      <c r="AT1" s="204"/>
      <c r="AU1" s="204"/>
      <c r="AV1" s="204"/>
      <c r="AW1" s="204"/>
      <c r="AX1" s="204"/>
      <c r="AY1" s="204"/>
      <c r="AZ1" s="204"/>
      <c r="BA1" s="204"/>
      <c r="BB1" s="204"/>
      <c r="BC1" s="204"/>
      <c r="BD1" s="204"/>
      <c r="BE1" s="204"/>
      <c r="BF1" s="204"/>
      <c r="BG1" s="204"/>
      <c r="BH1" s="204"/>
      <c r="BI1" s="204"/>
      <c r="BJ1" s="204"/>
      <c r="BK1" s="204"/>
      <c r="BL1" s="204"/>
      <c r="BM1" s="204"/>
      <c r="BN1" s="204"/>
      <c r="BO1" s="204"/>
      <c r="BP1" s="204"/>
      <c r="BQ1" s="204"/>
      <c r="BR1" s="204"/>
      <c r="BS1" s="204"/>
      <c r="BT1" s="204"/>
      <c r="BU1" s="204"/>
      <c r="BV1" s="204"/>
      <c r="BW1" s="204"/>
      <c r="BX1" s="204"/>
      <c r="BY1" s="204"/>
      <c r="BZ1" s="204"/>
      <c r="CA1" s="204"/>
      <c r="CB1" s="204"/>
      <c r="CC1" s="204"/>
      <c r="CD1" s="204"/>
      <c r="CE1" s="204"/>
      <c r="CF1" s="204"/>
      <c r="CG1" s="204"/>
      <c r="CH1" s="204"/>
      <c r="CI1" s="204"/>
      <c r="CJ1" s="204"/>
      <c r="CK1" s="204"/>
      <c r="CL1" s="204"/>
      <c r="CM1" s="204"/>
      <c r="CN1" s="204"/>
      <c r="CO1" s="204"/>
      <c r="CP1" s="204"/>
      <c r="CQ1" s="204"/>
      <c r="CR1" s="204"/>
      <c r="CS1" s="204"/>
      <c r="CT1" s="204"/>
      <c r="CU1" s="204"/>
      <c r="CV1" s="204"/>
      <c r="CW1" s="204"/>
      <c r="CX1" s="204"/>
      <c r="CY1" s="204"/>
      <c r="CZ1" s="204"/>
      <c r="DA1" s="204"/>
      <c r="DB1" s="204"/>
      <c r="DC1" s="204"/>
      <c r="DD1" s="204"/>
      <c r="DE1" s="204"/>
      <c r="DF1" s="204"/>
      <c r="DG1" s="204"/>
      <c r="DH1" s="204"/>
      <c r="DI1" s="204"/>
      <c r="DJ1" s="204"/>
      <c r="DK1" s="204"/>
      <c r="DL1" s="204"/>
      <c r="DM1" s="204"/>
      <c r="DN1" s="204"/>
      <c r="DO1" s="204"/>
      <c r="DP1" s="204"/>
      <c r="DQ1" s="204"/>
      <c r="DR1" s="204"/>
      <c r="DS1" s="204"/>
      <c r="DT1" s="204"/>
      <c r="DU1" s="204"/>
      <c r="DV1" s="204"/>
      <c r="DW1" s="204"/>
      <c r="DX1" s="204"/>
      <c r="DY1" s="204"/>
      <c r="DZ1" s="204"/>
      <c r="EA1" s="204"/>
      <c r="EB1" s="204"/>
      <c r="EC1" s="204"/>
      <c r="ED1" s="204"/>
      <c r="EE1" s="204"/>
      <c r="EF1" s="204"/>
      <c r="EG1" s="204"/>
      <c r="EH1" s="204"/>
      <c r="EI1" s="204"/>
      <c r="EJ1" s="204"/>
      <c r="EK1" s="204"/>
      <c r="EL1" s="204"/>
      <c r="EM1" s="204"/>
      <c r="EN1" s="204"/>
      <c r="EO1" s="204"/>
      <c r="EP1" s="204"/>
      <c r="EQ1" s="204"/>
      <c r="ER1" s="204"/>
      <c r="ES1" s="204"/>
      <c r="ET1" s="204"/>
      <c r="EU1" s="204"/>
      <c r="EV1" s="204"/>
      <c r="EW1" s="204"/>
      <c r="EX1" s="204"/>
      <c r="EY1" s="204"/>
      <c r="EZ1" s="204"/>
      <c r="FA1" s="204"/>
      <c r="FB1" s="204"/>
      <c r="FC1" s="204"/>
      <c r="FD1" s="204"/>
      <c r="FE1" s="204"/>
      <c r="FF1" s="204"/>
      <c r="FG1" s="204"/>
      <c r="FH1" s="204"/>
      <c r="FI1" s="204"/>
      <c r="FJ1" s="204"/>
      <c r="FK1" s="204"/>
      <c r="FL1" s="204"/>
      <c r="FM1" s="204"/>
      <c r="FN1" s="204"/>
      <c r="FO1" s="204"/>
      <c r="FP1" s="204"/>
      <c r="FQ1" s="204"/>
      <c r="FR1" s="204"/>
      <c r="FS1" s="204"/>
      <c r="FT1" s="204"/>
      <c r="FU1" s="204"/>
      <c r="FV1" s="204"/>
      <c r="FW1" s="204"/>
      <c r="FX1" s="204"/>
      <c r="FY1" s="204"/>
      <c r="FZ1" s="204"/>
      <c r="GA1" s="204"/>
      <c r="GB1" s="204"/>
      <c r="GC1" s="204"/>
      <c r="GD1" s="204"/>
      <c r="GE1" s="204"/>
      <c r="GF1" s="204"/>
      <c r="GG1" s="204"/>
      <c r="GH1" s="204"/>
      <c r="GI1" s="204"/>
      <c r="GJ1" s="204"/>
      <c r="GK1" s="204"/>
      <c r="GL1" s="204"/>
      <c r="GM1" s="204"/>
      <c r="GN1" s="204"/>
      <c r="GO1" s="204"/>
      <c r="GP1" s="204"/>
      <c r="GQ1" s="204"/>
      <c r="GR1" s="204"/>
      <c r="GS1" s="204"/>
      <c r="GT1" s="204"/>
      <c r="GU1" s="204"/>
      <c r="GV1" s="204"/>
      <c r="GW1" s="204"/>
      <c r="GX1" s="204"/>
      <c r="GY1" s="204"/>
      <c r="GZ1" s="204"/>
      <c r="HA1" s="204"/>
      <c r="HB1" s="204"/>
      <c r="HC1" s="204"/>
      <c r="HD1" s="204"/>
      <c r="HE1" s="204"/>
      <c r="HF1" s="204"/>
      <c r="HG1" s="204"/>
      <c r="HH1" s="204"/>
      <c r="HI1" s="204"/>
      <c r="HJ1" s="204"/>
      <c r="HK1" s="204"/>
      <c r="HL1" s="204"/>
      <c r="HM1" s="204"/>
      <c r="HN1" s="204"/>
      <c r="HO1" s="204"/>
      <c r="HP1" s="204"/>
      <c r="HQ1" s="204"/>
      <c r="HR1" s="204"/>
      <c r="HS1" s="204"/>
      <c r="HT1" s="204"/>
      <c r="HU1" s="204"/>
      <c r="HV1" s="204"/>
      <c r="HW1" s="204"/>
      <c r="HX1" s="204"/>
      <c r="HY1" s="204"/>
      <c r="HZ1" s="204"/>
      <c r="IA1" s="204"/>
      <c r="IB1" s="204"/>
      <c r="IC1" s="204"/>
      <c r="ID1" s="204"/>
      <c r="IE1" s="204"/>
      <c r="IF1" s="204"/>
      <c r="IG1" s="204"/>
      <c r="IH1" s="204"/>
      <c r="II1" s="204"/>
      <c r="IJ1" s="204"/>
      <c r="IK1" s="204"/>
      <c r="IL1" s="204"/>
      <c r="IM1" s="204"/>
      <c r="IN1" s="204"/>
      <c r="IO1" s="204"/>
      <c r="IP1" s="204"/>
      <c r="IQ1" s="204"/>
      <c r="IR1" s="204"/>
      <c r="IS1" s="204"/>
      <c r="IT1" s="204"/>
      <c r="IU1" s="204"/>
      <c r="IV1" s="204"/>
    </row>
    <row r="2" spans="1:256" ht="24.95" customHeight="1">
      <c r="A2" s="207" t="s">
        <v>1079</v>
      </c>
      <c r="B2" s="207"/>
      <c r="C2" s="208"/>
      <c r="D2" s="208"/>
      <c r="E2" s="209"/>
      <c r="F2" s="209"/>
      <c r="G2" s="208"/>
      <c r="H2" s="209"/>
      <c r="I2" s="209"/>
      <c r="J2" s="208"/>
      <c r="K2" s="208"/>
      <c r="L2" s="208"/>
      <c r="M2" s="208"/>
      <c r="N2" s="208"/>
      <c r="O2" s="208"/>
      <c r="P2" s="208"/>
      <c r="Q2" s="208"/>
      <c r="R2" s="208"/>
      <c r="S2" s="208"/>
      <c r="T2" s="208"/>
      <c r="U2" s="208"/>
      <c r="V2" s="208"/>
      <c r="W2" s="208"/>
      <c r="X2" s="208"/>
      <c r="Y2" s="208"/>
      <c r="Z2" s="208"/>
      <c r="AA2" s="208"/>
      <c r="AB2" s="208"/>
      <c r="AC2" s="208"/>
      <c r="AD2" s="208"/>
      <c r="AE2" s="208"/>
      <c r="AF2" s="208"/>
      <c r="AG2" s="208"/>
      <c r="AH2" s="208"/>
      <c r="AI2" s="208"/>
      <c r="AJ2" s="208"/>
      <c r="AK2" s="208"/>
      <c r="AL2" s="208"/>
      <c r="AM2" s="208"/>
      <c r="AN2" s="208"/>
      <c r="AO2" s="208"/>
      <c r="AP2" s="208"/>
      <c r="AQ2" s="208"/>
      <c r="AR2" s="208"/>
      <c r="AS2" s="208"/>
      <c r="AT2" s="208"/>
      <c r="AU2" s="208"/>
      <c r="AV2" s="208"/>
      <c r="AW2" s="208"/>
      <c r="AX2" s="208"/>
      <c r="AY2" s="208"/>
      <c r="AZ2" s="208"/>
      <c r="BA2" s="208"/>
      <c r="BB2" s="208"/>
      <c r="BC2" s="208"/>
      <c r="BD2" s="208"/>
      <c r="BE2" s="208"/>
      <c r="BF2" s="208"/>
      <c r="BG2" s="208"/>
      <c r="BH2" s="208"/>
      <c r="BI2" s="208"/>
      <c r="BJ2" s="208"/>
      <c r="BK2" s="208"/>
      <c r="BL2" s="208"/>
      <c r="BM2" s="208"/>
      <c r="BN2" s="208"/>
      <c r="BO2" s="208"/>
      <c r="BP2" s="208"/>
      <c r="BQ2" s="208"/>
      <c r="BR2" s="208"/>
      <c r="BS2" s="208"/>
      <c r="BT2" s="208"/>
      <c r="BU2" s="208"/>
      <c r="BV2" s="208"/>
      <c r="BW2" s="208"/>
      <c r="BX2" s="208"/>
      <c r="BY2" s="208"/>
      <c r="BZ2" s="208"/>
      <c r="CA2" s="208"/>
      <c r="CB2" s="208"/>
      <c r="CC2" s="208"/>
      <c r="CD2" s="208"/>
      <c r="CE2" s="208"/>
      <c r="CF2" s="208"/>
      <c r="CG2" s="208"/>
      <c r="CH2" s="208"/>
      <c r="CI2" s="208"/>
      <c r="CJ2" s="208"/>
      <c r="CK2" s="208"/>
      <c r="CL2" s="208"/>
      <c r="CM2" s="208"/>
      <c r="CN2" s="208"/>
      <c r="CO2" s="208"/>
      <c r="CP2" s="208"/>
      <c r="CQ2" s="208"/>
      <c r="CR2" s="208"/>
      <c r="CS2" s="208"/>
      <c r="CT2" s="208"/>
      <c r="CU2" s="208"/>
      <c r="CV2" s="208"/>
      <c r="CW2" s="208"/>
      <c r="CX2" s="208"/>
      <c r="CY2" s="208"/>
      <c r="CZ2" s="208"/>
      <c r="DA2" s="208"/>
      <c r="DB2" s="208"/>
      <c r="DC2" s="208"/>
      <c r="DD2" s="208"/>
      <c r="DE2" s="208"/>
      <c r="DF2" s="208"/>
      <c r="DG2" s="208"/>
      <c r="DH2" s="208"/>
      <c r="DI2" s="208"/>
      <c r="DJ2" s="208"/>
      <c r="DK2" s="208"/>
      <c r="DL2" s="208"/>
      <c r="DM2" s="208"/>
      <c r="DN2" s="208"/>
      <c r="DO2" s="208"/>
      <c r="DP2" s="208"/>
      <c r="DQ2" s="208"/>
      <c r="DR2" s="208"/>
      <c r="DS2" s="208"/>
      <c r="DT2" s="208"/>
      <c r="DU2" s="208"/>
      <c r="DV2" s="208"/>
      <c r="DW2" s="208"/>
      <c r="DX2" s="208"/>
      <c r="DY2" s="208"/>
      <c r="DZ2" s="208"/>
      <c r="EA2" s="208"/>
      <c r="EB2" s="208"/>
      <c r="EC2" s="208"/>
      <c r="ED2" s="208"/>
      <c r="EE2" s="208"/>
      <c r="EF2" s="208"/>
      <c r="EG2" s="208"/>
      <c r="EH2" s="208"/>
      <c r="EI2" s="208"/>
      <c r="EJ2" s="208"/>
      <c r="EK2" s="208"/>
      <c r="EL2" s="208"/>
      <c r="EM2" s="208"/>
      <c r="EN2" s="208"/>
      <c r="EO2" s="208"/>
      <c r="EP2" s="208"/>
      <c r="EQ2" s="208"/>
      <c r="ER2" s="208"/>
      <c r="ES2" s="208"/>
      <c r="ET2" s="208"/>
      <c r="EU2" s="208"/>
      <c r="EV2" s="208"/>
      <c r="EW2" s="208"/>
      <c r="EX2" s="208"/>
      <c r="EY2" s="208"/>
      <c r="EZ2" s="208"/>
      <c r="FA2" s="208"/>
      <c r="FB2" s="208"/>
      <c r="FC2" s="208"/>
      <c r="FD2" s="208"/>
      <c r="FE2" s="208"/>
      <c r="FF2" s="208"/>
      <c r="FG2" s="208"/>
      <c r="FH2" s="208"/>
      <c r="FI2" s="208"/>
      <c r="FJ2" s="208"/>
      <c r="FK2" s="208"/>
      <c r="FL2" s="208"/>
      <c r="FM2" s="208"/>
      <c r="FN2" s="208"/>
      <c r="FO2" s="208"/>
      <c r="FP2" s="208"/>
      <c r="FQ2" s="208"/>
      <c r="FR2" s="208"/>
      <c r="FS2" s="208"/>
      <c r="FT2" s="208"/>
      <c r="FU2" s="208"/>
      <c r="FV2" s="208"/>
      <c r="FW2" s="208"/>
      <c r="FX2" s="208"/>
      <c r="FY2" s="208"/>
      <c r="FZ2" s="208"/>
      <c r="GA2" s="208"/>
      <c r="GB2" s="208"/>
      <c r="GC2" s="208"/>
      <c r="GD2" s="208"/>
      <c r="GE2" s="208"/>
      <c r="GF2" s="208"/>
      <c r="GG2" s="208"/>
      <c r="GH2" s="208"/>
      <c r="GI2" s="208"/>
      <c r="GJ2" s="208"/>
      <c r="GK2" s="208"/>
      <c r="GL2" s="208"/>
      <c r="GM2" s="208"/>
      <c r="GN2" s="208"/>
      <c r="GO2" s="208"/>
      <c r="GP2" s="208"/>
      <c r="GQ2" s="208"/>
      <c r="GR2" s="208"/>
      <c r="GS2" s="208"/>
      <c r="GT2" s="208"/>
      <c r="GU2" s="208"/>
      <c r="GV2" s="208"/>
      <c r="GW2" s="208"/>
      <c r="GX2" s="208"/>
      <c r="GY2" s="208"/>
      <c r="GZ2" s="208"/>
      <c r="HA2" s="208"/>
      <c r="HB2" s="208"/>
      <c r="HC2" s="208"/>
      <c r="HD2" s="208"/>
      <c r="HE2" s="208"/>
      <c r="HF2" s="208"/>
      <c r="HG2" s="208"/>
      <c r="HH2" s="208"/>
      <c r="HI2" s="208"/>
      <c r="HJ2" s="208"/>
      <c r="HK2" s="208"/>
      <c r="HL2" s="208"/>
      <c r="HM2" s="208"/>
      <c r="HN2" s="208"/>
      <c r="HO2" s="208"/>
      <c r="HP2" s="208"/>
      <c r="HQ2" s="208"/>
      <c r="HR2" s="208"/>
      <c r="HS2" s="208"/>
      <c r="HT2" s="208"/>
      <c r="HU2" s="208"/>
      <c r="HV2" s="208"/>
      <c r="HW2" s="208"/>
      <c r="HX2" s="208"/>
      <c r="HY2" s="208"/>
      <c r="HZ2" s="208"/>
      <c r="IA2" s="208"/>
      <c r="IB2" s="208"/>
      <c r="IC2" s="208"/>
      <c r="ID2" s="208"/>
      <c r="IE2" s="208"/>
      <c r="IF2" s="208"/>
      <c r="IG2" s="208"/>
      <c r="IH2" s="208"/>
      <c r="II2" s="208"/>
      <c r="IJ2" s="208"/>
      <c r="IK2" s="208"/>
      <c r="IL2" s="208"/>
      <c r="IM2" s="208"/>
      <c r="IN2" s="208"/>
      <c r="IO2" s="208"/>
      <c r="IP2" s="208"/>
      <c r="IQ2" s="208"/>
      <c r="IR2" s="208"/>
      <c r="IS2" s="208"/>
      <c r="IT2" s="208"/>
      <c r="IU2" s="208"/>
      <c r="IV2" s="208"/>
    </row>
    <row r="3" spans="1:256" ht="20.100000000000001" customHeight="1">
      <c r="A3" s="616" t="s">
        <v>410</v>
      </c>
      <c r="B3" s="616"/>
      <c r="C3" s="238">
        <v>2003</v>
      </c>
      <c r="D3" s="238">
        <v>2004</v>
      </c>
      <c r="E3" s="238">
        <v>2005</v>
      </c>
      <c r="F3" s="238">
        <v>2006</v>
      </c>
      <c r="G3" s="238">
        <v>2007</v>
      </c>
      <c r="H3" s="238">
        <v>2008</v>
      </c>
      <c r="I3" s="238">
        <v>2009</v>
      </c>
      <c r="J3" s="238">
        <v>2010</v>
      </c>
      <c r="K3" s="238">
        <v>2011</v>
      </c>
      <c r="L3" s="238">
        <v>2012</v>
      </c>
      <c r="M3" s="238">
        <v>2013</v>
      </c>
      <c r="N3" s="226" t="s">
        <v>1036</v>
      </c>
    </row>
    <row r="4" spans="1:256" ht="20.100000000000001" customHeight="1">
      <c r="A4" s="641" t="s">
        <v>1083</v>
      </c>
      <c r="B4" s="239" t="s">
        <v>22</v>
      </c>
      <c r="C4" s="229">
        <f t="shared" ref="C4" si="0">SUM(C11:C13)</f>
        <v>235312</v>
      </c>
      <c r="D4" s="229">
        <f>SUM(D5:D13)</f>
        <v>331598</v>
      </c>
      <c r="E4" s="229">
        <f t="shared" ref="E4:M4" si="1">SUM(E5:E13)</f>
        <v>366502</v>
      </c>
      <c r="F4" s="229">
        <f t="shared" si="1"/>
        <v>374616</v>
      </c>
      <c r="G4" s="229">
        <f t="shared" si="1"/>
        <v>363965</v>
      </c>
      <c r="H4" s="229">
        <f t="shared" si="1"/>
        <v>308583</v>
      </c>
      <c r="I4" s="229">
        <f t="shared" si="1"/>
        <v>337134</v>
      </c>
      <c r="J4" s="229">
        <f t="shared" si="1"/>
        <v>451282</v>
      </c>
      <c r="K4" s="229">
        <f t="shared" si="1"/>
        <v>703640</v>
      </c>
      <c r="L4" s="229">
        <f t="shared" si="1"/>
        <v>908590</v>
      </c>
      <c r="M4" s="229">
        <f t="shared" si="1"/>
        <v>1116098</v>
      </c>
      <c r="N4" s="226"/>
    </row>
    <row r="5" spans="1:256" ht="20.100000000000001" customHeight="1">
      <c r="A5" s="641"/>
      <c r="B5" s="257" t="s">
        <v>1176</v>
      </c>
      <c r="C5" s="229"/>
      <c r="D5" s="229">
        <f>'[4]연 수요량'!C114</f>
        <v>0</v>
      </c>
      <c r="E5" s="229">
        <f>'[4]연 수요량'!D114</f>
        <v>0</v>
      </c>
      <c r="F5" s="229">
        <f>'[4]연 수요량'!E114</f>
        <v>0</v>
      </c>
      <c r="G5" s="229">
        <f>'[4]연 수요량'!F114</f>
        <v>5435</v>
      </c>
      <c r="H5" s="229">
        <f>'[4]연 수요량'!G114</f>
        <v>6882</v>
      </c>
      <c r="I5" s="229">
        <f>'[4]연 수요량'!H114</f>
        <v>7340</v>
      </c>
      <c r="J5" s="229">
        <f>'[4]연 수요량'!I114</f>
        <v>12347</v>
      </c>
      <c r="K5" s="229">
        <f>'[4]연 수요량'!J114</f>
        <v>16065</v>
      </c>
      <c r="L5" s="229">
        <f>'[4]연 수요량'!K114</f>
        <v>22708</v>
      </c>
      <c r="M5" s="229">
        <f>'[4]연 수요량'!L114</f>
        <v>22405</v>
      </c>
      <c r="N5" s="258"/>
    </row>
    <row r="6" spans="1:256" ht="20.100000000000001" customHeight="1">
      <c r="A6" s="641"/>
      <c r="B6" s="257" t="s">
        <v>1177</v>
      </c>
      <c r="C6" s="229"/>
      <c r="D6" s="229">
        <f>'[4]연 수요량'!C115</f>
        <v>0</v>
      </c>
      <c r="E6" s="229">
        <f>'[4]연 수요량'!D115</f>
        <v>0</v>
      </c>
      <c r="F6" s="229">
        <f>'[4]연 수요량'!E115</f>
        <v>0</v>
      </c>
      <c r="G6" s="229">
        <f>'[4]연 수요량'!F115</f>
        <v>0</v>
      </c>
      <c r="H6" s="229">
        <f>'[4]연 수요량'!G115</f>
        <v>7593</v>
      </c>
      <c r="I6" s="229">
        <f>'[4]연 수요량'!H115</f>
        <v>8090</v>
      </c>
      <c r="J6" s="229">
        <f>'[4]연 수요량'!I115</f>
        <v>10931</v>
      </c>
      <c r="K6" s="229">
        <f>'[4]연 수요량'!J115</f>
        <v>21194</v>
      </c>
      <c r="L6" s="229">
        <f>'[4]연 수요량'!K115</f>
        <v>15926</v>
      </c>
      <c r="M6" s="229">
        <f>'[4]연 수요량'!L115</f>
        <v>14802</v>
      </c>
      <c r="N6" s="258"/>
    </row>
    <row r="7" spans="1:256" ht="20.100000000000001" customHeight="1">
      <c r="A7" s="641"/>
      <c r="B7" s="257" t="s">
        <v>1178</v>
      </c>
      <c r="C7" s="229"/>
      <c r="D7" s="229">
        <f>'[4]연 수요량'!C116</f>
        <v>0</v>
      </c>
      <c r="E7" s="229">
        <f>'[4]연 수요량'!D116</f>
        <v>0</v>
      </c>
      <c r="F7" s="229">
        <f>'[4]연 수요량'!E116</f>
        <v>0</v>
      </c>
      <c r="G7" s="229">
        <f>'[4]연 수요량'!F116</f>
        <v>447</v>
      </c>
      <c r="H7" s="229">
        <f>'[4]연 수요량'!G116</f>
        <v>5830</v>
      </c>
      <c r="I7" s="229">
        <f>'[4]연 수요량'!H116</f>
        <v>2770</v>
      </c>
      <c r="J7" s="229">
        <f>'[4]연 수요량'!I116</f>
        <v>4048</v>
      </c>
      <c r="K7" s="229">
        <f>'[4]연 수요량'!J116</f>
        <v>5672</v>
      </c>
      <c r="L7" s="229">
        <f>'[4]연 수요량'!K116</f>
        <v>4506</v>
      </c>
      <c r="M7" s="229">
        <f>'[4]연 수요량'!L116</f>
        <v>7544</v>
      </c>
      <c r="N7" s="258"/>
    </row>
    <row r="8" spans="1:256" ht="20.100000000000001" customHeight="1">
      <c r="A8" s="641"/>
      <c r="B8" s="257" t="s">
        <v>1179</v>
      </c>
      <c r="C8" s="229"/>
      <c r="D8" s="229">
        <f>'[4]연 수요량'!C117</f>
        <v>9310</v>
      </c>
      <c r="E8" s="229">
        <f>'[4]연 수요량'!D117</f>
        <v>569</v>
      </c>
      <c r="F8" s="229">
        <f>'[4]연 수요량'!E117</f>
        <v>8998</v>
      </c>
      <c r="G8" s="229">
        <f>'[4]연 수요량'!F117</f>
        <v>43440</v>
      </c>
      <c r="H8" s="229">
        <f>'[4]연 수요량'!G117</f>
        <v>42391</v>
      </c>
      <c r="I8" s="229">
        <f>'[4]연 수요량'!H117</f>
        <v>77179</v>
      </c>
      <c r="J8" s="229">
        <f>'[4]연 수요량'!I117</f>
        <v>79804</v>
      </c>
      <c r="K8" s="229">
        <f>'[4]연 수요량'!J117</f>
        <v>87959</v>
      </c>
      <c r="L8" s="229">
        <f>'[4]연 수요량'!K117</f>
        <v>112899</v>
      </c>
      <c r="M8" s="229">
        <f>'[4]연 수요량'!L117</f>
        <v>99316</v>
      </c>
      <c r="N8" s="258"/>
    </row>
    <row r="9" spans="1:256" ht="20.100000000000001" customHeight="1">
      <c r="A9" s="641"/>
      <c r="B9" s="257" t="s">
        <v>1180</v>
      </c>
      <c r="C9" s="229"/>
      <c r="D9" s="229">
        <f>'[4]연 수요량'!C118</f>
        <v>32504</v>
      </c>
      <c r="E9" s="229">
        <f>'[4]연 수요량'!D118</f>
        <v>28061</v>
      </c>
      <c r="F9" s="229">
        <f>'[4]연 수요량'!E118</f>
        <v>29827</v>
      </c>
      <c r="G9" s="229">
        <f>'[4]연 수요량'!F118</f>
        <v>27562</v>
      </c>
      <c r="H9" s="229">
        <f>'[4]연 수요량'!G118</f>
        <v>27012</v>
      </c>
      <c r="I9" s="229">
        <f>'[4]연 수요량'!H118</f>
        <v>25173</v>
      </c>
      <c r="J9" s="229">
        <f>'[4]연 수요량'!I118</f>
        <v>28675</v>
      </c>
      <c r="K9" s="229">
        <f>'[4]연 수요량'!J118</f>
        <v>32132</v>
      </c>
      <c r="L9" s="229">
        <f>'[4]연 수요량'!K118</f>
        <v>25730</v>
      </c>
      <c r="M9" s="229">
        <f>'[4]연 수요량'!L118</f>
        <v>26754</v>
      </c>
      <c r="N9" s="258"/>
    </row>
    <row r="10" spans="1:256" ht="20.100000000000001" customHeight="1">
      <c r="A10" s="641"/>
      <c r="B10" s="257" t="s">
        <v>1181</v>
      </c>
      <c r="C10" s="229"/>
      <c r="D10" s="229">
        <f>'[4]연 수요량'!C119</f>
        <v>0</v>
      </c>
      <c r="E10" s="229">
        <f>'[4]연 수요량'!D119</f>
        <v>0</v>
      </c>
      <c r="F10" s="229">
        <f>'[4]연 수요량'!E119</f>
        <v>0</v>
      </c>
      <c r="G10" s="229">
        <f>'[4]연 수요량'!F119</f>
        <v>0</v>
      </c>
      <c r="H10" s="229">
        <f>'[4]연 수요량'!G119</f>
        <v>0</v>
      </c>
      <c r="I10" s="229">
        <f>'[4]연 수요량'!H119</f>
        <v>0</v>
      </c>
      <c r="J10" s="229">
        <f>'[4]연 수요량'!I119</f>
        <v>26</v>
      </c>
      <c r="K10" s="229">
        <f>'[4]연 수요량'!J119</f>
        <v>11998</v>
      </c>
      <c r="L10" s="229">
        <f>'[4]연 수요량'!K119</f>
        <v>11554</v>
      </c>
      <c r="M10" s="229">
        <f>'[4]연 수요량'!L119</f>
        <v>17545</v>
      </c>
      <c r="N10" s="258"/>
    </row>
    <row r="11" spans="1:256" ht="20.100000000000001" customHeight="1">
      <c r="A11" s="641"/>
      <c r="B11" s="238" t="s">
        <v>1077</v>
      </c>
      <c r="C11" s="229">
        <v>235312</v>
      </c>
      <c r="D11" s="229">
        <v>289784</v>
      </c>
      <c r="E11" s="229">
        <v>309314</v>
      </c>
      <c r="F11" s="229">
        <v>277040</v>
      </c>
      <c r="G11" s="229">
        <v>214999</v>
      </c>
      <c r="H11" s="229">
        <v>141063</v>
      </c>
      <c r="I11" s="229">
        <v>117639</v>
      </c>
      <c r="J11" s="229">
        <v>178686</v>
      </c>
      <c r="K11" s="229">
        <v>206114</v>
      </c>
      <c r="L11" s="229">
        <v>301083</v>
      </c>
      <c r="M11" s="229">
        <v>452051</v>
      </c>
      <c r="N11" s="226"/>
    </row>
    <row r="12" spans="1:256" ht="20.100000000000001" customHeight="1">
      <c r="A12" s="641"/>
      <c r="B12" s="238" t="s">
        <v>1080</v>
      </c>
      <c r="C12" s="229"/>
      <c r="D12" s="229"/>
      <c r="E12" s="229">
        <v>28558</v>
      </c>
      <c r="F12" s="229">
        <v>58751</v>
      </c>
      <c r="G12" s="229">
        <v>72082</v>
      </c>
      <c r="H12" s="229">
        <v>77812</v>
      </c>
      <c r="I12" s="229">
        <v>98943</v>
      </c>
      <c r="J12" s="229">
        <v>136765</v>
      </c>
      <c r="K12" s="229">
        <v>140368</v>
      </c>
      <c r="L12" s="229">
        <v>168117</v>
      </c>
      <c r="M12" s="229">
        <v>153664</v>
      </c>
      <c r="N12" s="226"/>
    </row>
    <row r="13" spans="1:256" ht="20.100000000000001" customHeight="1">
      <c r="A13" s="641"/>
      <c r="B13" s="238" t="s">
        <v>1081</v>
      </c>
      <c r="C13" s="229"/>
      <c r="D13" s="229"/>
      <c r="E13" s="229"/>
      <c r="F13" s="229"/>
      <c r="G13" s="229"/>
      <c r="H13" s="229"/>
      <c r="I13" s="229"/>
      <c r="J13" s="229"/>
      <c r="K13" s="229">
        <v>182138</v>
      </c>
      <c r="L13" s="229">
        <v>246067</v>
      </c>
      <c r="M13" s="229">
        <v>322017</v>
      </c>
      <c r="N13" s="226"/>
    </row>
    <row r="14" spans="1:256" ht="20.100000000000001" customHeight="1">
      <c r="A14" s="641" t="s">
        <v>1082</v>
      </c>
      <c r="B14" s="239" t="s">
        <v>22</v>
      </c>
      <c r="C14" s="229">
        <f t="shared" ref="C14" si="2">SUM(C21:C23)</f>
        <v>645</v>
      </c>
      <c r="D14" s="270">
        <f>SUM(D15:D23)</f>
        <v>909</v>
      </c>
      <c r="E14" s="270">
        <f t="shared" ref="E14" si="3">SUM(E15:E23)</f>
        <v>1004</v>
      </c>
      <c r="F14" s="270">
        <f t="shared" ref="F14" si="4">SUM(F15:F23)</f>
        <v>1027</v>
      </c>
      <c r="G14" s="270">
        <f t="shared" ref="G14" si="5">SUM(G15:G23)</f>
        <v>997</v>
      </c>
      <c r="H14" s="270">
        <f t="shared" ref="H14" si="6">SUM(H15:H23)</f>
        <v>845</v>
      </c>
      <c r="I14" s="270">
        <f t="shared" ref="I14" si="7">SUM(I15:I23)</f>
        <v>923</v>
      </c>
      <c r="J14" s="270">
        <f t="shared" ref="J14" si="8">SUM(J15:J23)</f>
        <v>1238</v>
      </c>
      <c r="K14" s="270">
        <f t="shared" ref="K14" si="9">SUM(K15:K23)</f>
        <v>1929</v>
      </c>
      <c r="L14" s="270">
        <f t="shared" ref="L14" si="10">SUM(L15:L23)</f>
        <v>2489</v>
      </c>
      <c r="M14" s="270">
        <f t="shared" ref="M14" si="11">SUM(M15:M23)</f>
        <v>3057</v>
      </c>
      <c r="N14" s="242">
        <f>SUM(N15:N23)</f>
        <v>3057</v>
      </c>
    </row>
    <row r="15" spans="1:256" ht="20.100000000000001" customHeight="1">
      <c r="A15" s="641"/>
      <c r="B15" s="257" t="s">
        <v>1176</v>
      </c>
      <c r="C15" s="229"/>
      <c r="D15" s="270">
        <f t="shared" ref="D15:M15" si="12">ROUND(D5/365,0)</f>
        <v>0</v>
      </c>
      <c r="E15" s="270">
        <f t="shared" si="12"/>
        <v>0</v>
      </c>
      <c r="F15" s="270">
        <f t="shared" si="12"/>
        <v>0</v>
      </c>
      <c r="G15" s="270">
        <f t="shared" si="12"/>
        <v>15</v>
      </c>
      <c r="H15" s="270">
        <f t="shared" si="12"/>
        <v>19</v>
      </c>
      <c r="I15" s="270">
        <f t="shared" si="12"/>
        <v>20</v>
      </c>
      <c r="J15" s="270">
        <f t="shared" si="12"/>
        <v>34</v>
      </c>
      <c r="K15" s="270">
        <f t="shared" si="12"/>
        <v>44</v>
      </c>
      <c r="L15" s="270">
        <f t="shared" si="12"/>
        <v>62</v>
      </c>
      <c r="M15" s="270">
        <f t="shared" si="12"/>
        <v>61</v>
      </c>
      <c r="N15" s="271">
        <f t="shared" ref="N15:N20" si="13">M15</f>
        <v>61</v>
      </c>
    </row>
    <row r="16" spans="1:256" ht="20.100000000000001" customHeight="1">
      <c r="A16" s="641"/>
      <c r="B16" s="257" t="s">
        <v>1177</v>
      </c>
      <c r="C16" s="229"/>
      <c r="D16" s="270">
        <f t="shared" ref="D16:M16" si="14">ROUND(D6/365,0)</f>
        <v>0</v>
      </c>
      <c r="E16" s="270">
        <f t="shared" si="14"/>
        <v>0</v>
      </c>
      <c r="F16" s="270">
        <f t="shared" si="14"/>
        <v>0</v>
      </c>
      <c r="G16" s="270">
        <f t="shared" si="14"/>
        <v>0</v>
      </c>
      <c r="H16" s="270">
        <f t="shared" si="14"/>
        <v>21</v>
      </c>
      <c r="I16" s="270">
        <f t="shared" si="14"/>
        <v>22</v>
      </c>
      <c r="J16" s="270">
        <f t="shared" si="14"/>
        <v>30</v>
      </c>
      <c r="K16" s="270">
        <f t="shared" si="14"/>
        <v>58</v>
      </c>
      <c r="L16" s="270">
        <f t="shared" si="14"/>
        <v>44</v>
      </c>
      <c r="M16" s="270">
        <f t="shared" si="14"/>
        <v>41</v>
      </c>
      <c r="N16" s="271">
        <f t="shared" si="13"/>
        <v>41</v>
      </c>
    </row>
    <row r="17" spans="1:256" ht="20.100000000000001" customHeight="1">
      <c r="A17" s="641"/>
      <c r="B17" s="257" t="s">
        <v>1178</v>
      </c>
      <c r="C17" s="229"/>
      <c r="D17" s="270">
        <f t="shared" ref="D17:M17" si="15">ROUND(D7/365,0)</f>
        <v>0</v>
      </c>
      <c r="E17" s="270">
        <f t="shared" si="15"/>
        <v>0</v>
      </c>
      <c r="F17" s="270">
        <f t="shared" si="15"/>
        <v>0</v>
      </c>
      <c r="G17" s="270">
        <f t="shared" si="15"/>
        <v>1</v>
      </c>
      <c r="H17" s="270">
        <f t="shared" si="15"/>
        <v>16</v>
      </c>
      <c r="I17" s="270">
        <f t="shared" si="15"/>
        <v>8</v>
      </c>
      <c r="J17" s="270">
        <f t="shared" si="15"/>
        <v>11</v>
      </c>
      <c r="K17" s="270">
        <f t="shared" si="15"/>
        <v>16</v>
      </c>
      <c r="L17" s="270">
        <f t="shared" si="15"/>
        <v>12</v>
      </c>
      <c r="M17" s="270">
        <f t="shared" si="15"/>
        <v>21</v>
      </c>
      <c r="N17" s="271">
        <f t="shared" si="13"/>
        <v>21</v>
      </c>
    </row>
    <row r="18" spans="1:256" ht="20.100000000000001" customHeight="1">
      <c r="A18" s="641"/>
      <c r="B18" s="257" t="s">
        <v>1179</v>
      </c>
      <c r="C18" s="229"/>
      <c r="D18" s="270">
        <f t="shared" ref="D18:M18" si="16">ROUND(D8/365,0)</f>
        <v>26</v>
      </c>
      <c r="E18" s="270">
        <f t="shared" si="16"/>
        <v>2</v>
      </c>
      <c r="F18" s="270">
        <f t="shared" si="16"/>
        <v>25</v>
      </c>
      <c r="G18" s="270">
        <f t="shared" si="16"/>
        <v>119</v>
      </c>
      <c r="H18" s="270">
        <f t="shared" si="16"/>
        <v>116</v>
      </c>
      <c r="I18" s="270">
        <f t="shared" si="16"/>
        <v>211</v>
      </c>
      <c r="J18" s="270">
        <f t="shared" si="16"/>
        <v>219</v>
      </c>
      <c r="K18" s="270">
        <f t="shared" si="16"/>
        <v>241</v>
      </c>
      <c r="L18" s="270">
        <f t="shared" si="16"/>
        <v>309</v>
      </c>
      <c r="M18" s="270">
        <f t="shared" si="16"/>
        <v>272</v>
      </c>
      <c r="N18" s="271">
        <f t="shared" si="13"/>
        <v>272</v>
      </c>
    </row>
    <row r="19" spans="1:256" ht="20.100000000000001" customHeight="1">
      <c r="A19" s="641"/>
      <c r="B19" s="257" t="s">
        <v>1180</v>
      </c>
      <c r="C19" s="229"/>
      <c r="D19" s="270">
        <f t="shared" ref="D19:M19" si="17">ROUND(D9/365,0)</f>
        <v>89</v>
      </c>
      <c r="E19" s="270">
        <f t="shared" si="17"/>
        <v>77</v>
      </c>
      <c r="F19" s="270">
        <f t="shared" si="17"/>
        <v>82</v>
      </c>
      <c r="G19" s="270">
        <f t="shared" si="17"/>
        <v>76</v>
      </c>
      <c r="H19" s="270">
        <f t="shared" si="17"/>
        <v>74</v>
      </c>
      <c r="I19" s="270">
        <f t="shared" si="17"/>
        <v>69</v>
      </c>
      <c r="J19" s="270">
        <f t="shared" si="17"/>
        <v>79</v>
      </c>
      <c r="K19" s="270">
        <f t="shared" si="17"/>
        <v>88</v>
      </c>
      <c r="L19" s="270">
        <f t="shared" si="17"/>
        <v>70</v>
      </c>
      <c r="M19" s="270">
        <f t="shared" si="17"/>
        <v>73</v>
      </c>
      <c r="N19" s="271">
        <f t="shared" si="13"/>
        <v>73</v>
      </c>
    </row>
    <row r="20" spans="1:256" ht="20.100000000000001" customHeight="1">
      <c r="A20" s="641"/>
      <c r="B20" s="257" t="s">
        <v>1181</v>
      </c>
      <c r="C20" s="229"/>
      <c r="D20" s="270">
        <f t="shared" ref="D20:M20" si="18">ROUND(D10/365,0)</f>
        <v>0</v>
      </c>
      <c r="E20" s="270">
        <f t="shared" si="18"/>
        <v>0</v>
      </c>
      <c r="F20" s="270">
        <f t="shared" si="18"/>
        <v>0</v>
      </c>
      <c r="G20" s="270">
        <f t="shared" si="18"/>
        <v>0</v>
      </c>
      <c r="H20" s="270">
        <f t="shared" si="18"/>
        <v>0</v>
      </c>
      <c r="I20" s="270">
        <f t="shared" si="18"/>
        <v>0</v>
      </c>
      <c r="J20" s="270">
        <f t="shared" si="18"/>
        <v>0</v>
      </c>
      <c r="K20" s="270">
        <f t="shared" si="18"/>
        <v>33</v>
      </c>
      <c r="L20" s="270">
        <f t="shared" si="18"/>
        <v>32</v>
      </c>
      <c r="M20" s="270">
        <f t="shared" si="18"/>
        <v>48</v>
      </c>
      <c r="N20" s="271">
        <f t="shared" si="13"/>
        <v>48</v>
      </c>
    </row>
    <row r="21" spans="1:256" ht="20.100000000000001" customHeight="1">
      <c r="A21" s="616"/>
      <c r="B21" s="238" t="s">
        <v>1077</v>
      </c>
      <c r="C21" s="229">
        <f>ROUND(C11/365,0)</f>
        <v>645</v>
      </c>
      <c r="D21" s="270">
        <f t="shared" ref="D21:M21" si="19">ROUND(D11/365,0)</f>
        <v>794</v>
      </c>
      <c r="E21" s="270">
        <f t="shared" si="19"/>
        <v>847</v>
      </c>
      <c r="F21" s="270">
        <f t="shared" si="19"/>
        <v>759</v>
      </c>
      <c r="G21" s="270">
        <f t="shared" si="19"/>
        <v>589</v>
      </c>
      <c r="H21" s="270">
        <f t="shared" si="19"/>
        <v>386</v>
      </c>
      <c r="I21" s="270">
        <f t="shared" si="19"/>
        <v>322</v>
      </c>
      <c r="J21" s="270">
        <f t="shared" si="19"/>
        <v>490</v>
      </c>
      <c r="K21" s="270">
        <f t="shared" si="19"/>
        <v>565</v>
      </c>
      <c r="L21" s="270">
        <f t="shared" si="19"/>
        <v>825</v>
      </c>
      <c r="M21" s="270">
        <f t="shared" si="19"/>
        <v>1238</v>
      </c>
      <c r="N21" s="271">
        <f>M21</f>
        <v>1238</v>
      </c>
    </row>
    <row r="22" spans="1:256" ht="20.100000000000001" customHeight="1">
      <c r="A22" s="616"/>
      <c r="B22" s="238" t="s">
        <v>1080</v>
      </c>
      <c r="C22" s="229">
        <f t="shared" ref="C22:M22" si="20">ROUND(C12/365,0)</f>
        <v>0</v>
      </c>
      <c r="D22" s="270">
        <f t="shared" si="20"/>
        <v>0</v>
      </c>
      <c r="E22" s="270">
        <f t="shared" si="20"/>
        <v>78</v>
      </c>
      <c r="F22" s="270">
        <f t="shared" si="20"/>
        <v>161</v>
      </c>
      <c r="G22" s="270">
        <f t="shared" si="20"/>
        <v>197</v>
      </c>
      <c r="H22" s="270">
        <f t="shared" si="20"/>
        <v>213</v>
      </c>
      <c r="I22" s="270">
        <f t="shared" si="20"/>
        <v>271</v>
      </c>
      <c r="J22" s="270">
        <f t="shared" si="20"/>
        <v>375</v>
      </c>
      <c r="K22" s="270">
        <f t="shared" si="20"/>
        <v>385</v>
      </c>
      <c r="L22" s="270">
        <f t="shared" si="20"/>
        <v>461</v>
      </c>
      <c r="M22" s="270">
        <f t="shared" si="20"/>
        <v>421</v>
      </c>
      <c r="N22" s="271">
        <f>M22</f>
        <v>421</v>
      </c>
    </row>
    <row r="23" spans="1:256" ht="20.100000000000001" customHeight="1">
      <c r="A23" s="616"/>
      <c r="B23" s="238" t="s">
        <v>1081</v>
      </c>
      <c r="C23" s="229">
        <f t="shared" ref="C23:M23" si="21">ROUND(C13/365,0)</f>
        <v>0</v>
      </c>
      <c r="D23" s="270">
        <f t="shared" si="21"/>
        <v>0</v>
      </c>
      <c r="E23" s="270">
        <f t="shared" si="21"/>
        <v>0</v>
      </c>
      <c r="F23" s="270">
        <f t="shared" si="21"/>
        <v>0</v>
      </c>
      <c r="G23" s="270">
        <f t="shared" si="21"/>
        <v>0</v>
      </c>
      <c r="H23" s="270">
        <f t="shared" si="21"/>
        <v>0</v>
      </c>
      <c r="I23" s="270">
        <f t="shared" si="21"/>
        <v>0</v>
      </c>
      <c r="J23" s="270">
        <f t="shared" si="21"/>
        <v>0</v>
      </c>
      <c r="K23" s="270">
        <f t="shared" si="21"/>
        <v>499</v>
      </c>
      <c r="L23" s="270">
        <f t="shared" si="21"/>
        <v>674</v>
      </c>
      <c r="M23" s="270">
        <f t="shared" si="21"/>
        <v>882</v>
      </c>
      <c r="N23" s="271">
        <f>M23</f>
        <v>882</v>
      </c>
    </row>
    <row r="24" spans="1:256" s="267" customFormat="1" ht="24.95" customHeight="1">
      <c r="A24" s="207" t="s">
        <v>1199</v>
      </c>
      <c r="B24" s="207"/>
      <c r="C24" s="208"/>
      <c r="D24" s="208"/>
      <c r="E24" s="209"/>
      <c r="F24" s="209"/>
      <c r="G24" s="208"/>
      <c r="H24" s="209"/>
      <c r="I24" s="209"/>
      <c r="J24" s="208"/>
      <c r="K24" s="208"/>
      <c r="L24" s="208"/>
      <c r="M24" s="208"/>
      <c r="N24" s="208"/>
      <c r="O24" s="208"/>
      <c r="P24" s="208"/>
      <c r="Q24" s="208"/>
      <c r="R24" s="208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208"/>
      <c r="AI24" s="208"/>
      <c r="AJ24" s="208"/>
      <c r="AK24" s="208"/>
      <c r="AL24" s="208"/>
      <c r="AM24" s="208"/>
      <c r="AN24" s="208"/>
      <c r="AO24" s="208"/>
      <c r="AP24" s="208"/>
      <c r="AQ24" s="208"/>
      <c r="AR24" s="208"/>
      <c r="AS24" s="208"/>
      <c r="AT24" s="208"/>
      <c r="AU24" s="208"/>
      <c r="AV24" s="208"/>
      <c r="AW24" s="208"/>
      <c r="AX24" s="208"/>
      <c r="AY24" s="208"/>
      <c r="AZ24" s="208"/>
      <c r="BA24" s="208"/>
      <c r="BB24" s="208"/>
      <c r="BC24" s="208"/>
      <c r="BD24" s="208"/>
      <c r="BE24" s="208"/>
      <c r="BF24" s="208"/>
      <c r="BG24" s="208"/>
      <c r="BH24" s="208"/>
      <c r="BI24" s="208"/>
      <c r="BJ24" s="208"/>
      <c r="BK24" s="208"/>
      <c r="BL24" s="208"/>
      <c r="BM24" s="208"/>
      <c r="BN24" s="208"/>
      <c r="BO24" s="208"/>
      <c r="BP24" s="208"/>
      <c r="BQ24" s="208"/>
      <c r="BR24" s="208"/>
      <c r="BS24" s="208"/>
      <c r="BT24" s="208"/>
      <c r="BU24" s="208"/>
      <c r="BV24" s="208"/>
      <c r="BW24" s="208"/>
      <c r="BX24" s="208"/>
      <c r="BY24" s="208"/>
      <c r="BZ24" s="208"/>
      <c r="CA24" s="208"/>
      <c r="CB24" s="208"/>
      <c r="CC24" s="208"/>
      <c r="CD24" s="208"/>
      <c r="CE24" s="208"/>
      <c r="CF24" s="208"/>
      <c r="CG24" s="208"/>
      <c r="CH24" s="208"/>
      <c r="CI24" s="208"/>
      <c r="CJ24" s="208"/>
      <c r="CK24" s="208"/>
      <c r="CL24" s="208"/>
      <c r="CM24" s="208"/>
      <c r="CN24" s="208"/>
      <c r="CO24" s="208"/>
      <c r="CP24" s="208"/>
      <c r="CQ24" s="208"/>
      <c r="CR24" s="208"/>
      <c r="CS24" s="208"/>
      <c r="CT24" s="208"/>
      <c r="CU24" s="208"/>
      <c r="CV24" s="208"/>
      <c r="CW24" s="208"/>
      <c r="CX24" s="208"/>
      <c r="CY24" s="208"/>
      <c r="CZ24" s="208"/>
      <c r="DA24" s="208"/>
      <c r="DB24" s="208"/>
      <c r="DC24" s="208"/>
      <c r="DD24" s="208"/>
      <c r="DE24" s="208"/>
      <c r="DF24" s="208"/>
      <c r="DG24" s="208"/>
      <c r="DH24" s="208"/>
      <c r="DI24" s="208"/>
      <c r="DJ24" s="208"/>
      <c r="DK24" s="208"/>
      <c r="DL24" s="208"/>
      <c r="DM24" s="208"/>
      <c r="DN24" s="208"/>
      <c r="DO24" s="208"/>
      <c r="DP24" s="208"/>
      <c r="DQ24" s="208"/>
      <c r="DR24" s="208"/>
      <c r="DS24" s="208"/>
      <c r="DT24" s="208"/>
      <c r="DU24" s="208"/>
      <c r="DV24" s="208"/>
      <c r="DW24" s="208"/>
      <c r="DX24" s="208"/>
      <c r="DY24" s="208"/>
      <c r="DZ24" s="208"/>
      <c r="EA24" s="208"/>
      <c r="EB24" s="208"/>
      <c r="EC24" s="208"/>
      <c r="ED24" s="208"/>
      <c r="EE24" s="208"/>
      <c r="EF24" s="208"/>
      <c r="EG24" s="208"/>
      <c r="EH24" s="208"/>
      <c r="EI24" s="208"/>
      <c r="EJ24" s="208"/>
      <c r="EK24" s="208"/>
      <c r="EL24" s="208"/>
      <c r="EM24" s="208"/>
      <c r="EN24" s="208"/>
      <c r="EO24" s="208"/>
      <c r="EP24" s="208"/>
      <c r="EQ24" s="208"/>
      <c r="ER24" s="208"/>
      <c r="ES24" s="208"/>
      <c r="ET24" s="208"/>
      <c r="EU24" s="208"/>
      <c r="EV24" s="208"/>
      <c r="EW24" s="208"/>
      <c r="EX24" s="208"/>
      <c r="EY24" s="208"/>
      <c r="EZ24" s="208"/>
      <c r="FA24" s="208"/>
      <c r="FB24" s="208"/>
      <c r="FC24" s="208"/>
      <c r="FD24" s="208"/>
      <c r="FE24" s="208"/>
      <c r="FF24" s="208"/>
      <c r="FG24" s="208"/>
      <c r="FH24" s="208"/>
      <c r="FI24" s="208"/>
      <c r="FJ24" s="208"/>
      <c r="FK24" s="208"/>
      <c r="FL24" s="208"/>
      <c r="FM24" s="208"/>
      <c r="FN24" s="208"/>
      <c r="FO24" s="208"/>
      <c r="FP24" s="208"/>
      <c r="FQ24" s="208"/>
      <c r="FR24" s="208"/>
      <c r="FS24" s="208"/>
      <c r="FT24" s="208"/>
      <c r="FU24" s="208"/>
      <c r="FV24" s="208"/>
      <c r="FW24" s="208"/>
      <c r="FX24" s="208"/>
      <c r="FY24" s="208"/>
      <c r="FZ24" s="208"/>
      <c r="GA24" s="208"/>
      <c r="GB24" s="208"/>
      <c r="GC24" s="208"/>
      <c r="GD24" s="208"/>
      <c r="GE24" s="208"/>
      <c r="GF24" s="208"/>
      <c r="GG24" s="208"/>
      <c r="GH24" s="208"/>
      <c r="GI24" s="208"/>
      <c r="GJ24" s="208"/>
      <c r="GK24" s="208"/>
      <c r="GL24" s="208"/>
      <c r="GM24" s="208"/>
      <c r="GN24" s="208"/>
      <c r="GO24" s="208"/>
      <c r="GP24" s="208"/>
      <c r="GQ24" s="208"/>
      <c r="GR24" s="208"/>
      <c r="GS24" s="208"/>
      <c r="GT24" s="208"/>
      <c r="GU24" s="208"/>
      <c r="GV24" s="208"/>
      <c r="GW24" s="208"/>
      <c r="GX24" s="208"/>
      <c r="GY24" s="208"/>
      <c r="GZ24" s="208"/>
      <c r="HA24" s="208"/>
      <c r="HB24" s="208"/>
      <c r="HC24" s="208"/>
      <c r="HD24" s="208"/>
      <c r="HE24" s="208"/>
      <c r="HF24" s="208"/>
      <c r="HG24" s="208"/>
      <c r="HH24" s="208"/>
      <c r="HI24" s="208"/>
      <c r="HJ24" s="208"/>
      <c r="HK24" s="208"/>
      <c r="HL24" s="208"/>
      <c r="HM24" s="208"/>
      <c r="HN24" s="208"/>
      <c r="HO24" s="208"/>
      <c r="HP24" s="208"/>
      <c r="HQ24" s="208"/>
      <c r="HR24" s="208"/>
      <c r="HS24" s="208"/>
      <c r="HT24" s="208"/>
      <c r="HU24" s="208"/>
      <c r="HV24" s="208"/>
      <c r="HW24" s="208"/>
      <c r="HX24" s="208"/>
      <c r="HY24" s="208"/>
      <c r="HZ24" s="208"/>
      <c r="IA24" s="208"/>
      <c r="IB24" s="208"/>
      <c r="IC24" s="208"/>
      <c r="ID24" s="208"/>
      <c r="IE24" s="208"/>
      <c r="IF24" s="208"/>
      <c r="IG24" s="208"/>
      <c r="IH24" s="208"/>
      <c r="II24" s="208"/>
      <c r="IJ24" s="208"/>
      <c r="IK24" s="208"/>
      <c r="IL24" s="208"/>
      <c r="IM24" s="208"/>
      <c r="IN24" s="208"/>
      <c r="IO24" s="208"/>
      <c r="IP24" s="208"/>
      <c r="IQ24" s="208"/>
      <c r="IR24" s="208"/>
      <c r="IS24" s="208"/>
      <c r="IT24" s="208"/>
      <c r="IU24" s="208"/>
      <c r="IV24" s="208"/>
    </row>
    <row r="25" spans="1:256" s="267" customFormat="1" ht="24.95" customHeight="1">
      <c r="A25" s="686" t="s">
        <v>410</v>
      </c>
      <c r="B25" s="687"/>
      <c r="C25" s="238">
        <v>2003</v>
      </c>
      <c r="D25" s="743" t="s">
        <v>1232</v>
      </c>
      <c r="E25" s="743" t="s">
        <v>1230</v>
      </c>
      <c r="F25" s="743" t="s">
        <v>1231</v>
      </c>
      <c r="G25" s="748" t="s">
        <v>1233</v>
      </c>
      <c r="H25" s="749"/>
      <c r="I25" s="745" t="s">
        <v>1234</v>
      </c>
      <c r="J25" s="746"/>
      <c r="K25" s="747"/>
      <c r="L25" s="743" t="s">
        <v>1238</v>
      </c>
      <c r="M25" s="743" t="s">
        <v>1272</v>
      </c>
      <c r="N25" s="643" t="s">
        <v>1239</v>
      </c>
    </row>
    <row r="26" spans="1:256" s="267" customFormat="1" ht="24.95" customHeight="1">
      <c r="A26" s="688"/>
      <c r="B26" s="689"/>
      <c r="C26" s="238"/>
      <c r="D26" s="750"/>
      <c r="E26" s="750"/>
      <c r="F26" s="750"/>
      <c r="G26" s="290" t="s">
        <v>1046</v>
      </c>
      <c r="H26" s="290" t="s">
        <v>1047</v>
      </c>
      <c r="I26" s="291" t="s">
        <v>1236</v>
      </c>
      <c r="J26" s="291" t="s">
        <v>1235</v>
      </c>
      <c r="K26" s="291" t="s">
        <v>1075</v>
      </c>
      <c r="L26" s="744"/>
      <c r="M26" s="744"/>
      <c r="N26" s="645"/>
    </row>
    <row r="27" spans="1:256" s="267" customFormat="1" ht="20.100000000000001" customHeight="1">
      <c r="A27" s="641" t="s">
        <v>1229</v>
      </c>
      <c r="B27" s="268" t="s">
        <v>1237</v>
      </c>
      <c r="C27" s="229"/>
      <c r="D27" s="270"/>
      <c r="E27" s="270"/>
      <c r="F27" s="270"/>
      <c r="G27" s="270"/>
      <c r="H27" s="270"/>
      <c r="I27" s="270">
        <f>SUM(I28:I28)</f>
        <v>261</v>
      </c>
      <c r="J27" s="270">
        <f>SUM(J28:J28)</f>
        <v>0</v>
      </c>
      <c r="K27" s="270">
        <f>SUM(K28:K28)</f>
        <v>261</v>
      </c>
      <c r="L27" s="270">
        <f>SUM(L28:L28)</f>
        <v>952</v>
      </c>
      <c r="M27" s="270">
        <f>SUM(M28:M28)</f>
        <v>261</v>
      </c>
      <c r="N27" s="271"/>
    </row>
    <row r="28" spans="1:256" s="267" customFormat="1" ht="20.100000000000001" customHeight="1">
      <c r="A28" s="616"/>
      <c r="B28" s="238" t="s">
        <v>1240</v>
      </c>
      <c r="C28" s="229"/>
      <c r="D28" s="270"/>
      <c r="E28" s="270">
        <v>37.6</v>
      </c>
      <c r="F28" s="270">
        <v>199</v>
      </c>
      <c r="G28" s="295">
        <v>6.94</v>
      </c>
      <c r="H28" s="270">
        <v>80</v>
      </c>
      <c r="I28" s="294">
        <f t="shared" ref="I28" si="22">ROUND(G28*E28,0)</f>
        <v>261</v>
      </c>
      <c r="J28" s="294"/>
      <c r="K28" s="270">
        <f>SUM(I28:J28)</f>
        <v>261</v>
      </c>
      <c r="L28" s="270">
        <v>952</v>
      </c>
      <c r="M28" s="270">
        <f>K28</f>
        <v>261</v>
      </c>
      <c r="N28" s="271"/>
    </row>
    <row r="29" spans="1:256" s="267" customFormat="1" ht="24.95" customHeight="1">
      <c r="A29" s="207" t="s">
        <v>1198</v>
      </c>
      <c r="B29" s="207"/>
      <c r="C29" s="208"/>
      <c r="D29" s="208"/>
      <c r="E29" s="209"/>
      <c r="F29" s="209"/>
      <c r="G29" s="208"/>
      <c r="H29" s="209"/>
      <c r="I29" s="209"/>
      <c r="J29" s="208"/>
      <c r="K29" s="208"/>
      <c r="L29" s="208"/>
      <c r="M29" s="208"/>
      <c r="N29" s="208"/>
      <c r="O29" s="208"/>
      <c r="P29" s="208"/>
      <c r="Q29" s="208"/>
      <c r="R29" s="208"/>
      <c r="S29" s="208"/>
      <c r="T29" s="208"/>
      <c r="U29" s="208"/>
      <c r="V29" s="208"/>
      <c r="W29" s="208"/>
      <c r="X29" s="208"/>
      <c r="Y29" s="208"/>
      <c r="Z29" s="208"/>
      <c r="AA29" s="208"/>
      <c r="AB29" s="208"/>
      <c r="AC29" s="208"/>
      <c r="AD29" s="208"/>
      <c r="AE29" s="208"/>
      <c r="AF29" s="208"/>
      <c r="AG29" s="208"/>
      <c r="AH29" s="208"/>
      <c r="AI29" s="208"/>
      <c r="AJ29" s="208"/>
      <c r="AK29" s="208"/>
      <c r="AL29" s="208"/>
      <c r="AM29" s="208"/>
      <c r="AN29" s="208"/>
      <c r="AO29" s="208"/>
      <c r="AP29" s="208"/>
      <c r="AQ29" s="208"/>
      <c r="AR29" s="208"/>
      <c r="AS29" s="208"/>
      <c r="AT29" s="208"/>
      <c r="AU29" s="208"/>
      <c r="AV29" s="208"/>
      <c r="AW29" s="208"/>
      <c r="AX29" s="208"/>
      <c r="AY29" s="208"/>
      <c r="AZ29" s="208"/>
      <c r="BA29" s="208"/>
      <c r="BB29" s="208"/>
      <c r="BC29" s="208"/>
      <c r="BD29" s="208"/>
      <c r="BE29" s="208"/>
      <c r="BF29" s="208"/>
      <c r="BG29" s="208"/>
      <c r="BH29" s="208"/>
      <c r="BI29" s="208"/>
      <c r="BJ29" s="208"/>
      <c r="BK29" s="208"/>
      <c r="BL29" s="208"/>
      <c r="BM29" s="208"/>
      <c r="BN29" s="208"/>
      <c r="BO29" s="208"/>
      <c r="BP29" s="208"/>
      <c r="BQ29" s="208"/>
      <c r="BR29" s="208"/>
      <c r="BS29" s="208"/>
      <c r="BT29" s="208"/>
      <c r="BU29" s="208"/>
      <c r="BV29" s="208"/>
      <c r="BW29" s="208"/>
      <c r="BX29" s="208"/>
      <c r="BY29" s="208"/>
      <c r="BZ29" s="208"/>
      <c r="CA29" s="208"/>
      <c r="CB29" s="208"/>
      <c r="CC29" s="208"/>
      <c r="CD29" s="208"/>
      <c r="CE29" s="208"/>
      <c r="CF29" s="208"/>
      <c r="CG29" s="208"/>
      <c r="CH29" s="208"/>
      <c r="CI29" s="208"/>
      <c r="CJ29" s="208"/>
      <c r="CK29" s="208"/>
      <c r="CL29" s="208"/>
      <c r="CM29" s="208"/>
      <c r="CN29" s="208"/>
      <c r="CO29" s="208"/>
      <c r="CP29" s="208"/>
      <c r="CQ29" s="208"/>
      <c r="CR29" s="208"/>
      <c r="CS29" s="208"/>
      <c r="CT29" s="208"/>
      <c r="CU29" s="208"/>
      <c r="CV29" s="208"/>
      <c r="CW29" s="208"/>
      <c r="CX29" s="208"/>
      <c r="CY29" s="208"/>
      <c r="CZ29" s="208"/>
      <c r="DA29" s="208"/>
      <c r="DB29" s="208"/>
      <c r="DC29" s="208"/>
      <c r="DD29" s="208"/>
      <c r="DE29" s="208"/>
      <c r="DF29" s="208"/>
      <c r="DG29" s="208"/>
      <c r="DH29" s="208"/>
      <c r="DI29" s="208"/>
      <c r="DJ29" s="208"/>
      <c r="DK29" s="208"/>
      <c r="DL29" s="208"/>
      <c r="DM29" s="208"/>
      <c r="DN29" s="208"/>
      <c r="DO29" s="208"/>
      <c r="DP29" s="208"/>
      <c r="DQ29" s="208"/>
      <c r="DR29" s="208"/>
      <c r="DS29" s="208"/>
      <c r="DT29" s="208"/>
      <c r="DU29" s="208"/>
      <c r="DV29" s="208"/>
      <c r="DW29" s="208"/>
      <c r="DX29" s="208"/>
      <c r="DY29" s="208"/>
      <c r="DZ29" s="208"/>
      <c r="EA29" s="208"/>
      <c r="EB29" s="208"/>
      <c r="EC29" s="208"/>
      <c r="ED29" s="208"/>
      <c r="EE29" s="208"/>
      <c r="EF29" s="208"/>
      <c r="EG29" s="208"/>
      <c r="EH29" s="208"/>
      <c r="EI29" s="208"/>
      <c r="EJ29" s="208"/>
      <c r="EK29" s="208"/>
      <c r="EL29" s="208"/>
      <c r="EM29" s="208"/>
      <c r="EN29" s="208"/>
      <c r="EO29" s="208"/>
      <c r="EP29" s="208"/>
      <c r="EQ29" s="208"/>
      <c r="ER29" s="208"/>
      <c r="ES29" s="208"/>
      <c r="ET29" s="208"/>
      <c r="EU29" s="208"/>
      <c r="EV29" s="208"/>
      <c r="EW29" s="208"/>
      <c r="EX29" s="208"/>
      <c r="EY29" s="208"/>
      <c r="EZ29" s="208"/>
      <c r="FA29" s="208"/>
      <c r="FB29" s="208"/>
      <c r="FC29" s="208"/>
      <c r="FD29" s="208"/>
      <c r="FE29" s="208"/>
      <c r="FF29" s="208"/>
      <c r="FG29" s="208"/>
      <c r="FH29" s="208"/>
      <c r="FI29" s="208"/>
      <c r="FJ29" s="208"/>
      <c r="FK29" s="208"/>
      <c r="FL29" s="208"/>
      <c r="FM29" s="208"/>
      <c r="FN29" s="208"/>
      <c r="FO29" s="208"/>
      <c r="FP29" s="208"/>
      <c r="FQ29" s="208"/>
      <c r="FR29" s="208"/>
      <c r="FS29" s="208"/>
      <c r="FT29" s="208"/>
      <c r="FU29" s="208"/>
      <c r="FV29" s="208"/>
      <c r="FW29" s="208"/>
      <c r="FX29" s="208"/>
      <c r="FY29" s="208"/>
      <c r="FZ29" s="208"/>
      <c r="GA29" s="208"/>
      <c r="GB29" s="208"/>
      <c r="GC29" s="208"/>
      <c r="GD29" s="208"/>
      <c r="GE29" s="208"/>
      <c r="GF29" s="208"/>
      <c r="GG29" s="208"/>
      <c r="GH29" s="208"/>
      <c r="GI29" s="208"/>
      <c r="GJ29" s="208"/>
      <c r="GK29" s="208"/>
      <c r="GL29" s="208"/>
      <c r="GM29" s="208"/>
      <c r="GN29" s="208"/>
      <c r="GO29" s="208"/>
      <c r="GP29" s="208"/>
      <c r="GQ29" s="208"/>
      <c r="GR29" s="208"/>
      <c r="GS29" s="208"/>
      <c r="GT29" s="208"/>
      <c r="GU29" s="208"/>
      <c r="GV29" s="208"/>
      <c r="GW29" s="208"/>
      <c r="GX29" s="208"/>
      <c r="GY29" s="208"/>
      <c r="GZ29" s="208"/>
      <c r="HA29" s="208"/>
      <c r="HB29" s="208"/>
      <c r="HC29" s="208"/>
      <c r="HD29" s="208"/>
      <c r="HE29" s="208"/>
      <c r="HF29" s="208"/>
      <c r="HG29" s="208"/>
      <c r="HH29" s="208"/>
      <c r="HI29" s="208"/>
      <c r="HJ29" s="208"/>
      <c r="HK29" s="208"/>
      <c r="HL29" s="208"/>
      <c r="HM29" s="208"/>
      <c r="HN29" s="208"/>
      <c r="HO29" s="208"/>
      <c r="HP29" s="208"/>
      <c r="HQ29" s="208"/>
      <c r="HR29" s="208"/>
      <c r="HS29" s="208"/>
      <c r="HT29" s="208"/>
      <c r="HU29" s="208"/>
      <c r="HV29" s="208"/>
      <c r="HW29" s="208"/>
      <c r="HX29" s="208"/>
      <c r="HY29" s="208"/>
      <c r="HZ29" s="208"/>
      <c r="IA29" s="208"/>
      <c r="IB29" s="208"/>
      <c r="IC29" s="208"/>
      <c r="ID29" s="208"/>
      <c r="IE29" s="208"/>
      <c r="IF29" s="208"/>
      <c r="IG29" s="208"/>
      <c r="IH29" s="208"/>
      <c r="II29" s="208"/>
      <c r="IJ29" s="208"/>
      <c r="IK29" s="208"/>
      <c r="IL29" s="208"/>
      <c r="IM29" s="208"/>
      <c r="IN29" s="208"/>
      <c r="IO29" s="208"/>
      <c r="IP29" s="208"/>
      <c r="IQ29" s="208"/>
      <c r="IR29" s="208"/>
      <c r="IS29" s="208"/>
      <c r="IT29" s="208"/>
      <c r="IU29" s="208"/>
      <c r="IV29" s="208"/>
    </row>
    <row r="30" spans="1:256" ht="24.95" customHeight="1">
      <c r="A30" s="616" t="s">
        <v>410</v>
      </c>
      <c r="B30" s="616"/>
      <c r="C30" s="268"/>
      <c r="D30" s="616" t="s">
        <v>1241</v>
      </c>
      <c r="E30" s="616"/>
      <c r="F30" s="616"/>
      <c r="G30" s="616" t="s">
        <v>1242</v>
      </c>
      <c r="H30" s="616"/>
      <c r="I30" s="616"/>
      <c r="J30" s="616" t="s">
        <v>1243</v>
      </c>
      <c r="K30" s="616"/>
      <c r="L30" s="616"/>
      <c r="M30" s="616" t="s">
        <v>1239</v>
      </c>
      <c r="N30" s="616"/>
    </row>
    <row r="31" spans="1:256" s="267" customFormat="1" ht="24.95" customHeight="1">
      <c r="A31" s="613" t="s">
        <v>1244</v>
      </c>
      <c r="B31" s="615"/>
      <c r="C31" s="268"/>
      <c r="D31" s="740">
        <f>SUM(D32:F41)</f>
        <v>3318</v>
      </c>
      <c r="E31" s="614"/>
      <c r="F31" s="615"/>
      <c r="G31" s="613"/>
      <c r="H31" s="614"/>
      <c r="I31" s="615"/>
      <c r="J31" s="740">
        <f>SUM(J32:L41)</f>
        <v>3857</v>
      </c>
      <c r="K31" s="614"/>
      <c r="L31" s="615"/>
      <c r="M31" s="613"/>
      <c r="N31" s="615"/>
      <c r="R31" s="267">
        <f>SUM(R32:R42)</f>
        <v>3330</v>
      </c>
      <c r="S31" s="308">
        <f>SUM(S32:S42)</f>
        <v>2180</v>
      </c>
      <c r="T31" s="308">
        <f>SUM(T32:T42)</f>
        <v>1150</v>
      </c>
    </row>
    <row r="32" spans="1:256" ht="24.95" customHeight="1">
      <c r="A32" s="641"/>
      <c r="B32" s="269" t="s">
        <v>1176</v>
      </c>
      <c r="C32" s="268"/>
      <c r="D32" s="740">
        <f t="shared" ref="D32:D37" si="23">N15</f>
        <v>61</v>
      </c>
      <c r="E32" s="741"/>
      <c r="F32" s="742"/>
      <c r="G32" s="739">
        <f>'[3]3.유수율'!$C$33</f>
        <v>0.85</v>
      </c>
      <c r="H32" s="739"/>
      <c r="I32" s="739"/>
      <c r="J32" s="738">
        <f t="shared" ref="J32:J41" si="24">ROUND(D32/G32,0)</f>
        <v>72</v>
      </c>
      <c r="K32" s="738"/>
      <c r="L32" s="738"/>
      <c r="M32" s="616"/>
      <c r="N32" s="616"/>
      <c r="R32" s="311">
        <v>60</v>
      </c>
      <c r="S32" s="311">
        <v>30</v>
      </c>
      <c r="T32" s="311">
        <v>30</v>
      </c>
    </row>
    <row r="33" spans="1:20" ht="24.95" customHeight="1">
      <c r="A33" s="641"/>
      <c r="B33" s="269" t="s">
        <v>1177</v>
      </c>
      <c r="C33" s="268"/>
      <c r="D33" s="738">
        <f t="shared" si="23"/>
        <v>41</v>
      </c>
      <c r="E33" s="738"/>
      <c r="F33" s="738"/>
      <c r="G33" s="739">
        <f>'[3]3.유수율'!$C$33</f>
        <v>0.85</v>
      </c>
      <c r="H33" s="739"/>
      <c r="I33" s="739"/>
      <c r="J33" s="738">
        <f t="shared" si="24"/>
        <v>48</v>
      </c>
      <c r="K33" s="738"/>
      <c r="L33" s="738"/>
      <c r="M33" s="616"/>
      <c r="N33" s="616"/>
      <c r="R33" s="311">
        <v>20</v>
      </c>
      <c r="S33" s="311"/>
      <c r="T33" s="311">
        <v>20</v>
      </c>
    </row>
    <row r="34" spans="1:20" ht="24.95" customHeight="1">
      <c r="A34" s="641"/>
      <c r="B34" s="269" t="s">
        <v>1178</v>
      </c>
      <c r="C34" s="268"/>
      <c r="D34" s="738">
        <f t="shared" si="23"/>
        <v>21</v>
      </c>
      <c r="E34" s="738"/>
      <c r="F34" s="738"/>
      <c r="G34" s="739">
        <f>'[3]3.유수율'!$C$33</f>
        <v>0.85</v>
      </c>
      <c r="H34" s="739"/>
      <c r="I34" s="739"/>
      <c r="J34" s="738">
        <f t="shared" si="24"/>
        <v>25</v>
      </c>
      <c r="K34" s="738"/>
      <c r="L34" s="738"/>
      <c r="M34" s="616"/>
      <c r="N34" s="616"/>
      <c r="R34" s="311">
        <v>270</v>
      </c>
      <c r="S34" s="311">
        <v>270</v>
      </c>
      <c r="T34" s="311"/>
    </row>
    <row r="35" spans="1:20" ht="24.95" customHeight="1">
      <c r="A35" s="641"/>
      <c r="B35" s="269" t="s">
        <v>1179</v>
      </c>
      <c r="C35" s="268"/>
      <c r="D35" s="738">
        <f t="shared" si="23"/>
        <v>272</v>
      </c>
      <c r="E35" s="738"/>
      <c r="F35" s="738"/>
      <c r="G35" s="739">
        <f>'[3]3.유수율'!$C$33</f>
        <v>0.85</v>
      </c>
      <c r="H35" s="739"/>
      <c r="I35" s="739"/>
      <c r="J35" s="738">
        <f t="shared" si="24"/>
        <v>320</v>
      </c>
      <c r="K35" s="738"/>
      <c r="L35" s="738"/>
      <c r="M35" s="616"/>
      <c r="N35" s="616"/>
      <c r="R35" s="311"/>
      <c r="S35" s="311"/>
      <c r="T35" s="311"/>
    </row>
    <row r="36" spans="1:20" ht="24.95" customHeight="1">
      <c r="A36" s="641"/>
      <c r="B36" s="269" t="s">
        <v>1180</v>
      </c>
      <c r="C36" s="268"/>
      <c r="D36" s="738">
        <f t="shared" si="23"/>
        <v>73</v>
      </c>
      <c r="E36" s="738"/>
      <c r="F36" s="738"/>
      <c r="G36" s="739">
        <f>'[3]3.유수율'!$C$33</f>
        <v>0.85</v>
      </c>
      <c r="H36" s="739"/>
      <c r="I36" s="739"/>
      <c r="J36" s="738">
        <f t="shared" si="24"/>
        <v>86</v>
      </c>
      <c r="K36" s="738"/>
      <c r="L36" s="738"/>
      <c r="M36" s="616"/>
      <c r="N36" s="616"/>
      <c r="R36" s="311">
        <v>70</v>
      </c>
      <c r="S36" s="311">
        <v>70</v>
      </c>
      <c r="T36" s="311"/>
    </row>
    <row r="37" spans="1:20" ht="24.95" customHeight="1">
      <c r="A37" s="641"/>
      <c r="B37" s="269" t="s">
        <v>1181</v>
      </c>
      <c r="C37" s="268"/>
      <c r="D37" s="738">
        <f t="shared" si="23"/>
        <v>48</v>
      </c>
      <c r="E37" s="738"/>
      <c r="F37" s="738"/>
      <c r="G37" s="739">
        <f>'[3]3.유수율'!$C$33</f>
        <v>0.85</v>
      </c>
      <c r="H37" s="739"/>
      <c r="I37" s="739"/>
      <c r="J37" s="738">
        <f t="shared" si="24"/>
        <v>56</v>
      </c>
      <c r="K37" s="738"/>
      <c r="L37" s="738"/>
      <c r="M37" s="616"/>
      <c r="N37" s="616"/>
      <c r="R37" s="311">
        <v>40</v>
      </c>
      <c r="S37" s="311"/>
      <c r="T37" s="311">
        <v>40</v>
      </c>
    </row>
    <row r="38" spans="1:20" s="267" customFormat="1" ht="24.95" customHeight="1">
      <c r="A38" s="641"/>
      <c r="B38" s="269" t="s">
        <v>1200</v>
      </c>
      <c r="C38" s="268"/>
      <c r="D38" s="738">
        <f>M27</f>
        <v>261</v>
      </c>
      <c r="E38" s="738"/>
      <c r="F38" s="738"/>
      <c r="G38" s="739">
        <v>1</v>
      </c>
      <c r="H38" s="739"/>
      <c r="I38" s="739"/>
      <c r="J38" s="738">
        <f t="shared" si="24"/>
        <v>261</v>
      </c>
      <c r="K38" s="738"/>
      <c r="L38" s="738"/>
      <c r="M38" s="616"/>
      <c r="N38" s="616"/>
      <c r="R38" s="311">
        <v>430</v>
      </c>
      <c r="S38" s="311">
        <v>170</v>
      </c>
      <c r="T38" s="311">
        <v>260</v>
      </c>
    </row>
    <row r="39" spans="1:20" ht="24.95" customHeight="1">
      <c r="A39" s="616"/>
      <c r="B39" s="238" t="s">
        <v>1077</v>
      </c>
      <c r="C39" s="268"/>
      <c r="D39" s="738">
        <f>N21</f>
        <v>1238</v>
      </c>
      <c r="E39" s="738"/>
      <c r="F39" s="738"/>
      <c r="G39" s="739">
        <f>'[3]3.유수율'!$C$33</f>
        <v>0.85</v>
      </c>
      <c r="H39" s="739"/>
      <c r="I39" s="739"/>
      <c r="J39" s="738">
        <f t="shared" si="24"/>
        <v>1456</v>
      </c>
      <c r="K39" s="738"/>
      <c r="L39" s="738"/>
      <c r="M39" s="616"/>
      <c r="N39" s="616"/>
      <c r="R39" s="311">
        <v>880</v>
      </c>
      <c r="S39" s="311">
        <v>80</v>
      </c>
      <c r="T39" s="311">
        <v>800</v>
      </c>
    </row>
    <row r="40" spans="1:20" ht="24.95" customHeight="1">
      <c r="A40" s="616"/>
      <c r="B40" s="238" t="s">
        <v>1080</v>
      </c>
      <c r="C40" s="268"/>
      <c r="D40" s="738">
        <f>N22</f>
        <v>421</v>
      </c>
      <c r="E40" s="738"/>
      <c r="F40" s="738"/>
      <c r="G40" s="739">
        <f>'[3]3.유수율'!$C$33</f>
        <v>0.85</v>
      </c>
      <c r="H40" s="739"/>
      <c r="I40" s="739"/>
      <c r="J40" s="738">
        <f t="shared" si="24"/>
        <v>495</v>
      </c>
      <c r="K40" s="738"/>
      <c r="L40" s="738"/>
      <c r="M40" s="616"/>
      <c r="N40" s="616"/>
      <c r="R40" s="312">
        <v>1240</v>
      </c>
      <c r="S40" s="312">
        <v>1240</v>
      </c>
      <c r="T40" s="311"/>
    </row>
    <row r="41" spans="1:20" ht="24.95" customHeight="1">
      <c r="A41" s="616"/>
      <c r="B41" s="238" t="s">
        <v>1081</v>
      </c>
      <c r="C41" s="268"/>
      <c r="D41" s="738">
        <f>N23</f>
        <v>882</v>
      </c>
      <c r="E41" s="738"/>
      <c r="F41" s="738"/>
      <c r="G41" s="739">
        <f>'[3]3.유수율'!$C$33</f>
        <v>0.85</v>
      </c>
      <c r="H41" s="739"/>
      <c r="I41" s="739"/>
      <c r="J41" s="738">
        <f t="shared" si="24"/>
        <v>1038</v>
      </c>
      <c r="K41" s="738"/>
      <c r="L41" s="738"/>
      <c r="M41" s="616"/>
      <c r="N41" s="616"/>
      <c r="R41" s="311">
        <v>40</v>
      </c>
      <c r="S41" s="311">
        <v>40</v>
      </c>
      <c r="T41" s="311"/>
    </row>
    <row r="42" spans="1:20" ht="24.95" customHeight="1">
      <c r="R42" s="311">
        <v>280</v>
      </c>
      <c r="S42" s="311">
        <v>280</v>
      </c>
      <c r="T42" s="311"/>
    </row>
    <row r="46" spans="1:20" ht="24.95" customHeight="1">
      <c r="D46" s="737">
        <v>753052</v>
      </c>
      <c r="E46" s="737"/>
    </row>
    <row r="47" spans="1:20" ht="24.95" customHeight="1">
      <c r="D47" s="737">
        <v>261040</v>
      </c>
      <c r="E47" s="737"/>
    </row>
    <row r="48" spans="1:20" ht="24.95" customHeight="1">
      <c r="D48" s="737">
        <v>243521</v>
      </c>
      <c r="E48" s="737"/>
    </row>
    <row r="54" spans="7:13" ht="24.95" customHeight="1">
      <c r="G54" s="224">
        <f>G55+G68</f>
        <v>11710</v>
      </c>
      <c r="H54" s="308">
        <f>H55+H68</f>
        <v>5890</v>
      </c>
      <c r="I54" s="308">
        <f>I55+I68</f>
        <v>5820</v>
      </c>
      <c r="K54" s="308">
        <f>K55+K68</f>
        <v>11710</v>
      </c>
      <c r="L54" s="308">
        <f>L55+L68</f>
        <v>6040</v>
      </c>
      <c r="M54" s="308">
        <f>M55+M68</f>
        <v>5670</v>
      </c>
    </row>
    <row r="55" spans="7:13" ht="24.95" customHeight="1">
      <c r="G55" s="224">
        <f>SUM(G56:G66)</f>
        <v>3870</v>
      </c>
      <c r="H55" s="308">
        <f>SUM(H56:H66)</f>
        <v>2720</v>
      </c>
      <c r="I55" s="308">
        <f>SUM(I56:I66)</f>
        <v>1150</v>
      </c>
      <c r="K55" s="308">
        <f>SUM(K56:K66)</f>
        <v>3870</v>
      </c>
      <c r="L55" s="308">
        <f>SUM(L56:L66)</f>
        <v>2810</v>
      </c>
      <c r="M55" s="308">
        <f>SUM(M56:M66)</f>
        <v>1060</v>
      </c>
    </row>
    <row r="56" spans="7:13" ht="24.95" customHeight="1">
      <c r="G56" s="311">
        <v>70</v>
      </c>
      <c r="H56" s="314">
        <v>40</v>
      </c>
      <c r="I56" s="315">
        <v>30</v>
      </c>
      <c r="K56" s="322">
        <v>500</v>
      </c>
      <c r="L56" s="323">
        <v>240</v>
      </c>
      <c r="M56" s="324">
        <v>260</v>
      </c>
    </row>
    <row r="57" spans="7:13" ht="24.95" customHeight="1">
      <c r="G57" s="311">
        <v>20</v>
      </c>
      <c r="H57" s="314" t="s">
        <v>63</v>
      </c>
      <c r="I57" s="315">
        <v>20</v>
      </c>
      <c r="K57" s="325">
        <v>1040</v>
      </c>
      <c r="L57" s="323">
        <v>240</v>
      </c>
      <c r="M57" s="324">
        <v>800</v>
      </c>
    </row>
    <row r="58" spans="7:13" ht="24.95" customHeight="1">
      <c r="G58" s="311">
        <v>320</v>
      </c>
      <c r="H58" s="314">
        <v>320</v>
      </c>
      <c r="I58" s="315" t="s">
        <v>63</v>
      </c>
      <c r="K58" s="311">
        <v>70</v>
      </c>
      <c r="L58" s="314">
        <v>70</v>
      </c>
      <c r="M58" s="315" t="s">
        <v>63</v>
      </c>
    </row>
    <row r="59" spans="7:13" ht="24.95" customHeight="1">
      <c r="G59" s="311" t="s">
        <v>63</v>
      </c>
      <c r="H59" s="314" t="s">
        <v>63</v>
      </c>
      <c r="I59" s="315" t="s">
        <v>63</v>
      </c>
      <c r="K59" s="311">
        <v>20</v>
      </c>
      <c r="L59" s="314">
        <v>20</v>
      </c>
      <c r="M59" s="315" t="s">
        <v>63</v>
      </c>
    </row>
    <row r="60" spans="7:13" ht="24.95" customHeight="1">
      <c r="G60" s="311">
        <v>80</v>
      </c>
      <c r="H60" s="314">
        <v>80</v>
      </c>
      <c r="I60" s="315" t="s">
        <v>63</v>
      </c>
      <c r="K60" s="311">
        <v>320</v>
      </c>
      <c r="L60" s="314">
        <v>320</v>
      </c>
      <c r="M60" s="315" t="s">
        <v>63</v>
      </c>
    </row>
    <row r="61" spans="7:13" ht="24.95" customHeight="1">
      <c r="G61" s="311">
        <v>50</v>
      </c>
      <c r="H61" s="314">
        <v>10</v>
      </c>
      <c r="I61" s="315">
        <v>40</v>
      </c>
      <c r="K61" s="311" t="s">
        <v>63</v>
      </c>
      <c r="L61" s="314" t="s">
        <v>63</v>
      </c>
      <c r="M61" s="315" t="s">
        <v>63</v>
      </c>
    </row>
    <row r="62" spans="7:13" ht="24.95" customHeight="1">
      <c r="G62" s="311">
        <v>500</v>
      </c>
      <c r="H62" s="314">
        <v>240</v>
      </c>
      <c r="I62" s="315">
        <v>260</v>
      </c>
      <c r="K62" s="311">
        <v>80</v>
      </c>
      <c r="L62" s="314">
        <v>80</v>
      </c>
      <c r="M62" s="315" t="s">
        <v>63</v>
      </c>
    </row>
    <row r="63" spans="7:13" ht="24.95" customHeight="1">
      <c r="G63" s="312">
        <v>1030</v>
      </c>
      <c r="H63" s="314">
        <v>230</v>
      </c>
      <c r="I63" s="315">
        <v>800</v>
      </c>
      <c r="K63" s="311">
        <v>50</v>
      </c>
      <c r="L63" s="314">
        <v>50</v>
      </c>
      <c r="M63" s="315" t="s">
        <v>63</v>
      </c>
    </row>
    <row r="64" spans="7:13" ht="24.95" customHeight="1">
      <c r="G64" s="312">
        <v>1460</v>
      </c>
      <c r="H64" s="321">
        <v>1460</v>
      </c>
      <c r="I64" s="315" t="s">
        <v>63</v>
      </c>
      <c r="K64" s="312">
        <v>1460</v>
      </c>
      <c r="L64" s="321">
        <v>1460</v>
      </c>
      <c r="M64" s="315" t="s">
        <v>63</v>
      </c>
    </row>
    <row r="65" spans="7:13" ht="24.95" customHeight="1">
      <c r="G65" s="311">
        <v>60</v>
      </c>
      <c r="H65" s="314">
        <v>60</v>
      </c>
      <c r="I65" s="315" t="s">
        <v>63</v>
      </c>
      <c r="K65" s="311">
        <v>60</v>
      </c>
      <c r="L65" s="314">
        <v>60</v>
      </c>
      <c r="M65" s="315" t="s">
        <v>63</v>
      </c>
    </row>
    <row r="66" spans="7:13" ht="24.95" customHeight="1">
      <c r="G66" s="311">
        <v>280</v>
      </c>
      <c r="H66" s="314">
        <v>280</v>
      </c>
      <c r="I66" s="315" t="s">
        <v>63</v>
      </c>
      <c r="K66" s="311">
        <v>270</v>
      </c>
      <c r="L66" s="314">
        <v>270</v>
      </c>
      <c r="M66" s="315" t="s">
        <v>63</v>
      </c>
    </row>
    <row r="68" spans="7:13" ht="24.95" customHeight="1">
      <c r="G68" s="224">
        <f>SUM(G69:G73)</f>
        <v>7840</v>
      </c>
      <c r="H68" s="308">
        <f>SUM(H69:H73)</f>
        <v>3170</v>
      </c>
      <c r="I68" s="308">
        <f>SUM(I69:I73)</f>
        <v>4670</v>
      </c>
      <c r="K68" s="308">
        <f>SUM(K69:K73)</f>
        <v>7840</v>
      </c>
      <c r="L68" s="308">
        <f>SUM(L69:L73)</f>
        <v>3230</v>
      </c>
      <c r="M68" s="308">
        <f>SUM(M69:M73)</f>
        <v>4610</v>
      </c>
    </row>
    <row r="69" spans="7:13" ht="24.95" customHeight="1">
      <c r="G69" s="311">
        <v>720</v>
      </c>
      <c r="H69" s="314">
        <v>50</v>
      </c>
      <c r="I69" s="315">
        <v>670</v>
      </c>
      <c r="K69" s="322">
        <v>720</v>
      </c>
      <c r="L69" s="323">
        <v>50</v>
      </c>
      <c r="M69" s="324">
        <v>670</v>
      </c>
    </row>
    <row r="70" spans="7:13" ht="24.95" customHeight="1">
      <c r="G70" s="312">
        <v>3720</v>
      </c>
      <c r="H70" s="314">
        <v>860</v>
      </c>
      <c r="I70" s="316">
        <v>2860</v>
      </c>
      <c r="K70" s="325">
        <v>3720</v>
      </c>
      <c r="L70" s="323">
        <v>860</v>
      </c>
      <c r="M70" s="326">
        <v>2860</v>
      </c>
    </row>
    <row r="71" spans="7:13" ht="24.95" customHeight="1">
      <c r="G71" s="312">
        <v>1080</v>
      </c>
      <c r="H71" s="321">
        <v>1080</v>
      </c>
      <c r="I71" s="315" t="s">
        <v>63</v>
      </c>
      <c r="K71" s="325">
        <v>1140</v>
      </c>
      <c r="L71" s="323">
        <v>60</v>
      </c>
      <c r="M71" s="326">
        <v>1080</v>
      </c>
    </row>
    <row r="72" spans="7:13" ht="24.95" customHeight="1">
      <c r="G72" s="312">
        <v>1140</v>
      </c>
      <c r="H72" s="314">
        <v>60</v>
      </c>
      <c r="I72" s="316">
        <v>1080</v>
      </c>
      <c r="K72" s="312">
        <v>1080</v>
      </c>
      <c r="L72" s="321">
        <v>1080</v>
      </c>
      <c r="M72" s="315" t="s">
        <v>63</v>
      </c>
    </row>
    <row r="73" spans="7:13" ht="24.95" customHeight="1" thickBot="1">
      <c r="G73" s="313">
        <v>1180</v>
      </c>
      <c r="H73" s="317">
        <v>1120</v>
      </c>
      <c r="I73" s="318">
        <v>60</v>
      </c>
      <c r="K73" s="313">
        <v>1180</v>
      </c>
      <c r="L73" s="317">
        <v>1180</v>
      </c>
      <c r="M73" s="318" t="s">
        <v>63</v>
      </c>
    </row>
    <row r="74" spans="7:13" ht="24.95" customHeight="1" thickTop="1"/>
  </sheetData>
  <mergeCells count="67">
    <mergeCell ref="A32:A41"/>
    <mergeCell ref="A30:B30"/>
    <mergeCell ref="A27:A28"/>
    <mergeCell ref="A25:B26"/>
    <mergeCell ref="A14:A23"/>
    <mergeCell ref="A4:A13"/>
    <mergeCell ref="N25:N26"/>
    <mergeCell ref="M25:M26"/>
    <mergeCell ref="A3:B3"/>
    <mergeCell ref="M30:N30"/>
    <mergeCell ref="I25:K25"/>
    <mergeCell ref="G25:H25"/>
    <mergeCell ref="D25:D26"/>
    <mergeCell ref="E25:E26"/>
    <mergeCell ref="F25:F26"/>
    <mergeCell ref="D32:F32"/>
    <mergeCell ref="D33:F33"/>
    <mergeCell ref="D34:F34"/>
    <mergeCell ref="D35:F35"/>
    <mergeCell ref="L25:L26"/>
    <mergeCell ref="G32:I32"/>
    <mergeCell ref="G33:I33"/>
    <mergeCell ref="G34:I34"/>
    <mergeCell ref="G35:I35"/>
    <mergeCell ref="J32:L32"/>
    <mergeCell ref="J33:L33"/>
    <mergeCell ref="J34:L34"/>
    <mergeCell ref="J35:L35"/>
    <mergeCell ref="D30:F30"/>
    <mergeCell ref="G30:I30"/>
    <mergeCell ref="J30:L30"/>
    <mergeCell ref="D36:F36"/>
    <mergeCell ref="D37:F37"/>
    <mergeCell ref="D38:F38"/>
    <mergeCell ref="D39:F39"/>
    <mergeCell ref="D40:F40"/>
    <mergeCell ref="J37:L37"/>
    <mergeCell ref="J38:L38"/>
    <mergeCell ref="J39:L39"/>
    <mergeCell ref="J40:L40"/>
    <mergeCell ref="G37:I37"/>
    <mergeCell ref="G38:I38"/>
    <mergeCell ref="G39:I39"/>
    <mergeCell ref="G40:I40"/>
    <mergeCell ref="M37:N37"/>
    <mergeCell ref="M38:N38"/>
    <mergeCell ref="M39:N39"/>
    <mergeCell ref="M40:N40"/>
    <mergeCell ref="A31:B31"/>
    <mergeCell ref="D31:F31"/>
    <mergeCell ref="G31:I31"/>
    <mergeCell ref="J31:L31"/>
    <mergeCell ref="M31:N31"/>
    <mergeCell ref="M32:N32"/>
    <mergeCell ref="M33:N33"/>
    <mergeCell ref="M34:N34"/>
    <mergeCell ref="M35:N35"/>
    <mergeCell ref="J36:L36"/>
    <mergeCell ref="M36:N36"/>
    <mergeCell ref="G36:I36"/>
    <mergeCell ref="D46:E46"/>
    <mergeCell ref="D47:E47"/>
    <mergeCell ref="D48:E48"/>
    <mergeCell ref="J41:L41"/>
    <mergeCell ref="M41:N41"/>
    <mergeCell ref="D41:F41"/>
    <mergeCell ref="G41:I41"/>
  </mergeCells>
  <phoneticPr fontId="3" type="noConversion"/>
  <printOptions horizontalCentered="1"/>
  <pageMargins left="0.62992125984251968" right="0.62992125984251968" top="0.74803149606299213" bottom="0.74803149606299213" header="0.31496062992125984" footer="0.31496062992125984"/>
  <pageSetup paperSize="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IW23"/>
  <sheetViews>
    <sheetView workbookViewId="0">
      <selection activeCell="H14" sqref="H14"/>
    </sheetView>
  </sheetViews>
  <sheetFormatPr defaultColWidth="14.77734375" defaultRowHeight="24.95" customHeight="1"/>
  <cols>
    <col min="1" max="2" width="12.77734375" style="267" customWidth="1"/>
    <col min="3" max="7" width="10.33203125" style="267" customWidth="1"/>
    <col min="8" max="16384" width="14.77734375" style="267"/>
  </cols>
  <sheetData>
    <row r="1" spans="1:257" ht="24.95" customHeight="1">
      <c r="A1" s="204" t="s">
        <v>1086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204"/>
      <c r="Q1" s="204"/>
      <c r="R1" s="204"/>
      <c r="S1" s="204"/>
      <c r="T1" s="204"/>
      <c r="U1" s="204"/>
      <c r="V1" s="204"/>
      <c r="W1" s="204"/>
      <c r="X1" s="204"/>
      <c r="Y1" s="204"/>
      <c r="Z1" s="204"/>
      <c r="AA1" s="204"/>
      <c r="AB1" s="204"/>
      <c r="AC1" s="204"/>
      <c r="AD1" s="204"/>
      <c r="AE1" s="204"/>
      <c r="AF1" s="204"/>
      <c r="AG1" s="204"/>
      <c r="AH1" s="204"/>
      <c r="AI1" s="204"/>
      <c r="AJ1" s="204"/>
      <c r="AK1" s="204"/>
      <c r="AL1" s="204"/>
      <c r="AM1" s="204"/>
      <c r="AN1" s="204"/>
      <c r="AO1" s="204"/>
      <c r="AP1" s="204"/>
      <c r="AQ1" s="204"/>
      <c r="AR1" s="204"/>
      <c r="AS1" s="204"/>
      <c r="AT1" s="204"/>
      <c r="AU1" s="204"/>
      <c r="AV1" s="204"/>
      <c r="AW1" s="204"/>
      <c r="AX1" s="204"/>
      <c r="AY1" s="204"/>
      <c r="AZ1" s="204"/>
      <c r="BA1" s="204"/>
      <c r="BB1" s="204"/>
      <c r="BC1" s="204"/>
      <c r="BD1" s="204"/>
      <c r="BE1" s="204"/>
      <c r="BF1" s="204"/>
      <c r="BG1" s="204"/>
      <c r="BH1" s="204"/>
      <c r="BI1" s="204"/>
      <c r="BJ1" s="204"/>
      <c r="BK1" s="204"/>
      <c r="BL1" s="204"/>
      <c r="BM1" s="204"/>
      <c r="BN1" s="204"/>
      <c r="BO1" s="204"/>
      <c r="BP1" s="204"/>
      <c r="BQ1" s="204"/>
      <c r="BR1" s="204"/>
      <c r="BS1" s="204"/>
      <c r="BT1" s="204"/>
      <c r="BU1" s="204"/>
      <c r="BV1" s="204"/>
      <c r="BW1" s="204"/>
      <c r="BX1" s="204"/>
      <c r="BY1" s="204"/>
      <c r="BZ1" s="204"/>
      <c r="CA1" s="204"/>
      <c r="CB1" s="204"/>
      <c r="CC1" s="204"/>
      <c r="CD1" s="204"/>
      <c r="CE1" s="204"/>
      <c r="CF1" s="204"/>
      <c r="CG1" s="204"/>
      <c r="CH1" s="204"/>
      <c r="CI1" s="204"/>
      <c r="CJ1" s="204"/>
      <c r="CK1" s="204"/>
      <c r="CL1" s="204"/>
      <c r="CM1" s="204"/>
      <c r="CN1" s="204"/>
      <c r="CO1" s="204"/>
      <c r="CP1" s="204"/>
      <c r="CQ1" s="204"/>
      <c r="CR1" s="204"/>
      <c r="CS1" s="204"/>
      <c r="CT1" s="204"/>
      <c r="CU1" s="204"/>
      <c r="CV1" s="204"/>
      <c r="CW1" s="204"/>
      <c r="CX1" s="204"/>
      <c r="CY1" s="204"/>
      <c r="CZ1" s="204"/>
      <c r="DA1" s="204"/>
      <c r="DB1" s="204"/>
      <c r="DC1" s="204"/>
      <c r="DD1" s="204"/>
      <c r="DE1" s="204"/>
      <c r="DF1" s="204"/>
      <c r="DG1" s="204"/>
      <c r="DH1" s="204"/>
      <c r="DI1" s="204"/>
      <c r="DJ1" s="204"/>
      <c r="DK1" s="204"/>
      <c r="DL1" s="204"/>
      <c r="DM1" s="204"/>
      <c r="DN1" s="204"/>
      <c r="DO1" s="204"/>
      <c r="DP1" s="204"/>
      <c r="DQ1" s="204"/>
      <c r="DR1" s="204"/>
      <c r="DS1" s="204"/>
      <c r="DT1" s="204"/>
      <c r="DU1" s="204"/>
      <c r="DV1" s="204"/>
      <c r="DW1" s="204"/>
      <c r="DX1" s="204"/>
      <c r="DY1" s="204"/>
      <c r="DZ1" s="204"/>
      <c r="EA1" s="204"/>
      <c r="EB1" s="204"/>
      <c r="EC1" s="204"/>
      <c r="ED1" s="204"/>
      <c r="EE1" s="204"/>
      <c r="EF1" s="204"/>
      <c r="EG1" s="204"/>
      <c r="EH1" s="204"/>
      <c r="EI1" s="204"/>
      <c r="EJ1" s="204"/>
      <c r="EK1" s="204"/>
      <c r="EL1" s="204"/>
      <c r="EM1" s="204"/>
      <c r="EN1" s="204"/>
      <c r="EO1" s="204"/>
      <c r="EP1" s="204"/>
      <c r="EQ1" s="204"/>
      <c r="ER1" s="204"/>
      <c r="ES1" s="204"/>
      <c r="ET1" s="204"/>
      <c r="EU1" s="204"/>
      <c r="EV1" s="204"/>
      <c r="EW1" s="204"/>
      <c r="EX1" s="204"/>
      <c r="EY1" s="204"/>
      <c r="EZ1" s="204"/>
      <c r="FA1" s="204"/>
      <c r="FB1" s="204"/>
      <c r="FC1" s="204"/>
      <c r="FD1" s="204"/>
      <c r="FE1" s="204"/>
      <c r="FF1" s="204"/>
      <c r="FG1" s="204"/>
      <c r="FH1" s="204"/>
      <c r="FI1" s="204"/>
      <c r="FJ1" s="204"/>
      <c r="FK1" s="204"/>
      <c r="FL1" s="204"/>
      <c r="FM1" s="204"/>
      <c r="FN1" s="204"/>
      <c r="FO1" s="204"/>
      <c r="FP1" s="204"/>
      <c r="FQ1" s="204"/>
      <c r="FR1" s="204"/>
      <c r="FS1" s="204"/>
      <c r="FT1" s="204"/>
      <c r="FU1" s="204"/>
      <c r="FV1" s="204"/>
      <c r="FW1" s="204"/>
      <c r="FX1" s="204"/>
      <c r="FY1" s="204"/>
      <c r="FZ1" s="204"/>
      <c r="GA1" s="204"/>
      <c r="GB1" s="204"/>
      <c r="GC1" s="204"/>
      <c r="GD1" s="204"/>
      <c r="GE1" s="204"/>
      <c r="GF1" s="204"/>
      <c r="GG1" s="204"/>
      <c r="GH1" s="204"/>
      <c r="GI1" s="204"/>
      <c r="GJ1" s="204"/>
      <c r="GK1" s="204"/>
      <c r="GL1" s="204"/>
      <c r="GM1" s="204"/>
      <c r="GN1" s="204"/>
      <c r="GO1" s="204"/>
      <c r="GP1" s="204"/>
      <c r="GQ1" s="204"/>
      <c r="GR1" s="204"/>
      <c r="GS1" s="204"/>
      <c r="GT1" s="204"/>
      <c r="GU1" s="204"/>
      <c r="GV1" s="204"/>
      <c r="GW1" s="204"/>
      <c r="GX1" s="204"/>
      <c r="GY1" s="204"/>
      <c r="GZ1" s="204"/>
      <c r="HA1" s="204"/>
      <c r="HB1" s="204"/>
      <c r="HC1" s="204"/>
      <c r="HD1" s="204"/>
      <c r="HE1" s="204"/>
      <c r="HF1" s="204"/>
      <c r="HG1" s="204"/>
      <c r="HH1" s="204"/>
      <c r="HI1" s="204"/>
      <c r="HJ1" s="204"/>
      <c r="HK1" s="204"/>
      <c r="HL1" s="204"/>
      <c r="HM1" s="204"/>
      <c r="HN1" s="204"/>
      <c r="HO1" s="204"/>
      <c r="HP1" s="204"/>
      <c r="HQ1" s="204"/>
      <c r="HR1" s="204"/>
      <c r="HS1" s="204"/>
      <c r="HT1" s="204"/>
      <c r="HU1" s="204"/>
      <c r="HV1" s="204"/>
      <c r="HW1" s="204"/>
      <c r="HX1" s="204"/>
      <c r="HY1" s="204"/>
      <c r="HZ1" s="204"/>
      <c r="IA1" s="204"/>
      <c r="IB1" s="204"/>
      <c r="IC1" s="204"/>
      <c r="ID1" s="204"/>
      <c r="IE1" s="204"/>
      <c r="IF1" s="204"/>
      <c r="IG1" s="204"/>
      <c r="IH1" s="204"/>
      <c r="II1" s="204"/>
      <c r="IJ1" s="204"/>
      <c r="IK1" s="204"/>
      <c r="IL1" s="204"/>
      <c r="IM1" s="204"/>
      <c r="IN1" s="204"/>
      <c r="IO1" s="204"/>
      <c r="IP1" s="204"/>
      <c r="IQ1" s="204"/>
      <c r="IR1" s="204"/>
      <c r="IS1" s="204"/>
      <c r="IT1" s="204"/>
      <c r="IU1" s="204"/>
      <c r="IV1" s="204"/>
      <c r="IW1" s="204"/>
    </row>
    <row r="2" spans="1:257" ht="24.95" customHeight="1">
      <c r="A2" s="207" t="s">
        <v>1268</v>
      </c>
      <c r="B2" s="207"/>
      <c r="C2" s="208"/>
      <c r="D2" s="208"/>
      <c r="E2" s="209"/>
      <c r="F2" s="209"/>
      <c r="G2" s="209"/>
      <c r="H2" s="208"/>
      <c r="I2" s="209"/>
      <c r="J2" s="209"/>
      <c r="K2" s="208"/>
      <c r="L2" s="208"/>
      <c r="M2" s="208"/>
      <c r="N2" s="208"/>
      <c r="O2" s="208"/>
      <c r="P2" s="208"/>
      <c r="Q2" s="208"/>
      <c r="R2" s="208"/>
      <c r="S2" s="208"/>
      <c r="T2" s="208"/>
      <c r="U2" s="208"/>
      <c r="V2" s="208"/>
      <c r="W2" s="208"/>
      <c r="X2" s="208"/>
      <c r="Y2" s="208"/>
      <c r="Z2" s="208"/>
      <c r="AA2" s="208"/>
      <c r="AB2" s="208"/>
      <c r="AC2" s="208"/>
      <c r="AD2" s="208"/>
      <c r="AE2" s="208"/>
      <c r="AF2" s="208"/>
      <c r="AG2" s="208"/>
      <c r="AH2" s="208"/>
      <c r="AI2" s="208"/>
      <c r="AJ2" s="208"/>
      <c r="AK2" s="208"/>
      <c r="AL2" s="208"/>
      <c r="AM2" s="208"/>
      <c r="AN2" s="208"/>
      <c r="AO2" s="208"/>
      <c r="AP2" s="208"/>
      <c r="AQ2" s="208"/>
      <c r="AR2" s="208"/>
      <c r="AS2" s="208"/>
      <c r="AT2" s="208"/>
      <c r="AU2" s="208"/>
      <c r="AV2" s="208"/>
      <c r="AW2" s="208"/>
      <c r="AX2" s="208"/>
      <c r="AY2" s="208"/>
      <c r="AZ2" s="208"/>
      <c r="BA2" s="208"/>
      <c r="BB2" s="208"/>
      <c r="BC2" s="208"/>
      <c r="BD2" s="208"/>
      <c r="BE2" s="208"/>
      <c r="BF2" s="208"/>
      <c r="BG2" s="208"/>
      <c r="BH2" s="208"/>
      <c r="BI2" s="208"/>
      <c r="BJ2" s="208"/>
      <c r="BK2" s="208"/>
      <c r="BL2" s="208"/>
      <c r="BM2" s="208"/>
      <c r="BN2" s="208"/>
      <c r="BO2" s="208"/>
      <c r="BP2" s="208"/>
      <c r="BQ2" s="208"/>
      <c r="BR2" s="208"/>
      <c r="BS2" s="208"/>
      <c r="BT2" s="208"/>
      <c r="BU2" s="208"/>
      <c r="BV2" s="208"/>
      <c r="BW2" s="208"/>
      <c r="BX2" s="208"/>
      <c r="BY2" s="208"/>
      <c r="BZ2" s="208"/>
      <c r="CA2" s="208"/>
      <c r="CB2" s="208"/>
      <c r="CC2" s="208"/>
      <c r="CD2" s="208"/>
      <c r="CE2" s="208"/>
      <c r="CF2" s="208"/>
      <c r="CG2" s="208"/>
      <c r="CH2" s="208"/>
      <c r="CI2" s="208"/>
      <c r="CJ2" s="208"/>
      <c r="CK2" s="208"/>
      <c r="CL2" s="208"/>
      <c r="CM2" s="208"/>
      <c r="CN2" s="208"/>
      <c r="CO2" s="208"/>
      <c r="CP2" s="208"/>
      <c r="CQ2" s="208"/>
      <c r="CR2" s="208"/>
      <c r="CS2" s="208"/>
      <c r="CT2" s="208"/>
      <c r="CU2" s="208"/>
      <c r="CV2" s="208"/>
      <c r="CW2" s="208"/>
      <c r="CX2" s="208"/>
      <c r="CY2" s="208"/>
      <c r="CZ2" s="208"/>
      <c r="DA2" s="208"/>
      <c r="DB2" s="208"/>
      <c r="DC2" s="208"/>
      <c r="DD2" s="208"/>
      <c r="DE2" s="208"/>
      <c r="DF2" s="208"/>
      <c r="DG2" s="208"/>
      <c r="DH2" s="208"/>
      <c r="DI2" s="208"/>
      <c r="DJ2" s="208"/>
      <c r="DK2" s="208"/>
      <c r="DL2" s="208"/>
      <c r="DM2" s="208"/>
      <c r="DN2" s="208"/>
      <c r="DO2" s="208"/>
      <c r="DP2" s="208"/>
      <c r="DQ2" s="208"/>
      <c r="DR2" s="208"/>
      <c r="DS2" s="208"/>
      <c r="DT2" s="208"/>
      <c r="DU2" s="208"/>
      <c r="DV2" s="208"/>
      <c r="DW2" s="208"/>
      <c r="DX2" s="208"/>
      <c r="DY2" s="208"/>
      <c r="DZ2" s="208"/>
      <c r="EA2" s="208"/>
      <c r="EB2" s="208"/>
      <c r="EC2" s="208"/>
      <c r="ED2" s="208"/>
      <c r="EE2" s="208"/>
      <c r="EF2" s="208"/>
      <c r="EG2" s="208"/>
      <c r="EH2" s="208"/>
      <c r="EI2" s="208"/>
      <c r="EJ2" s="208"/>
      <c r="EK2" s="208"/>
      <c r="EL2" s="208"/>
      <c r="EM2" s="208"/>
      <c r="EN2" s="208"/>
      <c r="EO2" s="208"/>
      <c r="EP2" s="208"/>
      <c r="EQ2" s="208"/>
      <c r="ER2" s="208"/>
      <c r="ES2" s="208"/>
      <c r="ET2" s="208"/>
      <c r="EU2" s="208"/>
      <c r="EV2" s="208"/>
      <c r="EW2" s="208"/>
      <c r="EX2" s="208"/>
      <c r="EY2" s="208"/>
      <c r="EZ2" s="208"/>
      <c r="FA2" s="208"/>
      <c r="FB2" s="208"/>
      <c r="FC2" s="208"/>
      <c r="FD2" s="208"/>
      <c r="FE2" s="208"/>
      <c r="FF2" s="208"/>
      <c r="FG2" s="208"/>
      <c r="FH2" s="208"/>
      <c r="FI2" s="208"/>
      <c r="FJ2" s="208"/>
      <c r="FK2" s="208"/>
      <c r="FL2" s="208"/>
      <c r="FM2" s="208"/>
      <c r="FN2" s="208"/>
      <c r="FO2" s="208"/>
      <c r="FP2" s="208"/>
      <c r="FQ2" s="208"/>
      <c r="FR2" s="208"/>
      <c r="FS2" s="208"/>
      <c r="FT2" s="208"/>
      <c r="FU2" s="208"/>
      <c r="FV2" s="208"/>
      <c r="FW2" s="208"/>
      <c r="FX2" s="208"/>
      <c r="FY2" s="208"/>
      <c r="FZ2" s="208"/>
      <c r="GA2" s="208"/>
      <c r="GB2" s="208"/>
      <c r="GC2" s="208"/>
      <c r="GD2" s="208"/>
      <c r="GE2" s="208"/>
      <c r="GF2" s="208"/>
      <c r="GG2" s="208"/>
      <c r="GH2" s="208"/>
      <c r="GI2" s="208"/>
      <c r="GJ2" s="208"/>
      <c r="GK2" s="208"/>
      <c r="GL2" s="208"/>
      <c r="GM2" s="208"/>
      <c r="GN2" s="208"/>
      <c r="GO2" s="208"/>
      <c r="GP2" s="208"/>
      <c r="GQ2" s="208"/>
      <c r="GR2" s="208"/>
      <c r="GS2" s="208"/>
      <c r="GT2" s="208"/>
      <c r="GU2" s="208"/>
      <c r="GV2" s="208"/>
      <c r="GW2" s="208"/>
      <c r="GX2" s="208"/>
      <c r="GY2" s="208"/>
      <c r="GZ2" s="208"/>
      <c r="HA2" s="208"/>
      <c r="HB2" s="208"/>
      <c r="HC2" s="208"/>
      <c r="HD2" s="208"/>
      <c r="HE2" s="208"/>
      <c r="HF2" s="208"/>
      <c r="HG2" s="208"/>
      <c r="HH2" s="208"/>
      <c r="HI2" s="208"/>
      <c r="HJ2" s="208"/>
      <c r="HK2" s="208"/>
      <c r="HL2" s="208"/>
      <c r="HM2" s="208"/>
      <c r="HN2" s="208"/>
      <c r="HO2" s="208"/>
      <c r="HP2" s="208"/>
      <c r="HQ2" s="208"/>
      <c r="HR2" s="208"/>
      <c r="HS2" s="208"/>
      <c r="HT2" s="208"/>
      <c r="HU2" s="208"/>
      <c r="HV2" s="208"/>
      <c r="HW2" s="208"/>
      <c r="HX2" s="208"/>
      <c r="HY2" s="208"/>
      <c r="HZ2" s="208"/>
      <c r="IA2" s="208"/>
      <c r="IB2" s="208"/>
      <c r="IC2" s="208"/>
      <c r="ID2" s="208"/>
      <c r="IE2" s="208"/>
      <c r="IF2" s="208"/>
      <c r="IG2" s="208"/>
      <c r="IH2" s="208"/>
      <c r="II2" s="208"/>
      <c r="IJ2" s="208"/>
      <c r="IK2" s="208"/>
      <c r="IL2" s="208"/>
      <c r="IM2" s="208"/>
      <c r="IN2" s="208"/>
      <c r="IO2" s="208"/>
      <c r="IP2" s="208"/>
      <c r="IQ2" s="208"/>
      <c r="IR2" s="208"/>
      <c r="IS2" s="208"/>
      <c r="IT2" s="208"/>
      <c r="IU2" s="208"/>
      <c r="IV2" s="208"/>
      <c r="IW2" s="208"/>
    </row>
    <row r="3" spans="1:257" s="296" customFormat="1" ht="24.95" customHeight="1">
      <c r="A3" s="755" t="s">
        <v>1246</v>
      </c>
      <c r="B3" s="756"/>
      <c r="C3" s="759" t="s">
        <v>1270</v>
      </c>
      <c r="D3" s="760"/>
      <c r="E3" s="761"/>
      <c r="F3" s="754" t="s">
        <v>1271</v>
      </c>
      <c r="G3" s="751" t="s">
        <v>1247</v>
      </c>
    </row>
    <row r="4" spans="1:257" s="296" customFormat="1" ht="24.95" customHeight="1">
      <c r="A4" s="757"/>
      <c r="B4" s="758"/>
      <c r="C4" s="297" t="s">
        <v>1248</v>
      </c>
      <c r="D4" s="297" t="s">
        <v>1249</v>
      </c>
      <c r="E4" s="297" t="s">
        <v>1250</v>
      </c>
      <c r="F4" s="753"/>
      <c r="G4" s="753"/>
    </row>
    <row r="5" spans="1:257" s="296" customFormat="1" ht="24.95" customHeight="1">
      <c r="A5" s="762" t="s">
        <v>1251</v>
      </c>
      <c r="B5" s="763"/>
      <c r="C5" s="298">
        <f>C6+C18</f>
        <v>9839</v>
      </c>
      <c r="D5" s="298">
        <f t="shared" ref="D5:E5" si="0">D6+D18</f>
        <v>4960</v>
      </c>
      <c r="E5" s="298">
        <f t="shared" si="0"/>
        <v>4879</v>
      </c>
      <c r="F5" s="298">
        <f t="shared" ref="F5" si="1">F6+F18</f>
        <v>4733</v>
      </c>
      <c r="G5" s="299"/>
    </row>
    <row r="6" spans="1:257" s="296" customFormat="1" ht="24.95" customHeight="1">
      <c r="A6" s="751" t="s">
        <v>1273</v>
      </c>
      <c r="B6" s="300" t="s">
        <v>1251</v>
      </c>
      <c r="C6" s="301">
        <f>SUM(D6:E6)</f>
        <v>3873</v>
      </c>
      <c r="D6" s="301">
        <f>SUM(D7:D17)</f>
        <v>2726</v>
      </c>
      <c r="E6" s="301">
        <f>SUM(E7:E17)</f>
        <v>1147</v>
      </c>
      <c r="F6" s="301">
        <f>SUM(F7:F17)</f>
        <v>1058</v>
      </c>
      <c r="G6" s="300"/>
    </row>
    <row r="7" spans="1:257" s="296" customFormat="1" ht="24.95" customHeight="1">
      <c r="A7" s="752"/>
      <c r="B7" s="297" t="s">
        <v>1252</v>
      </c>
      <c r="C7" s="302">
        <f>SUM(D7:E7)</f>
        <v>72</v>
      </c>
      <c r="D7" s="302">
        <f>'[5]공업용수 분류'!$I$10</f>
        <v>45</v>
      </c>
      <c r="E7" s="302">
        <f>'[5]공업용수 분류'!$I$11</f>
        <v>27</v>
      </c>
      <c r="F7" s="302"/>
      <c r="G7" s="297"/>
    </row>
    <row r="8" spans="1:257" s="296" customFormat="1" ht="24.95" customHeight="1">
      <c r="A8" s="752"/>
      <c r="B8" s="297" t="s">
        <v>1253</v>
      </c>
      <c r="C8" s="302">
        <f t="shared" ref="C8:C23" si="2">SUM(D8:E8)</f>
        <v>25</v>
      </c>
      <c r="D8" s="302">
        <f>'[5]공업용수 분류'!$I$13</f>
        <v>4</v>
      </c>
      <c r="E8" s="302">
        <f>'[5]공업용수 분류'!$I$14</f>
        <v>21</v>
      </c>
      <c r="F8" s="302"/>
      <c r="G8" s="297"/>
    </row>
    <row r="9" spans="1:257" s="296" customFormat="1" ht="24.95" customHeight="1">
      <c r="A9" s="752"/>
      <c r="B9" s="297" t="s">
        <v>1254</v>
      </c>
      <c r="C9" s="302">
        <f t="shared" si="2"/>
        <v>320</v>
      </c>
      <c r="D9" s="302">
        <f>'[5]공업용수 분류'!$I$16</f>
        <v>320</v>
      </c>
      <c r="E9" s="302">
        <f>'[5]공업용수 분류'!$I$17</f>
        <v>0</v>
      </c>
      <c r="F9" s="302"/>
      <c r="G9" s="297"/>
    </row>
    <row r="10" spans="1:257" s="296" customFormat="1" ht="24.95" hidden="1" customHeight="1">
      <c r="A10" s="752"/>
      <c r="B10" s="297" t="s">
        <v>1255</v>
      </c>
      <c r="C10" s="302">
        <f t="shared" si="2"/>
        <v>0</v>
      </c>
      <c r="D10" s="302"/>
      <c r="E10" s="302"/>
      <c r="F10" s="302"/>
      <c r="G10" s="297"/>
    </row>
    <row r="11" spans="1:257" s="296" customFormat="1" ht="24.95" customHeight="1">
      <c r="A11" s="752"/>
      <c r="B11" s="297" t="s">
        <v>1256</v>
      </c>
      <c r="C11" s="302">
        <f t="shared" si="2"/>
        <v>86</v>
      </c>
      <c r="D11" s="302">
        <f>'[5]공업용수 분류'!$I$22</f>
        <v>86</v>
      </c>
      <c r="E11" s="302">
        <f>'[5]공업용수 분류'!$I$23</f>
        <v>0</v>
      </c>
      <c r="F11" s="302"/>
      <c r="G11" s="297"/>
    </row>
    <row r="12" spans="1:257" s="296" customFormat="1" ht="24.95" customHeight="1">
      <c r="A12" s="752"/>
      <c r="B12" s="297" t="s">
        <v>1257</v>
      </c>
      <c r="C12" s="302">
        <f t="shared" si="2"/>
        <v>48</v>
      </c>
      <c r="D12" s="302">
        <f>'[5]공업용수 분류'!$I$25</f>
        <v>7</v>
      </c>
      <c r="E12" s="302">
        <f>'[5]공업용수 분류'!$I$26</f>
        <v>41</v>
      </c>
      <c r="F12" s="302"/>
      <c r="G12" s="297"/>
    </row>
    <row r="13" spans="1:257" s="296" customFormat="1" ht="24.95" customHeight="1">
      <c r="A13" s="752"/>
      <c r="B13" s="297" t="s">
        <v>1258</v>
      </c>
      <c r="C13" s="302">
        <f t="shared" si="2"/>
        <v>495</v>
      </c>
      <c r="D13" s="302">
        <f>'[5]공업용수 분류'!$I$28</f>
        <v>239</v>
      </c>
      <c r="E13" s="302">
        <f>'[5]공업용수 분류'!$I$29</f>
        <v>256</v>
      </c>
      <c r="F13" s="302">
        <f>E13</f>
        <v>256</v>
      </c>
      <c r="G13" s="297" t="s">
        <v>1036</v>
      </c>
    </row>
    <row r="14" spans="1:257" s="296" customFormat="1" ht="24.95" customHeight="1">
      <c r="A14" s="752"/>
      <c r="B14" s="297" t="s">
        <v>1259</v>
      </c>
      <c r="C14" s="302">
        <f t="shared" si="2"/>
        <v>1038</v>
      </c>
      <c r="D14" s="302">
        <f>'[5]공업용수 분류'!$I$31</f>
        <v>236</v>
      </c>
      <c r="E14" s="302">
        <f>'[5]공업용수 분류'!$I$32</f>
        <v>802</v>
      </c>
      <c r="F14" s="302">
        <f>E14</f>
        <v>802</v>
      </c>
      <c r="G14" s="297" t="s">
        <v>1036</v>
      </c>
    </row>
    <row r="15" spans="1:257" s="296" customFormat="1" ht="24.95" customHeight="1">
      <c r="A15" s="752"/>
      <c r="B15" s="297" t="s">
        <v>1260</v>
      </c>
      <c r="C15" s="302">
        <f t="shared" si="2"/>
        <v>1456</v>
      </c>
      <c r="D15" s="302">
        <f>'[5]공업용수 분류'!$I$34</f>
        <v>1456</v>
      </c>
      <c r="E15" s="302">
        <f>'[5]공업용수 분류'!$I$35</f>
        <v>0</v>
      </c>
      <c r="F15" s="302"/>
      <c r="G15" s="297"/>
    </row>
    <row r="16" spans="1:257" s="296" customFormat="1" ht="24.95" customHeight="1">
      <c r="A16" s="752"/>
      <c r="B16" s="297" t="s">
        <v>1261</v>
      </c>
      <c r="C16" s="302">
        <f t="shared" si="2"/>
        <v>56</v>
      </c>
      <c r="D16" s="302">
        <f>'[5]공업용수 분류'!$I$37</f>
        <v>56</v>
      </c>
      <c r="E16" s="302">
        <f>'[5]공업용수 분류'!$I$38</f>
        <v>0</v>
      </c>
      <c r="F16" s="302"/>
      <c r="G16" s="297"/>
    </row>
    <row r="17" spans="1:7" s="296" customFormat="1" ht="24.95" customHeight="1">
      <c r="A17" s="753"/>
      <c r="B17" s="297" t="s">
        <v>2427</v>
      </c>
      <c r="C17" s="302">
        <f t="shared" si="2"/>
        <v>277</v>
      </c>
      <c r="D17" s="302">
        <f>'[5]공업용수 분류'!$I$40</f>
        <v>277</v>
      </c>
      <c r="E17" s="302">
        <f>'[5]공업용수 분류'!$I$41</f>
        <v>0</v>
      </c>
      <c r="F17" s="302"/>
      <c r="G17" s="297"/>
    </row>
    <row r="18" spans="1:7" s="296" customFormat="1" ht="24.95" customHeight="1">
      <c r="A18" s="751" t="s">
        <v>1262</v>
      </c>
      <c r="B18" s="300" t="s">
        <v>1251</v>
      </c>
      <c r="C18" s="301">
        <f>SUM(D18:E18)</f>
        <v>5966</v>
      </c>
      <c r="D18" s="301">
        <f>SUM(D19:D23)</f>
        <v>2234</v>
      </c>
      <c r="E18" s="301">
        <f>SUM(E19:E23)</f>
        <v>3732</v>
      </c>
      <c r="F18" s="301">
        <f>SUM(F19:F23)</f>
        <v>3675</v>
      </c>
      <c r="G18" s="300"/>
    </row>
    <row r="19" spans="1:7" s="296" customFormat="1" ht="24.95" customHeight="1">
      <c r="A19" s="752"/>
      <c r="B19" s="297" t="s">
        <v>1263</v>
      </c>
      <c r="C19" s="302">
        <f t="shared" si="2"/>
        <v>674</v>
      </c>
      <c r="D19" s="302">
        <f>'[5]공업용수 분류'!$G$46</f>
        <v>0</v>
      </c>
      <c r="E19" s="302">
        <f>'[5]공업용수 분류'!$G$47</f>
        <v>674</v>
      </c>
      <c r="F19" s="302">
        <f>E19</f>
        <v>674</v>
      </c>
      <c r="G19" s="297" t="s">
        <v>1036</v>
      </c>
    </row>
    <row r="20" spans="1:7" s="296" customFormat="1" ht="24.95" customHeight="1">
      <c r="A20" s="752"/>
      <c r="B20" s="297" t="s">
        <v>1264</v>
      </c>
      <c r="C20" s="302">
        <f t="shared" si="2"/>
        <v>2016</v>
      </c>
      <c r="D20" s="302">
        <f>'[5]공업용수 분류'!$G$49</f>
        <v>94</v>
      </c>
      <c r="E20" s="302">
        <f>'[5]공업용수 분류'!$G$50</f>
        <v>1922</v>
      </c>
      <c r="F20" s="302">
        <f>E20</f>
        <v>1922</v>
      </c>
      <c r="G20" s="297" t="s">
        <v>1036</v>
      </c>
    </row>
    <row r="21" spans="1:7" s="296" customFormat="1" ht="24.95" customHeight="1">
      <c r="A21" s="752"/>
      <c r="B21" s="297" t="s">
        <v>1265</v>
      </c>
      <c r="C21" s="302">
        <f t="shared" si="2"/>
        <v>1051</v>
      </c>
      <c r="D21" s="302">
        <f>'[5]공업용수 분류'!$G$52</f>
        <v>1051</v>
      </c>
      <c r="E21" s="302">
        <f>'[5]공업용수 분류'!$G$53</f>
        <v>0</v>
      </c>
      <c r="F21" s="302"/>
      <c r="G21" s="297"/>
    </row>
    <row r="22" spans="1:7" s="296" customFormat="1" ht="24.95" customHeight="1">
      <c r="A22" s="752"/>
      <c r="B22" s="297" t="s">
        <v>1266</v>
      </c>
      <c r="C22" s="302">
        <f t="shared" si="2"/>
        <v>1079</v>
      </c>
      <c r="D22" s="302">
        <f>'[5]공업용수 분류'!$G$55</f>
        <v>0</v>
      </c>
      <c r="E22" s="302">
        <f>'[5]공업용수 분류'!$G$56</f>
        <v>1079</v>
      </c>
      <c r="F22" s="302">
        <f>E22</f>
        <v>1079</v>
      </c>
      <c r="G22" s="297" t="s">
        <v>1036</v>
      </c>
    </row>
    <row r="23" spans="1:7" s="296" customFormat="1" ht="24.95" customHeight="1">
      <c r="A23" s="753"/>
      <c r="B23" s="297" t="s">
        <v>1267</v>
      </c>
      <c r="C23" s="302">
        <f t="shared" si="2"/>
        <v>1146</v>
      </c>
      <c r="D23" s="302">
        <f>'[5]공업용수 분류'!$G$58</f>
        <v>1089</v>
      </c>
      <c r="E23" s="302">
        <f>'[5]공업용수 분류'!$G$59</f>
        <v>57</v>
      </c>
      <c r="F23" s="302"/>
      <c r="G23" s="297"/>
    </row>
  </sheetData>
  <mergeCells count="7">
    <mergeCell ref="A18:A23"/>
    <mergeCell ref="F3:F4"/>
    <mergeCell ref="A3:B4"/>
    <mergeCell ref="C3:E3"/>
    <mergeCell ref="G3:G4"/>
    <mergeCell ref="A5:B5"/>
    <mergeCell ref="A6:A17"/>
  </mergeCells>
  <phoneticPr fontId="3" type="noConversion"/>
  <printOptions horizontalCentered="1"/>
  <pageMargins left="0.62992125984251968" right="0.62992125984251968" top="0.62992125984251968" bottom="0.62992125984251968" header="0.31496062992125984" footer="0.31496062992125984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IX36"/>
  <sheetViews>
    <sheetView topLeftCell="A4" workbookViewId="0">
      <selection activeCell="L21" sqref="L21"/>
    </sheetView>
  </sheetViews>
  <sheetFormatPr defaultRowHeight="20.100000000000001" customHeight="1"/>
  <cols>
    <col min="1" max="1" width="8.33203125" style="224" customWidth="1"/>
    <col min="2" max="2" width="6.77734375" style="224" customWidth="1"/>
    <col min="3" max="3" width="6.77734375" style="453" customWidth="1"/>
    <col min="4" max="16384" width="8.88671875" style="224"/>
  </cols>
  <sheetData>
    <row r="1" spans="1:258" ht="30" customHeight="1">
      <c r="A1" s="204" t="s">
        <v>1109</v>
      </c>
    </row>
    <row r="2" spans="1:258" s="453" customFormat="1" ht="30" customHeight="1">
      <c r="A2" s="207" t="s">
        <v>2408</v>
      </c>
      <c r="B2" s="207"/>
      <c r="C2" s="207"/>
      <c r="D2" s="208"/>
      <c r="E2" s="208"/>
      <c r="F2" s="209"/>
      <c r="G2" s="209"/>
      <c r="H2" s="209"/>
      <c r="I2" s="208"/>
      <c r="J2" s="209"/>
      <c r="K2" s="209"/>
      <c r="L2" s="208"/>
      <c r="M2" s="208"/>
      <c r="N2" s="208"/>
      <c r="O2" s="208"/>
      <c r="P2" s="208"/>
      <c r="Q2" s="208"/>
      <c r="R2" s="208"/>
      <c r="S2" s="208"/>
      <c r="T2" s="208"/>
      <c r="U2" s="208"/>
      <c r="V2" s="208"/>
      <c r="W2" s="208"/>
      <c r="X2" s="208"/>
      <c r="Y2" s="208"/>
      <c r="Z2" s="208"/>
      <c r="AA2" s="208"/>
      <c r="AB2" s="208"/>
      <c r="AC2" s="208"/>
      <c r="AD2" s="208"/>
      <c r="AE2" s="208"/>
      <c r="AF2" s="208"/>
      <c r="AG2" s="208"/>
      <c r="AH2" s="208"/>
      <c r="AI2" s="208"/>
      <c r="AJ2" s="208"/>
      <c r="AK2" s="208"/>
      <c r="AL2" s="208"/>
      <c r="AM2" s="208"/>
      <c r="AN2" s="208"/>
      <c r="AO2" s="208"/>
      <c r="AP2" s="208"/>
      <c r="AQ2" s="208"/>
      <c r="AR2" s="208"/>
      <c r="AS2" s="208"/>
      <c r="AT2" s="208"/>
      <c r="AU2" s="208"/>
      <c r="AV2" s="208"/>
      <c r="AW2" s="208"/>
      <c r="AX2" s="208"/>
      <c r="AY2" s="208"/>
      <c r="AZ2" s="208"/>
      <c r="BA2" s="208"/>
      <c r="BB2" s="208"/>
      <c r="BC2" s="208"/>
      <c r="BD2" s="208"/>
      <c r="BE2" s="208"/>
      <c r="BF2" s="208"/>
      <c r="BG2" s="208"/>
      <c r="BH2" s="208"/>
      <c r="BI2" s="208"/>
      <c r="BJ2" s="208"/>
      <c r="BK2" s="208"/>
      <c r="BL2" s="208"/>
      <c r="BM2" s="208"/>
      <c r="BN2" s="208"/>
      <c r="BO2" s="208"/>
      <c r="BP2" s="208"/>
      <c r="BQ2" s="208"/>
      <c r="BR2" s="208"/>
      <c r="BS2" s="208"/>
      <c r="BT2" s="208"/>
      <c r="BU2" s="208"/>
      <c r="BV2" s="208"/>
      <c r="BW2" s="208"/>
      <c r="BX2" s="208"/>
      <c r="BY2" s="208"/>
      <c r="BZ2" s="208"/>
      <c r="CA2" s="208"/>
      <c r="CB2" s="208"/>
      <c r="CC2" s="208"/>
      <c r="CD2" s="208"/>
      <c r="CE2" s="208"/>
      <c r="CF2" s="208"/>
      <c r="CG2" s="208"/>
      <c r="CH2" s="208"/>
      <c r="CI2" s="208"/>
      <c r="CJ2" s="208"/>
      <c r="CK2" s="208"/>
      <c r="CL2" s="208"/>
      <c r="CM2" s="208"/>
      <c r="CN2" s="208"/>
      <c r="CO2" s="208"/>
      <c r="CP2" s="208"/>
      <c r="CQ2" s="208"/>
      <c r="CR2" s="208"/>
      <c r="CS2" s="208"/>
      <c r="CT2" s="208"/>
      <c r="CU2" s="208"/>
      <c r="CV2" s="208"/>
      <c r="CW2" s="208"/>
      <c r="CX2" s="208"/>
      <c r="CY2" s="208"/>
      <c r="CZ2" s="208"/>
      <c r="DA2" s="208"/>
      <c r="DB2" s="208"/>
      <c r="DC2" s="208"/>
      <c r="DD2" s="208"/>
      <c r="DE2" s="208"/>
      <c r="DF2" s="208"/>
      <c r="DG2" s="208"/>
      <c r="DH2" s="208"/>
      <c r="DI2" s="208"/>
      <c r="DJ2" s="208"/>
      <c r="DK2" s="208"/>
      <c r="DL2" s="208"/>
      <c r="DM2" s="208"/>
      <c r="DN2" s="208"/>
      <c r="DO2" s="208"/>
      <c r="DP2" s="208"/>
      <c r="DQ2" s="208"/>
      <c r="DR2" s="208"/>
      <c r="DS2" s="208"/>
      <c r="DT2" s="208"/>
      <c r="DU2" s="208"/>
      <c r="DV2" s="208"/>
      <c r="DW2" s="208"/>
      <c r="DX2" s="208"/>
      <c r="DY2" s="208"/>
      <c r="DZ2" s="208"/>
      <c r="EA2" s="208"/>
      <c r="EB2" s="208"/>
      <c r="EC2" s="208"/>
      <c r="ED2" s="208"/>
      <c r="EE2" s="208"/>
      <c r="EF2" s="208"/>
      <c r="EG2" s="208"/>
      <c r="EH2" s="208"/>
      <c r="EI2" s="208"/>
      <c r="EJ2" s="208"/>
      <c r="EK2" s="208"/>
      <c r="EL2" s="208"/>
      <c r="EM2" s="208"/>
      <c r="EN2" s="208"/>
      <c r="EO2" s="208"/>
      <c r="EP2" s="208"/>
      <c r="EQ2" s="208"/>
      <c r="ER2" s="208"/>
      <c r="ES2" s="208"/>
      <c r="ET2" s="208"/>
      <c r="EU2" s="208"/>
      <c r="EV2" s="208"/>
      <c r="EW2" s="208"/>
      <c r="EX2" s="208"/>
      <c r="EY2" s="208"/>
      <c r="EZ2" s="208"/>
      <c r="FA2" s="208"/>
      <c r="FB2" s="208"/>
      <c r="FC2" s="208"/>
      <c r="FD2" s="208"/>
      <c r="FE2" s="208"/>
      <c r="FF2" s="208"/>
      <c r="FG2" s="208"/>
      <c r="FH2" s="208"/>
      <c r="FI2" s="208"/>
      <c r="FJ2" s="208"/>
      <c r="FK2" s="208"/>
      <c r="FL2" s="208"/>
      <c r="FM2" s="208"/>
      <c r="FN2" s="208"/>
      <c r="FO2" s="208"/>
      <c r="FP2" s="208"/>
      <c r="FQ2" s="208"/>
      <c r="FR2" s="208"/>
      <c r="FS2" s="208"/>
      <c r="FT2" s="208"/>
      <c r="FU2" s="208"/>
      <c r="FV2" s="208"/>
      <c r="FW2" s="208"/>
      <c r="FX2" s="208"/>
      <c r="FY2" s="208"/>
      <c r="FZ2" s="208"/>
      <c r="GA2" s="208"/>
      <c r="GB2" s="208"/>
      <c r="GC2" s="208"/>
      <c r="GD2" s="208"/>
      <c r="GE2" s="208"/>
      <c r="GF2" s="208"/>
      <c r="GG2" s="208"/>
      <c r="GH2" s="208"/>
      <c r="GI2" s="208"/>
      <c r="GJ2" s="208"/>
      <c r="GK2" s="208"/>
      <c r="GL2" s="208"/>
      <c r="GM2" s="208"/>
      <c r="GN2" s="208"/>
      <c r="GO2" s="208"/>
      <c r="GP2" s="208"/>
      <c r="GQ2" s="208"/>
      <c r="GR2" s="208"/>
      <c r="GS2" s="208"/>
      <c r="GT2" s="208"/>
      <c r="GU2" s="208"/>
      <c r="GV2" s="208"/>
      <c r="GW2" s="208"/>
      <c r="GX2" s="208"/>
      <c r="GY2" s="208"/>
      <c r="GZ2" s="208"/>
      <c r="HA2" s="208"/>
      <c r="HB2" s="208"/>
      <c r="HC2" s="208"/>
      <c r="HD2" s="208"/>
      <c r="HE2" s="208"/>
      <c r="HF2" s="208"/>
      <c r="HG2" s="208"/>
      <c r="HH2" s="208"/>
      <c r="HI2" s="208"/>
      <c r="HJ2" s="208"/>
      <c r="HK2" s="208"/>
      <c r="HL2" s="208"/>
      <c r="HM2" s="208"/>
      <c r="HN2" s="208"/>
      <c r="HO2" s="208"/>
      <c r="HP2" s="208"/>
      <c r="HQ2" s="208"/>
      <c r="HR2" s="208"/>
      <c r="HS2" s="208"/>
      <c r="HT2" s="208"/>
      <c r="HU2" s="208"/>
      <c r="HV2" s="208"/>
      <c r="HW2" s="208"/>
      <c r="HX2" s="208"/>
      <c r="HY2" s="208"/>
      <c r="HZ2" s="208"/>
      <c r="IA2" s="208"/>
      <c r="IB2" s="208"/>
      <c r="IC2" s="208"/>
      <c r="ID2" s="208"/>
      <c r="IE2" s="208"/>
      <c r="IF2" s="208"/>
      <c r="IG2" s="208"/>
      <c r="IH2" s="208"/>
      <c r="II2" s="208"/>
      <c r="IJ2" s="208"/>
      <c r="IK2" s="208"/>
      <c r="IL2" s="208"/>
      <c r="IM2" s="208"/>
      <c r="IN2" s="208"/>
      <c r="IO2" s="208"/>
      <c r="IP2" s="208"/>
      <c r="IQ2" s="208"/>
      <c r="IR2" s="208"/>
      <c r="IS2" s="208"/>
      <c r="IT2" s="208"/>
      <c r="IU2" s="208"/>
      <c r="IV2" s="208"/>
      <c r="IW2" s="208"/>
      <c r="IX2" s="208"/>
    </row>
    <row r="3" spans="1:258" ht="24" customHeight="1">
      <c r="A3" s="613" t="s">
        <v>2415</v>
      </c>
      <c r="B3" s="614"/>
      <c r="C3" s="615"/>
      <c r="D3" s="451" t="s">
        <v>2409</v>
      </c>
      <c r="E3" s="451" t="s">
        <v>2410</v>
      </c>
      <c r="F3" s="451" t="s">
        <v>2411</v>
      </c>
      <c r="G3" s="451" t="s">
        <v>2412</v>
      </c>
      <c r="H3" s="451" t="s">
        <v>2413</v>
      </c>
      <c r="I3" s="451" t="s">
        <v>2414</v>
      </c>
    </row>
    <row r="4" spans="1:258" ht="24" customHeight="1">
      <c r="A4" s="641" t="s">
        <v>2419</v>
      </c>
      <c r="B4" s="613" t="s">
        <v>2416</v>
      </c>
      <c r="C4" s="615"/>
      <c r="D4" s="451">
        <f>'[3]5.급수원단위'!C32</f>
        <v>420</v>
      </c>
      <c r="E4" s="569">
        <f>'[3]5.급수원단위'!D32</f>
        <v>422</v>
      </c>
      <c r="F4" s="569">
        <f>'[3]5.급수원단위'!E32</f>
        <v>433</v>
      </c>
      <c r="G4" s="569">
        <f>'[3]5.급수원단위'!F32</f>
        <v>446</v>
      </c>
      <c r="H4" s="569">
        <f>'[3]5.급수원단위'!G32</f>
        <v>466</v>
      </c>
      <c r="I4" s="451"/>
    </row>
    <row r="5" spans="1:258" ht="24" customHeight="1">
      <c r="A5" s="616"/>
      <c r="B5" s="613" t="s">
        <v>2417</v>
      </c>
      <c r="C5" s="615"/>
      <c r="D5" s="569">
        <f>'[3]5.급수원단위'!C33</f>
        <v>365</v>
      </c>
      <c r="E5" s="569">
        <f>'[3]5.급수원단위'!D33</f>
        <v>390</v>
      </c>
      <c r="F5" s="569">
        <f>'[3]5.급수원단위'!E33</f>
        <v>417</v>
      </c>
      <c r="G5" s="569">
        <f>'[3]5.급수원단위'!F33</f>
        <v>439</v>
      </c>
      <c r="H5" s="569">
        <f>'[3]5.급수원단위'!G33</f>
        <v>454</v>
      </c>
      <c r="I5" s="451"/>
    </row>
    <row r="6" spans="1:258" ht="24" customHeight="1">
      <c r="A6" s="616"/>
      <c r="B6" s="613" t="s">
        <v>2418</v>
      </c>
      <c r="C6" s="615"/>
      <c r="D6" s="569">
        <f>'[3]5.급수원단위'!C34</f>
        <v>272</v>
      </c>
      <c r="E6" s="569">
        <f>'[3]5.급수원단위'!D34</f>
        <v>304</v>
      </c>
      <c r="F6" s="569">
        <f>'[3]5.급수원단위'!E34</f>
        <v>308</v>
      </c>
      <c r="G6" s="569">
        <f>'[3]5.급수원단위'!F34</f>
        <v>310</v>
      </c>
      <c r="H6" s="569">
        <f>'[3]5.급수원단위'!G34</f>
        <v>310</v>
      </c>
      <c r="I6" s="451"/>
    </row>
    <row r="7" spans="1:258" s="453" customFormat="1" ht="24" customHeight="1">
      <c r="A7" s="641" t="s">
        <v>2622</v>
      </c>
      <c r="B7" s="613" t="s">
        <v>2416</v>
      </c>
      <c r="C7" s="615"/>
      <c r="D7" s="459">
        <f>'[3]3.영업용수율'!$G$13</f>
        <v>0.67</v>
      </c>
      <c r="E7" s="459">
        <f>'[3]3.영업용수율'!$G$13</f>
        <v>0.67</v>
      </c>
      <c r="F7" s="459">
        <f>'[3]3.영업용수율'!$G$13</f>
        <v>0.67</v>
      </c>
      <c r="G7" s="459">
        <f>'[3]3.영업용수율'!$G$13</f>
        <v>0.67</v>
      </c>
      <c r="H7" s="459">
        <f>'[3]3.영업용수율'!$G$13</f>
        <v>0.67</v>
      </c>
      <c r="I7" s="643" t="s">
        <v>2623</v>
      </c>
    </row>
    <row r="8" spans="1:258" s="453" customFormat="1" ht="24" customHeight="1">
      <c r="A8" s="616"/>
      <c r="B8" s="613" t="s">
        <v>2417</v>
      </c>
      <c r="C8" s="615"/>
      <c r="D8" s="459">
        <f>'[3]3.영업용수율'!$G$26</f>
        <v>0.65400000000000003</v>
      </c>
      <c r="E8" s="459">
        <f>'[3]3.영업용수율'!$G$26</f>
        <v>0.65400000000000003</v>
      </c>
      <c r="F8" s="459">
        <f>'[3]3.영업용수율'!$G$26</f>
        <v>0.65400000000000003</v>
      </c>
      <c r="G8" s="459">
        <f>'[3]3.영업용수율'!$G$26</f>
        <v>0.65400000000000003</v>
      </c>
      <c r="H8" s="459">
        <f>'[3]3.영업용수율'!$G$26</f>
        <v>0.65400000000000003</v>
      </c>
      <c r="I8" s="644"/>
    </row>
    <row r="9" spans="1:258" s="453" customFormat="1" ht="24" customHeight="1">
      <c r="A9" s="616"/>
      <c r="B9" s="613" t="s">
        <v>2418</v>
      </c>
      <c r="C9" s="615"/>
      <c r="D9" s="459">
        <f>'[3]3.영업용수율'!$G$39</f>
        <v>0.71199999999999997</v>
      </c>
      <c r="E9" s="459">
        <f>'[3]3.영업용수율'!$G$39</f>
        <v>0.71199999999999997</v>
      </c>
      <c r="F9" s="459">
        <f>'[3]3.영업용수율'!$G$39</f>
        <v>0.71199999999999997</v>
      </c>
      <c r="G9" s="459">
        <f>'[3]3.영업용수율'!$G$39</f>
        <v>0.71199999999999997</v>
      </c>
      <c r="H9" s="459">
        <f>'[3]3.영업용수율'!$G$39</f>
        <v>0.71199999999999997</v>
      </c>
      <c r="I9" s="645"/>
    </row>
    <row r="10" spans="1:258" ht="24" customHeight="1">
      <c r="A10" s="641" t="s">
        <v>2420</v>
      </c>
      <c r="B10" s="613" t="s">
        <v>2416</v>
      </c>
      <c r="C10" s="615"/>
      <c r="D10" s="451">
        <f t="shared" ref="D10:H12" si="0">ROUND(D4*D7,0)</f>
        <v>281</v>
      </c>
      <c r="E10" s="451">
        <f t="shared" si="0"/>
        <v>283</v>
      </c>
      <c r="F10" s="451">
        <f t="shared" si="0"/>
        <v>290</v>
      </c>
      <c r="G10" s="451">
        <f t="shared" si="0"/>
        <v>299</v>
      </c>
      <c r="H10" s="451">
        <f t="shared" si="0"/>
        <v>312</v>
      </c>
      <c r="I10" s="451"/>
    </row>
    <row r="11" spans="1:258" ht="24" customHeight="1">
      <c r="A11" s="616"/>
      <c r="B11" s="613" t="s">
        <v>2417</v>
      </c>
      <c r="C11" s="615"/>
      <c r="D11" s="451">
        <f t="shared" si="0"/>
        <v>239</v>
      </c>
      <c r="E11" s="451">
        <f t="shared" si="0"/>
        <v>255</v>
      </c>
      <c r="F11" s="451">
        <f t="shared" si="0"/>
        <v>273</v>
      </c>
      <c r="G11" s="451">
        <f t="shared" si="0"/>
        <v>287</v>
      </c>
      <c r="H11" s="451">
        <f t="shared" si="0"/>
        <v>297</v>
      </c>
      <c r="I11" s="451"/>
    </row>
    <row r="12" spans="1:258" ht="24" customHeight="1">
      <c r="A12" s="616"/>
      <c r="B12" s="613" t="s">
        <v>2418</v>
      </c>
      <c r="C12" s="615"/>
      <c r="D12" s="451">
        <f t="shared" si="0"/>
        <v>194</v>
      </c>
      <c r="E12" s="451">
        <f t="shared" si="0"/>
        <v>216</v>
      </c>
      <c r="F12" s="451">
        <f t="shared" si="0"/>
        <v>219</v>
      </c>
      <c r="G12" s="451">
        <f t="shared" si="0"/>
        <v>221</v>
      </c>
      <c r="H12" s="451">
        <f t="shared" si="0"/>
        <v>221</v>
      </c>
      <c r="I12" s="451"/>
    </row>
    <row r="13" spans="1:258" ht="24" customHeight="1">
      <c r="A13" s="616" t="s">
        <v>2421</v>
      </c>
      <c r="B13" s="613" t="s">
        <v>2423</v>
      </c>
      <c r="C13" s="615"/>
      <c r="D13" s="460">
        <v>0.5</v>
      </c>
      <c r="E13" s="460">
        <v>0.5</v>
      </c>
      <c r="F13" s="460">
        <v>0.5</v>
      </c>
      <c r="G13" s="460">
        <v>0.5</v>
      </c>
      <c r="H13" s="460">
        <v>0.5</v>
      </c>
      <c r="I13" s="451"/>
    </row>
    <row r="14" spans="1:258" ht="24" customHeight="1">
      <c r="A14" s="616"/>
      <c r="B14" s="613" t="s">
        <v>2422</v>
      </c>
      <c r="C14" s="615"/>
      <c r="D14" s="460">
        <v>0.15</v>
      </c>
      <c r="E14" s="460">
        <v>0.15</v>
      </c>
      <c r="F14" s="460">
        <v>0.15</v>
      </c>
      <c r="G14" s="460">
        <v>0.15</v>
      </c>
      <c r="H14" s="460">
        <v>0.15</v>
      </c>
      <c r="I14" s="451"/>
    </row>
    <row r="15" spans="1:258" s="453" customFormat="1" ht="24" customHeight="1">
      <c r="A15" s="607" t="s">
        <v>2424</v>
      </c>
      <c r="B15" s="643" t="s">
        <v>2416</v>
      </c>
      <c r="C15" s="451" t="s">
        <v>2423</v>
      </c>
      <c r="D15" s="451">
        <f>ROUND(D10*D$13,0)</f>
        <v>141</v>
      </c>
      <c r="E15" s="451">
        <f t="shared" ref="E15:H15" si="1">ROUND(E10*E$13,0)</f>
        <v>142</v>
      </c>
      <c r="F15" s="451">
        <f t="shared" si="1"/>
        <v>145</v>
      </c>
      <c r="G15" s="451">
        <f t="shared" si="1"/>
        <v>150</v>
      </c>
      <c r="H15" s="451">
        <f t="shared" si="1"/>
        <v>156</v>
      </c>
      <c r="I15" s="451"/>
    </row>
    <row r="16" spans="1:258" s="453" customFormat="1" ht="24" customHeight="1">
      <c r="A16" s="644"/>
      <c r="B16" s="645"/>
      <c r="C16" s="451" t="s">
        <v>2422</v>
      </c>
      <c r="D16" s="451">
        <f>ROUND(D10*D$14,0)</f>
        <v>42</v>
      </c>
      <c r="E16" s="451">
        <f t="shared" ref="E16:H16" si="2">ROUND(E10*E$14,0)</f>
        <v>42</v>
      </c>
      <c r="F16" s="451">
        <f t="shared" si="2"/>
        <v>44</v>
      </c>
      <c r="G16" s="451">
        <f t="shared" si="2"/>
        <v>45</v>
      </c>
      <c r="H16" s="451">
        <f t="shared" si="2"/>
        <v>47</v>
      </c>
      <c r="I16" s="451"/>
    </row>
    <row r="17" spans="1:9" s="453" customFormat="1" ht="24" customHeight="1">
      <c r="A17" s="644"/>
      <c r="B17" s="643" t="s">
        <v>2417</v>
      </c>
      <c r="C17" s="451" t="s">
        <v>2423</v>
      </c>
      <c r="D17" s="451">
        <f>ROUND(D11*D$13,0)</f>
        <v>120</v>
      </c>
      <c r="E17" s="451">
        <f t="shared" ref="E17:H17" si="3">ROUND(E11*E$13,0)</f>
        <v>128</v>
      </c>
      <c r="F17" s="451">
        <f t="shared" si="3"/>
        <v>137</v>
      </c>
      <c r="G17" s="451">
        <f t="shared" si="3"/>
        <v>144</v>
      </c>
      <c r="H17" s="451">
        <f t="shared" si="3"/>
        <v>149</v>
      </c>
      <c r="I17" s="451"/>
    </row>
    <row r="18" spans="1:9" s="453" customFormat="1" ht="24" customHeight="1">
      <c r="A18" s="644"/>
      <c r="B18" s="645"/>
      <c r="C18" s="451" t="s">
        <v>2422</v>
      </c>
      <c r="D18" s="451">
        <f>ROUND(D11*D$14,0)</f>
        <v>36</v>
      </c>
      <c r="E18" s="451">
        <f t="shared" ref="E18:H18" si="4">ROUND(E11*E$14,0)</f>
        <v>38</v>
      </c>
      <c r="F18" s="451">
        <f t="shared" si="4"/>
        <v>41</v>
      </c>
      <c r="G18" s="451">
        <f t="shared" si="4"/>
        <v>43</v>
      </c>
      <c r="H18" s="451">
        <f t="shared" si="4"/>
        <v>45</v>
      </c>
      <c r="I18" s="451"/>
    </row>
    <row r="19" spans="1:9" ht="24" customHeight="1">
      <c r="A19" s="644"/>
      <c r="B19" s="643" t="s">
        <v>2418</v>
      </c>
      <c r="C19" s="451" t="s">
        <v>2423</v>
      </c>
      <c r="D19" s="451">
        <f>ROUND(D12*D$13,0)</f>
        <v>97</v>
      </c>
      <c r="E19" s="451">
        <f t="shared" ref="E19:H19" si="5">ROUND(E12*E$13,0)</f>
        <v>108</v>
      </c>
      <c r="F19" s="451">
        <f t="shared" si="5"/>
        <v>110</v>
      </c>
      <c r="G19" s="451">
        <f t="shared" si="5"/>
        <v>111</v>
      </c>
      <c r="H19" s="451">
        <f t="shared" si="5"/>
        <v>111</v>
      </c>
      <c r="I19" s="451"/>
    </row>
    <row r="20" spans="1:9" ht="24" customHeight="1">
      <c r="A20" s="645"/>
      <c r="B20" s="645"/>
      <c r="C20" s="451" t="s">
        <v>2422</v>
      </c>
      <c r="D20" s="451">
        <f>ROUND(D12*D$14,0)</f>
        <v>29</v>
      </c>
      <c r="E20" s="451">
        <f t="shared" ref="E20:H20" si="6">ROUND(E12*E$14,0)</f>
        <v>32</v>
      </c>
      <c r="F20" s="451">
        <f t="shared" si="6"/>
        <v>33</v>
      </c>
      <c r="G20" s="451">
        <f t="shared" si="6"/>
        <v>33</v>
      </c>
      <c r="H20" s="451">
        <f t="shared" si="6"/>
        <v>33</v>
      </c>
      <c r="I20" s="451"/>
    </row>
    <row r="21" spans="1:9" ht="24" customHeight="1">
      <c r="A21" s="764" t="s">
        <v>2424</v>
      </c>
      <c r="B21" s="767" t="s">
        <v>2416</v>
      </c>
      <c r="C21" s="452" t="s">
        <v>2423</v>
      </c>
      <c r="D21" s="610">
        <f t="shared" ref="D21:D26" si="7">H15</f>
        <v>156</v>
      </c>
      <c r="E21" s="611"/>
      <c r="F21" s="611"/>
      <c r="G21" s="611"/>
      <c r="H21" s="612"/>
      <c r="I21" s="452"/>
    </row>
    <row r="22" spans="1:9" ht="24" customHeight="1">
      <c r="A22" s="765"/>
      <c r="B22" s="766"/>
      <c r="C22" s="452" t="s">
        <v>2422</v>
      </c>
      <c r="D22" s="610">
        <f t="shared" si="7"/>
        <v>47</v>
      </c>
      <c r="E22" s="611"/>
      <c r="F22" s="611"/>
      <c r="G22" s="611"/>
      <c r="H22" s="612"/>
      <c r="I22" s="452"/>
    </row>
    <row r="23" spans="1:9" ht="24" customHeight="1">
      <c r="A23" s="765"/>
      <c r="B23" s="767" t="s">
        <v>2417</v>
      </c>
      <c r="C23" s="452" t="s">
        <v>2423</v>
      </c>
      <c r="D23" s="610">
        <f t="shared" si="7"/>
        <v>149</v>
      </c>
      <c r="E23" s="611"/>
      <c r="F23" s="611"/>
      <c r="G23" s="611"/>
      <c r="H23" s="612"/>
      <c r="I23" s="452"/>
    </row>
    <row r="24" spans="1:9" ht="24" customHeight="1">
      <c r="A24" s="765"/>
      <c r="B24" s="766"/>
      <c r="C24" s="452" t="s">
        <v>2422</v>
      </c>
      <c r="D24" s="610">
        <f t="shared" si="7"/>
        <v>45</v>
      </c>
      <c r="E24" s="611"/>
      <c r="F24" s="611"/>
      <c r="G24" s="611"/>
      <c r="H24" s="612"/>
      <c r="I24" s="452"/>
    </row>
    <row r="25" spans="1:9" ht="24" customHeight="1">
      <c r="A25" s="765"/>
      <c r="B25" s="767" t="s">
        <v>2418</v>
      </c>
      <c r="C25" s="452" t="s">
        <v>2423</v>
      </c>
      <c r="D25" s="610">
        <f t="shared" si="7"/>
        <v>111</v>
      </c>
      <c r="E25" s="611"/>
      <c r="F25" s="611"/>
      <c r="G25" s="611"/>
      <c r="H25" s="612"/>
      <c r="I25" s="452"/>
    </row>
    <row r="26" spans="1:9" ht="24" customHeight="1">
      <c r="A26" s="766"/>
      <c r="B26" s="766"/>
      <c r="C26" s="452" t="s">
        <v>2422</v>
      </c>
      <c r="D26" s="610">
        <f t="shared" si="7"/>
        <v>33</v>
      </c>
      <c r="E26" s="611"/>
      <c r="F26" s="611"/>
      <c r="G26" s="611"/>
      <c r="H26" s="612"/>
      <c r="I26" s="452"/>
    </row>
    <row r="27" spans="1:9" ht="24" customHeight="1"/>
    <row r="28" spans="1:9" ht="24" customHeight="1"/>
    <row r="29" spans="1:9" ht="24.95" customHeight="1"/>
    <row r="30" spans="1:9" ht="24.95" customHeight="1"/>
    <row r="31" spans="1:9" ht="24.95" customHeight="1"/>
    <row r="32" spans="1:9" ht="24.95" customHeight="1"/>
    <row r="33" ht="24.95" customHeight="1"/>
    <row r="34" ht="24.95" customHeight="1"/>
    <row r="35" ht="24.95" customHeight="1"/>
    <row r="36" ht="24.95" customHeight="1"/>
  </sheetData>
  <mergeCells count="31">
    <mergeCell ref="I7:I9"/>
    <mergeCell ref="A21:A26"/>
    <mergeCell ref="B21:B22"/>
    <mergeCell ref="B23:B24"/>
    <mergeCell ref="B25:B26"/>
    <mergeCell ref="D21:H21"/>
    <mergeCell ref="D22:H22"/>
    <mergeCell ref="D23:H23"/>
    <mergeCell ref="D24:H24"/>
    <mergeCell ref="D25:H25"/>
    <mergeCell ref="D26:H26"/>
    <mergeCell ref="B19:B20"/>
    <mergeCell ref="A15:A20"/>
    <mergeCell ref="B15:B16"/>
    <mergeCell ref="B17:B18"/>
    <mergeCell ref="A10:A12"/>
    <mergeCell ref="A13:A14"/>
    <mergeCell ref="B10:C10"/>
    <mergeCell ref="B11:C11"/>
    <mergeCell ref="B12:C12"/>
    <mergeCell ref="B13:C13"/>
    <mergeCell ref="B14:C14"/>
    <mergeCell ref="A7:A9"/>
    <mergeCell ref="A4:A6"/>
    <mergeCell ref="A3:C3"/>
    <mergeCell ref="B4:C4"/>
    <mergeCell ref="B5:C5"/>
    <mergeCell ref="B6:C6"/>
    <mergeCell ref="B7:C7"/>
    <mergeCell ref="B8:C8"/>
    <mergeCell ref="B9:C9"/>
  </mergeCells>
  <phoneticPr fontId="3" type="noConversion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IV29"/>
  <sheetViews>
    <sheetView workbookViewId="0">
      <selection activeCell="E36" sqref="E36"/>
    </sheetView>
  </sheetViews>
  <sheetFormatPr defaultColWidth="12.77734375" defaultRowHeight="20.100000000000001" customHeight="1"/>
  <cols>
    <col min="1" max="1" width="16.109375" style="206" customWidth="1"/>
    <col min="2" max="2" width="13.44140625" style="206" customWidth="1"/>
    <col min="3" max="3" width="13.77734375" style="224" customWidth="1"/>
    <col min="4" max="6" width="13.77734375" style="206" customWidth="1"/>
    <col min="7" max="7" width="20.77734375" style="206" customWidth="1"/>
    <col min="8" max="16384" width="12.77734375" style="206"/>
  </cols>
  <sheetData>
    <row r="1" spans="1:256" ht="24.75" customHeight="1">
      <c r="A1" s="204" t="s">
        <v>1109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204"/>
      <c r="Q1" s="204"/>
      <c r="R1" s="204"/>
      <c r="S1" s="204"/>
      <c r="T1" s="204"/>
      <c r="U1" s="204"/>
      <c r="V1" s="204"/>
      <c r="W1" s="204"/>
      <c r="X1" s="204"/>
      <c r="Y1" s="204"/>
      <c r="Z1" s="204"/>
      <c r="AA1" s="204"/>
      <c r="AB1" s="204"/>
      <c r="AC1" s="204"/>
      <c r="AD1" s="204"/>
      <c r="AE1" s="204"/>
      <c r="AF1" s="204"/>
      <c r="AG1" s="204"/>
      <c r="AH1" s="204"/>
      <c r="AI1" s="204"/>
      <c r="AJ1" s="204"/>
      <c r="AK1" s="204"/>
      <c r="AL1" s="204"/>
      <c r="AM1" s="204"/>
      <c r="AN1" s="204"/>
      <c r="AO1" s="204"/>
      <c r="AP1" s="204"/>
      <c r="AQ1" s="204"/>
      <c r="AR1" s="204"/>
      <c r="AS1" s="204"/>
      <c r="AT1" s="204"/>
      <c r="AU1" s="204"/>
      <c r="AV1" s="204"/>
      <c r="AW1" s="204"/>
      <c r="AX1" s="204"/>
      <c r="AY1" s="204"/>
      <c r="AZ1" s="204"/>
      <c r="BA1" s="204"/>
      <c r="BB1" s="204"/>
      <c r="BC1" s="204"/>
      <c r="BD1" s="204"/>
      <c r="BE1" s="204"/>
      <c r="BF1" s="204"/>
      <c r="BG1" s="204"/>
      <c r="BH1" s="204"/>
      <c r="BI1" s="204"/>
      <c r="BJ1" s="204"/>
      <c r="BK1" s="204"/>
      <c r="BL1" s="204"/>
      <c r="BM1" s="204"/>
      <c r="BN1" s="204"/>
      <c r="BO1" s="204"/>
      <c r="BP1" s="204"/>
      <c r="BQ1" s="204"/>
      <c r="BR1" s="204"/>
      <c r="BS1" s="204"/>
      <c r="BT1" s="204"/>
      <c r="BU1" s="204"/>
      <c r="BV1" s="204"/>
      <c r="BW1" s="204"/>
      <c r="BX1" s="204"/>
      <c r="BY1" s="204"/>
      <c r="BZ1" s="204"/>
      <c r="CA1" s="204"/>
      <c r="CB1" s="204"/>
      <c r="CC1" s="204"/>
      <c r="CD1" s="204"/>
      <c r="CE1" s="204"/>
      <c r="CF1" s="204"/>
      <c r="CG1" s="204"/>
      <c r="CH1" s="204"/>
      <c r="CI1" s="204"/>
      <c r="CJ1" s="204"/>
      <c r="CK1" s="204"/>
      <c r="CL1" s="204"/>
      <c r="CM1" s="204"/>
      <c r="CN1" s="204"/>
      <c r="CO1" s="204"/>
      <c r="CP1" s="204"/>
      <c r="CQ1" s="204"/>
      <c r="CR1" s="204"/>
      <c r="CS1" s="204"/>
      <c r="CT1" s="204"/>
      <c r="CU1" s="204"/>
      <c r="CV1" s="204"/>
      <c r="CW1" s="204"/>
      <c r="CX1" s="204"/>
      <c r="CY1" s="204"/>
      <c r="CZ1" s="204"/>
      <c r="DA1" s="204"/>
      <c r="DB1" s="204"/>
      <c r="DC1" s="204"/>
      <c r="DD1" s="204"/>
      <c r="DE1" s="204"/>
      <c r="DF1" s="204"/>
      <c r="DG1" s="204"/>
      <c r="DH1" s="204"/>
      <c r="DI1" s="204"/>
      <c r="DJ1" s="204"/>
      <c r="DK1" s="204"/>
      <c r="DL1" s="204"/>
      <c r="DM1" s="204"/>
      <c r="DN1" s="204"/>
      <c r="DO1" s="204"/>
      <c r="DP1" s="204"/>
      <c r="DQ1" s="204"/>
      <c r="DR1" s="204"/>
      <c r="DS1" s="204"/>
      <c r="DT1" s="204"/>
      <c r="DU1" s="204"/>
      <c r="DV1" s="204"/>
      <c r="DW1" s="204"/>
      <c r="DX1" s="204"/>
      <c r="DY1" s="204"/>
      <c r="DZ1" s="204"/>
      <c r="EA1" s="204"/>
      <c r="EB1" s="204"/>
      <c r="EC1" s="204"/>
      <c r="ED1" s="204"/>
      <c r="EE1" s="204"/>
      <c r="EF1" s="204"/>
      <c r="EG1" s="204"/>
      <c r="EH1" s="204"/>
      <c r="EI1" s="204"/>
      <c r="EJ1" s="204"/>
      <c r="EK1" s="204"/>
      <c r="EL1" s="204"/>
      <c r="EM1" s="204"/>
      <c r="EN1" s="204"/>
      <c r="EO1" s="204"/>
      <c r="EP1" s="204"/>
      <c r="EQ1" s="204"/>
      <c r="ER1" s="204"/>
      <c r="ES1" s="204"/>
      <c r="ET1" s="204"/>
      <c r="EU1" s="204"/>
      <c r="EV1" s="204"/>
      <c r="EW1" s="204"/>
      <c r="EX1" s="204"/>
      <c r="EY1" s="204"/>
      <c r="EZ1" s="204"/>
      <c r="FA1" s="204"/>
      <c r="FB1" s="204"/>
      <c r="FC1" s="204"/>
      <c r="FD1" s="204"/>
      <c r="FE1" s="204"/>
      <c r="FF1" s="204"/>
      <c r="FG1" s="204"/>
      <c r="FH1" s="204"/>
      <c r="FI1" s="204"/>
      <c r="FJ1" s="204"/>
      <c r="FK1" s="204"/>
      <c r="FL1" s="204"/>
      <c r="FM1" s="204"/>
      <c r="FN1" s="204"/>
      <c r="FO1" s="204"/>
      <c r="FP1" s="204"/>
      <c r="FQ1" s="204"/>
      <c r="FR1" s="204"/>
      <c r="FS1" s="204"/>
      <c r="FT1" s="204"/>
      <c r="FU1" s="204"/>
      <c r="FV1" s="204"/>
      <c r="FW1" s="204"/>
      <c r="FX1" s="204"/>
      <c r="FY1" s="204"/>
      <c r="FZ1" s="204"/>
      <c r="GA1" s="204"/>
      <c r="GB1" s="204"/>
      <c r="GC1" s="204"/>
      <c r="GD1" s="204"/>
      <c r="GE1" s="204"/>
      <c r="GF1" s="204"/>
      <c r="GG1" s="204"/>
      <c r="GH1" s="204"/>
      <c r="GI1" s="204"/>
      <c r="GJ1" s="204"/>
      <c r="GK1" s="204"/>
      <c r="GL1" s="204"/>
      <c r="GM1" s="204"/>
      <c r="GN1" s="204"/>
      <c r="GO1" s="204"/>
      <c r="GP1" s="204"/>
      <c r="GQ1" s="204"/>
      <c r="GR1" s="204"/>
      <c r="GS1" s="204"/>
      <c r="GT1" s="204"/>
      <c r="GU1" s="204"/>
      <c r="GV1" s="204"/>
      <c r="GW1" s="204"/>
      <c r="GX1" s="204"/>
      <c r="GY1" s="204"/>
      <c r="GZ1" s="204"/>
      <c r="HA1" s="204"/>
      <c r="HB1" s="204"/>
      <c r="HC1" s="204"/>
      <c r="HD1" s="204"/>
      <c r="HE1" s="204"/>
      <c r="HF1" s="204"/>
      <c r="HG1" s="204"/>
      <c r="HH1" s="204"/>
      <c r="HI1" s="204"/>
      <c r="HJ1" s="204"/>
      <c r="HK1" s="204"/>
      <c r="HL1" s="204"/>
      <c r="HM1" s="204"/>
      <c r="HN1" s="204"/>
      <c r="HO1" s="204"/>
      <c r="HP1" s="204"/>
      <c r="HQ1" s="204"/>
      <c r="HR1" s="204"/>
      <c r="HS1" s="204"/>
      <c r="HT1" s="204"/>
      <c r="HU1" s="204"/>
      <c r="HV1" s="204"/>
      <c r="HW1" s="204"/>
      <c r="HX1" s="204"/>
      <c r="HY1" s="204"/>
      <c r="HZ1" s="204"/>
      <c r="IA1" s="204"/>
      <c r="IB1" s="204"/>
      <c r="IC1" s="204"/>
      <c r="ID1" s="204"/>
      <c r="IE1" s="204"/>
      <c r="IF1" s="204"/>
      <c r="IG1" s="204"/>
      <c r="IH1" s="204"/>
      <c r="II1" s="204"/>
      <c r="IJ1" s="204"/>
      <c r="IK1" s="204"/>
      <c r="IL1" s="204"/>
      <c r="IM1" s="204"/>
      <c r="IN1" s="204"/>
      <c r="IO1" s="204"/>
      <c r="IP1" s="204"/>
      <c r="IQ1" s="204"/>
      <c r="IR1" s="204"/>
      <c r="IS1" s="204"/>
      <c r="IT1" s="204"/>
      <c r="IU1" s="204"/>
      <c r="IV1" s="204"/>
    </row>
    <row r="2" spans="1:256" ht="29.25" customHeight="1">
      <c r="A2" s="226" t="s">
        <v>1087</v>
      </c>
      <c r="B2" s="226" t="s">
        <v>1108</v>
      </c>
      <c r="C2" s="641" t="s">
        <v>1111</v>
      </c>
      <c r="D2" s="641"/>
      <c r="E2" s="450" t="s">
        <v>2425</v>
      </c>
      <c r="F2" s="239" t="s">
        <v>1112</v>
      </c>
      <c r="G2" s="226" t="s">
        <v>1088</v>
      </c>
    </row>
    <row r="3" spans="1:256" ht="20.100000000000001" customHeight="1">
      <c r="A3" s="616" t="s">
        <v>1089</v>
      </c>
      <c r="B3" s="616"/>
      <c r="C3" s="616"/>
      <c r="D3" s="278">
        <f>SUMIF(C4:C16,C4,D4:D16)</f>
        <v>4964.17</v>
      </c>
      <c r="E3" s="278"/>
      <c r="F3" s="278">
        <f>F4+F7+F15</f>
        <v>129</v>
      </c>
      <c r="G3" s="226"/>
    </row>
    <row r="4" spans="1:256" ht="20.100000000000001" customHeight="1">
      <c r="A4" s="768" t="s">
        <v>1113</v>
      </c>
      <c r="B4" s="641" t="s">
        <v>1090</v>
      </c>
      <c r="C4" s="226" t="s">
        <v>1091</v>
      </c>
      <c r="D4" s="278">
        <f>SUM(D5:D6)</f>
        <v>3719</v>
      </c>
      <c r="E4" s="278"/>
      <c r="F4" s="278">
        <f>SUM(F5:F6)</f>
        <v>129</v>
      </c>
      <c r="G4" s="641" t="s">
        <v>1114</v>
      </c>
    </row>
    <row r="5" spans="1:256" ht="20.100000000000001" customHeight="1">
      <c r="A5" s="768"/>
      <c r="B5" s="641"/>
      <c r="C5" s="226" t="s">
        <v>1093</v>
      </c>
      <c r="D5" s="278">
        <v>3634</v>
      </c>
      <c r="E5" s="278">
        <f>'4.관광원단위'!D26</f>
        <v>33</v>
      </c>
      <c r="F5" s="278">
        <f>ROUND(D5*E5/1000,0)</f>
        <v>120</v>
      </c>
      <c r="G5" s="641"/>
      <c r="H5" s="769"/>
      <c r="I5" s="769"/>
    </row>
    <row r="6" spans="1:256" ht="20.100000000000001" customHeight="1">
      <c r="A6" s="768"/>
      <c r="B6" s="641"/>
      <c r="C6" s="226" t="s">
        <v>1094</v>
      </c>
      <c r="D6" s="278">
        <v>85</v>
      </c>
      <c r="E6" s="278">
        <f>'4.관광원단위'!D25</f>
        <v>111</v>
      </c>
      <c r="F6" s="278">
        <f>ROUND(D6*E6/1000,0)</f>
        <v>9</v>
      </c>
      <c r="G6" s="641"/>
      <c r="H6" s="769"/>
      <c r="I6" s="769"/>
    </row>
    <row r="7" spans="1:256" ht="20.100000000000001" hidden="1" customHeight="1">
      <c r="A7" s="768" t="s">
        <v>1115</v>
      </c>
      <c r="B7" s="641" t="s">
        <v>1119</v>
      </c>
      <c r="C7" s="226" t="s">
        <v>1091</v>
      </c>
      <c r="D7" s="278">
        <f>SUM(D8:D14)</f>
        <v>352</v>
      </c>
      <c r="E7" s="278"/>
      <c r="F7" s="278"/>
      <c r="G7" s="641" t="s">
        <v>1116</v>
      </c>
    </row>
    <row r="8" spans="1:256" ht="20.100000000000001" hidden="1" customHeight="1">
      <c r="A8" s="768"/>
      <c r="B8" s="616"/>
      <c r="C8" s="226" t="s">
        <v>1095</v>
      </c>
      <c r="D8" s="278" t="s">
        <v>1092</v>
      </c>
      <c r="E8" s="278">
        <v>18</v>
      </c>
      <c r="F8" s="278"/>
      <c r="G8" s="641"/>
    </row>
    <row r="9" spans="1:256" ht="20.100000000000001" hidden="1" customHeight="1">
      <c r="A9" s="768"/>
      <c r="B9" s="616"/>
      <c r="C9" s="226" t="s">
        <v>1096</v>
      </c>
      <c r="D9" s="278" t="s">
        <v>1092</v>
      </c>
      <c r="E9" s="278">
        <v>25</v>
      </c>
      <c r="F9" s="278"/>
      <c r="G9" s="641"/>
    </row>
    <row r="10" spans="1:256" ht="20.100000000000001" hidden="1" customHeight="1">
      <c r="A10" s="768"/>
      <c r="B10" s="616"/>
      <c r="C10" s="226" t="s">
        <v>1097</v>
      </c>
      <c r="D10" s="278" t="s">
        <v>1092</v>
      </c>
      <c r="E10" s="278">
        <v>10</v>
      </c>
      <c r="F10" s="278"/>
      <c r="G10" s="641"/>
    </row>
    <row r="11" spans="1:256" ht="20.100000000000001" hidden="1" customHeight="1">
      <c r="A11" s="768"/>
      <c r="B11" s="616"/>
      <c r="C11" s="226" t="s">
        <v>1098</v>
      </c>
      <c r="D11" s="278" t="s">
        <v>1092</v>
      </c>
      <c r="E11" s="278">
        <v>25</v>
      </c>
      <c r="F11" s="278"/>
      <c r="G11" s="641"/>
    </row>
    <row r="12" spans="1:256" ht="20.100000000000001" hidden="1" customHeight="1">
      <c r="A12" s="768"/>
      <c r="B12" s="616"/>
      <c r="C12" s="226" t="s">
        <v>1099</v>
      </c>
      <c r="D12" s="278" t="s">
        <v>1092</v>
      </c>
      <c r="E12" s="278">
        <v>33</v>
      </c>
      <c r="F12" s="278"/>
      <c r="G12" s="641"/>
    </row>
    <row r="13" spans="1:256" ht="20.100000000000001" hidden="1" customHeight="1">
      <c r="A13" s="768"/>
      <c r="B13" s="616"/>
      <c r="C13" s="226" t="s">
        <v>1100</v>
      </c>
      <c r="D13" s="278">
        <v>176</v>
      </c>
      <c r="E13" s="278">
        <v>56</v>
      </c>
      <c r="F13" s="278"/>
      <c r="G13" s="641"/>
    </row>
    <row r="14" spans="1:256" ht="20.100000000000001" hidden="1" customHeight="1">
      <c r="A14" s="768"/>
      <c r="B14" s="616"/>
      <c r="C14" s="226" t="s">
        <v>1101</v>
      </c>
      <c r="D14" s="278">
        <v>176</v>
      </c>
      <c r="E14" s="278">
        <v>56</v>
      </c>
      <c r="F14" s="278"/>
      <c r="G14" s="641"/>
    </row>
    <row r="15" spans="1:256" ht="20.100000000000001" hidden="1" customHeight="1">
      <c r="A15" s="768" t="s">
        <v>2597</v>
      </c>
      <c r="B15" s="641" t="s">
        <v>1117</v>
      </c>
      <c r="C15" s="226" t="s">
        <v>1091</v>
      </c>
      <c r="D15" s="278">
        <f>SUM(D16:D16)</f>
        <v>893.17</v>
      </c>
      <c r="E15" s="278"/>
      <c r="F15" s="278"/>
      <c r="G15" s="641" t="s">
        <v>1118</v>
      </c>
    </row>
    <row r="16" spans="1:256" ht="20.100000000000001" hidden="1" customHeight="1">
      <c r="A16" s="768"/>
      <c r="B16" s="616"/>
      <c r="C16" s="226" t="s">
        <v>1093</v>
      </c>
      <c r="D16" s="278">
        <f>B21</f>
        <v>893.17</v>
      </c>
      <c r="E16" s="278">
        <f>'4.관광원단위'!D26</f>
        <v>33</v>
      </c>
      <c r="F16" s="278"/>
      <c r="G16" s="641"/>
    </row>
    <row r="18" spans="1:5" ht="20.100000000000001" hidden="1" customHeight="1">
      <c r="A18" s="206" t="s">
        <v>1102</v>
      </c>
    </row>
    <row r="19" spans="1:5" ht="20.100000000000001" hidden="1" customHeight="1">
      <c r="A19" s="226" t="s">
        <v>1103</v>
      </c>
      <c r="B19" s="226" t="s">
        <v>1104</v>
      </c>
      <c r="C19" s="226" t="s">
        <v>1105</v>
      </c>
    </row>
    <row r="20" spans="1:5" ht="20.100000000000001" hidden="1" customHeight="1">
      <c r="A20" s="226" t="s">
        <v>1106</v>
      </c>
      <c r="B20" s="240">
        <v>89317</v>
      </c>
      <c r="C20" s="226"/>
    </row>
    <row r="21" spans="1:5" ht="24.75" hidden="1" customHeight="1">
      <c r="A21" s="226" t="s">
        <v>1107</v>
      </c>
      <c r="B21" s="240">
        <f>B20/100</f>
        <v>893.17</v>
      </c>
      <c r="C21" s="239" t="s">
        <v>1110</v>
      </c>
    </row>
    <row r="29" spans="1:5" ht="20.100000000000001" customHeight="1">
      <c r="E29" s="206">
        <f>5193*0.7</f>
        <v>3635.1</v>
      </c>
    </row>
  </sheetData>
  <mergeCells count="12">
    <mergeCell ref="H5:I6"/>
    <mergeCell ref="C2:D2"/>
    <mergeCell ref="A3:C3"/>
    <mergeCell ref="A4:A6"/>
    <mergeCell ref="B4:B6"/>
    <mergeCell ref="G4:G6"/>
    <mergeCell ref="A7:A14"/>
    <mergeCell ref="B7:B14"/>
    <mergeCell ref="G7:G14"/>
    <mergeCell ref="A15:A16"/>
    <mergeCell ref="B15:B16"/>
    <mergeCell ref="G15:G16"/>
  </mergeCells>
  <phoneticPr fontId="3" type="noConversion"/>
  <printOptions horizontalCentered="1"/>
  <pageMargins left="0.62992125984251968" right="0.62992125984251968" top="0.62992125984251968" bottom="0.62992125984251968" header="0.31496062992125984" footer="0.31496062992125984"/>
  <pageSetup paperSize="9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H34"/>
  <sheetViews>
    <sheetView topLeftCell="A16" workbookViewId="0">
      <selection activeCell="B29" sqref="B29:F31"/>
    </sheetView>
  </sheetViews>
  <sheetFormatPr defaultRowHeight="24.95" customHeight="1"/>
  <cols>
    <col min="1" max="7" width="10.77734375" style="224" customWidth="1"/>
    <col min="8" max="16384" width="8.88671875" style="224"/>
  </cols>
  <sheetData>
    <row r="1" spans="1:8" s="204" customFormat="1" ht="24.95" customHeight="1">
      <c r="A1" s="204" t="s">
        <v>2438</v>
      </c>
    </row>
    <row r="2" spans="1:8" s="208" customFormat="1" ht="20.100000000000001" customHeight="1">
      <c r="A2" s="207" t="s">
        <v>1274</v>
      </c>
      <c r="D2" s="209"/>
      <c r="E2" s="209"/>
      <c r="G2" s="209"/>
      <c r="H2" s="209"/>
    </row>
    <row r="3" spans="1:8" ht="20.100000000000001" customHeight="1">
      <c r="A3" s="221" t="s">
        <v>57</v>
      </c>
      <c r="B3" s="221" t="s">
        <v>1017</v>
      </c>
      <c r="C3" s="221" t="s">
        <v>1018</v>
      </c>
      <c r="D3" s="221" t="s">
        <v>1019</v>
      </c>
      <c r="E3" s="221" t="s">
        <v>1020</v>
      </c>
      <c r="F3" s="221" t="s">
        <v>1035</v>
      </c>
      <c r="G3" s="221" t="s">
        <v>127</v>
      </c>
    </row>
    <row r="4" spans="1:8" ht="20.100000000000001" customHeight="1">
      <c r="A4" s="221" t="s">
        <v>1021</v>
      </c>
      <c r="B4" s="279">
        <v>4973.0645161290322</v>
      </c>
      <c r="C4" s="279">
        <v>5511.322580645161</v>
      </c>
      <c r="D4" s="279">
        <v>4332.6129032258068</v>
      </c>
      <c r="E4" s="279">
        <v>4053.0645161290322</v>
      </c>
      <c r="F4" s="279">
        <f>[6]연무읍!$M$3229/31</f>
        <v>4274.7419354838712</v>
      </c>
      <c r="G4" s="227"/>
    </row>
    <row r="5" spans="1:8" ht="20.100000000000001" customHeight="1">
      <c r="A5" s="216" t="s">
        <v>1022</v>
      </c>
      <c r="B5" s="219">
        <v>5308.7857142857147</v>
      </c>
      <c r="C5" s="219">
        <v>4491.0714285714284</v>
      </c>
      <c r="D5" s="219">
        <v>4145.5357142857147</v>
      </c>
      <c r="E5" s="219">
        <v>3850.8387096774195</v>
      </c>
      <c r="F5" s="219">
        <f>[6]연무읍!$N$3229/28</f>
        <v>3920.5714285714284</v>
      </c>
      <c r="G5" s="228"/>
    </row>
    <row r="6" spans="1:8" ht="20.100000000000001" customHeight="1">
      <c r="A6" s="216" t="s">
        <v>1023</v>
      </c>
      <c r="B6" s="219">
        <v>6260</v>
      </c>
      <c r="C6" s="219">
        <v>4444.2258064516127</v>
      </c>
      <c r="D6" s="219">
        <v>4131.6451612903229</v>
      </c>
      <c r="E6" s="219">
        <v>4210.4516129032254</v>
      </c>
      <c r="F6" s="219">
        <f>[6]연무읍!$O$3229/31</f>
        <v>4285.6129032258068</v>
      </c>
      <c r="G6" s="228"/>
    </row>
    <row r="7" spans="1:8" ht="20.100000000000001" customHeight="1">
      <c r="A7" s="216" t="s">
        <v>1024</v>
      </c>
      <c r="B7" s="219">
        <v>4750.833333333333</v>
      </c>
      <c r="C7" s="219">
        <v>4462.9333333333334</v>
      </c>
      <c r="D7" s="219">
        <v>4130.7</v>
      </c>
      <c r="E7" s="219">
        <v>3864.3548387096776</v>
      </c>
      <c r="F7" s="219">
        <f>[6]연무읍!$P$3229/30</f>
        <v>4528</v>
      </c>
      <c r="G7" s="228"/>
    </row>
    <row r="8" spans="1:8" ht="20.100000000000001" customHeight="1">
      <c r="A8" s="216" t="s">
        <v>1025</v>
      </c>
      <c r="B8" s="219">
        <v>5623.1612903225805</v>
      </c>
      <c r="C8" s="219">
        <v>5103.0322580645161</v>
      </c>
      <c r="D8" s="219">
        <v>4660.0645161290322</v>
      </c>
      <c r="E8" s="219">
        <v>4432.5483870967746</v>
      </c>
      <c r="F8" s="219">
        <f>[6]연무읍!$Q$3229/31</f>
        <v>4378.677419354839</v>
      </c>
      <c r="G8" s="228"/>
    </row>
    <row r="9" spans="1:8" ht="20.100000000000001" customHeight="1">
      <c r="A9" s="216" t="s">
        <v>1026</v>
      </c>
      <c r="B9" s="219">
        <v>5783</v>
      </c>
      <c r="C9" s="219">
        <v>4339.8666666666668</v>
      </c>
      <c r="D9" s="219">
        <v>4491</v>
      </c>
      <c r="E9" s="219">
        <v>4410.5161290322585</v>
      </c>
      <c r="F9" s="219">
        <f>[6]연무읍!$R$3229/30</f>
        <v>4386.9333333333334</v>
      </c>
      <c r="G9" s="228"/>
    </row>
    <row r="10" spans="1:8" ht="20.100000000000001" customHeight="1">
      <c r="A10" s="216" t="s">
        <v>1027</v>
      </c>
      <c r="B10" s="219">
        <v>6374.1290322580644</v>
      </c>
      <c r="C10" s="219">
        <v>5061.3548387096771</v>
      </c>
      <c r="D10" s="219">
        <v>5382</v>
      </c>
      <c r="E10" s="219">
        <v>5329</v>
      </c>
      <c r="F10" s="219">
        <f>[6]연무읍!$S$3229/31</f>
        <v>4861.1612903225805</v>
      </c>
      <c r="G10" s="228"/>
    </row>
    <row r="11" spans="1:8" ht="20.100000000000001" customHeight="1">
      <c r="A11" s="216" t="s">
        <v>1028</v>
      </c>
      <c r="B11" s="219">
        <v>6748.3548387096771</v>
      </c>
      <c r="C11" s="219">
        <v>5242.9354838709678</v>
      </c>
      <c r="D11" s="219">
        <v>5305.8709677419356</v>
      </c>
      <c r="E11" s="219">
        <v>5657.1935483870966</v>
      </c>
      <c r="F11" s="219">
        <f>[6]연무읍!$T$3229/30</f>
        <v>5234.6000000000004</v>
      </c>
      <c r="G11" s="228"/>
    </row>
    <row r="12" spans="1:8" ht="20.100000000000001" customHeight="1">
      <c r="A12" s="216" t="s">
        <v>1029</v>
      </c>
      <c r="B12" s="219">
        <v>5833.2333333333336</v>
      </c>
      <c r="C12" s="219">
        <v>4710.8666666666668</v>
      </c>
      <c r="D12" s="219">
        <v>4988.4333333333334</v>
      </c>
      <c r="E12" s="219">
        <v>4924.4838709677415</v>
      </c>
      <c r="F12" s="219">
        <f>[6]연무읍!$U$3229/30</f>
        <v>4618.5666666666666</v>
      </c>
      <c r="G12" s="228"/>
    </row>
    <row r="13" spans="1:8" ht="20.100000000000001" customHeight="1">
      <c r="A13" s="216" t="s">
        <v>1030</v>
      </c>
      <c r="B13" s="219">
        <v>5852.5161290322585</v>
      </c>
      <c r="C13" s="219">
        <v>4520.0322580645161</v>
      </c>
      <c r="D13" s="219">
        <v>4468.2903225806449</v>
      </c>
      <c r="E13" s="219">
        <v>4347.5806451612907</v>
      </c>
      <c r="F13" s="219">
        <f>[6]연무읍!$V$3229/31</f>
        <v>4887.2903225806449</v>
      </c>
      <c r="G13" s="228"/>
    </row>
    <row r="14" spans="1:8" ht="20.100000000000001" customHeight="1">
      <c r="A14" s="216" t="s">
        <v>1031</v>
      </c>
      <c r="B14" s="219">
        <v>5442.833333333333</v>
      </c>
      <c r="C14" s="219">
        <v>4398.2666666666664</v>
      </c>
      <c r="D14" s="219">
        <v>4283.7</v>
      </c>
      <c r="E14" s="219">
        <v>3851.7741935483873</v>
      </c>
      <c r="F14" s="219">
        <f>[6]연무읍!$W$3229/30</f>
        <v>4615.0666666666666</v>
      </c>
      <c r="G14" s="228"/>
    </row>
    <row r="15" spans="1:8" ht="20.100000000000001" customHeight="1">
      <c r="A15" s="216" t="s">
        <v>1032</v>
      </c>
      <c r="B15" s="219">
        <v>4903.8064516129034</v>
      </c>
      <c r="C15" s="219">
        <v>4104.1935483870966</v>
      </c>
      <c r="D15" s="219">
        <v>4088.0322580645161</v>
      </c>
      <c r="E15" s="219">
        <v>3998.3870967741937</v>
      </c>
      <c r="F15" s="219">
        <f>[6]연무읍!$X$3229/31</f>
        <v>4247.0322580645161</v>
      </c>
      <c r="G15" s="228"/>
    </row>
    <row r="16" spans="1:8" ht="20.100000000000001" customHeight="1">
      <c r="A16" s="216" t="s">
        <v>1033</v>
      </c>
      <c r="B16" s="219">
        <f>ROUND(AVERAGE(B4:B15),0)</f>
        <v>5654</v>
      </c>
      <c r="C16" s="219">
        <f>ROUND(AVERAGE(C4:C15),0)</f>
        <v>4699</v>
      </c>
      <c r="D16" s="219">
        <f>ROUND(AVERAGE(D4:D15),0)</f>
        <v>4534</v>
      </c>
      <c r="E16" s="219">
        <f>ROUND(AVERAGE(E4:E15),0)</f>
        <v>4411</v>
      </c>
      <c r="F16" s="219">
        <f>ROUND(AVERAGE(F4:F15),0)</f>
        <v>4520</v>
      </c>
      <c r="G16" s="243" t="s">
        <v>1036</v>
      </c>
    </row>
    <row r="17" spans="1:8" ht="20.100000000000001" customHeight="1">
      <c r="A17" s="226" t="s">
        <v>1034</v>
      </c>
      <c r="B17" s="270">
        <f>ROUND(MAX(B4:B16),0)</f>
        <v>6748</v>
      </c>
      <c r="C17" s="270">
        <f>ROUND(MAX(C4:C16),0)</f>
        <v>5511</v>
      </c>
      <c r="D17" s="270">
        <f>ROUND(MAX(D4:D16),0)</f>
        <v>5382</v>
      </c>
      <c r="E17" s="270">
        <f>ROUND(MAX(E4:E16),0)</f>
        <v>5657</v>
      </c>
      <c r="F17" s="270">
        <f>ROUND(MAX(F4:F16),0)</f>
        <v>5235</v>
      </c>
      <c r="G17" s="242">
        <f>ROUND(AVERAGE(B17:F17),0)</f>
        <v>5707</v>
      </c>
      <c r="H17" s="309">
        <f>SUM(C16:F16)</f>
        <v>18164</v>
      </c>
    </row>
    <row r="18" spans="1:8" ht="20.100000000000001" customHeight="1"/>
    <row r="19" spans="1:8" s="208" customFormat="1" ht="20.100000000000001" customHeight="1">
      <c r="A19" s="207" t="s">
        <v>2436</v>
      </c>
      <c r="D19" s="209"/>
      <c r="E19" s="209"/>
      <c r="G19" s="209"/>
      <c r="H19" s="209"/>
    </row>
    <row r="20" spans="1:8" ht="20.100000000000001" customHeight="1">
      <c r="A20" s="252" t="s">
        <v>57</v>
      </c>
      <c r="B20" s="252" t="s">
        <v>1018</v>
      </c>
      <c r="C20" s="252" t="s">
        <v>1019</v>
      </c>
      <c r="D20" s="252" t="s">
        <v>1020</v>
      </c>
      <c r="E20" s="252" t="s">
        <v>1000</v>
      </c>
      <c r="F20" s="252" t="s">
        <v>2642</v>
      </c>
      <c r="G20" s="252" t="s">
        <v>2437</v>
      </c>
    </row>
    <row r="21" spans="1:8" ht="20.100000000000001" customHeight="1">
      <c r="A21" s="252" t="s">
        <v>1036</v>
      </c>
      <c r="B21" s="219"/>
      <c r="C21" s="219"/>
      <c r="D21" s="219"/>
      <c r="E21" s="219"/>
      <c r="F21" s="219">
        <f>'5.기타용수(금강대,육군항공학교)'!C8</f>
        <v>726</v>
      </c>
      <c r="G21" s="219">
        <f>F21</f>
        <v>726</v>
      </c>
    </row>
    <row r="22" spans="1:8" ht="20.100000000000001" customHeight="1"/>
    <row r="23" spans="1:8" s="208" customFormat="1" ht="20.100000000000001" customHeight="1">
      <c r="A23" s="207" t="s">
        <v>2439</v>
      </c>
      <c r="D23" s="209"/>
      <c r="E23" s="209"/>
      <c r="G23" s="209"/>
      <c r="H23" s="209"/>
    </row>
    <row r="24" spans="1:8" s="470" customFormat="1" ht="20.100000000000001" customHeight="1">
      <c r="A24" s="252" t="s">
        <v>57</v>
      </c>
      <c r="B24" s="252" t="s">
        <v>1019</v>
      </c>
      <c r="C24" s="252" t="s">
        <v>1020</v>
      </c>
      <c r="D24" s="252" t="s">
        <v>1000</v>
      </c>
      <c r="E24" s="252" t="s">
        <v>2642</v>
      </c>
      <c r="F24" s="252" t="s">
        <v>979</v>
      </c>
      <c r="G24" s="252" t="s">
        <v>2437</v>
      </c>
    </row>
    <row r="25" spans="1:8" s="470" customFormat="1" ht="20.100000000000001" customHeight="1">
      <c r="A25" s="252" t="s">
        <v>1036</v>
      </c>
      <c r="B25" s="219"/>
      <c r="C25" s="219"/>
      <c r="D25" s="219"/>
      <c r="E25" s="219"/>
      <c r="F25" s="219">
        <f>'5.기타용수(금강대,육군항공학교)'!C16</f>
        <v>81</v>
      </c>
      <c r="G25" s="219">
        <f>F25</f>
        <v>81</v>
      </c>
    </row>
    <row r="26" spans="1:8" ht="20.100000000000001" customHeight="1"/>
    <row r="27" spans="1:8" ht="20.100000000000001" customHeight="1">
      <c r="A27" s="207" t="s">
        <v>2442</v>
      </c>
    </row>
    <row r="28" spans="1:8" ht="20.100000000000001" customHeight="1">
      <c r="A28" s="252" t="s">
        <v>57</v>
      </c>
      <c r="B28" s="252" t="s">
        <v>1000</v>
      </c>
      <c r="C28" s="252" t="s">
        <v>114</v>
      </c>
      <c r="D28" s="252" t="s">
        <v>115</v>
      </c>
      <c r="E28" s="252" t="s">
        <v>116</v>
      </c>
      <c r="F28" s="252" t="s">
        <v>117</v>
      </c>
      <c r="G28" s="252" t="s">
        <v>2443</v>
      </c>
    </row>
    <row r="29" spans="1:8" ht="20.100000000000001" customHeight="1">
      <c r="A29" s="252" t="s">
        <v>2444</v>
      </c>
      <c r="B29" s="219">
        <f>F17</f>
        <v>5235</v>
      </c>
      <c r="C29" s="219">
        <f>G17</f>
        <v>5707</v>
      </c>
      <c r="D29" s="219">
        <f>C29</f>
        <v>5707</v>
      </c>
      <c r="E29" s="219">
        <f>D29</f>
        <v>5707</v>
      </c>
      <c r="F29" s="219">
        <f>E29</f>
        <v>5707</v>
      </c>
      <c r="G29" s="219" t="s">
        <v>2447</v>
      </c>
    </row>
    <row r="30" spans="1:8" ht="20.100000000000001" customHeight="1">
      <c r="A30" s="466" t="s">
        <v>2445</v>
      </c>
      <c r="B30" s="466"/>
      <c r="C30" s="466"/>
      <c r="D30" s="471">
        <f>G21</f>
        <v>726</v>
      </c>
      <c r="E30" s="471">
        <f>D30</f>
        <v>726</v>
      </c>
      <c r="F30" s="471">
        <f>E30</f>
        <v>726</v>
      </c>
      <c r="G30" s="466" t="s">
        <v>2448</v>
      </c>
    </row>
    <row r="31" spans="1:8" ht="20.100000000000001" customHeight="1">
      <c r="A31" s="466" t="s">
        <v>2446</v>
      </c>
      <c r="B31" s="466"/>
      <c r="C31" s="466"/>
      <c r="D31" s="471">
        <f>G25</f>
        <v>81</v>
      </c>
      <c r="E31" s="471">
        <f>D31</f>
        <v>81</v>
      </c>
      <c r="F31" s="471">
        <f>E31</f>
        <v>81</v>
      </c>
      <c r="G31" s="466" t="s">
        <v>2449</v>
      </c>
    </row>
    <row r="32" spans="1:8" ht="20.100000000000001" customHeight="1"/>
    <row r="33" ht="20.100000000000001" customHeight="1"/>
    <row r="34" ht="20.100000000000001" customHeight="1"/>
  </sheetData>
  <phoneticPr fontId="3" type="noConversion"/>
  <printOptions horizontalCentered="1"/>
  <pageMargins left="0.62992125984251968" right="0.62992125984251968" top="0.62992125984251968" bottom="0.62992125984251968" header="0.31496062992125984" footer="0.31496062992125984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O16"/>
  <sheetViews>
    <sheetView tabSelected="1" workbookViewId="0">
      <selection activeCell="Q13" sqref="Q13"/>
    </sheetView>
  </sheetViews>
  <sheetFormatPr defaultColWidth="7.33203125" defaultRowHeight="24.95" customHeight="1"/>
  <cols>
    <col min="1" max="1" width="7.33203125" style="574"/>
    <col min="2" max="2" width="8.77734375" style="574" customWidth="1"/>
    <col min="3" max="16384" width="7.33203125" style="574"/>
  </cols>
  <sheetData>
    <row r="1" spans="1:15" ht="24.95" customHeight="1">
      <c r="A1" s="7" t="s">
        <v>2624</v>
      </c>
    </row>
    <row r="2" spans="1:15" ht="24.95" customHeight="1">
      <c r="A2" s="661" t="s">
        <v>2415</v>
      </c>
      <c r="B2" s="661"/>
      <c r="C2" s="577" t="s">
        <v>2647</v>
      </c>
      <c r="D2" s="573" t="s">
        <v>1021</v>
      </c>
      <c r="E2" s="573" t="s">
        <v>2626</v>
      </c>
      <c r="F2" s="573" t="s">
        <v>2627</v>
      </c>
      <c r="G2" s="573" t="s">
        <v>2628</v>
      </c>
      <c r="H2" s="573" t="s">
        <v>2629</v>
      </c>
      <c r="I2" s="573" t="s">
        <v>2630</v>
      </c>
      <c r="J2" s="573" t="s">
        <v>2631</v>
      </c>
      <c r="K2" s="573" t="s">
        <v>2632</v>
      </c>
      <c r="L2" s="573" t="s">
        <v>2633</v>
      </c>
      <c r="M2" s="573" t="s">
        <v>2634</v>
      </c>
      <c r="N2" s="573" t="s">
        <v>2635</v>
      </c>
      <c r="O2" s="573" t="s">
        <v>2636</v>
      </c>
    </row>
    <row r="3" spans="1:15" ht="24.95" customHeight="1">
      <c r="A3" s="661" t="s">
        <v>2625</v>
      </c>
      <c r="B3" s="573" t="s">
        <v>2638</v>
      </c>
      <c r="C3" s="576">
        <f>MAX(D3:O3)</f>
        <v>14531</v>
      </c>
      <c r="D3" s="11">
        <v>13051</v>
      </c>
      <c r="E3" s="11">
        <v>10976</v>
      </c>
      <c r="F3" s="11">
        <v>12476</v>
      </c>
      <c r="G3" s="11">
        <v>11994</v>
      </c>
      <c r="H3" s="11">
        <v>13476</v>
      </c>
      <c r="I3" s="11">
        <v>12563</v>
      </c>
      <c r="J3" s="11">
        <v>14531</v>
      </c>
      <c r="K3" s="11">
        <v>13976</v>
      </c>
      <c r="L3" s="11">
        <v>13476</v>
      </c>
      <c r="M3" s="11">
        <v>11248</v>
      </c>
      <c r="N3" s="11">
        <v>11764</v>
      </c>
      <c r="O3" s="11">
        <v>12614</v>
      </c>
    </row>
    <row r="4" spans="1:15" ht="24.95" customHeight="1">
      <c r="A4" s="661"/>
      <c r="B4" s="573" t="s">
        <v>2639</v>
      </c>
      <c r="C4" s="576">
        <f>MAX(D4:O4)</f>
        <v>469</v>
      </c>
      <c r="D4" s="11">
        <f>ROUND(D3/31,0)</f>
        <v>421</v>
      </c>
      <c r="E4" s="11">
        <f>ROUND(E3/28,0)</f>
        <v>392</v>
      </c>
      <c r="F4" s="11">
        <f>ROUND(F3/31,0)</f>
        <v>402</v>
      </c>
      <c r="G4" s="11">
        <f>ROUND(G3/30,0)</f>
        <v>400</v>
      </c>
      <c r="H4" s="11">
        <f>ROUND(H3/31,0)</f>
        <v>435</v>
      </c>
      <c r="I4" s="11">
        <f>ROUND(I3/30,0)</f>
        <v>419</v>
      </c>
      <c r="J4" s="11">
        <f t="shared" ref="J4:O4" si="0">ROUND(J3/31,0)</f>
        <v>469</v>
      </c>
      <c r="K4" s="11">
        <f t="shared" si="0"/>
        <v>451</v>
      </c>
      <c r="L4" s="11">
        <f>ROUND(L3/30,0)</f>
        <v>449</v>
      </c>
      <c r="M4" s="11">
        <f t="shared" si="0"/>
        <v>363</v>
      </c>
      <c r="N4" s="11">
        <f>ROUND(N3/30,0)</f>
        <v>392</v>
      </c>
      <c r="O4" s="11">
        <f t="shared" si="0"/>
        <v>407</v>
      </c>
    </row>
    <row r="5" spans="1:15" ht="24.95" customHeight="1">
      <c r="A5" s="770" t="s">
        <v>2637</v>
      </c>
      <c r="B5" s="573" t="s">
        <v>2638</v>
      </c>
      <c r="C5" s="576">
        <f>MAX(D5:O5)</f>
        <v>6432</v>
      </c>
      <c r="D5" s="11">
        <v>6076</v>
      </c>
      <c r="E5" s="11">
        <v>5152</v>
      </c>
      <c r="F5" s="11">
        <v>5801</v>
      </c>
      <c r="G5" s="11">
        <v>5731</v>
      </c>
      <c r="H5" s="11">
        <v>5801</v>
      </c>
      <c r="I5" s="11">
        <v>5731</v>
      </c>
      <c r="J5" s="11">
        <v>6321</v>
      </c>
      <c r="K5" s="11">
        <v>5158</v>
      </c>
      <c r="L5" s="11">
        <v>5741</v>
      </c>
      <c r="M5" s="11">
        <v>6134</v>
      </c>
      <c r="N5" s="11">
        <v>5910</v>
      </c>
      <c r="O5" s="11">
        <v>6432</v>
      </c>
    </row>
    <row r="6" spans="1:15" ht="24.95" customHeight="1">
      <c r="A6" s="661"/>
      <c r="B6" s="573" t="s">
        <v>2639</v>
      </c>
      <c r="C6" s="576">
        <f>MAX(D6:O6)</f>
        <v>207</v>
      </c>
      <c r="D6" s="11">
        <f>ROUND(D5/31,0)</f>
        <v>196</v>
      </c>
      <c r="E6" s="11">
        <f>ROUND(E5/28,0)</f>
        <v>184</v>
      </c>
      <c r="F6" s="11">
        <f>ROUND(F5/31,0)</f>
        <v>187</v>
      </c>
      <c r="G6" s="11">
        <f>ROUND(G5/30,0)</f>
        <v>191</v>
      </c>
      <c r="H6" s="11">
        <f>ROUND(H5/31,0)</f>
        <v>187</v>
      </c>
      <c r="I6" s="11">
        <f>ROUND(I5/30,0)</f>
        <v>191</v>
      </c>
      <c r="J6" s="11">
        <f t="shared" ref="J6" si="1">ROUND(J5/31,0)</f>
        <v>204</v>
      </c>
      <c r="K6" s="11">
        <f t="shared" ref="K6" si="2">ROUND(K5/31,0)</f>
        <v>166</v>
      </c>
      <c r="L6" s="11">
        <f>ROUND(L5/30,0)</f>
        <v>191</v>
      </c>
      <c r="M6" s="11">
        <f t="shared" ref="M6" si="3">ROUND(M5/31,0)</f>
        <v>198</v>
      </c>
      <c r="N6" s="11">
        <f>ROUND(N5/30,0)</f>
        <v>197</v>
      </c>
      <c r="O6" s="11">
        <f t="shared" ref="O6" si="4">ROUND(O5/31,0)</f>
        <v>207</v>
      </c>
    </row>
    <row r="7" spans="1:15" ht="24.95" customHeight="1">
      <c r="A7" s="671" t="s">
        <v>2641</v>
      </c>
      <c r="B7" s="660"/>
      <c r="C7" s="576">
        <v>50</v>
      </c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</row>
    <row r="8" spans="1:15" ht="24.95" customHeight="1">
      <c r="A8" s="661" t="s">
        <v>2640</v>
      </c>
      <c r="B8" s="661"/>
      <c r="C8" s="576">
        <f>C4+C6+C7</f>
        <v>726</v>
      </c>
      <c r="D8" s="573"/>
      <c r="E8" s="573"/>
      <c r="F8" s="573"/>
      <c r="G8" s="573"/>
      <c r="H8" s="573"/>
      <c r="I8" s="573"/>
      <c r="J8" s="573"/>
      <c r="K8" s="573"/>
      <c r="L8" s="573"/>
      <c r="M8" s="573"/>
      <c r="N8" s="573"/>
      <c r="O8" s="573"/>
    </row>
    <row r="10" spans="1:15" ht="24.95" customHeight="1">
      <c r="A10" s="7" t="s">
        <v>2643</v>
      </c>
    </row>
    <row r="11" spans="1:15" ht="24.95" customHeight="1">
      <c r="A11" s="661" t="s">
        <v>2415</v>
      </c>
      <c r="B11" s="661"/>
      <c r="C11" s="577" t="s">
        <v>2648</v>
      </c>
      <c r="D11" s="573" t="s">
        <v>1021</v>
      </c>
      <c r="E11" s="573" t="s">
        <v>2626</v>
      </c>
      <c r="F11" s="573" t="s">
        <v>2627</v>
      </c>
      <c r="G11" s="573" t="s">
        <v>2628</v>
      </c>
      <c r="H11" s="573" t="s">
        <v>2629</v>
      </c>
      <c r="I11" s="573" t="s">
        <v>2630</v>
      </c>
      <c r="J11" s="573" t="s">
        <v>2631</v>
      </c>
      <c r="K11" s="573" t="s">
        <v>2632</v>
      </c>
      <c r="L11" s="573" t="s">
        <v>2633</v>
      </c>
      <c r="M11" s="573" t="s">
        <v>2634</v>
      </c>
      <c r="N11" s="573" t="s">
        <v>2635</v>
      </c>
      <c r="O11" s="573" t="s">
        <v>2636</v>
      </c>
    </row>
    <row r="12" spans="1:15" ht="24.95" customHeight="1">
      <c r="A12" s="661" t="s">
        <v>2649</v>
      </c>
      <c r="B12" s="573" t="s">
        <v>2638</v>
      </c>
      <c r="C12" s="576">
        <f>SUM(D12:O12)</f>
        <v>10635</v>
      </c>
      <c r="D12" s="11">
        <v>485</v>
      </c>
      <c r="E12" s="11">
        <v>387</v>
      </c>
      <c r="F12" s="11">
        <v>1498</v>
      </c>
      <c r="G12" s="11">
        <v>1238</v>
      </c>
      <c r="H12" s="11">
        <v>1293</v>
      </c>
      <c r="I12" s="11">
        <v>888</v>
      </c>
      <c r="J12" s="11">
        <v>521</v>
      </c>
      <c r="K12" s="11">
        <v>495</v>
      </c>
      <c r="L12" s="11">
        <v>824</v>
      </c>
      <c r="M12" s="11">
        <v>935</v>
      </c>
      <c r="N12" s="11">
        <v>966</v>
      </c>
      <c r="O12" s="11">
        <v>1105</v>
      </c>
    </row>
    <row r="13" spans="1:15" ht="24.95" customHeight="1">
      <c r="A13" s="661"/>
      <c r="B13" s="573" t="s">
        <v>2639</v>
      </c>
      <c r="C13" s="576">
        <f>ROUND(C12/365,0)</f>
        <v>29</v>
      </c>
      <c r="D13" s="11">
        <f>ROUND(D12/31,0)</f>
        <v>16</v>
      </c>
      <c r="E13" s="11">
        <f>ROUND(E12/28,0)</f>
        <v>14</v>
      </c>
      <c r="F13" s="11">
        <f>ROUND(F12/31,0)</f>
        <v>48</v>
      </c>
      <c r="G13" s="11">
        <f>ROUND(G12/30,0)</f>
        <v>41</v>
      </c>
      <c r="H13" s="11">
        <f>ROUND(H12/31,0)</f>
        <v>42</v>
      </c>
      <c r="I13" s="11">
        <f>ROUND(I12/30,0)</f>
        <v>30</v>
      </c>
      <c r="J13" s="11">
        <f t="shared" ref="J13" si="5">ROUND(J12/31,0)</f>
        <v>17</v>
      </c>
      <c r="K13" s="11">
        <f t="shared" ref="K13" si="6">ROUND(K12/31,0)</f>
        <v>16</v>
      </c>
      <c r="L13" s="11">
        <f>ROUND(L12/30,0)</f>
        <v>27</v>
      </c>
      <c r="M13" s="11">
        <f t="shared" ref="M13" si="7">ROUND(M12/31,0)</f>
        <v>30</v>
      </c>
      <c r="N13" s="11">
        <f>ROUND(N12/30,0)</f>
        <v>32</v>
      </c>
      <c r="O13" s="11">
        <f t="shared" ref="O13" si="8">ROUND(O12/31,0)</f>
        <v>36</v>
      </c>
    </row>
    <row r="14" spans="1:15" ht="24.95" customHeight="1">
      <c r="A14" s="770" t="s">
        <v>2650</v>
      </c>
      <c r="B14" s="573" t="s">
        <v>2638</v>
      </c>
      <c r="C14" s="576">
        <f>SUM(D14:O14)</f>
        <v>18814</v>
      </c>
      <c r="D14" s="11">
        <v>916</v>
      </c>
      <c r="E14" s="11">
        <v>591</v>
      </c>
      <c r="F14" s="11">
        <v>2100</v>
      </c>
      <c r="G14" s="11">
        <v>2294</v>
      </c>
      <c r="H14" s="11">
        <v>1687</v>
      </c>
      <c r="I14" s="11">
        <v>2026</v>
      </c>
      <c r="J14" s="11">
        <v>1450</v>
      </c>
      <c r="K14" s="11">
        <v>360</v>
      </c>
      <c r="L14" s="11">
        <v>1761</v>
      </c>
      <c r="M14" s="11">
        <v>2241</v>
      </c>
      <c r="N14" s="11">
        <v>1880</v>
      </c>
      <c r="O14" s="11">
        <v>1508</v>
      </c>
    </row>
    <row r="15" spans="1:15" ht="24.95" customHeight="1">
      <c r="A15" s="661"/>
      <c r="B15" s="573" t="s">
        <v>2639</v>
      </c>
      <c r="C15" s="576">
        <f>ROUND(C14/365,0)</f>
        <v>52</v>
      </c>
      <c r="D15" s="11">
        <f>ROUND(D14/31,0)</f>
        <v>30</v>
      </c>
      <c r="E15" s="11">
        <f>ROUND(E14/28,0)</f>
        <v>21</v>
      </c>
      <c r="F15" s="11">
        <f>ROUND(F14/31,0)</f>
        <v>68</v>
      </c>
      <c r="G15" s="11">
        <f>ROUND(G14/30,0)</f>
        <v>76</v>
      </c>
      <c r="H15" s="11">
        <f>ROUND(H14/31,0)</f>
        <v>54</v>
      </c>
      <c r="I15" s="11">
        <f>ROUND(I14/30,0)</f>
        <v>68</v>
      </c>
      <c r="J15" s="11">
        <f t="shared" ref="J15" si="9">ROUND(J14/31,0)</f>
        <v>47</v>
      </c>
      <c r="K15" s="11">
        <f t="shared" ref="K15" si="10">ROUND(K14/31,0)</f>
        <v>12</v>
      </c>
      <c r="L15" s="11">
        <f>ROUND(L14/30,0)</f>
        <v>59</v>
      </c>
      <c r="M15" s="11">
        <f t="shared" ref="M15" si="11">ROUND(M14/31,0)</f>
        <v>72</v>
      </c>
      <c r="N15" s="11">
        <f>ROUND(N14/30,0)</f>
        <v>63</v>
      </c>
      <c r="O15" s="11">
        <f t="shared" ref="O15" si="12">ROUND(O14/31,0)</f>
        <v>49</v>
      </c>
    </row>
    <row r="16" spans="1:15" ht="24.95" customHeight="1">
      <c r="A16" s="661" t="s">
        <v>2640</v>
      </c>
      <c r="B16" s="661"/>
      <c r="C16" s="576">
        <f>C13+C15</f>
        <v>81</v>
      </c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</row>
  </sheetData>
  <mergeCells count="9">
    <mergeCell ref="A2:B2"/>
    <mergeCell ref="A3:A4"/>
    <mergeCell ref="A5:A6"/>
    <mergeCell ref="A8:B8"/>
    <mergeCell ref="A16:B16"/>
    <mergeCell ref="A7:B7"/>
    <mergeCell ref="A11:B11"/>
    <mergeCell ref="A12:A13"/>
    <mergeCell ref="A14:A15"/>
  </mergeCells>
  <phoneticPr fontId="3" type="noConversion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5" sqref="G25"/>
    </sheetView>
  </sheetViews>
  <sheetFormatPr defaultRowHeight="13.5"/>
  <sheetData/>
  <phoneticPr fontId="3" type="noConversion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4:K22"/>
  <sheetViews>
    <sheetView workbookViewId="0">
      <selection activeCell="C5" sqref="C5:F13"/>
    </sheetView>
  </sheetViews>
  <sheetFormatPr defaultColWidth="12.77734375" defaultRowHeight="24.95" customHeight="1"/>
  <sheetData>
    <row r="4" spans="1:7" ht="24.95" customHeight="1">
      <c r="A4" s="771" t="s">
        <v>57</v>
      </c>
      <c r="B4" s="772"/>
      <c r="C4" s="284" t="s">
        <v>616</v>
      </c>
      <c r="D4" s="284" t="s">
        <v>618</v>
      </c>
      <c r="E4" s="284" t="s">
        <v>620</v>
      </c>
      <c r="F4" s="284" t="s">
        <v>622</v>
      </c>
      <c r="G4" s="283" t="s">
        <v>127</v>
      </c>
    </row>
    <row r="5" spans="1:7" ht="24.95" customHeight="1">
      <c r="A5" s="773" t="s">
        <v>1187</v>
      </c>
      <c r="B5" s="285" t="s">
        <v>1275</v>
      </c>
      <c r="C5" s="286">
        <f>SUM(C6:C7)</f>
        <v>71000</v>
      </c>
      <c r="D5" s="286">
        <f t="shared" ref="D5:F5" si="0">SUM(D6:D7)</f>
        <v>71000</v>
      </c>
      <c r="E5" s="286">
        <f t="shared" si="0"/>
        <v>71000</v>
      </c>
      <c r="F5" s="286">
        <f t="shared" si="0"/>
        <v>71000</v>
      </c>
      <c r="G5" s="776" t="s">
        <v>1188</v>
      </c>
    </row>
    <row r="6" spans="1:7" ht="24.95" customHeight="1">
      <c r="A6" s="774"/>
      <c r="B6" s="285" t="s">
        <v>1276</v>
      </c>
      <c r="C6" s="286">
        <v>71000</v>
      </c>
      <c r="D6" s="286">
        <v>71000</v>
      </c>
      <c r="E6" s="286">
        <v>71000</v>
      </c>
      <c r="F6" s="286">
        <v>71000</v>
      </c>
      <c r="G6" s="777"/>
    </row>
    <row r="7" spans="1:7" ht="24.95" customHeight="1">
      <c r="A7" s="775"/>
      <c r="B7" s="285" t="s">
        <v>1277</v>
      </c>
      <c r="C7" s="286">
        <v>0</v>
      </c>
      <c r="D7" s="286">
        <v>0</v>
      </c>
      <c r="E7" s="286">
        <v>0</v>
      </c>
      <c r="F7" s="286">
        <v>0</v>
      </c>
      <c r="G7" s="778"/>
    </row>
    <row r="8" spans="1:7" ht="24.95" customHeight="1">
      <c r="A8" s="773" t="s">
        <v>1189</v>
      </c>
      <c r="B8" s="285" t="s">
        <v>1275</v>
      </c>
      <c r="C8" s="286">
        <f ca="1">'1. 총괄수요량'!F21</f>
        <v>53600</v>
      </c>
      <c r="D8" s="286">
        <f ca="1">'1. 총괄수요량'!G21</f>
        <v>66900</v>
      </c>
      <c r="E8" s="286">
        <f ca="1">'1. 총괄수요량'!H21</f>
        <v>71200</v>
      </c>
      <c r="F8" s="286">
        <f ca="1">'1. 총괄수요량'!I21</f>
        <v>74300</v>
      </c>
      <c r="G8" s="285"/>
    </row>
    <row r="9" spans="1:7" ht="24.95" customHeight="1">
      <c r="A9" s="774"/>
      <c r="B9" s="285" t="s">
        <v>1276</v>
      </c>
      <c r="C9" s="286">
        <f ca="1">C8-C10</f>
        <v>53600</v>
      </c>
      <c r="D9" s="286">
        <f t="shared" ref="D9:F9" ca="1" si="1">D8-D10</f>
        <v>66900</v>
      </c>
      <c r="E9" s="286">
        <f t="shared" ca="1" si="1"/>
        <v>68000</v>
      </c>
      <c r="F9" s="286">
        <f t="shared" ca="1" si="1"/>
        <v>69600</v>
      </c>
      <c r="G9" s="285"/>
    </row>
    <row r="10" spans="1:7" ht="24.95" customHeight="1">
      <c r="A10" s="775"/>
      <c r="B10" s="285" t="s">
        <v>1277</v>
      </c>
      <c r="C10" s="286">
        <f ca="1">'1. 총괄수요량'!F18</f>
        <v>0</v>
      </c>
      <c r="D10" s="286">
        <f ca="1">'1. 총괄수요량'!G18</f>
        <v>0</v>
      </c>
      <c r="E10" s="286">
        <f ca="1">'1. 총괄수요량'!H18</f>
        <v>3200</v>
      </c>
      <c r="F10" s="286">
        <f ca="1">'1. 총괄수요량'!I18</f>
        <v>4700</v>
      </c>
      <c r="G10" s="285"/>
    </row>
    <row r="11" spans="1:7" ht="24.95" customHeight="1">
      <c r="A11" s="773" t="s">
        <v>1190</v>
      </c>
      <c r="B11" s="285" t="s">
        <v>1275</v>
      </c>
      <c r="C11" s="286">
        <f ca="1">C5-C8</f>
        <v>17400</v>
      </c>
      <c r="D11" s="286">
        <f t="shared" ref="D11:F11" ca="1" si="2">D5-D8</f>
        <v>4100</v>
      </c>
      <c r="E11" s="286">
        <f t="shared" ca="1" si="2"/>
        <v>-200</v>
      </c>
      <c r="F11" s="286">
        <f t="shared" ca="1" si="2"/>
        <v>-3300</v>
      </c>
      <c r="G11" s="285"/>
    </row>
    <row r="12" spans="1:7" ht="24.95" customHeight="1">
      <c r="A12" s="774"/>
      <c r="B12" s="285" t="s">
        <v>1276</v>
      </c>
      <c r="C12" s="286">
        <f t="shared" ref="C12:F12" ca="1" si="3">C6-C9</f>
        <v>17400</v>
      </c>
      <c r="D12" s="286">
        <f t="shared" ca="1" si="3"/>
        <v>4100</v>
      </c>
      <c r="E12" s="286">
        <f t="shared" ca="1" si="3"/>
        <v>3000</v>
      </c>
      <c r="F12" s="286">
        <f t="shared" ca="1" si="3"/>
        <v>1400</v>
      </c>
      <c r="G12" s="285"/>
    </row>
    <row r="13" spans="1:7" ht="24.95" customHeight="1">
      <c r="A13" s="775"/>
      <c r="B13" s="285" t="s">
        <v>1277</v>
      </c>
      <c r="C13" s="286">
        <f t="shared" ref="C13:F13" ca="1" si="4">C7-C10</f>
        <v>0</v>
      </c>
      <c r="D13" s="286">
        <f t="shared" ca="1" si="4"/>
        <v>0</v>
      </c>
      <c r="E13" s="286">
        <f t="shared" ca="1" si="4"/>
        <v>-3200</v>
      </c>
      <c r="F13" s="286">
        <f t="shared" ca="1" si="4"/>
        <v>-4700</v>
      </c>
      <c r="G13" s="285"/>
    </row>
    <row r="14" spans="1:7" ht="24.95" customHeight="1">
      <c r="A14" s="285" t="s">
        <v>1191</v>
      </c>
      <c r="B14" s="285"/>
      <c r="C14" s="285" t="s">
        <v>720</v>
      </c>
      <c r="D14" s="285" t="s">
        <v>720</v>
      </c>
      <c r="E14" s="285" t="s">
        <v>720</v>
      </c>
      <c r="F14" s="285" t="s">
        <v>720</v>
      </c>
      <c r="G14" s="285"/>
    </row>
    <row r="17" spans="1:11" ht="24.95" customHeight="1">
      <c r="A17" s="780" t="s">
        <v>1192</v>
      </c>
      <c r="B17" s="307"/>
      <c r="C17" s="779" t="s">
        <v>1193</v>
      </c>
      <c r="D17" s="779" t="s">
        <v>1194</v>
      </c>
      <c r="E17" s="779"/>
      <c r="F17" s="779" t="s">
        <v>1195</v>
      </c>
    </row>
    <row r="18" spans="1:11" ht="24.95" customHeight="1">
      <c r="A18" s="780"/>
      <c r="B18" s="307"/>
      <c r="C18" s="779"/>
      <c r="D18" s="261" t="s">
        <v>1196</v>
      </c>
      <c r="E18" s="261" t="s">
        <v>1197</v>
      </c>
      <c r="F18" s="779"/>
    </row>
    <row r="19" spans="1:11" ht="24.95" customHeight="1">
      <c r="A19" s="261">
        <v>2015</v>
      </c>
      <c r="B19" s="306"/>
      <c r="C19" s="261"/>
      <c r="D19" s="261"/>
      <c r="E19" s="261"/>
      <c r="F19" s="261"/>
    </row>
    <row r="20" spans="1:11" ht="24.95" customHeight="1">
      <c r="A20" s="261">
        <v>2020</v>
      </c>
      <c r="B20" s="306"/>
      <c r="C20" s="261"/>
      <c r="D20" s="261"/>
      <c r="E20" s="261"/>
      <c r="F20" s="261"/>
      <c r="H20">
        <f>178+20.6</f>
        <v>198.6</v>
      </c>
      <c r="I20">
        <f>192+61.3</f>
        <v>253.3</v>
      </c>
      <c r="J20">
        <f>192+104.5</f>
        <v>296.5</v>
      </c>
      <c r="K20">
        <f>192+157.2</f>
        <v>349.2</v>
      </c>
    </row>
    <row r="21" spans="1:11" ht="24.95" customHeight="1">
      <c r="A21" s="261">
        <v>2025</v>
      </c>
      <c r="B21" s="306"/>
      <c r="C21" s="287">
        <f ca="1">-E11</f>
        <v>200</v>
      </c>
      <c r="D21" s="261">
        <f>ROUND(J22-H22,-1)</f>
        <v>270</v>
      </c>
      <c r="E21" s="287">
        <f ca="1">C21-D21</f>
        <v>-70</v>
      </c>
      <c r="F21" s="261"/>
      <c r="H21">
        <f>H20*1000</f>
        <v>198600</v>
      </c>
      <c r="I21">
        <f>I20*1000</f>
        <v>253300</v>
      </c>
      <c r="J21">
        <f>J20*1000</f>
        <v>296500</v>
      </c>
      <c r="K21">
        <f>K20*1000</f>
        <v>349200</v>
      </c>
    </row>
    <row r="22" spans="1:11" ht="24.95" customHeight="1">
      <c r="A22" s="261">
        <v>2030</v>
      </c>
      <c r="B22" s="306"/>
      <c r="C22" s="287">
        <f ca="1">-F11</f>
        <v>3300</v>
      </c>
      <c r="D22" s="261">
        <f>ROUND(K22-H22,-1)</f>
        <v>410</v>
      </c>
      <c r="E22" s="287">
        <f ca="1">C22-D22</f>
        <v>2890</v>
      </c>
      <c r="F22" s="261"/>
      <c r="H22">
        <f>ROUND(H21/365,0)</f>
        <v>544</v>
      </c>
      <c r="I22">
        <f>ROUND(I21/365,0)</f>
        <v>694</v>
      </c>
      <c r="J22">
        <f>ROUND(J21/365,0)</f>
        <v>812</v>
      </c>
      <c r="K22">
        <f>ROUND(K21/365,0)</f>
        <v>957</v>
      </c>
    </row>
  </sheetData>
  <mergeCells count="9">
    <mergeCell ref="D17:E17"/>
    <mergeCell ref="C17:C18"/>
    <mergeCell ref="A17:A18"/>
    <mergeCell ref="F17:F18"/>
    <mergeCell ref="A4:B4"/>
    <mergeCell ref="A5:A7"/>
    <mergeCell ref="A8:A10"/>
    <mergeCell ref="A11:A13"/>
    <mergeCell ref="G5:G7"/>
  </mergeCells>
  <phoneticPr fontId="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N214"/>
  <sheetViews>
    <sheetView view="pageBreakPreview" topLeftCell="A160" zoomScale="60" zoomScaleNormal="100" workbookViewId="0">
      <selection activeCell="Q153" sqref="Q153"/>
    </sheetView>
  </sheetViews>
  <sheetFormatPr defaultColWidth="8.77734375" defaultRowHeight="20.100000000000001" customHeight="1"/>
  <cols>
    <col min="1" max="1" width="2.33203125" style="345" customWidth="1"/>
    <col min="2" max="2" width="7.77734375" style="345" customWidth="1"/>
    <col min="3" max="3" width="2.33203125" style="345" customWidth="1"/>
    <col min="4" max="5" width="6.77734375" style="345" customWidth="1"/>
    <col min="6" max="11" width="8.33203125" style="345" customWidth="1"/>
    <col min="12" max="16384" width="8.77734375" style="345"/>
  </cols>
  <sheetData>
    <row r="1" spans="1:14" s="204" customFormat="1" ht="21.95" customHeight="1">
      <c r="A1" s="204" t="s">
        <v>999</v>
      </c>
    </row>
    <row r="2" spans="1:14" s="208" customFormat="1" ht="21.95" customHeight="1">
      <c r="A2" s="207" t="s">
        <v>1780</v>
      </c>
      <c r="B2" s="207"/>
      <c r="H2" s="209"/>
      <c r="I2" s="209"/>
      <c r="K2" s="209"/>
      <c r="L2" s="209"/>
    </row>
    <row r="3" spans="1:14" ht="18" customHeight="1">
      <c r="A3" s="616" t="s">
        <v>1781</v>
      </c>
      <c r="B3" s="616"/>
      <c r="C3" s="616"/>
      <c r="D3" s="616"/>
      <c r="E3" s="616"/>
      <c r="F3" s="616" t="s">
        <v>1788</v>
      </c>
      <c r="G3" s="616"/>
      <c r="H3" s="616"/>
      <c r="I3" s="616"/>
      <c r="J3" s="616"/>
      <c r="K3" s="616" t="s">
        <v>1787</v>
      </c>
    </row>
    <row r="4" spans="1:14" ht="18" customHeight="1">
      <c r="A4" s="616"/>
      <c r="B4" s="616"/>
      <c r="C4" s="616"/>
      <c r="D4" s="616"/>
      <c r="E4" s="616"/>
      <c r="F4" s="519" t="s">
        <v>1000</v>
      </c>
      <c r="G4" s="519" t="s">
        <v>114</v>
      </c>
      <c r="H4" s="519" t="s">
        <v>115</v>
      </c>
      <c r="I4" s="519" t="s">
        <v>116</v>
      </c>
      <c r="J4" s="519" t="s">
        <v>117</v>
      </c>
      <c r="K4" s="616"/>
    </row>
    <row r="5" spans="1:14" ht="18.600000000000001" customHeight="1">
      <c r="A5" s="633" t="s">
        <v>1782</v>
      </c>
      <c r="B5" s="633"/>
      <c r="C5" s="640" t="s">
        <v>15</v>
      </c>
      <c r="D5" s="640"/>
      <c r="E5" s="640"/>
      <c r="F5" s="372">
        <f>SUM(F6:F10)</f>
        <v>43403</v>
      </c>
      <c r="G5" s="372">
        <f t="shared" ref="G5:J5" si="0">SUM(G6:G10)</f>
        <v>53597</v>
      </c>
      <c r="H5" s="372">
        <f t="shared" si="0"/>
        <v>66868</v>
      </c>
      <c r="I5" s="372">
        <f t="shared" si="0"/>
        <v>71216</v>
      </c>
      <c r="J5" s="372">
        <f t="shared" si="0"/>
        <v>74446</v>
      </c>
      <c r="K5" s="373">
        <f>J5-J8</f>
        <v>69713</v>
      </c>
      <c r="L5" s="345" t="str">
        <f>IF(SUM(F5:J5)=SUM('1.행정구역별 수요량'!D5,'1.행정구역별 수요량'!F5,'1.행정구역별 수요량'!G5,'1.행정구역별 수요량'!H5,'1.행정구역별 수요량'!I5),"OK","NG")</f>
        <v>OK</v>
      </c>
      <c r="N5" s="387"/>
    </row>
    <row r="6" spans="1:14" ht="18.600000000000001" customHeight="1">
      <c r="A6" s="633"/>
      <c r="B6" s="633"/>
      <c r="C6" s="633" t="s">
        <v>1783</v>
      </c>
      <c r="D6" s="633"/>
      <c r="E6" s="633"/>
      <c r="F6" s="368">
        <f t="shared" ref="F6:J7" si="1">F12+F18+F24+F30+F64+F98+F116+F152+F54+F166+F192+F158</f>
        <v>34311</v>
      </c>
      <c r="G6" s="368">
        <f t="shared" si="1"/>
        <v>41526</v>
      </c>
      <c r="H6" s="368">
        <f t="shared" si="1"/>
        <v>51862</v>
      </c>
      <c r="I6" s="368">
        <f t="shared" si="1"/>
        <v>55168</v>
      </c>
      <c r="J6" s="368">
        <f t="shared" si="1"/>
        <v>57947</v>
      </c>
      <c r="K6" s="524"/>
    </row>
    <row r="7" spans="1:14" ht="18.600000000000001" customHeight="1">
      <c r="A7" s="633"/>
      <c r="B7" s="633"/>
      <c r="C7" s="633" t="s">
        <v>1784</v>
      </c>
      <c r="D7" s="633"/>
      <c r="E7" s="524" t="s">
        <v>1790</v>
      </c>
      <c r="F7" s="368">
        <f t="shared" si="1"/>
        <v>3857</v>
      </c>
      <c r="G7" s="368">
        <f t="shared" si="1"/>
        <v>6364</v>
      </c>
      <c r="H7" s="368">
        <f t="shared" si="1"/>
        <v>8363</v>
      </c>
      <c r="I7" s="368">
        <f t="shared" si="1"/>
        <v>6233</v>
      </c>
      <c r="J7" s="368">
        <f t="shared" si="1"/>
        <v>5123</v>
      </c>
      <c r="K7" s="524"/>
    </row>
    <row r="8" spans="1:14" ht="18.600000000000001" customHeight="1">
      <c r="A8" s="633"/>
      <c r="B8" s="633"/>
      <c r="C8" s="633"/>
      <c r="D8" s="633"/>
      <c r="E8" s="524" t="s">
        <v>1791</v>
      </c>
      <c r="F8" s="368">
        <f>F14+F20+F26+F32+F66+F100+F118+F154+F58+F168+F194+F161</f>
        <v>0</v>
      </c>
      <c r="G8" s="368">
        <f>G14+G20+G26+G32+G66+G100+G118+G154+G58+G168+G194+G161</f>
        <v>0</v>
      </c>
      <c r="H8" s="368">
        <f>H14+H20+H26+H32+H66+H100+H118+H154+H58+H168+H194+H161</f>
        <v>0</v>
      </c>
      <c r="I8" s="368">
        <f>I14+I20+I26+I32+I66+I100+I118+I154+I58+I168+I194+I161</f>
        <v>3172</v>
      </c>
      <c r="J8" s="368">
        <f>J14+J20+J26+J32+J66+J100+J118+J154+J58+J168+J194+J161</f>
        <v>4733</v>
      </c>
      <c r="K8" s="524"/>
    </row>
    <row r="9" spans="1:14" ht="18.600000000000001" customHeight="1">
      <c r="A9" s="633"/>
      <c r="B9" s="633"/>
      <c r="C9" s="634" t="s">
        <v>1785</v>
      </c>
      <c r="D9" s="635"/>
      <c r="E9" s="636"/>
      <c r="F9" s="368">
        <f t="shared" ref="F9:J10" si="2">F15+F21+F27+F33+F67+F101+F119+F155+F61+F169+F195+F163</f>
        <v>0</v>
      </c>
      <c r="G9" s="368">
        <f t="shared" si="2"/>
        <v>0</v>
      </c>
      <c r="H9" s="368">
        <f t="shared" si="2"/>
        <v>129</v>
      </c>
      <c r="I9" s="368">
        <f t="shared" si="2"/>
        <v>129</v>
      </c>
      <c r="J9" s="368">
        <f t="shared" si="2"/>
        <v>129</v>
      </c>
      <c r="K9" s="524"/>
    </row>
    <row r="10" spans="1:14" ht="18.600000000000001" customHeight="1">
      <c r="A10" s="633"/>
      <c r="B10" s="633"/>
      <c r="C10" s="634" t="s">
        <v>1786</v>
      </c>
      <c r="D10" s="635"/>
      <c r="E10" s="636"/>
      <c r="F10" s="368">
        <f t="shared" si="2"/>
        <v>5235</v>
      </c>
      <c r="G10" s="368">
        <f t="shared" si="2"/>
        <v>5707</v>
      </c>
      <c r="H10" s="368">
        <f t="shared" si="2"/>
        <v>6514</v>
      </c>
      <c r="I10" s="368">
        <f t="shared" si="2"/>
        <v>6514</v>
      </c>
      <c r="J10" s="368">
        <f t="shared" si="2"/>
        <v>6514</v>
      </c>
      <c r="K10" s="524"/>
    </row>
    <row r="11" spans="1:14" s="403" customFormat="1" ht="18.600000000000001" customHeight="1">
      <c r="A11" s="637" t="s">
        <v>1901</v>
      </c>
      <c r="B11" s="638"/>
      <c r="C11" s="639" t="s">
        <v>15</v>
      </c>
      <c r="D11" s="639"/>
      <c r="E11" s="639"/>
      <c r="F11" s="369">
        <f>SUM(F12:F16)</f>
        <v>287</v>
      </c>
      <c r="G11" s="369">
        <f t="shared" ref="G11:J11" si="3">SUM(G12:G16)</f>
        <v>585</v>
      </c>
      <c r="H11" s="369">
        <f t="shared" si="3"/>
        <v>1006</v>
      </c>
      <c r="I11" s="369">
        <f t="shared" si="3"/>
        <v>1098</v>
      </c>
      <c r="J11" s="369">
        <f t="shared" si="3"/>
        <v>1118</v>
      </c>
      <c r="K11" s="525"/>
    </row>
    <row r="12" spans="1:14" s="403" customFormat="1" ht="18.600000000000001" customHeight="1">
      <c r="A12" s="638"/>
      <c r="B12" s="638"/>
      <c r="C12" s="638" t="s">
        <v>96</v>
      </c>
      <c r="D12" s="638"/>
      <c r="E12" s="638"/>
      <c r="F12" s="370">
        <f>'2.생활용수(급수구역)'!I6</f>
        <v>287</v>
      </c>
      <c r="G12" s="370">
        <f>'2.생활용수(급수구역)'!J6</f>
        <v>585</v>
      </c>
      <c r="H12" s="370">
        <f>'2.생활용수(급수구역)'!K6</f>
        <v>1006</v>
      </c>
      <c r="I12" s="370">
        <f>'2.생활용수(급수구역)'!L6</f>
        <v>1098</v>
      </c>
      <c r="J12" s="370">
        <f>'2.생활용수(급수구역)'!M6</f>
        <v>1118</v>
      </c>
      <c r="K12" s="525"/>
    </row>
    <row r="13" spans="1:14" s="403" customFormat="1" ht="18.600000000000001" customHeight="1">
      <c r="A13" s="638"/>
      <c r="B13" s="638"/>
      <c r="C13" s="638" t="s">
        <v>78</v>
      </c>
      <c r="D13" s="638"/>
      <c r="E13" s="525" t="s">
        <v>1201</v>
      </c>
      <c r="F13" s="370"/>
      <c r="G13" s="370"/>
      <c r="H13" s="370"/>
      <c r="I13" s="370"/>
      <c r="J13" s="370"/>
      <c r="K13" s="525"/>
    </row>
    <row r="14" spans="1:14" s="403" customFormat="1" ht="18.600000000000001" customHeight="1">
      <c r="A14" s="638"/>
      <c r="B14" s="638"/>
      <c r="C14" s="638"/>
      <c r="D14" s="638"/>
      <c r="E14" s="525" t="s">
        <v>1202</v>
      </c>
      <c r="F14" s="370"/>
      <c r="G14" s="370"/>
      <c r="H14" s="370"/>
      <c r="I14" s="370"/>
      <c r="J14" s="370"/>
      <c r="K14" s="525"/>
    </row>
    <row r="15" spans="1:14" s="403" customFormat="1" ht="18.600000000000001" customHeight="1">
      <c r="A15" s="638"/>
      <c r="B15" s="638"/>
      <c r="C15" s="638" t="s">
        <v>80</v>
      </c>
      <c r="D15" s="638"/>
      <c r="E15" s="638"/>
      <c r="F15" s="370"/>
      <c r="G15" s="370"/>
      <c r="H15" s="370"/>
      <c r="I15" s="370"/>
      <c r="J15" s="370"/>
      <c r="K15" s="525"/>
    </row>
    <row r="16" spans="1:14" s="403" customFormat="1" ht="18.600000000000001" customHeight="1">
      <c r="A16" s="638"/>
      <c r="B16" s="638"/>
      <c r="C16" s="638" t="s">
        <v>81</v>
      </c>
      <c r="D16" s="638"/>
      <c r="E16" s="638"/>
      <c r="F16" s="370"/>
      <c r="G16" s="370"/>
      <c r="H16" s="370"/>
      <c r="I16" s="370"/>
      <c r="J16" s="370"/>
      <c r="K16" s="525"/>
    </row>
    <row r="17" spans="1:11" s="403" customFormat="1" ht="18.600000000000001" customHeight="1">
      <c r="A17" s="620" t="s">
        <v>1802</v>
      </c>
      <c r="B17" s="621"/>
      <c r="C17" s="630" t="s">
        <v>15</v>
      </c>
      <c r="D17" s="631"/>
      <c r="E17" s="632"/>
      <c r="F17" s="369">
        <f>SUM(F18:F22)</f>
        <v>1357</v>
      </c>
      <c r="G17" s="369">
        <f t="shared" ref="G17:J17" si="4">SUM(G18:G22)</f>
        <v>1432</v>
      </c>
      <c r="H17" s="369">
        <f t="shared" si="4"/>
        <v>1520</v>
      </c>
      <c r="I17" s="369">
        <f t="shared" si="4"/>
        <v>1574</v>
      </c>
      <c r="J17" s="369">
        <f t="shared" si="4"/>
        <v>1601</v>
      </c>
      <c r="K17" s="525"/>
    </row>
    <row r="18" spans="1:11" s="403" customFormat="1" ht="18.600000000000001" customHeight="1">
      <c r="A18" s="622"/>
      <c r="B18" s="623"/>
      <c r="C18" s="617" t="s">
        <v>96</v>
      </c>
      <c r="D18" s="618"/>
      <c r="E18" s="619"/>
      <c r="F18" s="370">
        <f>'2.생활용수(급수구역)'!I9</f>
        <v>1357</v>
      </c>
      <c r="G18" s="370">
        <f>'2.생활용수(급수구역)'!J9</f>
        <v>1432</v>
      </c>
      <c r="H18" s="370">
        <f>'2.생활용수(급수구역)'!K9</f>
        <v>1520</v>
      </c>
      <c r="I18" s="370">
        <f>'2.생활용수(급수구역)'!L9</f>
        <v>1574</v>
      </c>
      <c r="J18" s="370">
        <f>'2.생활용수(급수구역)'!M9</f>
        <v>1601</v>
      </c>
      <c r="K18" s="525"/>
    </row>
    <row r="19" spans="1:11" s="403" customFormat="1" ht="18.600000000000001" customHeight="1">
      <c r="A19" s="622"/>
      <c r="B19" s="623"/>
      <c r="C19" s="626" t="s">
        <v>78</v>
      </c>
      <c r="D19" s="627"/>
      <c r="E19" s="525" t="s">
        <v>1201</v>
      </c>
      <c r="F19" s="370"/>
      <c r="G19" s="370"/>
      <c r="H19" s="370"/>
      <c r="I19" s="370"/>
      <c r="J19" s="370"/>
      <c r="K19" s="525"/>
    </row>
    <row r="20" spans="1:11" s="403" customFormat="1" ht="18.600000000000001" customHeight="1">
      <c r="A20" s="622"/>
      <c r="B20" s="623"/>
      <c r="C20" s="628"/>
      <c r="D20" s="629"/>
      <c r="E20" s="525" t="s">
        <v>1202</v>
      </c>
      <c r="F20" s="370"/>
      <c r="G20" s="370"/>
      <c r="H20" s="370"/>
      <c r="I20" s="370"/>
      <c r="J20" s="370"/>
      <c r="K20" s="525"/>
    </row>
    <row r="21" spans="1:11" s="403" customFormat="1" ht="18.600000000000001" customHeight="1">
      <c r="A21" s="622"/>
      <c r="B21" s="623"/>
      <c r="C21" s="617" t="s">
        <v>80</v>
      </c>
      <c r="D21" s="618"/>
      <c r="E21" s="619"/>
      <c r="F21" s="370"/>
      <c r="G21" s="370"/>
      <c r="H21" s="370"/>
      <c r="I21" s="370"/>
      <c r="J21" s="370"/>
      <c r="K21" s="525"/>
    </row>
    <row r="22" spans="1:11" s="403" customFormat="1" ht="18.600000000000001" customHeight="1">
      <c r="A22" s="624"/>
      <c r="B22" s="625"/>
      <c r="C22" s="617" t="s">
        <v>81</v>
      </c>
      <c r="D22" s="618"/>
      <c r="E22" s="619"/>
      <c r="F22" s="370"/>
      <c r="G22" s="370"/>
      <c r="H22" s="370"/>
      <c r="I22" s="370"/>
      <c r="J22" s="370"/>
      <c r="K22" s="525"/>
    </row>
    <row r="23" spans="1:11" s="403" customFormat="1" ht="18.600000000000001" customHeight="1">
      <c r="A23" s="620" t="s">
        <v>1902</v>
      </c>
      <c r="B23" s="621"/>
      <c r="C23" s="630" t="s">
        <v>15</v>
      </c>
      <c r="D23" s="631"/>
      <c r="E23" s="632"/>
      <c r="F23" s="369">
        <f>SUM(F24:F28)</f>
        <v>1876</v>
      </c>
      <c r="G23" s="369">
        <f t="shared" ref="G23:J23" si="5">SUM(G24:G28)</f>
        <v>2074</v>
      </c>
      <c r="H23" s="369">
        <f t="shared" si="5"/>
        <v>2258</v>
      </c>
      <c r="I23" s="369">
        <f t="shared" si="5"/>
        <v>2401</v>
      </c>
      <c r="J23" s="369">
        <f t="shared" si="5"/>
        <v>2578</v>
      </c>
      <c r="K23" s="525"/>
    </row>
    <row r="24" spans="1:11" s="403" customFormat="1" ht="18.600000000000001" customHeight="1">
      <c r="A24" s="622"/>
      <c r="B24" s="623"/>
      <c r="C24" s="617" t="s">
        <v>96</v>
      </c>
      <c r="D24" s="618"/>
      <c r="E24" s="619"/>
      <c r="F24" s="370">
        <f>'2.생활용수(급수구역)'!I12</f>
        <v>1876</v>
      </c>
      <c r="G24" s="370">
        <f>'2.생활용수(급수구역)'!J12</f>
        <v>2074</v>
      </c>
      <c r="H24" s="370">
        <f>'2.생활용수(급수구역)'!K12</f>
        <v>2258</v>
      </c>
      <c r="I24" s="370">
        <f>'2.생활용수(급수구역)'!L12</f>
        <v>2401</v>
      </c>
      <c r="J24" s="370">
        <f>'2.생활용수(급수구역)'!M12</f>
        <v>2578</v>
      </c>
      <c r="K24" s="525"/>
    </row>
    <row r="25" spans="1:11" s="403" customFormat="1" ht="18.600000000000001" customHeight="1">
      <c r="A25" s="622"/>
      <c r="B25" s="623"/>
      <c r="C25" s="626" t="s">
        <v>78</v>
      </c>
      <c r="D25" s="627"/>
      <c r="E25" s="525" t="s">
        <v>1201</v>
      </c>
      <c r="F25" s="370"/>
      <c r="G25" s="370"/>
      <c r="H25" s="370"/>
      <c r="I25" s="370"/>
      <c r="J25" s="370"/>
      <c r="K25" s="525"/>
    </row>
    <row r="26" spans="1:11" s="403" customFormat="1" ht="18.600000000000001" customHeight="1">
      <c r="A26" s="622"/>
      <c r="B26" s="623"/>
      <c r="C26" s="628"/>
      <c r="D26" s="629"/>
      <c r="E26" s="525" t="s">
        <v>1202</v>
      </c>
      <c r="F26" s="370"/>
      <c r="G26" s="370"/>
      <c r="H26" s="370"/>
      <c r="I26" s="370"/>
      <c r="J26" s="370"/>
      <c r="K26" s="525"/>
    </row>
    <row r="27" spans="1:11" s="403" customFormat="1" ht="18.600000000000001" customHeight="1">
      <c r="A27" s="622"/>
      <c r="B27" s="623"/>
      <c r="C27" s="617" t="s">
        <v>80</v>
      </c>
      <c r="D27" s="618"/>
      <c r="E27" s="619"/>
      <c r="F27" s="370"/>
      <c r="G27" s="370"/>
      <c r="H27" s="370"/>
      <c r="I27" s="370"/>
      <c r="J27" s="370"/>
      <c r="K27" s="525"/>
    </row>
    <row r="28" spans="1:11" s="403" customFormat="1" ht="18.600000000000001" customHeight="1">
      <c r="A28" s="624"/>
      <c r="B28" s="625"/>
      <c r="C28" s="617" t="s">
        <v>81</v>
      </c>
      <c r="D28" s="618"/>
      <c r="E28" s="619"/>
      <c r="F28" s="370"/>
      <c r="G28" s="370"/>
      <c r="H28" s="370"/>
      <c r="I28" s="370"/>
      <c r="J28" s="370"/>
      <c r="K28" s="525"/>
    </row>
    <row r="29" spans="1:11" s="403" customFormat="1" ht="18.600000000000001" customHeight="1">
      <c r="A29" s="620" t="s">
        <v>1789</v>
      </c>
      <c r="B29" s="621"/>
      <c r="C29" s="630" t="s">
        <v>15</v>
      </c>
      <c r="D29" s="631"/>
      <c r="E29" s="632"/>
      <c r="F29" s="369">
        <f>SUM(F30:F34)</f>
        <v>16771</v>
      </c>
      <c r="G29" s="369">
        <f t="shared" ref="G29:J29" si="6">SUM(G30:G34)</f>
        <v>18028</v>
      </c>
      <c r="H29" s="369">
        <f t="shared" si="6"/>
        <v>20917</v>
      </c>
      <c r="I29" s="369">
        <f t="shared" si="6"/>
        <v>22212</v>
      </c>
      <c r="J29" s="369">
        <f t="shared" si="6"/>
        <v>23807</v>
      </c>
      <c r="K29" s="525"/>
    </row>
    <row r="30" spans="1:11" s="403" customFormat="1" ht="18.600000000000001" customHeight="1">
      <c r="A30" s="622"/>
      <c r="B30" s="623"/>
      <c r="C30" s="617" t="s">
        <v>96</v>
      </c>
      <c r="D30" s="618"/>
      <c r="E30" s="619"/>
      <c r="F30" s="370">
        <f>SUMPRODUCT(($C$35:$C$52=$C30)*(F$35:F$52))</f>
        <v>16771</v>
      </c>
      <c r="G30" s="370">
        <f>SUMPRODUCT(($C$35:$C$52=$C30)*(G$35:G$52))</f>
        <v>18028</v>
      </c>
      <c r="H30" s="370">
        <f>SUMPRODUCT(($C$35:$C$52=$C30)*(H$35:H$52))</f>
        <v>20917</v>
      </c>
      <c r="I30" s="370">
        <f>SUMPRODUCT(($C$35:$C$52=$C30)*(I$35:I$52))</f>
        <v>22212</v>
      </c>
      <c r="J30" s="370">
        <f>SUMPRODUCT(($C$35:$C$52=$C30)*(J$35:J$52))</f>
        <v>23807</v>
      </c>
      <c r="K30" s="525"/>
    </row>
    <row r="31" spans="1:11" s="403" customFormat="1" ht="18.600000000000001" customHeight="1">
      <c r="A31" s="622"/>
      <c r="B31" s="623"/>
      <c r="C31" s="626" t="s">
        <v>78</v>
      </c>
      <c r="D31" s="627"/>
      <c r="E31" s="525" t="s">
        <v>1201</v>
      </c>
      <c r="F31" s="370">
        <f t="shared" ref="F31:J32" si="7">SUMPRODUCT(($C$35:$C$52=$C31)*($E$35:$E$52=$E31)*(F$35:F$52))</f>
        <v>0</v>
      </c>
      <c r="G31" s="370">
        <f t="shared" si="7"/>
        <v>0</v>
      </c>
      <c r="H31" s="370">
        <f t="shared" si="7"/>
        <v>0</v>
      </c>
      <c r="I31" s="370">
        <f t="shared" si="7"/>
        <v>0</v>
      </c>
      <c r="J31" s="370">
        <f t="shared" si="7"/>
        <v>0</v>
      </c>
      <c r="K31" s="525"/>
    </row>
    <row r="32" spans="1:11" s="403" customFormat="1" ht="18.600000000000001" customHeight="1">
      <c r="A32" s="622"/>
      <c r="B32" s="623"/>
      <c r="C32" s="628"/>
      <c r="D32" s="629"/>
      <c r="E32" s="525" t="s">
        <v>1202</v>
      </c>
      <c r="F32" s="370">
        <f t="shared" si="7"/>
        <v>0</v>
      </c>
      <c r="G32" s="370">
        <f t="shared" si="7"/>
        <v>0</v>
      </c>
      <c r="H32" s="370">
        <f t="shared" si="7"/>
        <v>0</v>
      </c>
      <c r="I32" s="370">
        <f t="shared" si="7"/>
        <v>0</v>
      </c>
      <c r="J32" s="370">
        <f t="shared" si="7"/>
        <v>0</v>
      </c>
      <c r="K32" s="525"/>
    </row>
    <row r="33" spans="1:11" s="403" customFormat="1" ht="18.600000000000001" customHeight="1">
      <c r="A33" s="622"/>
      <c r="B33" s="623"/>
      <c r="C33" s="617" t="s">
        <v>80</v>
      </c>
      <c r="D33" s="618"/>
      <c r="E33" s="619"/>
      <c r="F33" s="370">
        <f t="shared" ref="F33:J34" si="8">SUMPRODUCT(($C$35:$C$52=$C33)*(F$35:F$52))</f>
        <v>0</v>
      </c>
      <c r="G33" s="370">
        <f t="shared" si="8"/>
        <v>0</v>
      </c>
      <c r="H33" s="370">
        <f t="shared" si="8"/>
        <v>0</v>
      </c>
      <c r="I33" s="370">
        <f t="shared" si="8"/>
        <v>0</v>
      </c>
      <c r="J33" s="370">
        <f t="shared" si="8"/>
        <v>0</v>
      </c>
      <c r="K33" s="525"/>
    </row>
    <row r="34" spans="1:11" s="403" customFormat="1" ht="18.600000000000001" customHeight="1">
      <c r="A34" s="624"/>
      <c r="B34" s="625"/>
      <c r="C34" s="617" t="s">
        <v>81</v>
      </c>
      <c r="D34" s="618"/>
      <c r="E34" s="619"/>
      <c r="F34" s="370">
        <f t="shared" si="8"/>
        <v>0</v>
      </c>
      <c r="G34" s="370">
        <f t="shared" si="8"/>
        <v>0</v>
      </c>
      <c r="H34" s="370">
        <f t="shared" si="8"/>
        <v>0</v>
      </c>
      <c r="I34" s="370">
        <f t="shared" si="8"/>
        <v>0</v>
      </c>
      <c r="J34" s="370">
        <f t="shared" si="8"/>
        <v>0</v>
      </c>
      <c r="K34" s="525"/>
    </row>
    <row r="35" spans="1:11" s="403" customFormat="1" ht="18.600000000000001" customHeight="1">
      <c r="A35" s="520"/>
      <c r="B35" s="641" t="s">
        <v>1792</v>
      </c>
      <c r="C35" s="642" t="s">
        <v>15</v>
      </c>
      <c r="D35" s="642"/>
      <c r="E35" s="642"/>
      <c r="F35" s="352">
        <f>F36+F37+F38+F39+F40</f>
        <v>12459</v>
      </c>
      <c r="G35" s="352">
        <f t="shared" ref="G35:J35" si="9">G36+G37+G38+G39+G40</f>
        <v>13127</v>
      </c>
      <c r="H35" s="352">
        <f t="shared" si="9"/>
        <v>14185</v>
      </c>
      <c r="I35" s="352">
        <f t="shared" si="9"/>
        <v>15096</v>
      </c>
      <c r="J35" s="352">
        <f t="shared" si="9"/>
        <v>16203</v>
      </c>
      <c r="K35" s="523"/>
    </row>
    <row r="36" spans="1:11" s="403" customFormat="1" ht="18.600000000000001" customHeight="1">
      <c r="A36" s="521"/>
      <c r="B36" s="616"/>
      <c r="C36" s="616" t="s">
        <v>96</v>
      </c>
      <c r="D36" s="616"/>
      <c r="E36" s="616"/>
      <c r="F36" s="229">
        <f>'2.생활용수(급수구역)'!I16</f>
        <v>12459</v>
      </c>
      <c r="G36" s="229">
        <f>'2.생활용수(급수구역)'!J16</f>
        <v>13127</v>
      </c>
      <c r="H36" s="229">
        <f>'2.생활용수(급수구역)'!K16</f>
        <v>14185</v>
      </c>
      <c r="I36" s="229">
        <f>'2.생활용수(급수구역)'!L16</f>
        <v>15096</v>
      </c>
      <c r="J36" s="229">
        <f>'2.생활용수(급수구역)'!M16</f>
        <v>16203</v>
      </c>
      <c r="K36" s="523"/>
    </row>
    <row r="37" spans="1:11" s="403" customFormat="1" ht="18.600000000000001" customHeight="1">
      <c r="A37" s="521"/>
      <c r="B37" s="616"/>
      <c r="C37" s="616" t="s">
        <v>78</v>
      </c>
      <c r="D37" s="616"/>
      <c r="E37" s="523" t="s">
        <v>1201</v>
      </c>
      <c r="F37" s="229"/>
      <c r="G37" s="229"/>
      <c r="H37" s="229"/>
      <c r="I37" s="229"/>
      <c r="J37" s="229"/>
      <c r="K37" s="523"/>
    </row>
    <row r="38" spans="1:11" s="403" customFormat="1" ht="18.600000000000001" customHeight="1">
      <c r="A38" s="521"/>
      <c r="B38" s="616"/>
      <c r="C38" s="616" t="s">
        <v>78</v>
      </c>
      <c r="D38" s="616"/>
      <c r="E38" s="523" t="s">
        <v>1202</v>
      </c>
      <c r="F38" s="229"/>
      <c r="G38" s="229"/>
      <c r="H38" s="229"/>
      <c r="I38" s="229"/>
      <c r="J38" s="229"/>
      <c r="K38" s="523"/>
    </row>
    <row r="39" spans="1:11" s="403" customFormat="1" ht="18.600000000000001" customHeight="1">
      <c r="A39" s="521"/>
      <c r="B39" s="616"/>
      <c r="C39" s="616" t="s">
        <v>80</v>
      </c>
      <c r="D39" s="616"/>
      <c r="E39" s="616"/>
      <c r="F39" s="229"/>
      <c r="G39" s="229">
        <f>'4.관광용수'!$F$7</f>
        <v>0</v>
      </c>
      <c r="H39" s="229">
        <f>'4.관광용수'!$F$7</f>
        <v>0</v>
      </c>
      <c r="I39" s="229">
        <f>'4.관광용수'!$F$7</f>
        <v>0</v>
      </c>
      <c r="J39" s="229">
        <f>'4.관광용수'!$F$7</f>
        <v>0</v>
      </c>
      <c r="K39" s="523" t="s">
        <v>1812</v>
      </c>
    </row>
    <row r="40" spans="1:11" s="403" customFormat="1" ht="18.600000000000001" customHeight="1">
      <c r="A40" s="522"/>
      <c r="B40" s="616"/>
      <c r="C40" s="616" t="s">
        <v>81</v>
      </c>
      <c r="D40" s="616"/>
      <c r="E40" s="616"/>
      <c r="F40" s="229"/>
      <c r="G40" s="229"/>
      <c r="H40" s="229"/>
      <c r="I40" s="229"/>
      <c r="J40" s="229"/>
      <c r="K40" s="523"/>
    </row>
    <row r="41" spans="1:11" s="403" customFormat="1" ht="18" customHeight="1">
      <c r="A41" s="520"/>
      <c r="B41" s="641" t="s">
        <v>1911</v>
      </c>
      <c r="C41" s="642" t="s">
        <v>15</v>
      </c>
      <c r="D41" s="642"/>
      <c r="E41" s="642"/>
      <c r="F41" s="352">
        <f>F42+F43+F44+F45+F46</f>
        <v>4312</v>
      </c>
      <c r="G41" s="352">
        <f t="shared" ref="G41:J41" si="10">G42+G43+G44+G45+G46</f>
        <v>4357</v>
      </c>
      <c r="H41" s="352">
        <f t="shared" si="10"/>
        <v>3184</v>
      </c>
      <c r="I41" s="352">
        <f t="shared" si="10"/>
        <v>3451</v>
      </c>
      <c r="J41" s="352">
        <f t="shared" si="10"/>
        <v>3765</v>
      </c>
      <c r="K41" s="523"/>
    </row>
    <row r="42" spans="1:11" s="403" customFormat="1" ht="18" customHeight="1">
      <c r="A42" s="521"/>
      <c r="B42" s="616"/>
      <c r="C42" s="616" t="s">
        <v>96</v>
      </c>
      <c r="D42" s="616"/>
      <c r="E42" s="616"/>
      <c r="F42" s="229">
        <f>'2.생활용수(급수구역)'!I20</f>
        <v>4312</v>
      </c>
      <c r="G42" s="229">
        <f>'2.생활용수(급수구역)'!J20</f>
        <v>4357</v>
      </c>
      <c r="H42" s="229">
        <f>'2.생활용수(급수구역)'!K20</f>
        <v>3184</v>
      </c>
      <c r="I42" s="229">
        <f>'2.생활용수(급수구역)'!L20</f>
        <v>3451</v>
      </c>
      <c r="J42" s="229">
        <f>'2.생활용수(급수구역)'!M20</f>
        <v>3765</v>
      </c>
      <c r="K42" s="523"/>
    </row>
    <row r="43" spans="1:11" s="403" customFormat="1" ht="18" customHeight="1">
      <c r="A43" s="521"/>
      <c r="B43" s="616"/>
      <c r="C43" s="616" t="s">
        <v>78</v>
      </c>
      <c r="D43" s="616"/>
      <c r="E43" s="523" t="s">
        <v>1201</v>
      </c>
      <c r="F43" s="229"/>
      <c r="G43" s="229"/>
      <c r="H43" s="229"/>
      <c r="I43" s="229"/>
      <c r="J43" s="229"/>
      <c r="K43" s="523"/>
    </row>
    <row r="44" spans="1:11" s="403" customFormat="1" ht="18" customHeight="1">
      <c r="A44" s="521"/>
      <c r="B44" s="616"/>
      <c r="C44" s="616" t="s">
        <v>78</v>
      </c>
      <c r="D44" s="616"/>
      <c r="E44" s="523" t="s">
        <v>1202</v>
      </c>
      <c r="F44" s="229"/>
      <c r="G44" s="229"/>
      <c r="H44" s="229"/>
      <c r="I44" s="229"/>
      <c r="J44" s="229"/>
      <c r="K44" s="523"/>
    </row>
    <row r="45" spans="1:11" s="403" customFormat="1" ht="18" customHeight="1">
      <c r="A45" s="521"/>
      <c r="B45" s="616"/>
      <c r="C45" s="616" t="s">
        <v>80</v>
      </c>
      <c r="D45" s="616"/>
      <c r="E45" s="616"/>
      <c r="F45" s="229"/>
      <c r="G45" s="229"/>
      <c r="H45" s="229"/>
      <c r="I45" s="229"/>
      <c r="J45" s="229"/>
      <c r="K45" s="523"/>
    </row>
    <row r="46" spans="1:11" s="403" customFormat="1" ht="18" customHeight="1">
      <c r="A46" s="521"/>
      <c r="B46" s="616"/>
      <c r="C46" s="616" t="s">
        <v>81</v>
      </c>
      <c r="D46" s="616"/>
      <c r="E46" s="616"/>
      <c r="F46" s="229"/>
      <c r="G46" s="229"/>
      <c r="H46" s="229"/>
      <c r="I46" s="229"/>
      <c r="J46" s="229"/>
      <c r="K46" s="523"/>
    </row>
    <row r="47" spans="1:11" s="403" customFormat="1" ht="18" customHeight="1">
      <c r="A47" s="521"/>
      <c r="B47" s="641" t="s">
        <v>1903</v>
      </c>
      <c r="C47" s="642" t="s">
        <v>15</v>
      </c>
      <c r="D47" s="642"/>
      <c r="E47" s="642"/>
      <c r="F47" s="352">
        <f>F48+F49+F50+F51+F52</f>
        <v>0</v>
      </c>
      <c r="G47" s="352">
        <f t="shared" ref="G47:J47" si="11">G48+G49+G50+G51+G52</f>
        <v>544</v>
      </c>
      <c r="H47" s="352">
        <f t="shared" si="11"/>
        <v>3548</v>
      </c>
      <c r="I47" s="352">
        <f t="shared" si="11"/>
        <v>3665</v>
      </c>
      <c r="J47" s="352">
        <f t="shared" si="11"/>
        <v>3839</v>
      </c>
      <c r="K47" s="523"/>
    </row>
    <row r="48" spans="1:11" s="403" customFormat="1" ht="18" customHeight="1">
      <c r="A48" s="521"/>
      <c r="B48" s="616"/>
      <c r="C48" s="616" t="s">
        <v>96</v>
      </c>
      <c r="D48" s="616"/>
      <c r="E48" s="616"/>
      <c r="F48" s="229">
        <f>'2.생활용수(급수구역)'!I22</f>
        <v>0</v>
      </c>
      <c r="G48" s="229">
        <f>'2.생활용수(급수구역)'!J22</f>
        <v>544</v>
      </c>
      <c r="H48" s="229">
        <f>'2.생활용수(급수구역)'!K22</f>
        <v>3548</v>
      </c>
      <c r="I48" s="229">
        <f>'2.생활용수(급수구역)'!L22</f>
        <v>3665</v>
      </c>
      <c r="J48" s="229">
        <f>'2.생활용수(급수구역)'!M22</f>
        <v>3839</v>
      </c>
      <c r="K48" s="523"/>
    </row>
    <row r="49" spans="1:11" s="403" customFormat="1" ht="18" customHeight="1">
      <c r="A49" s="521"/>
      <c r="B49" s="616"/>
      <c r="C49" s="616" t="s">
        <v>78</v>
      </c>
      <c r="D49" s="616"/>
      <c r="E49" s="523" t="s">
        <v>1201</v>
      </c>
      <c r="F49" s="229"/>
      <c r="G49" s="229"/>
      <c r="H49" s="229"/>
      <c r="I49" s="229"/>
      <c r="J49" s="229"/>
      <c r="K49" s="523"/>
    </row>
    <row r="50" spans="1:11" s="403" customFormat="1" ht="18" customHeight="1">
      <c r="A50" s="521"/>
      <c r="B50" s="616"/>
      <c r="C50" s="616" t="s">
        <v>78</v>
      </c>
      <c r="D50" s="616"/>
      <c r="E50" s="523" t="s">
        <v>1202</v>
      </c>
      <c r="F50" s="229"/>
      <c r="G50" s="229"/>
      <c r="H50" s="229"/>
      <c r="I50" s="229"/>
      <c r="J50" s="229"/>
      <c r="K50" s="523"/>
    </row>
    <row r="51" spans="1:11" s="403" customFormat="1" ht="18" customHeight="1">
      <c r="A51" s="521"/>
      <c r="B51" s="616"/>
      <c r="C51" s="616" t="s">
        <v>80</v>
      </c>
      <c r="D51" s="616"/>
      <c r="E51" s="616"/>
      <c r="F51" s="229"/>
      <c r="G51" s="229"/>
      <c r="H51" s="229"/>
      <c r="I51" s="229"/>
      <c r="J51" s="229"/>
      <c r="K51" s="523"/>
    </row>
    <row r="52" spans="1:11" s="403" customFormat="1" ht="18" customHeight="1">
      <c r="A52" s="521"/>
      <c r="B52" s="643"/>
      <c r="C52" s="643" t="s">
        <v>81</v>
      </c>
      <c r="D52" s="643"/>
      <c r="E52" s="643"/>
      <c r="F52" s="465"/>
      <c r="G52" s="465"/>
      <c r="H52" s="465"/>
      <c r="I52" s="465"/>
      <c r="J52" s="465"/>
      <c r="K52" s="526"/>
    </row>
    <row r="53" spans="1:11" s="403" customFormat="1" ht="18" customHeight="1">
      <c r="A53" s="637" t="s">
        <v>1793</v>
      </c>
      <c r="B53" s="637"/>
      <c r="C53" s="639" t="s">
        <v>15</v>
      </c>
      <c r="D53" s="639"/>
      <c r="E53" s="639"/>
      <c r="F53" s="369">
        <f>F54+F55+F58+F61+F62</f>
        <v>3955</v>
      </c>
      <c r="G53" s="369">
        <f t="shared" ref="G53:J53" si="12">G54+G55+G58+G61+G62</f>
        <v>5434</v>
      </c>
      <c r="H53" s="369">
        <f t="shared" si="12"/>
        <v>6948</v>
      </c>
      <c r="I53" s="369">
        <f t="shared" si="12"/>
        <v>7349</v>
      </c>
      <c r="J53" s="369">
        <f t="shared" si="12"/>
        <v>7639</v>
      </c>
      <c r="K53" s="525"/>
    </row>
    <row r="54" spans="1:11" s="403" customFormat="1" ht="18" customHeight="1">
      <c r="A54" s="637"/>
      <c r="B54" s="637"/>
      <c r="C54" s="638" t="s">
        <v>96</v>
      </c>
      <c r="D54" s="638"/>
      <c r="E54" s="638"/>
      <c r="F54" s="370">
        <f>'2.생활용수(급수구역)'!I24</f>
        <v>3549</v>
      </c>
      <c r="G54" s="370">
        <f>'2.생활용수(급수구역)'!J24</f>
        <v>5028</v>
      </c>
      <c r="H54" s="370">
        <f>'2.생활용수(급수구역)'!K24</f>
        <v>6413</v>
      </c>
      <c r="I54" s="370">
        <f>'2.생활용수(급수구역)'!L24</f>
        <v>6814</v>
      </c>
      <c r="J54" s="370">
        <f>'2.생활용수(급수구역)'!M24</f>
        <v>7104</v>
      </c>
      <c r="K54" s="525"/>
    </row>
    <row r="55" spans="1:11" s="403" customFormat="1" ht="18" customHeight="1">
      <c r="A55" s="637"/>
      <c r="B55" s="637"/>
      <c r="C55" s="638" t="s">
        <v>78</v>
      </c>
      <c r="D55" s="638"/>
      <c r="E55" s="525" t="s">
        <v>1201</v>
      </c>
      <c r="F55" s="370">
        <f>SUM(F56:F57)</f>
        <v>406</v>
      </c>
      <c r="G55" s="370">
        <f t="shared" ref="G55:J55" si="13">SUM(G56:G57)</f>
        <v>406</v>
      </c>
      <c r="H55" s="370">
        <f t="shared" si="13"/>
        <v>406</v>
      </c>
      <c r="I55" s="370">
        <f t="shared" si="13"/>
        <v>406</v>
      </c>
      <c r="J55" s="370">
        <f t="shared" si="13"/>
        <v>406</v>
      </c>
      <c r="K55" s="525"/>
    </row>
    <row r="56" spans="1:11" s="403" customFormat="1" ht="18" customHeight="1">
      <c r="A56" s="637"/>
      <c r="B56" s="637"/>
      <c r="C56" s="638"/>
      <c r="D56" s="638" t="s">
        <v>1213</v>
      </c>
      <c r="E56" s="638"/>
      <c r="F56" s="370">
        <f>'3.공업용수'!G20</f>
        <v>320</v>
      </c>
      <c r="G56" s="370">
        <f>'3.공업용수'!I20</f>
        <v>320</v>
      </c>
      <c r="H56" s="370">
        <f>'3.공업용수'!J20</f>
        <v>320</v>
      </c>
      <c r="I56" s="370">
        <f>'3.공업용수'!K20</f>
        <v>320</v>
      </c>
      <c r="J56" s="370">
        <f>'3.공업용수'!L20</f>
        <v>320</v>
      </c>
      <c r="K56" s="525"/>
    </row>
    <row r="57" spans="1:11" s="403" customFormat="1" ht="18" customHeight="1">
      <c r="A57" s="637"/>
      <c r="B57" s="637"/>
      <c r="C57" s="638"/>
      <c r="D57" s="638" t="s">
        <v>1214</v>
      </c>
      <c r="E57" s="638"/>
      <c r="F57" s="370">
        <f>'3.공업용수'!G23</f>
        <v>86</v>
      </c>
      <c r="G57" s="370">
        <f>'3.공업용수'!I23</f>
        <v>86</v>
      </c>
      <c r="H57" s="370">
        <f>'3.공업용수'!J23</f>
        <v>86</v>
      </c>
      <c r="I57" s="370">
        <f>'3.공업용수'!K23</f>
        <v>86</v>
      </c>
      <c r="J57" s="370">
        <f>'3.공업용수'!L23</f>
        <v>86</v>
      </c>
      <c r="K57" s="525"/>
    </row>
    <row r="58" spans="1:11" s="403" customFormat="1" ht="18" customHeight="1">
      <c r="A58" s="637"/>
      <c r="B58" s="637"/>
      <c r="C58" s="638" t="s">
        <v>78</v>
      </c>
      <c r="D58" s="638"/>
      <c r="E58" s="525" t="s">
        <v>1202</v>
      </c>
      <c r="F58" s="370">
        <f>SUM(F59:F60)</f>
        <v>0</v>
      </c>
      <c r="G58" s="370">
        <f t="shared" ref="G58" si="14">SUM(G59:G60)</f>
        <v>0</v>
      </c>
      <c r="H58" s="370">
        <f t="shared" ref="H58" si="15">SUM(H59:H60)</f>
        <v>0</v>
      </c>
      <c r="I58" s="370">
        <f t="shared" ref="I58" si="16">SUM(I59:I60)</f>
        <v>0</v>
      </c>
      <c r="J58" s="370">
        <f t="shared" ref="J58" si="17">SUM(J59:J60)</f>
        <v>0</v>
      </c>
      <c r="K58" s="525"/>
    </row>
    <row r="59" spans="1:11" s="403" customFormat="1" ht="18" customHeight="1">
      <c r="A59" s="637"/>
      <c r="B59" s="637"/>
      <c r="C59" s="638"/>
      <c r="D59" s="638" t="s">
        <v>1213</v>
      </c>
      <c r="E59" s="638"/>
      <c r="F59" s="370">
        <f>'3.공업용수'!G21</f>
        <v>0</v>
      </c>
      <c r="G59" s="370">
        <f>'3.공업용수'!I21</f>
        <v>0</v>
      </c>
      <c r="H59" s="370">
        <f>'3.공업용수'!J21</f>
        <v>0</v>
      </c>
      <c r="I59" s="370">
        <f>'3.공업용수'!K21</f>
        <v>0</v>
      </c>
      <c r="J59" s="370">
        <f>'3.공업용수'!L21</f>
        <v>0</v>
      </c>
      <c r="K59" s="525"/>
    </row>
    <row r="60" spans="1:11" s="403" customFormat="1" ht="18" customHeight="1">
      <c r="A60" s="637"/>
      <c r="B60" s="637"/>
      <c r="C60" s="638"/>
      <c r="D60" s="638" t="s">
        <v>1214</v>
      </c>
      <c r="E60" s="638"/>
      <c r="F60" s="370">
        <f>'3.공업용수'!G24</f>
        <v>0</v>
      </c>
      <c r="G60" s="370">
        <f>'3.공업용수'!I24</f>
        <v>0</v>
      </c>
      <c r="H60" s="370">
        <f>'3.공업용수'!J24</f>
        <v>0</v>
      </c>
      <c r="I60" s="370">
        <f>'3.공업용수'!K24</f>
        <v>0</v>
      </c>
      <c r="J60" s="370">
        <f>'3.공업용수'!L24</f>
        <v>0</v>
      </c>
      <c r="K60" s="525"/>
    </row>
    <row r="61" spans="1:11" s="403" customFormat="1" ht="18" customHeight="1">
      <c r="A61" s="637"/>
      <c r="B61" s="637"/>
      <c r="C61" s="638" t="s">
        <v>80</v>
      </c>
      <c r="D61" s="638"/>
      <c r="E61" s="638"/>
      <c r="F61" s="370"/>
      <c r="G61" s="370"/>
      <c r="H61" s="370">
        <f>'4.관광용수'!$F$4</f>
        <v>129</v>
      </c>
      <c r="I61" s="370">
        <f>'4.관광용수'!$F$4</f>
        <v>129</v>
      </c>
      <c r="J61" s="370">
        <f>'4.관광용수'!$F$4</f>
        <v>129</v>
      </c>
      <c r="K61" s="525" t="s">
        <v>1814</v>
      </c>
    </row>
    <row r="62" spans="1:11" s="403" customFormat="1" ht="18" customHeight="1">
      <c r="A62" s="637"/>
      <c r="B62" s="637"/>
      <c r="C62" s="638" t="s">
        <v>81</v>
      </c>
      <c r="D62" s="638"/>
      <c r="E62" s="638"/>
      <c r="F62" s="370"/>
      <c r="G62" s="370"/>
      <c r="H62" s="370"/>
      <c r="I62" s="370"/>
      <c r="J62" s="370"/>
      <c r="K62" s="525"/>
    </row>
    <row r="63" spans="1:11" s="403" customFormat="1" ht="18" customHeight="1">
      <c r="A63" s="620" t="s">
        <v>1904</v>
      </c>
      <c r="B63" s="621"/>
      <c r="C63" s="630" t="s">
        <v>15</v>
      </c>
      <c r="D63" s="631"/>
      <c r="E63" s="632"/>
      <c r="F63" s="369">
        <f>SUM(F64:F68)</f>
        <v>8759</v>
      </c>
      <c r="G63" s="369">
        <f t="shared" ref="G63:J63" si="18">SUM(G64:G68)</f>
        <v>12174</v>
      </c>
      <c r="H63" s="369">
        <f t="shared" si="18"/>
        <v>13853</v>
      </c>
      <c r="I63" s="369">
        <f t="shared" si="18"/>
        <v>14886</v>
      </c>
      <c r="J63" s="369">
        <f t="shared" si="18"/>
        <v>15365</v>
      </c>
      <c r="K63" s="525"/>
    </row>
    <row r="64" spans="1:11" s="403" customFormat="1" ht="18" customHeight="1">
      <c r="A64" s="622"/>
      <c r="B64" s="623"/>
      <c r="C64" s="617" t="s">
        <v>96</v>
      </c>
      <c r="D64" s="618"/>
      <c r="E64" s="619"/>
      <c r="F64" s="370">
        <f>SUMPRODUCT(($C$69:$C$96=$C64)*(F$69:F$96))</f>
        <v>3062</v>
      </c>
      <c r="G64" s="370">
        <f t="shared" ref="G64:J64" si="19">SUMPRODUCT(($C$69:$C$96=$C64)*(G$69:G$96))</f>
        <v>4202</v>
      </c>
      <c r="H64" s="370">
        <f t="shared" si="19"/>
        <v>4777</v>
      </c>
      <c r="I64" s="370">
        <f t="shared" si="19"/>
        <v>5125</v>
      </c>
      <c r="J64" s="370">
        <f t="shared" si="19"/>
        <v>5379</v>
      </c>
      <c r="K64" s="525"/>
    </row>
    <row r="65" spans="1:11" s="403" customFormat="1" ht="18" customHeight="1">
      <c r="A65" s="622"/>
      <c r="B65" s="623"/>
      <c r="C65" s="626" t="s">
        <v>78</v>
      </c>
      <c r="D65" s="627"/>
      <c r="E65" s="525" t="s">
        <v>1201</v>
      </c>
      <c r="F65" s="370">
        <f>SUMPRODUCT(($C$69:$C$96=$C65)*($E$69:$E$96=$E65)*(F$69:F$96))</f>
        <v>462</v>
      </c>
      <c r="G65" s="370">
        <f t="shared" ref="G65:J65" si="20">SUMPRODUCT(($C$69:$C$96=$C65)*($E$69:$E$96=$E65)*(G$69:G$96))</f>
        <v>2265</v>
      </c>
      <c r="H65" s="370">
        <f t="shared" si="20"/>
        <v>3369</v>
      </c>
      <c r="I65" s="370">
        <f t="shared" si="20"/>
        <v>1591</v>
      </c>
      <c r="J65" s="370">
        <f t="shared" si="20"/>
        <v>604</v>
      </c>
      <c r="K65" s="525"/>
    </row>
    <row r="66" spans="1:11" s="403" customFormat="1" ht="18" customHeight="1">
      <c r="A66" s="622"/>
      <c r="B66" s="623"/>
      <c r="C66" s="628"/>
      <c r="D66" s="629"/>
      <c r="E66" s="525" t="s">
        <v>1202</v>
      </c>
      <c r="F66" s="370">
        <f>SUMPRODUCT(($C$69:$C$96=$C65)*($E$69:$E$96=$E66)*(F$69:F$96))</f>
        <v>0</v>
      </c>
      <c r="G66" s="370">
        <f t="shared" ref="G66:J66" si="21">SUMPRODUCT(($C$69:$C$96=$C65)*($E$69:$E$96=$E66)*(G$69:G$96))</f>
        <v>0</v>
      </c>
      <c r="H66" s="370">
        <f t="shared" si="21"/>
        <v>0</v>
      </c>
      <c r="I66" s="370">
        <f t="shared" si="21"/>
        <v>2463</v>
      </c>
      <c r="J66" s="370">
        <f t="shared" si="21"/>
        <v>3675</v>
      </c>
      <c r="K66" s="525"/>
    </row>
    <row r="67" spans="1:11" s="403" customFormat="1" ht="18" customHeight="1">
      <c r="A67" s="622"/>
      <c r="B67" s="623"/>
      <c r="C67" s="617" t="s">
        <v>80</v>
      </c>
      <c r="D67" s="618"/>
      <c r="E67" s="619"/>
      <c r="F67" s="370">
        <f>SUMPRODUCT(($C$69:$C$96=$C67)*(F$69:F$96))</f>
        <v>0</v>
      </c>
      <c r="G67" s="370">
        <f t="shared" ref="G67:J68" si="22">SUMPRODUCT(($C$69:$C$96=$C67)*(G$69:G$96))</f>
        <v>0</v>
      </c>
      <c r="H67" s="370">
        <f t="shared" si="22"/>
        <v>0</v>
      </c>
      <c r="I67" s="370">
        <f t="shared" si="22"/>
        <v>0</v>
      </c>
      <c r="J67" s="370">
        <f t="shared" si="22"/>
        <v>0</v>
      </c>
      <c r="K67" s="525"/>
    </row>
    <row r="68" spans="1:11" s="403" customFormat="1" ht="18" customHeight="1">
      <c r="A68" s="624"/>
      <c r="B68" s="625"/>
      <c r="C68" s="617" t="s">
        <v>81</v>
      </c>
      <c r="D68" s="618"/>
      <c r="E68" s="619"/>
      <c r="F68" s="370">
        <f>SUMPRODUCT(($C$69:$C$96=$C68)*(F$69:F$96))</f>
        <v>5235</v>
      </c>
      <c r="G68" s="370">
        <f t="shared" si="22"/>
        <v>5707</v>
      </c>
      <c r="H68" s="370">
        <f t="shared" si="22"/>
        <v>5707</v>
      </c>
      <c r="I68" s="370">
        <f t="shared" si="22"/>
        <v>5707</v>
      </c>
      <c r="J68" s="370">
        <f t="shared" si="22"/>
        <v>5707</v>
      </c>
      <c r="K68" s="525"/>
    </row>
    <row r="69" spans="1:11" s="403" customFormat="1" ht="18" customHeight="1">
      <c r="A69" s="521"/>
      <c r="B69" s="607" t="s">
        <v>1794</v>
      </c>
      <c r="C69" s="642" t="s">
        <v>15</v>
      </c>
      <c r="D69" s="642"/>
      <c r="E69" s="642"/>
      <c r="F69" s="352">
        <f>F70+F71+F80+F89+F90</f>
        <v>8759</v>
      </c>
      <c r="G69" s="352">
        <f>G70+G71+G80+G89+G90</f>
        <v>12174</v>
      </c>
      <c r="H69" s="352">
        <f>H70+H71+H80+H89+H90</f>
        <v>13392</v>
      </c>
      <c r="I69" s="352">
        <f>I70+I71+I80+I89+I90</f>
        <v>14412</v>
      </c>
      <c r="J69" s="352">
        <f>J70+J71+J80+J89+J90</f>
        <v>14880</v>
      </c>
      <c r="K69" s="523"/>
    </row>
    <row r="70" spans="1:11" s="403" customFormat="1" ht="18" customHeight="1">
      <c r="A70" s="521"/>
      <c r="B70" s="608"/>
      <c r="C70" s="616" t="s">
        <v>96</v>
      </c>
      <c r="D70" s="616"/>
      <c r="E70" s="616"/>
      <c r="F70" s="229">
        <f>'2.생활용수(급수구역)'!I30</f>
        <v>3062</v>
      </c>
      <c r="G70" s="229">
        <f>'2.생활용수(급수구역)'!J30</f>
        <v>4202</v>
      </c>
      <c r="H70" s="229">
        <f>'2.생활용수(급수구역)'!K30</f>
        <v>4316</v>
      </c>
      <c r="I70" s="229">
        <f>'2.생활용수(급수구역)'!L30</f>
        <v>4651</v>
      </c>
      <c r="J70" s="229">
        <f>'2.생활용수(급수구역)'!M30</f>
        <v>4894</v>
      </c>
      <c r="K70" s="523"/>
    </row>
    <row r="71" spans="1:11" s="403" customFormat="1" ht="18" customHeight="1">
      <c r="A71" s="521"/>
      <c r="B71" s="608"/>
      <c r="C71" s="616" t="s">
        <v>78</v>
      </c>
      <c r="D71" s="616"/>
      <c r="E71" s="523" t="s">
        <v>1201</v>
      </c>
      <c r="F71" s="229">
        <f>SUM(F72:F79)</f>
        <v>462</v>
      </c>
      <c r="G71" s="229">
        <f t="shared" ref="G71:J71" si="23">SUM(G72:G79)</f>
        <v>2265</v>
      </c>
      <c r="H71" s="229">
        <f t="shared" si="23"/>
        <v>3369</v>
      </c>
      <c r="I71" s="229">
        <f t="shared" si="23"/>
        <v>1591</v>
      </c>
      <c r="J71" s="229">
        <f t="shared" si="23"/>
        <v>604</v>
      </c>
      <c r="K71" s="523"/>
    </row>
    <row r="72" spans="1:11" s="403" customFormat="1" ht="18" customHeight="1">
      <c r="A72" s="521"/>
      <c r="B72" s="608"/>
      <c r="C72" s="545"/>
      <c r="D72" s="616" t="s">
        <v>1208</v>
      </c>
      <c r="E72" s="616"/>
      <c r="F72" s="229">
        <f>'3.공업용수'!G11</f>
        <v>72</v>
      </c>
      <c r="G72" s="229">
        <f>'3.공업용수'!I11</f>
        <v>72</v>
      </c>
      <c r="H72" s="229">
        <f>'3.공업용수'!J11</f>
        <v>72</v>
      </c>
      <c r="I72" s="229">
        <f>'3.공업용수'!K11</f>
        <v>72</v>
      </c>
      <c r="J72" s="229">
        <f>'3.공업용수'!L11</f>
        <v>72</v>
      </c>
      <c r="K72" s="523"/>
    </row>
    <row r="73" spans="1:11" s="403" customFormat="1" ht="18" customHeight="1">
      <c r="A73" s="521"/>
      <c r="B73" s="608"/>
      <c r="C73" s="533"/>
      <c r="D73" s="616" t="s">
        <v>1210</v>
      </c>
      <c r="E73" s="616"/>
      <c r="F73" s="229">
        <f>'3.공업용수'!G14</f>
        <v>48</v>
      </c>
      <c r="G73" s="229">
        <f>'3.공업용수'!I14</f>
        <v>48</v>
      </c>
      <c r="H73" s="229">
        <f>'3.공업용수'!J14</f>
        <v>48</v>
      </c>
      <c r="I73" s="229">
        <f>'3.공업용수'!K14</f>
        <v>48</v>
      </c>
      <c r="J73" s="229">
        <f>'3.공업용수'!L14</f>
        <v>48</v>
      </c>
      <c r="K73" s="523"/>
    </row>
    <row r="74" spans="1:11" s="403" customFormat="1" ht="18" customHeight="1">
      <c r="A74" s="521"/>
      <c r="B74" s="608"/>
      <c r="C74" s="533"/>
      <c r="D74" s="616" t="s">
        <v>1212</v>
      </c>
      <c r="E74" s="616"/>
      <c r="F74" s="229">
        <f>'3.공업용수'!G17</f>
        <v>25</v>
      </c>
      <c r="G74" s="229">
        <f>'3.공업용수'!I17</f>
        <v>25</v>
      </c>
      <c r="H74" s="229">
        <f>'3.공업용수'!J17</f>
        <v>25</v>
      </c>
      <c r="I74" s="229">
        <f>'3.공업용수'!K17</f>
        <v>25</v>
      </c>
      <c r="J74" s="229">
        <f>'3.공업용수'!L17</f>
        <v>25</v>
      </c>
      <c r="K74" s="523"/>
    </row>
    <row r="75" spans="1:11" s="403" customFormat="1" ht="18" customHeight="1">
      <c r="A75" s="521"/>
      <c r="B75" s="608"/>
      <c r="C75" s="533"/>
      <c r="D75" s="613" t="s">
        <v>1811</v>
      </c>
      <c r="E75" s="615"/>
      <c r="F75" s="229">
        <f>'3.공업용수'!G26-F76</f>
        <v>56</v>
      </c>
      <c r="G75" s="229">
        <f>'3.공업용수'!I26-G76</f>
        <v>56</v>
      </c>
      <c r="H75" s="229">
        <f>'3.공업용수'!J26-H76</f>
        <v>56</v>
      </c>
      <c r="I75" s="229">
        <f>'3.공업용수'!K26-I76</f>
        <v>56</v>
      </c>
      <c r="J75" s="229">
        <f>'3.공업용수'!L26-J76</f>
        <v>56</v>
      </c>
      <c r="K75" s="523"/>
    </row>
    <row r="76" spans="1:11" s="403" customFormat="1" ht="18" customHeight="1">
      <c r="A76" s="521"/>
      <c r="B76" s="608"/>
      <c r="C76" s="533"/>
      <c r="D76" s="613" t="s">
        <v>1200</v>
      </c>
      <c r="E76" s="615"/>
      <c r="F76" s="371">
        <f>'3.기존공장용수량'!$M$28</f>
        <v>261</v>
      </c>
      <c r="G76" s="371">
        <f>'3.기존공장용수량'!$M$28</f>
        <v>261</v>
      </c>
      <c r="H76" s="371">
        <f>'3.기존공장용수량'!$M$28</f>
        <v>261</v>
      </c>
      <c r="I76" s="371">
        <f>'3.기존공장용수량'!$M$28</f>
        <v>261</v>
      </c>
      <c r="J76" s="371">
        <f>'3.기존공장용수량'!$M$28</f>
        <v>261</v>
      </c>
      <c r="K76" s="523"/>
    </row>
    <row r="77" spans="1:11" s="403" customFormat="1" ht="18" customHeight="1">
      <c r="A77" s="522"/>
      <c r="B77" s="609"/>
      <c r="C77" s="534"/>
      <c r="D77" s="616" t="s">
        <v>739</v>
      </c>
      <c r="E77" s="616"/>
      <c r="F77" s="229">
        <f>'3.공업용수'!G41</f>
        <v>0</v>
      </c>
      <c r="G77" s="229">
        <f>'3.공업용수'!I41</f>
        <v>452</v>
      </c>
      <c r="H77" s="229">
        <f>'3.공업용수'!J41</f>
        <v>539</v>
      </c>
      <c r="I77" s="229">
        <f>'3.공업용수'!K41</f>
        <v>222</v>
      </c>
      <c r="J77" s="229">
        <f>'3.공업용수'!L41</f>
        <v>0</v>
      </c>
      <c r="K77" s="523"/>
    </row>
    <row r="78" spans="1:11" s="403" customFormat="1" ht="18" customHeight="1">
      <c r="A78" s="520"/>
      <c r="B78" s="607" t="s">
        <v>2604</v>
      </c>
      <c r="C78" s="545"/>
      <c r="D78" s="616" t="s">
        <v>749</v>
      </c>
      <c r="E78" s="616"/>
      <c r="F78" s="229">
        <f>'3.공업용수'!G44</f>
        <v>0</v>
      </c>
      <c r="G78" s="229">
        <f>'3.공업용수'!I44</f>
        <v>1351</v>
      </c>
      <c r="H78" s="229">
        <f>'3.공업용수'!J44</f>
        <v>1613</v>
      </c>
      <c r="I78" s="229">
        <f>'3.공업용수'!K44</f>
        <v>728</v>
      </c>
      <c r="J78" s="229">
        <f>'3.공업용수'!L44</f>
        <v>94</v>
      </c>
      <c r="K78" s="523"/>
    </row>
    <row r="79" spans="1:11" s="403" customFormat="1" ht="18" customHeight="1">
      <c r="A79" s="521"/>
      <c r="B79" s="644"/>
      <c r="C79" s="534"/>
      <c r="D79" s="616" t="s">
        <v>1226</v>
      </c>
      <c r="E79" s="616"/>
      <c r="F79" s="229">
        <f>'3.공업용수'!G50</f>
        <v>0</v>
      </c>
      <c r="G79" s="229">
        <f>'3.공업용수'!I50</f>
        <v>0</v>
      </c>
      <c r="H79" s="229">
        <f>'3.공업용수'!J50</f>
        <v>755</v>
      </c>
      <c r="I79" s="229">
        <f>'3.공업용수'!K50</f>
        <v>179</v>
      </c>
      <c r="J79" s="229">
        <f>'3.공업용수'!L50</f>
        <v>48</v>
      </c>
      <c r="K79" s="523"/>
    </row>
    <row r="80" spans="1:11" s="403" customFormat="1" ht="18" customHeight="1">
      <c r="A80" s="521"/>
      <c r="B80" s="644"/>
      <c r="C80" s="616" t="s">
        <v>78</v>
      </c>
      <c r="D80" s="616"/>
      <c r="E80" s="523" t="s">
        <v>1202</v>
      </c>
      <c r="F80" s="229">
        <f>SUM(F81:F88)</f>
        <v>0</v>
      </c>
      <c r="G80" s="229">
        <f t="shared" ref="G80:J80" si="24">SUM(G81:G88)</f>
        <v>0</v>
      </c>
      <c r="H80" s="229">
        <f t="shared" si="24"/>
        <v>0</v>
      </c>
      <c r="I80" s="229">
        <f t="shared" si="24"/>
        <v>2463</v>
      </c>
      <c r="J80" s="229">
        <f t="shared" si="24"/>
        <v>3675</v>
      </c>
      <c r="K80" s="523"/>
    </row>
    <row r="81" spans="1:11" s="403" customFormat="1" ht="18" customHeight="1">
      <c r="A81" s="521"/>
      <c r="B81" s="644"/>
      <c r="C81" s="643"/>
      <c r="D81" s="616" t="s">
        <v>1208</v>
      </c>
      <c r="E81" s="616"/>
      <c r="F81" s="229">
        <f>'3.공업용수'!G12</f>
        <v>0</v>
      </c>
      <c r="G81" s="229">
        <f>'3.공업용수'!I12</f>
        <v>0</v>
      </c>
      <c r="H81" s="229">
        <f>'3.공업용수'!J12</f>
        <v>0</v>
      </c>
      <c r="I81" s="229">
        <f>'3.공업용수'!K12</f>
        <v>0</v>
      </c>
      <c r="J81" s="229">
        <f>'3.공업용수'!L12</f>
        <v>0</v>
      </c>
      <c r="K81" s="523"/>
    </row>
    <row r="82" spans="1:11" s="403" customFormat="1" ht="18" customHeight="1">
      <c r="A82" s="521"/>
      <c r="B82" s="644"/>
      <c r="C82" s="644"/>
      <c r="D82" s="616" t="s">
        <v>1210</v>
      </c>
      <c r="E82" s="616"/>
      <c r="F82" s="229">
        <f>'3.공업용수'!G15</f>
        <v>0</v>
      </c>
      <c r="G82" s="229">
        <f>'3.공업용수'!I15</f>
        <v>0</v>
      </c>
      <c r="H82" s="229">
        <f>'3.공업용수'!J15</f>
        <v>0</v>
      </c>
      <c r="I82" s="229">
        <f>'3.공업용수'!K15</f>
        <v>0</v>
      </c>
      <c r="J82" s="229">
        <f>'3.공업용수'!L15</f>
        <v>0</v>
      </c>
      <c r="K82" s="523"/>
    </row>
    <row r="83" spans="1:11" s="403" customFormat="1" ht="18" customHeight="1">
      <c r="A83" s="521"/>
      <c r="B83" s="644"/>
      <c r="C83" s="644"/>
      <c r="D83" s="616" t="s">
        <v>1212</v>
      </c>
      <c r="E83" s="616"/>
      <c r="F83" s="229">
        <f>'3.공업용수'!G18</f>
        <v>0</v>
      </c>
      <c r="G83" s="229">
        <f>'3.공업용수'!I18</f>
        <v>0</v>
      </c>
      <c r="H83" s="229">
        <f>'3.공업용수'!J18</f>
        <v>0</v>
      </c>
      <c r="I83" s="229">
        <f>'3.공업용수'!K18</f>
        <v>0</v>
      </c>
      <c r="J83" s="229">
        <f>'3.공업용수'!L18</f>
        <v>0</v>
      </c>
      <c r="K83" s="523"/>
    </row>
    <row r="84" spans="1:11" s="403" customFormat="1" ht="18" customHeight="1">
      <c r="A84" s="521"/>
      <c r="B84" s="644"/>
      <c r="C84" s="644"/>
      <c r="D84" s="613" t="s">
        <v>1811</v>
      </c>
      <c r="E84" s="615"/>
      <c r="F84" s="229">
        <f>'3.공업용수'!G27-F85</f>
        <v>0</v>
      </c>
      <c r="G84" s="229">
        <f>'3.공업용수'!I27-G85</f>
        <v>0</v>
      </c>
      <c r="H84" s="229">
        <f>'3.공업용수'!J27-H85</f>
        <v>0</v>
      </c>
      <c r="I84" s="229">
        <f>'3.공업용수'!K27-I85</f>
        <v>0</v>
      </c>
      <c r="J84" s="229">
        <f>'3.공업용수'!L27-J85</f>
        <v>0</v>
      </c>
      <c r="K84" s="523"/>
    </row>
    <row r="85" spans="1:11" s="403" customFormat="1" ht="18" customHeight="1">
      <c r="A85" s="521"/>
      <c r="B85" s="644"/>
      <c r="C85" s="644"/>
      <c r="D85" s="613" t="s">
        <v>1200</v>
      </c>
      <c r="E85" s="615"/>
      <c r="F85" s="371">
        <v>0</v>
      </c>
      <c r="G85" s="371">
        <v>0</v>
      </c>
      <c r="H85" s="371">
        <v>0</v>
      </c>
      <c r="I85" s="371">
        <v>0</v>
      </c>
      <c r="J85" s="371">
        <v>0</v>
      </c>
      <c r="K85" s="523"/>
    </row>
    <row r="86" spans="1:11" s="403" customFormat="1" ht="18" customHeight="1">
      <c r="A86" s="521"/>
      <c r="B86" s="644"/>
      <c r="C86" s="644"/>
      <c r="D86" s="616" t="s">
        <v>739</v>
      </c>
      <c r="E86" s="616"/>
      <c r="F86" s="229">
        <f>'3.공업용수'!G42</f>
        <v>0</v>
      </c>
      <c r="G86" s="229">
        <f>'3.공업용수'!I42</f>
        <v>0</v>
      </c>
      <c r="H86" s="229">
        <f>'3.공업용수'!J42</f>
        <v>0</v>
      </c>
      <c r="I86" s="229">
        <f>'3.공업용수'!K42</f>
        <v>452</v>
      </c>
      <c r="J86" s="229">
        <f>'3.공업용수'!L42</f>
        <v>674</v>
      </c>
      <c r="K86" s="523"/>
    </row>
    <row r="87" spans="1:11" s="403" customFormat="1" ht="18" customHeight="1">
      <c r="A87" s="521"/>
      <c r="B87" s="644"/>
      <c r="C87" s="644"/>
      <c r="D87" s="616" t="s">
        <v>749</v>
      </c>
      <c r="E87" s="616"/>
      <c r="F87" s="229">
        <f>'3.공업용수'!G45</f>
        <v>0</v>
      </c>
      <c r="G87" s="229">
        <f>'3.공업용수'!I45</f>
        <v>0</v>
      </c>
      <c r="H87" s="229">
        <f>'3.공업용수'!J45</f>
        <v>0</v>
      </c>
      <c r="I87" s="229">
        <f>'3.공업용수'!K45</f>
        <v>1288</v>
      </c>
      <c r="J87" s="229">
        <f>'3.공업용수'!L45</f>
        <v>1922</v>
      </c>
      <c r="K87" s="523"/>
    </row>
    <row r="88" spans="1:11" s="403" customFormat="1" ht="18" customHeight="1">
      <c r="A88" s="521"/>
      <c r="B88" s="644"/>
      <c r="C88" s="645"/>
      <c r="D88" s="616" t="s">
        <v>1226</v>
      </c>
      <c r="E88" s="616"/>
      <c r="F88" s="229">
        <f>'3.공업용수'!G51</f>
        <v>0</v>
      </c>
      <c r="G88" s="229">
        <f>'3.공업용수'!I51</f>
        <v>0</v>
      </c>
      <c r="H88" s="229">
        <f>'3.공업용수'!J51</f>
        <v>0</v>
      </c>
      <c r="I88" s="229">
        <f>'3.공업용수'!K51</f>
        <v>723</v>
      </c>
      <c r="J88" s="229">
        <f>'3.공업용수'!L51</f>
        <v>1079</v>
      </c>
      <c r="K88" s="523"/>
    </row>
    <row r="89" spans="1:11" s="403" customFormat="1" ht="18" customHeight="1">
      <c r="A89" s="521"/>
      <c r="B89" s="644"/>
      <c r="C89" s="616" t="s">
        <v>80</v>
      </c>
      <c r="D89" s="616"/>
      <c r="E89" s="616"/>
      <c r="F89" s="229"/>
      <c r="G89" s="229"/>
      <c r="H89" s="229"/>
      <c r="I89" s="229"/>
      <c r="J89" s="229"/>
      <c r="K89" s="523"/>
    </row>
    <row r="90" spans="1:11" s="403" customFormat="1" ht="18" customHeight="1">
      <c r="A90" s="521"/>
      <c r="B90" s="645"/>
      <c r="C90" s="616" t="s">
        <v>81</v>
      </c>
      <c r="D90" s="616"/>
      <c r="E90" s="616"/>
      <c r="F90" s="229">
        <f>'5.기타용수(훈련소)'!B29</f>
        <v>5235</v>
      </c>
      <c r="G90" s="229">
        <f>'5.기타용수(훈련소)'!C29</f>
        <v>5707</v>
      </c>
      <c r="H90" s="229">
        <f>'5.기타용수(훈련소)'!D29</f>
        <v>5707</v>
      </c>
      <c r="I90" s="229">
        <f>'5.기타용수(훈련소)'!E29</f>
        <v>5707</v>
      </c>
      <c r="J90" s="229">
        <f>'5.기타용수(훈련소)'!F29</f>
        <v>5707</v>
      </c>
      <c r="K90" s="523"/>
    </row>
    <row r="91" spans="1:11" s="403" customFormat="1" ht="18" customHeight="1">
      <c r="A91" s="521"/>
      <c r="B91" s="641" t="s">
        <v>1809</v>
      </c>
      <c r="C91" s="642" t="s">
        <v>15</v>
      </c>
      <c r="D91" s="642"/>
      <c r="E91" s="642"/>
      <c r="F91" s="352">
        <f>F92+F93+F94+F95+F96</f>
        <v>0</v>
      </c>
      <c r="G91" s="352">
        <f t="shared" ref="G91:J91" si="25">G92+G93+G94+G95+G96</f>
        <v>0</v>
      </c>
      <c r="H91" s="352">
        <f t="shared" si="25"/>
        <v>461</v>
      </c>
      <c r="I91" s="352">
        <f t="shared" si="25"/>
        <v>474</v>
      </c>
      <c r="J91" s="352">
        <f t="shared" si="25"/>
        <v>485</v>
      </c>
      <c r="K91" s="523"/>
    </row>
    <row r="92" spans="1:11" s="403" customFormat="1" ht="18" customHeight="1">
      <c r="A92" s="521"/>
      <c r="B92" s="616"/>
      <c r="C92" s="616" t="s">
        <v>96</v>
      </c>
      <c r="D92" s="616"/>
      <c r="E92" s="616"/>
      <c r="F92" s="229">
        <f>'2.생활용수(급수구역)'!I33</f>
        <v>0</v>
      </c>
      <c r="G92" s="229">
        <f>'2.생활용수(급수구역)'!J33</f>
        <v>0</v>
      </c>
      <c r="H92" s="229">
        <f>'2.생활용수(급수구역)'!K33</f>
        <v>461</v>
      </c>
      <c r="I92" s="229">
        <f>'2.생활용수(급수구역)'!L33</f>
        <v>474</v>
      </c>
      <c r="J92" s="229">
        <f>'2.생활용수(급수구역)'!M33</f>
        <v>485</v>
      </c>
      <c r="K92" s="523"/>
    </row>
    <row r="93" spans="1:11" s="403" customFormat="1" ht="18" customHeight="1">
      <c r="A93" s="521"/>
      <c r="B93" s="616"/>
      <c r="C93" s="616" t="s">
        <v>78</v>
      </c>
      <c r="D93" s="616"/>
      <c r="E93" s="523" t="s">
        <v>1201</v>
      </c>
      <c r="F93" s="229"/>
      <c r="G93" s="229"/>
      <c r="H93" s="229"/>
      <c r="I93" s="229"/>
      <c r="J93" s="229"/>
      <c r="K93" s="523"/>
    </row>
    <row r="94" spans="1:11" s="403" customFormat="1" ht="18" customHeight="1">
      <c r="A94" s="521"/>
      <c r="B94" s="616"/>
      <c r="C94" s="616" t="s">
        <v>78</v>
      </c>
      <c r="D94" s="616"/>
      <c r="E94" s="523" t="s">
        <v>1202</v>
      </c>
      <c r="F94" s="229"/>
      <c r="G94" s="229"/>
      <c r="H94" s="229"/>
      <c r="I94" s="229"/>
      <c r="J94" s="229"/>
      <c r="K94" s="523"/>
    </row>
    <row r="95" spans="1:11" s="403" customFormat="1" ht="18" customHeight="1">
      <c r="A95" s="521"/>
      <c r="B95" s="616"/>
      <c r="C95" s="616" t="s">
        <v>80</v>
      </c>
      <c r="D95" s="616"/>
      <c r="E95" s="616"/>
      <c r="F95" s="229"/>
      <c r="G95" s="229"/>
      <c r="H95" s="229"/>
      <c r="I95" s="229"/>
      <c r="J95" s="229"/>
      <c r="K95" s="523"/>
    </row>
    <row r="96" spans="1:11" s="403" customFormat="1" ht="18" customHeight="1">
      <c r="A96" s="521"/>
      <c r="B96" s="616"/>
      <c r="C96" s="616" t="s">
        <v>81</v>
      </c>
      <c r="D96" s="616"/>
      <c r="E96" s="616"/>
      <c r="F96" s="229"/>
      <c r="G96" s="229"/>
      <c r="H96" s="229"/>
      <c r="I96" s="229"/>
      <c r="J96" s="229"/>
      <c r="K96" s="523"/>
    </row>
    <row r="97" spans="1:11" s="403" customFormat="1" ht="18" customHeight="1">
      <c r="A97" s="620" t="s">
        <v>1830</v>
      </c>
      <c r="B97" s="621"/>
      <c r="C97" s="630" t="s">
        <v>15</v>
      </c>
      <c r="D97" s="631"/>
      <c r="E97" s="632"/>
      <c r="F97" s="369">
        <f>SUM(F98:F102)</f>
        <v>941</v>
      </c>
      <c r="G97" s="369">
        <f t="shared" ref="G97:J97" si="26">SUM(G98:G102)</f>
        <v>1033</v>
      </c>
      <c r="H97" s="369">
        <f t="shared" si="26"/>
        <v>1100</v>
      </c>
      <c r="I97" s="369">
        <f t="shared" si="26"/>
        <v>1204</v>
      </c>
      <c r="J97" s="369">
        <f t="shared" si="26"/>
        <v>1223</v>
      </c>
      <c r="K97" s="525"/>
    </row>
    <row r="98" spans="1:11" s="403" customFormat="1" ht="18" customHeight="1">
      <c r="A98" s="622"/>
      <c r="B98" s="623"/>
      <c r="C98" s="617" t="s">
        <v>96</v>
      </c>
      <c r="D98" s="618"/>
      <c r="E98" s="619"/>
      <c r="F98" s="370">
        <f>SUMPRODUCT(($C$103:$C$114=$C98)*(F$103:F$114))</f>
        <v>941</v>
      </c>
      <c r="G98" s="370">
        <f t="shared" ref="G98:J98" si="27">SUMPRODUCT(($C$103:$C$114=$C98)*(G$103:G$114))</f>
        <v>1033</v>
      </c>
      <c r="H98" s="370">
        <f t="shared" si="27"/>
        <v>1100</v>
      </c>
      <c r="I98" s="370">
        <f t="shared" si="27"/>
        <v>1204</v>
      </c>
      <c r="J98" s="370">
        <f t="shared" si="27"/>
        <v>1223</v>
      </c>
      <c r="K98" s="525"/>
    </row>
    <row r="99" spans="1:11" s="403" customFormat="1" ht="18" customHeight="1">
      <c r="A99" s="622"/>
      <c r="B99" s="623"/>
      <c r="C99" s="626" t="s">
        <v>78</v>
      </c>
      <c r="D99" s="627"/>
      <c r="E99" s="525" t="s">
        <v>1201</v>
      </c>
      <c r="F99" s="370">
        <f>SUMPRODUCT(($C$103:$C$114=$C99)*($E$103:$E$114=$E99)*(F$103:F$114))</f>
        <v>0</v>
      </c>
      <c r="G99" s="370">
        <f t="shared" ref="G99:J99" si="28">SUMPRODUCT(($C$103:$C$114=$C99)*($E$103:$E$114=$E99)*(G$103:G$114))</f>
        <v>0</v>
      </c>
      <c r="H99" s="370">
        <f t="shared" si="28"/>
        <v>0</v>
      </c>
      <c r="I99" s="370">
        <f t="shared" si="28"/>
        <v>0</v>
      </c>
      <c r="J99" s="370">
        <f t="shared" si="28"/>
        <v>0</v>
      </c>
      <c r="K99" s="525"/>
    </row>
    <row r="100" spans="1:11" s="403" customFormat="1" ht="18" customHeight="1">
      <c r="A100" s="622"/>
      <c r="B100" s="623"/>
      <c r="C100" s="628"/>
      <c r="D100" s="629"/>
      <c r="E100" s="525" t="s">
        <v>1202</v>
      </c>
      <c r="F100" s="370">
        <f>SUMPRODUCT(($C$103:$C$114=$C99)*($E$103:$E$114=$E100)*(F$103:F$114))</f>
        <v>0</v>
      </c>
      <c r="G100" s="370">
        <f t="shared" ref="G100:J100" si="29">SUMPRODUCT(($C$103:$C$114=$C99)*($E$103:$E$114=$E100)*(G$103:G$114))</f>
        <v>0</v>
      </c>
      <c r="H100" s="370">
        <f t="shared" si="29"/>
        <v>0</v>
      </c>
      <c r="I100" s="370">
        <f t="shared" si="29"/>
        <v>0</v>
      </c>
      <c r="J100" s="370">
        <f t="shared" si="29"/>
        <v>0</v>
      </c>
      <c r="K100" s="525"/>
    </row>
    <row r="101" spans="1:11" s="403" customFormat="1" ht="18" customHeight="1">
      <c r="A101" s="622"/>
      <c r="B101" s="623"/>
      <c r="C101" s="617" t="s">
        <v>80</v>
      </c>
      <c r="D101" s="618"/>
      <c r="E101" s="619"/>
      <c r="F101" s="370">
        <f>SUMPRODUCT(($C$103:$C$114=$C101)*(F$103:F$114))</f>
        <v>0</v>
      </c>
      <c r="G101" s="370">
        <f t="shared" ref="G101:J102" si="30">SUMPRODUCT(($C$103:$C$114=$C101)*(G$103:G$114))</f>
        <v>0</v>
      </c>
      <c r="H101" s="370">
        <f t="shared" si="30"/>
        <v>0</v>
      </c>
      <c r="I101" s="370">
        <f t="shared" si="30"/>
        <v>0</v>
      </c>
      <c r="J101" s="370">
        <f t="shared" si="30"/>
        <v>0</v>
      </c>
      <c r="K101" s="525"/>
    </row>
    <row r="102" spans="1:11" s="403" customFormat="1" ht="18" customHeight="1">
      <c r="A102" s="624"/>
      <c r="B102" s="625"/>
      <c r="C102" s="617" t="s">
        <v>81</v>
      </c>
      <c r="D102" s="618"/>
      <c r="E102" s="619"/>
      <c r="F102" s="370">
        <f>SUMPRODUCT(($C$103:$C$114=$C102)*(F$103:F$114))</f>
        <v>0</v>
      </c>
      <c r="G102" s="370">
        <f t="shared" si="30"/>
        <v>0</v>
      </c>
      <c r="H102" s="370">
        <f t="shared" si="30"/>
        <v>0</v>
      </c>
      <c r="I102" s="370">
        <f t="shared" si="30"/>
        <v>0</v>
      </c>
      <c r="J102" s="370">
        <f t="shared" si="30"/>
        <v>0</v>
      </c>
      <c r="K102" s="525"/>
    </row>
    <row r="103" spans="1:11" s="403" customFormat="1" ht="18" customHeight="1">
      <c r="A103" s="521"/>
      <c r="B103" s="641" t="s">
        <v>1905</v>
      </c>
      <c r="C103" s="642" t="s">
        <v>15</v>
      </c>
      <c r="D103" s="642"/>
      <c r="E103" s="642"/>
      <c r="F103" s="352">
        <f>F104+F105+F106+F107+F108</f>
        <v>765</v>
      </c>
      <c r="G103" s="352">
        <f t="shared" ref="G103:J103" si="31">G104+G105+G106+G107+G108</f>
        <v>857</v>
      </c>
      <c r="H103" s="352">
        <f t="shared" si="31"/>
        <v>911</v>
      </c>
      <c r="I103" s="352">
        <f t="shared" si="31"/>
        <v>996</v>
      </c>
      <c r="J103" s="352">
        <f t="shared" si="31"/>
        <v>1013</v>
      </c>
      <c r="K103" s="523"/>
    </row>
    <row r="104" spans="1:11" s="403" customFormat="1" ht="18" customHeight="1">
      <c r="A104" s="521"/>
      <c r="B104" s="616"/>
      <c r="C104" s="616" t="s">
        <v>96</v>
      </c>
      <c r="D104" s="616"/>
      <c r="E104" s="616"/>
      <c r="F104" s="229">
        <f>'2.생활용수(급수구역)'!I36</f>
        <v>765</v>
      </c>
      <c r="G104" s="229">
        <f>'2.생활용수(급수구역)'!J36</f>
        <v>857</v>
      </c>
      <c r="H104" s="229">
        <f>'2.생활용수(급수구역)'!K36</f>
        <v>911</v>
      </c>
      <c r="I104" s="229">
        <f>'2.생활용수(급수구역)'!L36</f>
        <v>996</v>
      </c>
      <c r="J104" s="229">
        <f>'2.생활용수(급수구역)'!M36</f>
        <v>1013</v>
      </c>
      <c r="K104" s="523"/>
    </row>
    <row r="105" spans="1:11" s="403" customFormat="1" ht="18" customHeight="1">
      <c r="A105" s="521"/>
      <c r="B105" s="616"/>
      <c r="C105" s="616" t="s">
        <v>78</v>
      </c>
      <c r="D105" s="616"/>
      <c r="E105" s="523" t="s">
        <v>1201</v>
      </c>
      <c r="F105" s="229"/>
      <c r="G105" s="229"/>
      <c r="H105" s="229"/>
      <c r="I105" s="229"/>
      <c r="J105" s="229"/>
      <c r="K105" s="523"/>
    </row>
    <row r="106" spans="1:11" s="403" customFormat="1" ht="18" customHeight="1">
      <c r="A106" s="521"/>
      <c r="B106" s="616"/>
      <c r="C106" s="616" t="s">
        <v>78</v>
      </c>
      <c r="D106" s="616"/>
      <c r="E106" s="523" t="s">
        <v>1202</v>
      </c>
      <c r="F106" s="229"/>
      <c r="G106" s="229"/>
      <c r="H106" s="229"/>
      <c r="I106" s="229"/>
      <c r="J106" s="229"/>
      <c r="K106" s="523"/>
    </row>
    <row r="107" spans="1:11" s="403" customFormat="1" ht="18" customHeight="1">
      <c r="A107" s="521"/>
      <c r="B107" s="616"/>
      <c r="C107" s="616" t="s">
        <v>80</v>
      </c>
      <c r="D107" s="616"/>
      <c r="E107" s="616"/>
      <c r="F107" s="229"/>
      <c r="G107" s="229">
        <f>'4.관광용수'!$F$15</f>
        <v>0</v>
      </c>
      <c r="H107" s="229">
        <f>'4.관광용수'!$F$15</f>
        <v>0</v>
      </c>
      <c r="I107" s="229">
        <f>'4.관광용수'!$F$15</f>
        <v>0</v>
      </c>
      <c r="J107" s="229">
        <f>'4.관광용수'!$F$15</f>
        <v>0</v>
      </c>
      <c r="K107" s="523" t="s">
        <v>1813</v>
      </c>
    </row>
    <row r="108" spans="1:11" s="403" customFormat="1" ht="18" customHeight="1">
      <c r="A108" s="521"/>
      <c r="B108" s="616"/>
      <c r="C108" s="616" t="s">
        <v>81</v>
      </c>
      <c r="D108" s="616"/>
      <c r="E108" s="616"/>
      <c r="F108" s="229"/>
      <c r="G108" s="229"/>
      <c r="H108" s="229"/>
      <c r="I108" s="229"/>
      <c r="J108" s="229"/>
      <c r="K108" s="523"/>
    </row>
    <row r="109" spans="1:11" s="403" customFormat="1" ht="18" customHeight="1">
      <c r="A109" s="521"/>
      <c r="B109" s="641" t="s">
        <v>1906</v>
      </c>
      <c r="C109" s="642" t="s">
        <v>15</v>
      </c>
      <c r="D109" s="642"/>
      <c r="E109" s="642"/>
      <c r="F109" s="352">
        <f>F110+F111+F112+F113+F114</f>
        <v>176</v>
      </c>
      <c r="G109" s="352">
        <f t="shared" ref="G109:J109" si="32">G110+G111+G112+G113+G114</f>
        <v>176</v>
      </c>
      <c r="H109" s="352">
        <f t="shared" si="32"/>
        <v>189</v>
      </c>
      <c r="I109" s="352">
        <f t="shared" si="32"/>
        <v>208</v>
      </c>
      <c r="J109" s="352">
        <f t="shared" si="32"/>
        <v>210</v>
      </c>
      <c r="K109" s="523"/>
    </row>
    <row r="110" spans="1:11" s="403" customFormat="1" ht="18" customHeight="1">
      <c r="A110" s="521"/>
      <c r="B110" s="616"/>
      <c r="C110" s="616" t="s">
        <v>96</v>
      </c>
      <c r="D110" s="616"/>
      <c r="E110" s="616"/>
      <c r="F110" s="229">
        <f>'2.생활용수(급수구역)'!I38</f>
        <v>176</v>
      </c>
      <c r="G110" s="229">
        <f>'2.생활용수(급수구역)'!J38</f>
        <v>176</v>
      </c>
      <c r="H110" s="229">
        <f>'2.생활용수(급수구역)'!K38</f>
        <v>189</v>
      </c>
      <c r="I110" s="229">
        <f>'2.생활용수(급수구역)'!L38</f>
        <v>208</v>
      </c>
      <c r="J110" s="229">
        <f>'2.생활용수(급수구역)'!M38</f>
        <v>210</v>
      </c>
      <c r="K110" s="523"/>
    </row>
    <row r="111" spans="1:11" s="403" customFormat="1" ht="18" customHeight="1">
      <c r="A111" s="521"/>
      <c r="B111" s="616"/>
      <c r="C111" s="616" t="s">
        <v>78</v>
      </c>
      <c r="D111" s="616"/>
      <c r="E111" s="523" t="s">
        <v>1201</v>
      </c>
      <c r="F111" s="229"/>
      <c r="G111" s="229"/>
      <c r="H111" s="229"/>
      <c r="I111" s="229"/>
      <c r="J111" s="229"/>
      <c r="K111" s="523"/>
    </row>
    <row r="112" spans="1:11" s="403" customFormat="1" ht="18" customHeight="1">
      <c r="A112" s="521"/>
      <c r="B112" s="616"/>
      <c r="C112" s="616" t="s">
        <v>78</v>
      </c>
      <c r="D112" s="616"/>
      <c r="E112" s="523" t="s">
        <v>1202</v>
      </c>
      <c r="F112" s="229"/>
      <c r="G112" s="229"/>
      <c r="H112" s="229"/>
      <c r="I112" s="229"/>
      <c r="J112" s="229"/>
      <c r="K112" s="523"/>
    </row>
    <row r="113" spans="1:11" s="403" customFormat="1" ht="18" customHeight="1">
      <c r="A113" s="521"/>
      <c r="B113" s="616"/>
      <c r="C113" s="616" t="s">
        <v>80</v>
      </c>
      <c r="D113" s="616"/>
      <c r="E113" s="616"/>
      <c r="F113" s="229"/>
      <c r="G113" s="229"/>
      <c r="H113" s="229"/>
      <c r="I113" s="229"/>
      <c r="J113" s="229"/>
      <c r="K113" s="523"/>
    </row>
    <row r="114" spans="1:11" s="403" customFormat="1" ht="18" customHeight="1">
      <c r="A114" s="522"/>
      <c r="B114" s="616"/>
      <c r="C114" s="616" t="s">
        <v>81</v>
      </c>
      <c r="D114" s="616"/>
      <c r="E114" s="616"/>
      <c r="F114" s="229"/>
      <c r="G114" s="229"/>
      <c r="H114" s="229"/>
      <c r="I114" s="229"/>
      <c r="J114" s="229"/>
      <c r="K114" s="523"/>
    </row>
    <row r="115" spans="1:11" s="403" customFormat="1" ht="18.600000000000001" customHeight="1">
      <c r="A115" s="620" t="s">
        <v>1798</v>
      </c>
      <c r="B115" s="621"/>
      <c r="C115" s="630" t="s">
        <v>15</v>
      </c>
      <c r="D115" s="631"/>
      <c r="E115" s="632"/>
      <c r="F115" s="369">
        <f>SUM(F116:F120)</f>
        <v>1252</v>
      </c>
      <c r="G115" s="369">
        <f t="shared" ref="G115:J115" si="33">SUM(G116:G120)</f>
        <v>2385</v>
      </c>
      <c r="H115" s="369">
        <f t="shared" si="33"/>
        <v>6741</v>
      </c>
      <c r="I115" s="369">
        <f t="shared" si="33"/>
        <v>7058</v>
      </c>
      <c r="J115" s="369">
        <f t="shared" si="33"/>
        <v>7152</v>
      </c>
      <c r="K115" s="525"/>
    </row>
    <row r="116" spans="1:11" s="403" customFormat="1" ht="18.600000000000001" customHeight="1">
      <c r="A116" s="622"/>
      <c r="B116" s="623"/>
      <c r="C116" s="617" t="s">
        <v>96</v>
      </c>
      <c r="D116" s="618"/>
      <c r="E116" s="619"/>
      <c r="F116" s="370">
        <f>SUMPRODUCT(($C$121:$C$150=$C116)*(F$121:F$150))</f>
        <v>1252</v>
      </c>
      <c r="G116" s="370">
        <f t="shared" ref="G116:J116" si="34">SUMPRODUCT(($C$121:$C$150=$C116)*(G$121:G$150))</f>
        <v>2385</v>
      </c>
      <c r="H116" s="370">
        <f t="shared" si="34"/>
        <v>6660</v>
      </c>
      <c r="I116" s="370">
        <f t="shared" si="34"/>
        <v>6977</v>
      </c>
      <c r="J116" s="370">
        <f t="shared" si="34"/>
        <v>7071</v>
      </c>
      <c r="K116" s="525"/>
    </row>
    <row r="117" spans="1:11" s="403" customFormat="1" ht="18.600000000000001" customHeight="1">
      <c r="A117" s="622"/>
      <c r="B117" s="623"/>
      <c r="C117" s="626" t="s">
        <v>78</v>
      </c>
      <c r="D117" s="627"/>
      <c r="E117" s="525" t="s">
        <v>1201</v>
      </c>
      <c r="F117" s="370">
        <f>SUMPRODUCT(($C$121:$C$150=$C117)*($E$121:$E$150=$E117)*(F$121:F$150))</f>
        <v>0</v>
      </c>
      <c r="G117" s="370">
        <f t="shared" ref="G117:J117" si="35">SUMPRODUCT(($C$121:$C$150=$C117)*($E$121:$E$150=$E117)*(G$121:G$150))</f>
        <v>0</v>
      </c>
      <c r="H117" s="370">
        <f t="shared" si="35"/>
        <v>0</v>
      </c>
      <c r="I117" s="370">
        <f t="shared" si="35"/>
        <v>0</v>
      </c>
      <c r="J117" s="370">
        <f t="shared" si="35"/>
        <v>0</v>
      </c>
      <c r="K117" s="525"/>
    </row>
    <row r="118" spans="1:11" s="403" customFormat="1" ht="18.600000000000001" customHeight="1">
      <c r="A118" s="622"/>
      <c r="B118" s="623"/>
      <c r="C118" s="628"/>
      <c r="D118" s="629"/>
      <c r="E118" s="525" t="s">
        <v>1202</v>
      </c>
      <c r="F118" s="370">
        <f>SUMPRODUCT(($C$121:$C$150=$C117)*($E$121:$E$150=$E118)*(F$121:F$150))</f>
        <v>0</v>
      </c>
      <c r="G118" s="370">
        <f t="shared" ref="G118:J118" si="36">SUMPRODUCT(($C$121:$C$150=$C117)*($E$121:$E$150=$E118)*(G$121:G$150))</f>
        <v>0</v>
      </c>
      <c r="H118" s="370">
        <f t="shared" si="36"/>
        <v>0</v>
      </c>
      <c r="I118" s="370">
        <f t="shared" si="36"/>
        <v>0</v>
      </c>
      <c r="J118" s="370">
        <f t="shared" si="36"/>
        <v>0</v>
      </c>
      <c r="K118" s="525"/>
    </row>
    <row r="119" spans="1:11" s="403" customFormat="1" ht="18.600000000000001" customHeight="1">
      <c r="A119" s="622"/>
      <c r="B119" s="623"/>
      <c r="C119" s="617" t="s">
        <v>80</v>
      </c>
      <c r="D119" s="618"/>
      <c r="E119" s="619"/>
      <c r="F119" s="370">
        <f>SUMPRODUCT(($C$121:$C$150=$C119)*(F$121:F$150))</f>
        <v>0</v>
      </c>
      <c r="G119" s="370">
        <f t="shared" ref="G119:J120" si="37">SUMPRODUCT(($C$121:$C$150=$C119)*(G$121:G$150))</f>
        <v>0</v>
      </c>
      <c r="H119" s="370">
        <f t="shared" si="37"/>
        <v>0</v>
      </c>
      <c r="I119" s="370">
        <f t="shared" si="37"/>
        <v>0</v>
      </c>
      <c r="J119" s="370">
        <f t="shared" si="37"/>
        <v>0</v>
      </c>
      <c r="K119" s="525"/>
    </row>
    <row r="120" spans="1:11" s="403" customFormat="1" ht="18.600000000000001" customHeight="1">
      <c r="A120" s="624"/>
      <c r="B120" s="625"/>
      <c r="C120" s="617" t="s">
        <v>81</v>
      </c>
      <c r="D120" s="618"/>
      <c r="E120" s="619"/>
      <c r="F120" s="370">
        <f>SUMPRODUCT(($C$121:$C$150=$C120)*(F$121:F$150))</f>
        <v>0</v>
      </c>
      <c r="G120" s="370">
        <f t="shared" si="37"/>
        <v>0</v>
      </c>
      <c r="H120" s="370">
        <f t="shared" si="37"/>
        <v>81</v>
      </c>
      <c r="I120" s="370">
        <f t="shared" si="37"/>
        <v>81</v>
      </c>
      <c r="J120" s="370">
        <f t="shared" si="37"/>
        <v>81</v>
      </c>
      <c r="K120" s="525"/>
    </row>
    <row r="121" spans="1:11" s="403" customFormat="1" ht="18.600000000000001" customHeight="1">
      <c r="A121" s="521"/>
      <c r="B121" s="641" t="s">
        <v>1799</v>
      </c>
      <c r="C121" s="642" t="s">
        <v>15</v>
      </c>
      <c r="D121" s="642"/>
      <c r="E121" s="642"/>
      <c r="F121" s="352">
        <f>F122+F123+F124+F125+F126</f>
        <v>1158</v>
      </c>
      <c r="G121" s="352">
        <f t="shared" ref="G121:J121" si="38">G122+G123+G124+G125+G126</f>
        <v>1180</v>
      </c>
      <c r="H121" s="352">
        <f t="shared" si="38"/>
        <v>1831</v>
      </c>
      <c r="I121" s="352">
        <f t="shared" si="38"/>
        <v>1997</v>
      </c>
      <c r="J121" s="352">
        <f t="shared" si="38"/>
        <v>2036</v>
      </c>
      <c r="K121" s="523"/>
    </row>
    <row r="122" spans="1:11" s="403" customFormat="1" ht="18.600000000000001" customHeight="1">
      <c r="A122" s="521"/>
      <c r="B122" s="616"/>
      <c r="C122" s="616" t="s">
        <v>96</v>
      </c>
      <c r="D122" s="616"/>
      <c r="E122" s="616"/>
      <c r="F122" s="229">
        <f>'2.생활용수(급수구역)'!I41</f>
        <v>1158</v>
      </c>
      <c r="G122" s="229">
        <f>'2.생활용수(급수구역)'!J41</f>
        <v>1180</v>
      </c>
      <c r="H122" s="229">
        <f>'2.생활용수(급수구역)'!K41</f>
        <v>1831</v>
      </c>
      <c r="I122" s="229">
        <f>'2.생활용수(급수구역)'!L41</f>
        <v>1997</v>
      </c>
      <c r="J122" s="229">
        <f>'2.생활용수(급수구역)'!M41</f>
        <v>2036</v>
      </c>
      <c r="K122" s="523"/>
    </row>
    <row r="123" spans="1:11" s="403" customFormat="1" ht="18.600000000000001" customHeight="1">
      <c r="A123" s="521"/>
      <c r="B123" s="616"/>
      <c r="C123" s="616" t="s">
        <v>78</v>
      </c>
      <c r="D123" s="616"/>
      <c r="E123" s="523" t="s">
        <v>1201</v>
      </c>
      <c r="F123" s="229"/>
      <c r="G123" s="229"/>
      <c r="H123" s="229"/>
      <c r="I123" s="229"/>
      <c r="J123" s="229"/>
      <c r="K123" s="523"/>
    </row>
    <row r="124" spans="1:11" s="403" customFormat="1" ht="18.600000000000001" customHeight="1">
      <c r="A124" s="521"/>
      <c r="B124" s="616"/>
      <c r="C124" s="616" t="s">
        <v>78</v>
      </c>
      <c r="D124" s="616"/>
      <c r="E124" s="523" t="s">
        <v>1202</v>
      </c>
      <c r="F124" s="229"/>
      <c r="G124" s="229"/>
      <c r="H124" s="229"/>
      <c r="I124" s="229"/>
      <c r="J124" s="229"/>
      <c r="K124" s="523"/>
    </row>
    <row r="125" spans="1:11" s="403" customFormat="1" ht="18.600000000000001" customHeight="1">
      <c r="A125" s="521"/>
      <c r="B125" s="616"/>
      <c r="C125" s="616" t="s">
        <v>80</v>
      </c>
      <c r="D125" s="616"/>
      <c r="E125" s="616"/>
      <c r="F125" s="229"/>
      <c r="G125" s="229"/>
      <c r="H125" s="229"/>
      <c r="I125" s="229"/>
      <c r="J125" s="229"/>
      <c r="K125" s="523"/>
    </row>
    <row r="126" spans="1:11" s="403" customFormat="1" ht="18.600000000000001" customHeight="1">
      <c r="A126" s="521"/>
      <c r="B126" s="616"/>
      <c r="C126" s="616" t="s">
        <v>81</v>
      </c>
      <c r="D126" s="616"/>
      <c r="E126" s="616"/>
      <c r="F126" s="229"/>
      <c r="G126" s="229"/>
      <c r="H126" s="229"/>
      <c r="I126" s="229"/>
      <c r="J126" s="229"/>
      <c r="K126" s="523"/>
    </row>
    <row r="127" spans="1:11" s="470" customFormat="1" ht="18.600000000000001" customHeight="1">
      <c r="A127" s="521"/>
      <c r="B127" s="607" t="s">
        <v>1806</v>
      </c>
      <c r="C127" s="610" t="s">
        <v>15</v>
      </c>
      <c r="D127" s="611"/>
      <c r="E127" s="612"/>
      <c r="F127" s="352">
        <f>F128+F129+F130+F131+F132</f>
        <v>0</v>
      </c>
      <c r="G127" s="352">
        <f t="shared" ref="G127:J127" si="39">G128+G129+G130+G131+G132</f>
        <v>0</v>
      </c>
      <c r="H127" s="352">
        <f t="shared" si="39"/>
        <v>824</v>
      </c>
      <c r="I127" s="352">
        <f t="shared" si="39"/>
        <v>894</v>
      </c>
      <c r="J127" s="352">
        <f t="shared" si="39"/>
        <v>905</v>
      </c>
      <c r="K127" s="523"/>
    </row>
    <row r="128" spans="1:11" s="470" customFormat="1" ht="18.600000000000001" customHeight="1">
      <c r="A128" s="521"/>
      <c r="B128" s="608"/>
      <c r="C128" s="613" t="s">
        <v>96</v>
      </c>
      <c r="D128" s="614"/>
      <c r="E128" s="615"/>
      <c r="F128" s="229">
        <f>'2.생활용수(급수구역)'!I44</f>
        <v>0</v>
      </c>
      <c r="G128" s="229">
        <f>'2.생활용수(급수구역)'!J44</f>
        <v>0</v>
      </c>
      <c r="H128" s="229">
        <f>'2.생활용수(급수구역)'!K44</f>
        <v>743</v>
      </c>
      <c r="I128" s="229">
        <f>'2.생활용수(급수구역)'!L44</f>
        <v>813</v>
      </c>
      <c r="J128" s="229">
        <f>'2.생활용수(급수구역)'!M44</f>
        <v>824</v>
      </c>
      <c r="K128" s="523"/>
    </row>
    <row r="129" spans="1:11" s="470" customFormat="1" ht="18.600000000000001" customHeight="1">
      <c r="A129" s="521"/>
      <c r="B129" s="608"/>
      <c r="C129" s="613" t="s">
        <v>78</v>
      </c>
      <c r="D129" s="615"/>
      <c r="E129" s="523" t="s">
        <v>1201</v>
      </c>
      <c r="F129" s="229"/>
      <c r="G129" s="229"/>
      <c r="H129" s="229"/>
      <c r="I129" s="229"/>
      <c r="J129" s="229"/>
      <c r="K129" s="523"/>
    </row>
    <row r="130" spans="1:11" s="470" customFormat="1" ht="18.600000000000001" customHeight="1">
      <c r="A130" s="521"/>
      <c r="B130" s="608"/>
      <c r="C130" s="613" t="s">
        <v>78</v>
      </c>
      <c r="D130" s="615"/>
      <c r="E130" s="523" t="s">
        <v>1202</v>
      </c>
      <c r="F130" s="229"/>
      <c r="G130" s="229"/>
      <c r="H130" s="229"/>
      <c r="I130" s="229"/>
      <c r="J130" s="229"/>
      <c r="K130" s="523"/>
    </row>
    <row r="131" spans="1:11" s="470" customFormat="1" ht="18.600000000000001" customHeight="1">
      <c r="A131" s="521"/>
      <c r="B131" s="608"/>
      <c r="C131" s="613" t="s">
        <v>80</v>
      </c>
      <c r="D131" s="614"/>
      <c r="E131" s="615"/>
      <c r="F131" s="229"/>
      <c r="G131" s="229"/>
      <c r="H131" s="229"/>
      <c r="I131" s="229"/>
      <c r="J131" s="229"/>
      <c r="K131" s="523"/>
    </row>
    <row r="132" spans="1:11" s="470" customFormat="1" ht="18.600000000000001" customHeight="1">
      <c r="A132" s="521"/>
      <c r="B132" s="609"/>
      <c r="C132" s="613" t="s">
        <v>81</v>
      </c>
      <c r="D132" s="614"/>
      <c r="E132" s="615"/>
      <c r="F132" s="229">
        <f>IF('2.생활용수(연산)'!$AA$3=1,0,'5.기타용수(훈련소)'!B31)</f>
        <v>0</v>
      </c>
      <c r="G132" s="229">
        <f>IF('2.생활용수(연산)'!$AA$3=1,0,'5.기타용수(훈련소)'!C31)</f>
        <v>0</v>
      </c>
      <c r="H132" s="474">
        <f>IF('2.생활용수(연산)'!$AA$3=0,0,'5.기타용수(훈련소)'!D31)</f>
        <v>81</v>
      </c>
      <c r="I132" s="474">
        <f>IF('2.생활용수(연산)'!$AA$3=0,0,'5.기타용수(훈련소)'!E31)</f>
        <v>81</v>
      </c>
      <c r="J132" s="474">
        <f>IF('2.생활용수(연산)'!$AA$3=0,0,'5.기타용수(훈련소)'!F31)</f>
        <v>81</v>
      </c>
      <c r="K132" s="523"/>
    </row>
    <row r="133" spans="1:11" s="403" customFormat="1" ht="18.600000000000001" customHeight="1">
      <c r="A133" s="521"/>
      <c r="B133" s="607" t="s">
        <v>1800</v>
      </c>
      <c r="C133" s="610" t="s">
        <v>15</v>
      </c>
      <c r="D133" s="611"/>
      <c r="E133" s="612"/>
      <c r="F133" s="352">
        <f>F134+F135+F136+F137+F138</f>
        <v>94</v>
      </c>
      <c r="G133" s="352">
        <f t="shared" ref="G133:J133" si="40">G134+G135+G136+G137+G138</f>
        <v>1205</v>
      </c>
      <c r="H133" s="352">
        <f t="shared" si="40"/>
        <v>1720</v>
      </c>
      <c r="I133" s="352">
        <f t="shared" si="40"/>
        <v>1778</v>
      </c>
      <c r="J133" s="352">
        <f t="shared" si="40"/>
        <v>1806</v>
      </c>
      <c r="K133" s="523"/>
    </row>
    <row r="134" spans="1:11" s="403" customFormat="1" ht="18.600000000000001" customHeight="1">
      <c r="A134" s="521"/>
      <c r="B134" s="608"/>
      <c r="C134" s="613" t="s">
        <v>96</v>
      </c>
      <c r="D134" s="614"/>
      <c r="E134" s="615"/>
      <c r="F134" s="229">
        <f>'2.생활용수(급수구역)'!I46</f>
        <v>94</v>
      </c>
      <c r="G134" s="229">
        <f>'2.생활용수(급수구역)'!J46</f>
        <v>1205</v>
      </c>
      <c r="H134" s="229">
        <f>'2.생활용수(급수구역)'!K46</f>
        <v>1720</v>
      </c>
      <c r="I134" s="229">
        <f>'2.생활용수(급수구역)'!L46</f>
        <v>1778</v>
      </c>
      <c r="J134" s="229">
        <f>'2.생활용수(급수구역)'!M46</f>
        <v>1806</v>
      </c>
      <c r="K134" s="523"/>
    </row>
    <row r="135" spans="1:11" s="403" customFormat="1" ht="18.600000000000001" customHeight="1">
      <c r="A135" s="521"/>
      <c r="B135" s="608"/>
      <c r="C135" s="613" t="s">
        <v>78</v>
      </c>
      <c r="D135" s="615"/>
      <c r="E135" s="523" t="s">
        <v>1201</v>
      </c>
      <c r="F135" s="229"/>
      <c r="G135" s="229"/>
      <c r="H135" s="229"/>
      <c r="I135" s="229"/>
      <c r="J135" s="229"/>
      <c r="K135" s="523"/>
    </row>
    <row r="136" spans="1:11" s="403" customFormat="1" ht="18.600000000000001" customHeight="1">
      <c r="A136" s="521"/>
      <c r="B136" s="608"/>
      <c r="C136" s="613" t="s">
        <v>78</v>
      </c>
      <c r="D136" s="615"/>
      <c r="E136" s="523" t="s">
        <v>1202</v>
      </c>
      <c r="F136" s="229"/>
      <c r="G136" s="229"/>
      <c r="H136" s="229"/>
      <c r="I136" s="229"/>
      <c r="J136" s="229"/>
      <c r="K136" s="523"/>
    </row>
    <row r="137" spans="1:11" s="403" customFormat="1" ht="18.600000000000001" customHeight="1">
      <c r="A137" s="521"/>
      <c r="B137" s="608"/>
      <c r="C137" s="613" t="s">
        <v>80</v>
      </c>
      <c r="D137" s="614"/>
      <c r="E137" s="615"/>
      <c r="F137" s="229"/>
      <c r="G137" s="229"/>
      <c r="H137" s="229"/>
      <c r="I137" s="229"/>
      <c r="J137" s="229"/>
      <c r="K137" s="523"/>
    </row>
    <row r="138" spans="1:11" s="403" customFormat="1" ht="18.600000000000001" customHeight="1">
      <c r="A138" s="521"/>
      <c r="B138" s="609"/>
      <c r="C138" s="613" t="s">
        <v>81</v>
      </c>
      <c r="D138" s="614"/>
      <c r="E138" s="615"/>
      <c r="F138" s="229"/>
      <c r="G138" s="229"/>
      <c r="H138" s="229"/>
      <c r="I138" s="229"/>
      <c r="J138" s="229"/>
      <c r="K138" s="523"/>
    </row>
    <row r="139" spans="1:11" s="403" customFormat="1" ht="18.600000000000001" customHeight="1">
      <c r="A139" s="521"/>
      <c r="B139" s="607" t="s">
        <v>1801</v>
      </c>
      <c r="C139" s="610" t="s">
        <v>15</v>
      </c>
      <c r="D139" s="611"/>
      <c r="E139" s="612"/>
      <c r="F139" s="352">
        <f>F140+F141+F142+F143+F144</f>
        <v>0</v>
      </c>
      <c r="G139" s="352">
        <f t="shared" ref="G139:J139" si="41">G140+G141+G142+G143+G144</f>
        <v>0</v>
      </c>
      <c r="H139" s="352">
        <f t="shared" si="41"/>
        <v>742</v>
      </c>
      <c r="I139" s="352">
        <f t="shared" si="41"/>
        <v>765</v>
      </c>
      <c r="J139" s="352">
        <f t="shared" si="41"/>
        <v>781</v>
      </c>
      <c r="K139" s="523"/>
    </row>
    <row r="140" spans="1:11" s="403" customFormat="1" ht="18.600000000000001" customHeight="1">
      <c r="A140" s="521"/>
      <c r="B140" s="608"/>
      <c r="C140" s="613" t="s">
        <v>96</v>
      </c>
      <c r="D140" s="614"/>
      <c r="E140" s="615"/>
      <c r="F140" s="229">
        <f>'2.생활용수(급수구역)'!I49</f>
        <v>0</v>
      </c>
      <c r="G140" s="229">
        <f>'2.생활용수(급수구역)'!J49</f>
        <v>0</v>
      </c>
      <c r="H140" s="229">
        <f>'2.생활용수(급수구역)'!K49</f>
        <v>742</v>
      </c>
      <c r="I140" s="229">
        <f>'2.생활용수(급수구역)'!L49</f>
        <v>765</v>
      </c>
      <c r="J140" s="229">
        <f>'2.생활용수(급수구역)'!M49</f>
        <v>781</v>
      </c>
      <c r="K140" s="523"/>
    </row>
    <row r="141" spans="1:11" s="403" customFormat="1" ht="18.600000000000001" customHeight="1">
      <c r="A141" s="521"/>
      <c r="B141" s="608"/>
      <c r="C141" s="613" t="s">
        <v>78</v>
      </c>
      <c r="D141" s="615"/>
      <c r="E141" s="523" t="s">
        <v>1201</v>
      </c>
      <c r="F141" s="229"/>
      <c r="G141" s="229"/>
      <c r="H141" s="229"/>
      <c r="I141" s="229"/>
      <c r="J141" s="229"/>
      <c r="K141" s="523"/>
    </row>
    <row r="142" spans="1:11" s="403" customFormat="1" ht="18.600000000000001" customHeight="1">
      <c r="A142" s="521"/>
      <c r="B142" s="608"/>
      <c r="C142" s="613" t="s">
        <v>78</v>
      </c>
      <c r="D142" s="615"/>
      <c r="E142" s="523" t="s">
        <v>1202</v>
      </c>
      <c r="F142" s="229"/>
      <c r="G142" s="229"/>
      <c r="H142" s="229"/>
      <c r="I142" s="229"/>
      <c r="J142" s="229"/>
      <c r="K142" s="523"/>
    </row>
    <row r="143" spans="1:11" s="403" customFormat="1" ht="18.600000000000001" customHeight="1">
      <c r="A143" s="521"/>
      <c r="B143" s="608"/>
      <c r="C143" s="613" t="s">
        <v>80</v>
      </c>
      <c r="D143" s="614"/>
      <c r="E143" s="615"/>
      <c r="F143" s="229"/>
      <c r="G143" s="229"/>
      <c r="H143" s="229"/>
      <c r="I143" s="229"/>
      <c r="J143" s="229"/>
      <c r="K143" s="523"/>
    </row>
    <row r="144" spans="1:11" s="403" customFormat="1" ht="18.600000000000001" customHeight="1">
      <c r="A144" s="521"/>
      <c r="B144" s="609"/>
      <c r="C144" s="613" t="s">
        <v>81</v>
      </c>
      <c r="D144" s="614"/>
      <c r="E144" s="615"/>
      <c r="F144" s="229"/>
      <c r="G144" s="229"/>
      <c r="H144" s="229"/>
      <c r="I144" s="229"/>
      <c r="J144" s="229"/>
      <c r="K144" s="523"/>
    </row>
    <row r="145" spans="1:11" s="549" customFormat="1" ht="18.600000000000001" customHeight="1">
      <c r="A145" s="546"/>
      <c r="B145" s="607" t="s">
        <v>2606</v>
      </c>
      <c r="C145" s="610" t="s">
        <v>15</v>
      </c>
      <c r="D145" s="611"/>
      <c r="E145" s="612"/>
      <c r="F145" s="352">
        <f>F146+F147+F148+F149+F150</f>
        <v>0</v>
      </c>
      <c r="G145" s="352">
        <f t="shared" ref="G145:J145" si="42">G146+G147+G148+G149+G150</f>
        <v>0</v>
      </c>
      <c r="H145" s="352">
        <f t="shared" si="42"/>
        <v>1624</v>
      </c>
      <c r="I145" s="352">
        <f t="shared" si="42"/>
        <v>1624</v>
      </c>
      <c r="J145" s="352">
        <f t="shared" si="42"/>
        <v>1624</v>
      </c>
      <c r="K145" s="547"/>
    </row>
    <row r="146" spans="1:11" s="549" customFormat="1" ht="18.600000000000001" customHeight="1">
      <c r="A146" s="546"/>
      <c r="B146" s="608"/>
      <c r="C146" s="613" t="s">
        <v>96</v>
      </c>
      <c r="D146" s="614"/>
      <c r="E146" s="615"/>
      <c r="F146" s="229">
        <f>'2.생활용수(급수구역)'!I52</f>
        <v>0</v>
      </c>
      <c r="G146" s="229">
        <f>'2.생활용수(급수구역)'!J52</f>
        <v>0</v>
      </c>
      <c r="H146" s="229">
        <f>'2.생활용수(급수구역)'!K52</f>
        <v>1624</v>
      </c>
      <c r="I146" s="229">
        <f>'2.생활용수(급수구역)'!L52</f>
        <v>1624</v>
      </c>
      <c r="J146" s="229">
        <f>'2.생활용수(급수구역)'!M52</f>
        <v>1624</v>
      </c>
      <c r="K146" s="547"/>
    </row>
    <row r="147" spans="1:11" s="549" customFormat="1" ht="18.600000000000001" customHeight="1">
      <c r="A147" s="546"/>
      <c r="B147" s="608"/>
      <c r="C147" s="613" t="s">
        <v>78</v>
      </c>
      <c r="D147" s="615"/>
      <c r="E147" s="547" t="s">
        <v>1201</v>
      </c>
      <c r="F147" s="229"/>
      <c r="G147" s="229"/>
      <c r="H147" s="229"/>
      <c r="I147" s="229"/>
      <c r="J147" s="229"/>
      <c r="K147" s="547"/>
    </row>
    <row r="148" spans="1:11" s="549" customFormat="1" ht="18.600000000000001" customHeight="1">
      <c r="A148" s="546"/>
      <c r="B148" s="608"/>
      <c r="C148" s="613" t="s">
        <v>78</v>
      </c>
      <c r="D148" s="615"/>
      <c r="E148" s="547" t="s">
        <v>1202</v>
      </c>
      <c r="F148" s="229"/>
      <c r="G148" s="229"/>
      <c r="H148" s="229"/>
      <c r="I148" s="229"/>
      <c r="J148" s="229"/>
      <c r="K148" s="547"/>
    </row>
    <row r="149" spans="1:11" s="549" customFormat="1" ht="18.600000000000001" customHeight="1">
      <c r="A149" s="546"/>
      <c r="B149" s="608"/>
      <c r="C149" s="613" t="s">
        <v>80</v>
      </c>
      <c r="D149" s="614"/>
      <c r="E149" s="615"/>
      <c r="F149" s="229"/>
      <c r="G149" s="229"/>
      <c r="H149" s="229"/>
      <c r="I149" s="229"/>
      <c r="J149" s="229"/>
      <c r="K149" s="547"/>
    </row>
    <row r="150" spans="1:11" s="549" customFormat="1" ht="18.600000000000001" customHeight="1">
      <c r="A150" s="546"/>
      <c r="B150" s="609"/>
      <c r="C150" s="613" t="s">
        <v>81</v>
      </c>
      <c r="D150" s="614"/>
      <c r="E150" s="615"/>
      <c r="F150" s="229"/>
      <c r="G150" s="229"/>
      <c r="H150" s="229"/>
      <c r="I150" s="229"/>
      <c r="J150" s="229"/>
      <c r="K150" s="547"/>
    </row>
    <row r="151" spans="1:11" s="403" customFormat="1" ht="16.5" customHeight="1">
      <c r="A151" s="620" t="s">
        <v>1797</v>
      </c>
      <c r="B151" s="621"/>
      <c r="C151" s="630" t="s">
        <v>15</v>
      </c>
      <c r="D151" s="631"/>
      <c r="E151" s="632"/>
      <c r="F151" s="369">
        <f>SUM(F152:F156)</f>
        <v>743</v>
      </c>
      <c r="G151" s="369">
        <f t="shared" ref="G151:J151" si="43">SUM(G152:G156)</f>
        <v>1119</v>
      </c>
      <c r="H151" s="369">
        <f t="shared" si="43"/>
        <v>1193</v>
      </c>
      <c r="I151" s="369">
        <f t="shared" si="43"/>
        <v>1258</v>
      </c>
      <c r="J151" s="369">
        <f t="shared" si="43"/>
        <v>1285</v>
      </c>
      <c r="K151" s="525"/>
    </row>
    <row r="152" spans="1:11" s="403" customFormat="1" ht="16.5" customHeight="1">
      <c r="A152" s="622"/>
      <c r="B152" s="623"/>
      <c r="C152" s="617" t="s">
        <v>96</v>
      </c>
      <c r="D152" s="618"/>
      <c r="E152" s="619"/>
      <c r="F152" s="370">
        <f>'2.생활용수(급수구역)'!I53</f>
        <v>743</v>
      </c>
      <c r="G152" s="370">
        <f>'2.생활용수(급수구역)'!J53</f>
        <v>1119</v>
      </c>
      <c r="H152" s="370">
        <f>'2.생활용수(급수구역)'!K53</f>
        <v>1193</v>
      </c>
      <c r="I152" s="370">
        <f>'2.생활용수(급수구역)'!L53</f>
        <v>1258</v>
      </c>
      <c r="J152" s="370">
        <f>'2.생활용수(급수구역)'!M53</f>
        <v>1285</v>
      </c>
      <c r="K152" s="525"/>
    </row>
    <row r="153" spans="1:11" s="403" customFormat="1" ht="16.5" customHeight="1">
      <c r="A153" s="622"/>
      <c r="B153" s="623"/>
      <c r="C153" s="626" t="s">
        <v>78</v>
      </c>
      <c r="D153" s="627"/>
      <c r="E153" s="525" t="s">
        <v>1201</v>
      </c>
      <c r="F153" s="370"/>
      <c r="G153" s="370"/>
      <c r="H153" s="370"/>
      <c r="I153" s="370"/>
      <c r="J153" s="370"/>
      <c r="K153" s="525"/>
    </row>
    <row r="154" spans="1:11" s="403" customFormat="1" ht="16.5" customHeight="1">
      <c r="A154" s="622"/>
      <c r="B154" s="623"/>
      <c r="C154" s="628"/>
      <c r="D154" s="629"/>
      <c r="E154" s="525" t="s">
        <v>1202</v>
      </c>
      <c r="F154" s="370"/>
      <c r="G154" s="370"/>
      <c r="H154" s="370"/>
      <c r="I154" s="370"/>
      <c r="J154" s="370"/>
      <c r="K154" s="525"/>
    </row>
    <row r="155" spans="1:11" s="403" customFormat="1" ht="16.5" customHeight="1">
      <c r="A155" s="622"/>
      <c r="B155" s="623"/>
      <c r="C155" s="617" t="s">
        <v>80</v>
      </c>
      <c r="D155" s="618"/>
      <c r="E155" s="619"/>
      <c r="F155" s="370"/>
      <c r="G155" s="370"/>
      <c r="H155" s="370"/>
      <c r="I155" s="370"/>
      <c r="J155" s="370"/>
      <c r="K155" s="525"/>
    </row>
    <row r="156" spans="1:11" s="403" customFormat="1" ht="16.5" customHeight="1">
      <c r="A156" s="624"/>
      <c r="B156" s="625"/>
      <c r="C156" s="617" t="s">
        <v>81</v>
      </c>
      <c r="D156" s="618"/>
      <c r="E156" s="619"/>
      <c r="F156" s="370"/>
      <c r="G156" s="370"/>
      <c r="H156" s="370"/>
      <c r="I156" s="370"/>
      <c r="J156" s="370"/>
      <c r="K156" s="525"/>
    </row>
    <row r="157" spans="1:11" s="403" customFormat="1" ht="16.5" customHeight="1">
      <c r="A157" s="620" t="s">
        <v>1795</v>
      </c>
      <c r="B157" s="621"/>
      <c r="C157" s="639" t="s">
        <v>15</v>
      </c>
      <c r="D157" s="639"/>
      <c r="E157" s="639"/>
      <c r="F157" s="369">
        <f>F158+F159+F161+F163+F164</f>
        <v>4473</v>
      </c>
      <c r="G157" s="369">
        <f t="shared" ref="G157:J157" si="44">G158+G159+G161+G163+G164</f>
        <v>4886</v>
      </c>
      <c r="H157" s="369">
        <f t="shared" si="44"/>
        <v>5270</v>
      </c>
      <c r="I157" s="369">
        <f t="shared" si="44"/>
        <v>5821</v>
      </c>
      <c r="J157" s="369">
        <f t="shared" si="44"/>
        <v>6063</v>
      </c>
      <c r="K157" s="525"/>
    </row>
    <row r="158" spans="1:11" s="403" customFormat="1" ht="16.5" customHeight="1">
      <c r="A158" s="622"/>
      <c r="B158" s="623"/>
      <c r="C158" s="638" t="s">
        <v>96</v>
      </c>
      <c r="D158" s="638"/>
      <c r="E158" s="638"/>
      <c r="F158" s="370">
        <f>'2.생활용수(급수구역)'!I57</f>
        <v>4473</v>
      </c>
      <c r="G158" s="370">
        <f>'2.생활용수(급수구역)'!J57</f>
        <v>4182</v>
      </c>
      <c r="H158" s="370">
        <f>'2.생활용수(급수구역)'!K57</f>
        <v>4429</v>
      </c>
      <c r="I158" s="370">
        <f>'2.생활용수(급수구역)'!L57</f>
        <v>4770</v>
      </c>
      <c r="J158" s="370">
        <f>'2.생활용수(급수구역)'!M57</f>
        <v>5012</v>
      </c>
      <c r="K158" s="525"/>
    </row>
    <row r="159" spans="1:11" s="403" customFormat="1" ht="16.5" customHeight="1">
      <c r="A159" s="622"/>
      <c r="B159" s="623"/>
      <c r="C159" s="638" t="s">
        <v>78</v>
      </c>
      <c r="D159" s="638"/>
      <c r="E159" s="525" t="s">
        <v>1201</v>
      </c>
      <c r="F159" s="370">
        <f>SUM(F160)</f>
        <v>0</v>
      </c>
      <c r="G159" s="370">
        <f t="shared" ref="G159:J159" si="45">SUM(G160)</f>
        <v>704</v>
      </c>
      <c r="H159" s="370">
        <f t="shared" si="45"/>
        <v>841</v>
      </c>
      <c r="I159" s="370">
        <f t="shared" si="45"/>
        <v>1051</v>
      </c>
      <c r="J159" s="370">
        <f t="shared" si="45"/>
        <v>1051</v>
      </c>
      <c r="K159" s="525"/>
    </row>
    <row r="160" spans="1:11" s="403" customFormat="1" ht="16.5" customHeight="1">
      <c r="A160" s="622"/>
      <c r="B160" s="623"/>
      <c r="C160" s="525"/>
      <c r="D160" s="638" t="s">
        <v>748</v>
      </c>
      <c r="E160" s="638"/>
      <c r="F160" s="370">
        <f>'3.공업용수'!G47</f>
        <v>0</v>
      </c>
      <c r="G160" s="370">
        <f>'3.공업용수'!I47</f>
        <v>704</v>
      </c>
      <c r="H160" s="370">
        <f>'3.공업용수'!J47</f>
        <v>841</v>
      </c>
      <c r="I160" s="370">
        <f>'3.공업용수'!K47</f>
        <v>1051</v>
      </c>
      <c r="J160" s="370">
        <f>'3.공업용수'!L47</f>
        <v>1051</v>
      </c>
      <c r="K160" s="525"/>
    </row>
    <row r="161" spans="1:11" s="403" customFormat="1" ht="16.5" customHeight="1">
      <c r="A161" s="622"/>
      <c r="B161" s="623"/>
      <c r="C161" s="638" t="s">
        <v>78</v>
      </c>
      <c r="D161" s="638"/>
      <c r="E161" s="525" t="s">
        <v>1202</v>
      </c>
      <c r="F161" s="370">
        <f>SUM(F162)</f>
        <v>0</v>
      </c>
      <c r="G161" s="370">
        <f t="shared" ref="G161" si="46">SUM(G162)</f>
        <v>0</v>
      </c>
      <c r="H161" s="370">
        <f t="shared" ref="H161" si="47">SUM(H162)</f>
        <v>0</v>
      </c>
      <c r="I161" s="370">
        <f t="shared" ref="I161" si="48">SUM(I162)</f>
        <v>0</v>
      </c>
      <c r="J161" s="370">
        <f t="shared" ref="J161" si="49">SUM(J162)</f>
        <v>0</v>
      </c>
      <c r="K161" s="525"/>
    </row>
    <row r="162" spans="1:11" s="403" customFormat="1" ht="16.5" customHeight="1">
      <c r="A162" s="622"/>
      <c r="B162" s="623"/>
      <c r="C162" s="525"/>
      <c r="D162" s="638" t="s">
        <v>748</v>
      </c>
      <c r="E162" s="638"/>
      <c r="F162" s="370">
        <f>'3.공업용수'!G48</f>
        <v>0</v>
      </c>
      <c r="G162" s="370">
        <f>'3.공업용수'!I48</f>
        <v>0</v>
      </c>
      <c r="H162" s="370">
        <f>'3.공업용수'!J48</f>
        <v>0</v>
      </c>
      <c r="I162" s="370">
        <f>'3.공업용수'!K48</f>
        <v>0</v>
      </c>
      <c r="J162" s="370">
        <f>'3.공업용수'!L48</f>
        <v>0</v>
      </c>
      <c r="K162" s="525"/>
    </row>
    <row r="163" spans="1:11" s="403" customFormat="1" ht="16.5" customHeight="1">
      <c r="A163" s="622"/>
      <c r="B163" s="623"/>
      <c r="C163" s="638" t="s">
        <v>80</v>
      </c>
      <c r="D163" s="638"/>
      <c r="E163" s="638"/>
      <c r="F163" s="370"/>
      <c r="G163" s="370"/>
      <c r="H163" s="370"/>
      <c r="I163" s="370"/>
      <c r="J163" s="370"/>
      <c r="K163" s="525"/>
    </row>
    <row r="164" spans="1:11" s="403" customFormat="1" ht="16.5" customHeight="1">
      <c r="A164" s="624"/>
      <c r="B164" s="625"/>
      <c r="C164" s="638" t="s">
        <v>81</v>
      </c>
      <c r="D164" s="638"/>
      <c r="E164" s="638"/>
      <c r="F164" s="370"/>
      <c r="G164" s="370"/>
      <c r="H164" s="370"/>
      <c r="I164" s="370"/>
      <c r="J164" s="370"/>
      <c r="K164" s="525"/>
    </row>
    <row r="165" spans="1:11" s="403" customFormat="1" ht="16.5" customHeight="1">
      <c r="A165" s="620" t="s">
        <v>1804</v>
      </c>
      <c r="B165" s="621"/>
      <c r="C165" s="630" t="s">
        <v>15</v>
      </c>
      <c r="D165" s="631"/>
      <c r="E165" s="632"/>
      <c r="F165" s="369">
        <f>SUM(F166:F170)</f>
        <v>0</v>
      </c>
      <c r="G165" s="369">
        <f t="shared" ref="G165:J165" si="50">SUM(G166:G170)</f>
        <v>1458</v>
      </c>
      <c r="H165" s="369">
        <f t="shared" si="50"/>
        <v>3073</v>
      </c>
      <c r="I165" s="369">
        <f t="shared" si="50"/>
        <v>3366</v>
      </c>
      <c r="J165" s="369">
        <f t="shared" si="50"/>
        <v>3626</v>
      </c>
      <c r="K165" s="525"/>
    </row>
    <row r="166" spans="1:11" s="403" customFormat="1" ht="16.5" customHeight="1">
      <c r="A166" s="622"/>
      <c r="B166" s="623"/>
      <c r="C166" s="617" t="s">
        <v>96</v>
      </c>
      <c r="D166" s="618"/>
      <c r="E166" s="619"/>
      <c r="F166" s="370">
        <f>SUMPRODUCT(($C$171:$C$190=$C166)*(F$171:F$190))</f>
        <v>0</v>
      </c>
      <c r="G166" s="370">
        <f>SUMPRODUCT(($C$171:$C$190=$C166)*(G$171:G$190))</f>
        <v>1458</v>
      </c>
      <c r="H166" s="370">
        <f>SUMPRODUCT(($C$171:$C$190=$C166)*(H$171:H$190))</f>
        <v>1589</v>
      </c>
      <c r="I166" s="370">
        <f>SUMPRODUCT(($C$171:$C$190=$C166)*(I$171:I$190))</f>
        <v>1735</v>
      </c>
      <c r="J166" s="370">
        <f>SUMPRODUCT(($C$171:$C$190=$C166)*(J$171:J$190))</f>
        <v>1769</v>
      </c>
      <c r="K166" s="525"/>
    </row>
    <row r="167" spans="1:11" s="403" customFormat="1" ht="16.5" customHeight="1">
      <c r="A167" s="622"/>
      <c r="B167" s="623"/>
      <c r="C167" s="626" t="s">
        <v>78</v>
      </c>
      <c r="D167" s="627"/>
      <c r="E167" s="525" t="s">
        <v>1201</v>
      </c>
      <c r="F167" s="370">
        <f>SUMPRODUCT(($C$171:$C$190=$C167)*($E$171:$E$190=$E167)*(F$171:F$190))</f>
        <v>0</v>
      </c>
      <c r="G167" s="370">
        <f>SUMPRODUCT(($C$171:$C$190=$C167)*($E$171:$E$190=$E167)*(G$171:G$190))</f>
        <v>0</v>
      </c>
      <c r="H167" s="370">
        <f>SUMPRODUCT(($C$171:$C$190=$C167)*($E$171:$E$190=$E167)*(H$171:H$190))</f>
        <v>758</v>
      </c>
      <c r="I167" s="370">
        <f>SUMPRODUCT(($C$171:$C$190=$C167)*($E$171:$E$190=$E167)*(I$171:I$190))</f>
        <v>905</v>
      </c>
      <c r="J167" s="370">
        <f>SUMPRODUCT(($C$171:$C$190=$C167)*($E$171:$E$190=$E167)*(J$171:J$190))</f>
        <v>1131</v>
      </c>
      <c r="K167" s="525"/>
    </row>
    <row r="168" spans="1:11" s="403" customFormat="1" ht="16.5" customHeight="1">
      <c r="A168" s="622"/>
      <c r="B168" s="623"/>
      <c r="C168" s="628"/>
      <c r="D168" s="629"/>
      <c r="E168" s="525" t="s">
        <v>1202</v>
      </c>
      <c r="F168" s="370">
        <f>SUMPRODUCT(($C$171:$C$190=$C167)*($E$171:$E$190=$E168)*(F$171:F$190))</f>
        <v>0</v>
      </c>
      <c r="G168" s="370">
        <f>SUMPRODUCT(($C$171:$C$190=$C167)*($E$171:$E$190=$E168)*(G$171:G$190))</f>
        <v>0</v>
      </c>
      <c r="H168" s="370">
        <f>SUMPRODUCT(($C$171:$C$190=$C167)*($E$171:$E$190=$E168)*(H$171:H$190))</f>
        <v>0</v>
      </c>
      <c r="I168" s="370">
        <f>SUMPRODUCT(($C$171:$C$190=$C167)*($E$171:$E$190=$E168)*(I$171:I$190))</f>
        <v>0</v>
      </c>
      <c r="J168" s="370">
        <f>SUMPRODUCT(($C$171:$C$190=$C167)*($E$171:$E$190=$E168)*(J$171:J$190))</f>
        <v>0</v>
      </c>
      <c r="K168" s="525"/>
    </row>
    <row r="169" spans="1:11" s="403" customFormat="1" ht="16.5" customHeight="1">
      <c r="A169" s="622"/>
      <c r="B169" s="623"/>
      <c r="C169" s="617" t="s">
        <v>80</v>
      </c>
      <c r="D169" s="618"/>
      <c r="E169" s="619"/>
      <c r="F169" s="370">
        <f t="shared" ref="F169:J170" si="51">SUMPRODUCT(($C$171:$C$190=$C169)*(F$171:F$190))</f>
        <v>0</v>
      </c>
      <c r="G169" s="370">
        <f t="shared" si="51"/>
        <v>0</v>
      </c>
      <c r="H169" s="370">
        <f t="shared" si="51"/>
        <v>0</v>
      </c>
      <c r="I169" s="370">
        <f t="shared" si="51"/>
        <v>0</v>
      </c>
      <c r="J169" s="370">
        <f t="shared" si="51"/>
        <v>0</v>
      </c>
      <c r="K169" s="525"/>
    </row>
    <row r="170" spans="1:11" s="403" customFormat="1" ht="16.5" customHeight="1">
      <c r="A170" s="624"/>
      <c r="B170" s="625"/>
      <c r="C170" s="617" t="s">
        <v>81</v>
      </c>
      <c r="D170" s="618"/>
      <c r="E170" s="619"/>
      <c r="F170" s="370">
        <f t="shared" si="51"/>
        <v>0</v>
      </c>
      <c r="G170" s="370">
        <f t="shared" si="51"/>
        <v>0</v>
      </c>
      <c r="H170" s="370">
        <f t="shared" si="51"/>
        <v>726</v>
      </c>
      <c r="I170" s="370">
        <f t="shared" si="51"/>
        <v>726</v>
      </c>
      <c r="J170" s="370">
        <f t="shared" si="51"/>
        <v>726</v>
      </c>
      <c r="K170" s="525"/>
    </row>
    <row r="171" spans="1:11" s="403" customFormat="1" ht="16.5" customHeight="1">
      <c r="A171" s="521"/>
      <c r="B171" s="641" t="s">
        <v>1805</v>
      </c>
      <c r="C171" s="642" t="s">
        <v>15</v>
      </c>
      <c r="D171" s="642"/>
      <c r="E171" s="642"/>
      <c r="F171" s="352">
        <f>F172+F173+F174+F175+F176</f>
        <v>0</v>
      </c>
      <c r="G171" s="352">
        <f>G172+G173+G174+G175+G176</f>
        <v>871</v>
      </c>
      <c r="H171" s="352">
        <f>H172+H173+H174+H175+H176</f>
        <v>2315</v>
      </c>
      <c r="I171" s="352">
        <f>I172+I173+I174+I175+I176</f>
        <v>2461</v>
      </c>
      <c r="J171" s="352">
        <f>J172+J173+J174+J175+J176</f>
        <v>2495</v>
      </c>
      <c r="K171" s="523"/>
    </row>
    <row r="172" spans="1:11" s="403" customFormat="1" ht="16.5" customHeight="1">
      <c r="A172" s="521"/>
      <c r="B172" s="616"/>
      <c r="C172" s="616" t="s">
        <v>96</v>
      </c>
      <c r="D172" s="616"/>
      <c r="E172" s="616"/>
      <c r="F172" s="229">
        <f>'2.생활용수(급수구역)'!I61</f>
        <v>0</v>
      </c>
      <c r="G172" s="229">
        <f>'2.생활용수(급수구역)'!J61</f>
        <v>871</v>
      </c>
      <c r="H172" s="229">
        <f>'2.생활용수(급수구역)'!K61</f>
        <v>1589</v>
      </c>
      <c r="I172" s="229">
        <f>'2.생활용수(급수구역)'!L61</f>
        <v>1735</v>
      </c>
      <c r="J172" s="229">
        <f>'2.생활용수(급수구역)'!M61</f>
        <v>1769</v>
      </c>
      <c r="K172" s="229"/>
    </row>
    <row r="173" spans="1:11" s="403" customFormat="1" ht="16.5" customHeight="1">
      <c r="A173" s="521"/>
      <c r="B173" s="616"/>
      <c r="C173" s="616" t="s">
        <v>78</v>
      </c>
      <c r="D173" s="616"/>
      <c r="E173" s="523" t="s">
        <v>1201</v>
      </c>
      <c r="F173" s="229"/>
      <c r="G173" s="229"/>
      <c r="H173" s="229"/>
      <c r="I173" s="229"/>
      <c r="J173" s="229"/>
      <c r="K173" s="523"/>
    </row>
    <row r="174" spans="1:11" s="403" customFormat="1" ht="16.5" customHeight="1">
      <c r="A174" s="521"/>
      <c r="B174" s="616"/>
      <c r="C174" s="616" t="s">
        <v>78</v>
      </c>
      <c r="D174" s="616"/>
      <c r="E174" s="523" t="s">
        <v>1202</v>
      </c>
      <c r="F174" s="229"/>
      <c r="G174" s="229"/>
      <c r="H174" s="229"/>
      <c r="I174" s="229"/>
      <c r="J174" s="229"/>
      <c r="K174" s="523"/>
    </row>
    <row r="175" spans="1:11" s="403" customFormat="1" ht="16.5" customHeight="1">
      <c r="A175" s="521"/>
      <c r="B175" s="616"/>
      <c r="C175" s="616" t="s">
        <v>80</v>
      </c>
      <c r="D175" s="616"/>
      <c r="E175" s="616"/>
      <c r="F175" s="229"/>
      <c r="G175" s="229"/>
      <c r="H175" s="229"/>
      <c r="I175" s="229"/>
      <c r="J175" s="229"/>
      <c r="K175" s="523"/>
    </row>
    <row r="176" spans="1:11" s="403" customFormat="1" ht="16.5" customHeight="1">
      <c r="A176" s="521"/>
      <c r="B176" s="616"/>
      <c r="C176" s="616" t="s">
        <v>81</v>
      </c>
      <c r="D176" s="616"/>
      <c r="E176" s="616"/>
      <c r="F176" s="229">
        <f>'5.기타용수(훈련소)'!B30</f>
        <v>0</v>
      </c>
      <c r="G176" s="229">
        <f>'5.기타용수(훈련소)'!C30</f>
        <v>0</v>
      </c>
      <c r="H176" s="229">
        <f>'5.기타용수(훈련소)'!D30</f>
        <v>726</v>
      </c>
      <c r="I176" s="229">
        <f>'5.기타용수(훈련소)'!E30</f>
        <v>726</v>
      </c>
      <c r="J176" s="229">
        <f>'5.기타용수(훈련소)'!F30</f>
        <v>726</v>
      </c>
      <c r="K176" s="523"/>
    </row>
    <row r="177" spans="1:11" s="463" customFormat="1" ht="16.5" customHeight="1">
      <c r="A177" s="521"/>
      <c r="B177" s="607" t="s">
        <v>1806</v>
      </c>
      <c r="C177" s="610" t="s">
        <v>15</v>
      </c>
      <c r="D177" s="611"/>
      <c r="E177" s="612"/>
      <c r="F177" s="352">
        <f>F178+F179+F180+F181+F182</f>
        <v>0</v>
      </c>
      <c r="G177" s="352">
        <f t="shared" ref="G177:J177" si="52">G178+G179+G180+G181+G182</f>
        <v>587</v>
      </c>
      <c r="H177" s="352">
        <f t="shared" si="52"/>
        <v>0</v>
      </c>
      <c r="I177" s="352">
        <f t="shared" si="52"/>
        <v>0</v>
      </c>
      <c r="J177" s="352">
        <f t="shared" si="52"/>
        <v>0</v>
      </c>
      <c r="K177" s="523"/>
    </row>
    <row r="178" spans="1:11" s="463" customFormat="1" ht="16.5" customHeight="1">
      <c r="A178" s="521"/>
      <c r="B178" s="608"/>
      <c r="C178" s="613" t="s">
        <v>96</v>
      </c>
      <c r="D178" s="614"/>
      <c r="E178" s="615"/>
      <c r="F178" s="229">
        <f>'2.생활용수(급수구역)'!I65</f>
        <v>0</v>
      </c>
      <c r="G178" s="229">
        <f>'2.생활용수(급수구역)'!J65</f>
        <v>587</v>
      </c>
      <c r="H178" s="229">
        <f>'2.생활용수(급수구역)'!K65</f>
        <v>0</v>
      </c>
      <c r="I178" s="229">
        <f>'2.생활용수(급수구역)'!L65</f>
        <v>0</v>
      </c>
      <c r="J178" s="229">
        <f>'2.생활용수(급수구역)'!M65</f>
        <v>0</v>
      </c>
      <c r="K178" s="523"/>
    </row>
    <row r="179" spans="1:11" s="463" customFormat="1" ht="16.5" customHeight="1">
      <c r="A179" s="521"/>
      <c r="B179" s="608"/>
      <c r="C179" s="613" t="s">
        <v>78</v>
      </c>
      <c r="D179" s="615"/>
      <c r="E179" s="523" t="s">
        <v>1201</v>
      </c>
      <c r="F179" s="229"/>
      <c r="G179" s="229"/>
      <c r="H179" s="229"/>
      <c r="I179" s="229"/>
      <c r="J179" s="229"/>
      <c r="K179" s="523"/>
    </row>
    <row r="180" spans="1:11" s="463" customFormat="1" ht="16.5" customHeight="1">
      <c r="A180" s="521"/>
      <c r="B180" s="608"/>
      <c r="C180" s="613" t="s">
        <v>78</v>
      </c>
      <c r="D180" s="615"/>
      <c r="E180" s="523" t="s">
        <v>1202</v>
      </c>
      <c r="F180" s="229"/>
      <c r="G180" s="229"/>
      <c r="H180" s="229"/>
      <c r="I180" s="229"/>
      <c r="J180" s="229"/>
      <c r="K180" s="523"/>
    </row>
    <row r="181" spans="1:11" s="463" customFormat="1" ht="16.5" customHeight="1">
      <c r="A181" s="521"/>
      <c r="B181" s="608"/>
      <c r="C181" s="613" t="s">
        <v>80</v>
      </c>
      <c r="D181" s="614"/>
      <c r="E181" s="615"/>
      <c r="F181" s="229"/>
      <c r="G181" s="229"/>
      <c r="H181" s="229"/>
      <c r="I181" s="229"/>
      <c r="J181" s="229"/>
      <c r="K181" s="523"/>
    </row>
    <row r="182" spans="1:11" s="463" customFormat="1" ht="16.5" customHeight="1">
      <c r="A182" s="521"/>
      <c r="B182" s="609"/>
      <c r="C182" s="613" t="s">
        <v>81</v>
      </c>
      <c r="D182" s="614"/>
      <c r="E182" s="615"/>
      <c r="F182" s="229">
        <f>IF('2.생활용수(연산)'!$AA$3=0,0,'5.기타용수(훈련소)'!B31)</f>
        <v>0</v>
      </c>
      <c r="G182" s="229">
        <f>IF('2.생활용수(연산)'!$AA$3=0,0,'5.기타용수(훈련소)'!C31)</f>
        <v>0</v>
      </c>
      <c r="H182" s="474">
        <f>IF('2.생활용수(연산)'!$AA$3=1,0,'5.기타용수(훈련소)'!D31)</f>
        <v>0</v>
      </c>
      <c r="I182" s="474">
        <f>IF('2.생활용수(연산)'!$AA$3=1,0,'5.기타용수(훈련소)'!E31)</f>
        <v>0</v>
      </c>
      <c r="J182" s="474">
        <f>IF('2.생활용수(연산)'!$AA$3=1,0,'5.기타용수(훈련소)'!F31)</f>
        <v>0</v>
      </c>
      <c r="K182" s="523"/>
    </row>
    <row r="183" spans="1:11" s="403" customFormat="1" ht="16.5" customHeight="1">
      <c r="A183" s="521"/>
      <c r="B183" s="641" t="s">
        <v>1810</v>
      </c>
      <c r="C183" s="642" t="s">
        <v>15</v>
      </c>
      <c r="D183" s="642"/>
      <c r="E183" s="642"/>
      <c r="F183" s="352">
        <f>F184+F185+F187+F189+F190</f>
        <v>0</v>
      </c>
      <c r="G183" s="352">
        <f t="shared" ref="G183:J183" si="53">G184+G185+G187+G189+G190</f>
        <v>0</v>
      </c>
      <c r="H183" s="352">
        <f t="shared" si="53"/>
        <v>758</v>
      </c>
      <c r="I183" s="352">
        <f t="shared" si="53"/>
        <v>905</v>
      </c>
      <c r="J183" s="352">
        <f t="shared" si="53"/>
        <v>1131</v>
      </c>
      <c r="K183" s="523"/>
    </row>
    <row r="184" spans="1:11" s="403" customFormat="1" ht="16.5" customHeight="1">
      <c r="A184" s="521"/>
      <c r="B184" s="616"/>
      <c r="C184" s="616" t="s">
        <v>96</v>
      </c>
      <c r="D184" s="616"/>
      <c r="E184" s="616"/>
      <c r="F184" s="229"/>
      <c r="G184" s="229"/>
      <c r="H184" s="229"/>
      <c r="I184" s="229"/>
      <c r="J184" s="229"/>
      <c r="K184" s="523"/>
    </row>
    <row r="185" spans="1:11" s="403" customFormat="1" ht="16.5" customHeight="1">
      <c r="A185" s="521"/>
      <c r="B185" s="616"/>
      <c r="C185" s="616" t="s">
        <v>78</v>
      </c>
      <c r="D185" s="616"/>
      <c r="E185" s="523" t="s">
        <v>1201</v>
      </c>
      <c r="F185" s="229">
        <f>SUM(F186)</f>
        <v>0</v>
      </c>
      <c r="G185" s="229">
        <f t="shared" ref="G185" si="54">SUM(G186)</f>
        <v>0</v>
      </c>
      <c r="H185" s="229">
        <f t="shared" ref="H185" si="55">SUM(H186)</f>
        <v>758</v>
      </c>
      <c r="I185" s="229">
        <f t="shared" ref="I185" si="56">SUM(I186)</f>
        <v>905</v>
      </c>
      <c r="J185" s="229">
        <f t="shared" ref="J185" si="57">SUM(J186)</f>
        <v>1131</v>
      </c>
      <c r="K185" s="523"/>
    </row>
    <row r="186" spans="1:11" s="403" customFormat="1" ht="16.5" customHeight="1">
      <c r="A186" s="521"/>
      <c r="B186" s="616"/>
      <c r="C186" s="523"/>
      <c r="D186" s="616" t="s">
        <v>1227</v>
      </c>
      <c r="E186" s="616"/>
      <c r="F186" s="229">
        <f>'3.공업용수'!G53</f>
        <v>0</v>
      </c>
      <c r="G186" s="229">
        <f>'3.공업용수'!I53</f>
        <v>0</v>
      </c>
      <c r="H186" s="229">
        <f>'3.공업용수'!J53</f>
        <v>758</v>
      </c>
      <c r="I186" s="229">
        <f>'3.공업용수'!K53</f>
        <v>905</v>
      </c>
      <c r="J186" s="229">
        <f>'3.공업용수'!L53</f>
        <v>1131</v>
      </c>
      <c r="K186" s="523"/>
    </row>
    <row r="187" spans="1:11" s="403" customFormat="1" ht="16.5" customHeight="1">
      <c r="A187" s="521"/>
      <c r="B187" s="616"/>
      <c r="C187" s="616" t="s">
        <v>78</v>
      </c>
      <c r="D187" s="616"/>
      <c r="E187" s="523" t="s">
        <v>1202</v>
      </c>
      <c r="F187" s="229">
        <f>SUM(F188)</f>
        <v>0</v>
      </c>
      <c r="G187" s="229">
        <f t="shared" ref="G187" si="58">SUM(G188)</f>
        <v>0</v>
      </c>
      <c r="H187" s="229">
        <f t="shared" ref="H187" si="59">SUM(H188)</f>
        <v>0</v>
      </c>
      <c r="I187" s="229">
        <f t="shared" ref="I187" si="60">SUM(I188)</f>
        <v>0</v>
      </c>
      <c r="J187" s="229">
        <f t="shared" ref="J187" si="61">SUM(J188)</f>
        <v>0</v>
      </c>
      <c r="K187" s="523"/>
    </row>
    <row r="188" spans="1:11" s="403" customFormat="1" ht="16.5" customHeight="1">
      <c r="A188" s="521"/>
      <c r="B188" s="616"/>
      <c r="C188" s="523"/>
      <c r="D188" s="616" t="s">
        <v>1227</v>
      </c>
      <c r="E188" s="616"/>
      <c r="F188" s="229">
        <f>'3.공업용수'!G54</f>
        <v>0</v>
      </c>
      <c r="G188" s="229">
        <f>'3.공업용수'!I54</f>
        <v>0</v>
      </c>
      <c r="H188" s="229">
        <f>'3.공업용수'!J54</f>
        <v>0</v>
      </c>
      <c r="I188" s="229">
        <f>'3.공업용수'!K54</f>
        <v>0</v>
      </c>
      <c r="J188" s="229">
        <f>'3.공업용수'!L54</f>
        <v>0</v>
      </c>
      <c r="K188" s="523"/>
    </row>
    <row r="189" spans="1:11" s="403" customFormat="1" ht="16.5" customHeight="1">
      <c r="A189" s="521"/>
      <c r="B189" s="616"/>
      <c r="C189" s="616" t="s">
        <v>80</v>
      </c>
      <c r="D189" s="616"/>
      <c r="E189" s="616"/>
      <c r="F189" s="229"/>
      <c r="G189" s="229"/>
      <c r="H189" s="229"/>
      <c r="I189" s="229"/>
      <c r="J189" s="229"/>
      <c r="K189" s="523"/>
    </row>
    <row r="190" spans="1:11" s="403" customFormat="1" ht="16.5" customHeight="1">
      <c r="A190" s="522"/>
      <c r="B190" s="616"/>
      <c r="C190" s="616" t="s">
        <v>81</v>
      </c>
      <c r="D190" s="616"/>
      <c r="E190" s="616"/>
      <c r="F190" s="229"/>
      <c r="G190" s="229"/>
      <c r="H190" s="229"/>
      <c r="I190" s="229"/>
      <c r="J190" s="229"/>
      <c r="K190" s="523"/>
    </row>
    <row r="191" spans="1:11" s="403" customFormat="1" ht="18" customHeight="1">
      <c r="A191" s="620" t="s">
        <v>1907</v>
      </c>
      <c r="B191" s="646"/>
      <c r="C191" s="630" t="s">
        <v>15</v>
      </c>
      <c r="D191" s="651"/>
      <c r="E191" s="652"/>
      <c r="F191" s="369">
        <f>SUM(F192:F196)</f>
        <v>2989</v>
      </c>
      <c r="G191" s="369">
        <f t="shared" ref="G191:J191" si="62">SUM(G192:G196)</f>
        <v>2989</v>
      </c>
      <c r="H191" s="369">
        <f t="shared" si="62"/>
        <v>2989</v>
      </c>
      <c r="I191" s="369">
        <f t="shared" si="62"/>
        <v>2989</v>
      </c>
      <c r="J191" s="369">
        <f t="shared" si="62"/>
        <v>2989</v>
      </c>
      <c r="K191" s="525"/>
    </row>
    <row r="192" spans="1:11" s="403" customFormat="1" ht="18" customHeight="1">
      <c r="A192" s="647"/>
      <c r="B192" s="648"/>
      <c r="C192" s="617" t="s">
        <v>96</v>
      </c>
      <c r="D192" s="651"/>
      <c r="E192" s="652"/>
      <c r="F192" s="370">
        <f>SUMPRODUCT(($C$197:$C$214=$C192)*(F$197:F$214))</f>
        <v>0</v>
      </c>
      <c r="G192" s="370">
        <f t="shared" ref="G192:J192" si="63">SUMPRODUCT(($C$197:$C$214=$C192)*(G$197:G$214))</f>
        <v>0</v>
      </c>
      <c r="H192" s="370">
        <f t="shared" si="63"/>
        <v>0</v>
      </c>
      <c r="I192" s="370">
        <f t="shared" si="63"/>
        <v>0</v>
      </c>
      <c r="J192" s="370">
        <f t="shared" si="63"/>
        <v>0</v>
      </c>
      <c r="K192" s="525"/>
    </row>
    <row r="193" spans="1:11" s="403" customFormat="1" ht="18" customHeight="1">
      <c r="A193" s="647"/>
      <c r="B193" s="648"/>
      <c r="C193" s="626" t="s">
        <v>78</v>
      </c>
      <c r="D193" s="646"/>
      <c r="E193" s="525" t="s">
        <v>1201</v>
      </c>
      <c r="F193" s="370">
        <f>SUMPRODUCT(($C$197:$C$214=$C193)*($E$197:$E$214=$E193)*(F$197:F$214))</f>
        <v>2989</v>
      </c>
      <c r="G193" s="370">
        <f t="shared" ref="G193:J193" si="64">SUMPRODUCT(($C$197:$C$214=$C193)*($E$197:$E$214=$E193)*(G$197:G$214))</f>
        <v>2989</v>
      </c>
      <c r="H193" s="370">
        <f t="shared" si="64"/>
        <v>2989</v>
      </c>
      <c r="I193" s="370">
        <f t="shared" si="64"/>
        <v>2280</v>
      </c>
      <c r="J193" s="370">
        <f t="shared" si="64"/>
        <v>1931</v>
      </c>
      <c r="K193" s="525"/>
    </row>
    <row r="194" spans="1:11" s="403" customFormat="1" ht="18" customHeight="1">
      <c r="A194" s="647"/>
      <c r="B194" s="648"/>
      <c r="C194" s="649"/>
      <c r="D194" s="650"/>
      <c r="E194" s="525" t="s">
        <v>1202</v>
      </c>
      <c r="F194" s="370">
        <f>SUMPRODUCT(($C$197:$C$214=$C193)*($E$197:$E$214=$E194)*(F$197:F$214))</f>
        <v>0</v>
      </c>
      <c r="G194" s="370">
        <f t="shared" ref="G194:J194" si="65">SUMPRODUCT(($C$197:$C$214=$C193)*($E$197:$E$214=$E194)*(G$197:G$214))</f>
        <v>0</v>
      </c>
      <c r="H194" s="370">
        <f t="shared" si="65"/>
        <v>0</v>
      </c>
      <c r="I194" s="370">
        <f t="shared" si="65"/>
        <v>709</v>
      </c>
      <c r="J194" s="370">
        <f t="shared" si="65"/>
        <v>1058</v>
      </c>
      <c r="K194" s="525"/>
    </row>
    <row r="195" spans="1:11" s="403" customFormat="1" ht="18" customHeight="1">
      <c r="A195" s="647"/>
      <c r="B195" s="648"/>
      <c r="C195" s="617" t="s">
        <v>80</v>
      </c>
      <c r="D195" s="651"/>
      <c r="E195" s="652"/>
      <c r="F195" s="370">
        <f t="shared" ref="F195:J196" si="66">SUMPRODUCT(($C$197:$C$214=$C195)*(F$197:F$214))</f>
        <v>0</v>
      </c>
      <c r="G195" s="370">
        <f t="shared" si="66"/>
        <v>0</v>
      </c>
      <c r="H195" s="370">
        <f t="shared" si="66"/>
        <v>0</v>
      </c>
      <c r="I195" s="370">
        <f t="shared" si="66"/>
        <v>0</v>
      </c>
      <c r="J195" s="370">
        <f t="shared" si="66"/>
        <v>0</v>
      </c>
      <c r="K195" s="525"/>
    </row>
    <row r="196" spans="1:11" s="403" customFormat="1" ht="18" customHeight="1">
      <c r="A196" s="649"/>
      <c r="B196" s="650"/>
      <c r="C196" s="617" t="s">
        <v>81</v>
      </c>
      <c r="D196" s="651"/>
      <c r="E196" s="652"/>
      <c r="F196" s="370">
        <f t="shared" si="66"/>
        <v>0</v>
      </c>
      <c r="G196" s="370">
        <f t="shared" si="66"/>
        <v>0</v>
      </c>
      <c r="H196" s="370">
        <f t="shared" si="66"/>
        <v>0</v>
      </c>
      <c r="I196" s="370">
        <f t="shared" si="66"/>
        <v>0</v>
      </c>
      <c r="J196" s="370">
        <f t="shared" si="66"/>
        <v>0</v>
      </c>
      <c r="K196" s="525"/>
    </row>
    <row r="197" spans="1:11" s="403" customFormat="1" ht="18" customHeight="1">
      <c r="A197" s="521"/>
      <c r="B197" s="607" t="s">
        <v>1803</v>
      </c>
      <c r="C197" s="610" t="s">
        <v>15</v>
      </c>
      <c r="D197" s="611"/>
      <c r="E197" s="612"/>
      <c r="F197" s="352">
        <f>F198+F199+F202+F205+F206</f>
        <v>1533</v>
      </c>
      <c r="G197" s="352">
        <f t="shared" ref="G197:J197" si="67">G198+G199+G202+G205+G206</f>
        <v>1533</v>
      </c>
      <c r="H197" s="352">
        <f t="shared" si="67"/>
        <v>1533</v>
      </c>
      <c r="I197" s="352">
        <f t="shared" si="67"/>
        <v>1533</v>
      </c>
      <c r="J197" s="352">
        <f t="shared" si="67"/>
        <v>1533</v>
      </c>
      <c r="K197" s="523"/>
    </row>
    <row r="198" spans="1:11" s="403" customFormat="1" ht="18" customHeight="1">
      <c r="A198" s="521"/>
      <c r="B198" s="653"/>
      <c r="C198" s="613" t="s">
        <v>96</v>
      </c>
      <c r="D198" s="614"/>
      <c r="E198" s="615"/>
      <c r="F198" s="229"/>
      <c r="G198" s="229"/>
      <c r="H198" s="229"/>
      <c r="I198" s="229"/>
      <c r="J198" s="229"/>
      <c r="K198" s="523"/>
    </row>
    <row r="199" spans="1:11" s="403" customFormat="1" ht="18" customHeight="1">
      <c r="A199" s="521"/>
      <c r="B199" s="653"/>
      <c r="C199" s="613" t="s">
        <v>78</v>
      </c>
      <c r="D199" s="615"/>
      <c r="E199" s="523" t="s">
        <v>1201</v>
      </c>
      <c r="F199" s="229">
        <f>SUM(F200:F201)</f>
        <v>1533</v>
      </c>
      <c r="G199" s="229">
        <f t="shared" ref="G199:J199" si="68">SUM(G200:G201)</f>
        <v>1533</v>
      </c>
      <c r="H199" s="229">
        <f t="shared" si="68"/>
        <v>1533</v>
      </c>
      <c r="I199" s="229">
        <f t="shared" si="68"/>
        <v>824</v>
      </c>
      <c r="J199" s="229">
        <f t="shared" si="68"/>
        <v>475</v>
      </c>
      <c r="K199" s="523"/>
    </row>
    <row r="200" spans="1:11" s="403" customFormat="1" ht="18" customHeight="1">
      <c r="A200" s="521"/>
      <c r="B200" s="653"/>
      <c r="C200" s="643"/>
      <c r="D200" s="613" t="s">
        <v>1908</v>
      </c>
      <c r="E200" s="615"/>
      <c r="F200" s="229">
        <f>'3.공업용수'!G29</f>
        <v>495</v>
      </c>
      <c r="G200" s="229">
        <f>'3.공업용수'!I29</f>
        <v>495</v>
      </c>
      <c r="H200" s="229">
        <f>'3.공업용수'!J29</f>
        <v>495</v>
      </c>
      <c r="I200" s="229">
        <f>'3.공업용수'!K29</f>
        <v>323</v>
      </c>
      <c r="J200" s="229">
        <f>'3.공업용수'!L29</f>
        <v>239</v>
      </c>
      <c r="K200" s="523"/>
    </row>
    <row r="201" spans="1:11" s="403" customFormat="1" ht="18" customHeight="1">
      <c r="A201" s="521"/>
      <c r="B201" s="653"/>
      <c r="C201" s="654"/>
      <c r="D201" s="613" t="s">
        <v>1909</v>
      </c>
      <c r="E201" s="615"/>
      <c r="F201" s="229">
        <f>'3.공업용수'!G32</f>
        <v>1038</v>
      </c>
      <c r="G201" s="229">
        <f>'3.공업용수'!I32</f>
        <v>1038</v>
      </c>
      <c r="H201" s="229">
        <f>'3.공업용수'!J32</f>
        <v>1038</v>
      </c>
      <c r="I201" s="229">
        <f>'3.공업용수'!K32</f>
        <v>501</v>
      </c>
      <c r="J201" s="229">
        <f>'3.공업용수'!L32</f>
        <v>236</v>
      </c>
      <c r="K201" s="523"/>
    </row>
    <row r="202" spans="1:11" s="403" customFormat="1" ht="18" customHeight="1">
      <c r="A202" s="521"/>
      <c r="B202" s="653"/>
      <c r="C202" s="613" t="s">
        <v>78</v>
      </c>
      <c r="D202" s="615"/>
      <c r="E202" s="523" t="s">
        <v>1202</v>
      </c>
      <c r="F202" s="229">
        <f>SUM(F203:F204)</f>
        <v>0</v>
      </c>
      <c r="G202" s="229">
        <f t="shared" ref="G202:J202" si="69">SUM(G203:G204)</f>
        <v>0</v>
      </c>
      <c r="H202" s="229">
        <f t="shared" si="69"/>
        <v>0</v>
      </c>
      <c r="I202" s="229">
        <f t="shared" si="69"/>
        <v>709</v>
      </c>
      <c r="J202" s="229">
        <f t="shared" si="69"/>
        <v>1058</v>
      </c>
      <c r="K202" s="523"/>
    </row>
    <row r="203" spans="1:11" s="403" customFormat="1" ht="18" customHeight="1">
      <c r="A203" s="521"/>
      <c r="B203" s="653"/>
      <c r="C203" s="643"/>
      <c r="D203" s="613" t="s">
        <v>1908</v>
      </c>
      <c r="E203" s="615"/>
      <c r="F203" s="229">
        <f>'3.공업용수'!G30</f>
        <v>0</v>
      </c>
      <c r="G203" s="229">
        <f>'3.공업용수'!I30</f>
        <v>0</v>
      </c>
      <c r="H203" s="229">
        <f>'3.공업용수'!J30</f>
        <v>0</v>
      </c>
      <c r="I203" s="229">
        <f>'3.공업용수'!K30</f>
        <v>172</v>
      </c>
      <c r="J203" s="229">
        <f>'3.공업용수'!L30</f>
        <v>256</v>
      </c>
      <c r="K203" s="523"/>
    </row>
    <row r="204" spans="1:11" s="403" customFormat="1" ht="18" customHeight="1">
      <c r="A204" s="521"/>
      <c r="B204" s="653"/>
      <c r="C204" s="654"/>
      <c r="D204" s="613" t="s">
        <v>1909</v>
      </c>
      <c r="E204" s="615"/>
      <c r="F204" s="229">
        <f>'3.공업용수'!G33</f>
        <v>0</v>
      </c>
      <c r="G204" s="229">
        <f>'3.공업용수'!I33</f>
        <v>0</v>
      </c>
      <c r="H204" s="229">
        <f>'3.공업용수'!J33</f>
        <v>0</v>
      </c>
      <c r="I204" s="229">
        <f>'3.공업용수'!K33</f>
        <v>537</v>
      </c>
      <c r="J204" s="229">
        <f>'3.공업용수'!L33</f>
        <v>802</v>
      </c>
      <c r="K204" s="523"/>
    </row>
    <row r="205" spans="1:11" s="403" customFormat="1" ht="18" customHeight="1">
      <c r="A205" s="521"/>
      <c r="B205" s="653"/>
      <c r="C205" s="613" t="s">
        <v>80</v>
      </c>
      <c r="D205" s="614"/>
      <c r="E205" s="615"/>
      <c r="F205" s="229"/>
      <c r="G205" s="229"/>
      <c r="H205" s="229"/>
      <c r="I205" s="229"/>
      <c r="J205" s="229"/>
      <c r="K205" s="523"/>
    </row>
    <row r="206" spans="1:11" s="403" customFormat="1" ht="18" customHeight="1">
      <c r="A206" s="521"/>
      <c r="B206" s="654"/>
      <c r="C206" s="613" t="s">
        <v>81</v>
      </c>
      <c r="D206" s="614"/>
      <c r="E206" s="615"/>
      <c r="F206" s="229"/>
      <c r="G206" s="229"/>
      <c r="H206" s="229"/>
      <c r="I206" s="229"/>
      <c r="J206" s="229"/>
      <c r="K206" s="523"/>
    </row>
    <row r="207" spans="1:11" s="403" customFormat="1" ht="18" customHeight="1">
      <c r="A207" s="521"/>
      <c r="B207" s="607" t="s">
        <v>1910</v>
      </c>
      <c r="C207" s="610" t="s">
        <v>15</v>
      </c>
      <c r="D207" s="611"/>
      <c r="E207" s="612"/>
      <c r="F207" s="352">
        <f>F208+F209+F211+F213+F214</f>
        <v>1456</v>
      </c>
      <c r="G207" s="352">
        <f t="shared" ref="G207:J207" si="70">G208+G209+G211+G213+G214</f>
        <v>1456</v>
      </c>
      <c r="H207" s="352">
        <f t="shared" si="70"/>
        <v>1456</v>
      </c>
      <c r="I207" s="352">
        <f t="shared" si="70"/>
        <v>1456</v>
      </c>
      <c r="J207" s="352">
        <f t="shared" si="70"/>
        <v>1456</v>
      </c>
      <c r="K207" s="523"/>
    </row>
    <row r="208" spans="1:11" s="403" customFormat="1" ht="18" customHeight="1">
      <c r="A208" s="521"/>
      <c r="B208" s="653"/>
      <c r="C208" s="613" t="s">
        <v>96</v>
      </c>
      <c r="D208" s="614"/>
      <c r="E208" s="615"/>
      <c r="F208" s="229"/>
      <c r="G208" s="229"/>
      <c r="H208" s="229"/>
      <c r="I208" s="229"/>
      <c r="J208" s="229"/>
      <c r="K208" s="523"/>
    </row>
    <row r="209" spans="1:11" s="403" customFormat="1" ht="18" customHeight="1">
      <c r="A209" s="521"/>
      <c r="B209" s="653"/>
      <c r="C209" s="613" t="s">
        <v>78</v>
      </c>
      <c r="D209" s="615"/>
      <c r="E209" s="523" t="s">
        <v>1201</v>
      </c>
      <c r="F209" s="229">
        <f>SUM(F210)</f>
        <v>1456</v>
      </c>
      <c r="G209" s="229">
        <f t="shared" ref="G209" si="71">SUM(G210)</f>
        <v>1456</v>
      </c>
      <c r="H209" s="229">
        <f t="shared" ref="H209" si="72">SUM(H210)</f>
        <v>1456</v>
      </c>
      <c r="I209" s="229">
        <f t="shared" ref="I209" si="73">SUM(I210)</f>
        <v>1456</v>
      </c>
      <c r="J209" s="229">
        <f t="shared" ref="J209" si="74">SUM(J210)</f>
        <v>1456</v>
      </c>
      <c r="K209" s="523"/>
    </row>
    <row r="210" spans="1:11" s="403" customFormat="1" ht="18" customHeight="1">
      <c r="A210" s="521"/>
      <c r="B210" s="653"/>
      <c r="C210" s="523"/>
      <c r="D210" s="613" t="s">
        <v>1077</v>
      </c>
      <c r="E210" s="615"/>
      <c r="F210" s="229">
        <f>'3.공업용수'!G35</f>
        <v>1456</v>
      </c>
      <c r="G210" s="229">
        <f>'3.공업용수'!I35</f>
        <v>1456</v>
      </c>
      <c r="H210" s="229">
        <f>'3.공업용수'!J35</f>
        <v>1456</v>
      </c>
      <c r="I210" s="229">
        <f>'3.공업용수'!K35</f>
        <v>1456</v>
      </c>
      <c r="J210" s="229">
        <f>'3.공업용수'!L35</f>
        <v>1456</v>
      </c>
      <c r="K210" s="523"/>
    </row>
    <row r="211" spans="1:11" s="403" customFormat="1" ht="18" customHeight="1">
      <c r="A211" s="521"/>
      <c r="B211" s="653"/>
      <c r="C211" s="613" t="s">
        <v>78</v>
      </c>
      <c r="D211" s="615"/>
      <c r="E211" s="523" t="s">
        <v>1202</v>
      </c>
      <c r="F211" s="229">
        <f>SUM(F212)</f>
        <v>0</v>
      </c>
      <c r="G211" s="229">
        <f t="shared" ref="G211" si="75">SUM(G212)</f>
        <v>0</v>
      </c>
      <c r="H211" s="229">
        <f t="shared" ref="H211" si="76">SUM(H212)</f>
        <v>0</v>
      </c>
      <c r="I211" s="229">
        <f t="shared" ref="I211" si="77">SUM(I212)</f>
        <v>0</v>
      </c>
      <c r="J211" s="229">
        <f t="shared" ref="J211" si="78">SUM(J212)</f>
        <v>0</v>
      </c>
      <c r="K211" s="523"/>
    </row>
    <row r="212" spans="1:11" s="403" customFormat="1" ht="18" customHeight="1">
      <c r="A212" s="521"/>
      <c r="B212" s="653"/>
      <c r="C212" s="523"/>
      <c r="D212" s="613" t="s">
        <v>1077</v>
      </c>
      <c r="E212" s="615"/>
      <c r="F212" s="229">
        <f>'3.공업용수'!G36</f>
        <v>0</v>
      </c>
      <c r="G212" s="229">
        <f>'3.공업용수'!I36</f>
        <v>0</v>
      </c>
      <c r="H212" s="229">
        <f>'3.공업용수'!J36</f>
        <v>0</v>
      </c>
      <c r="I212" s="229">
        <f>'3.공업용수'!K36</f>
        <v>0</v>
      </c>
      <c r="J212" s="229">
        <f>'3.공업용수'!L36</f>
        <v>0</v>
      </c>
      <c r="K212" s="523"/>
    </row>
    <row r="213" spans="1:11" s="403" customFormat="1" ht="18" customHeight="1">
      <c r="A213" s="521"/>
      <c r="B213" s="653"/>
      <c r="C213" s="613" t="s">
        <v>80</v>
      </c>
      <c r="D213" s="614"/>
      <c r="E213" s="615"/>
      <c r="F213" s="229"/>
      <c r="G213" s="229"/>
      <c r="H213" s="229"/>
      <c r="I213" s="229"/>
      <c r="J213" s="229"/>
      <c r="K213" s="523"/>
    </row>
    <row r="214" spans="1:11" s="403" customFormat="1" ht="18" customHeight="1">
      <c r="A214" s="522"/>
      <c r="B214" s="654"/>
      <c r="C214" s="613" t="s">
        <v>81</v>
      </c>
      <c r="D214" s="614"/>
      <c r="E214" s="615"/>
      <c r="F214" s="229"/>
      <c r="G214" s="229"/>
      <c r="H214" s="229"/>
      <c r="I214" s="229"/>
      <c r="J214" s="229"/>
      <c r="K214" s="523"/>
    </row>
  </sheetData>
  <mergeCells count="238">
    <mergeCell ref="B207:B214"/>
    <mergeCell ref="C207:E207"/>
    <mergeCell ref="C208:E208"/>
    <mergeCell ref="C209:D209"/>
    <mergeCell ref="D210:E210"/>
    <mergeCell ref="C211:D211"/>
    <mergeCell ref="D212:E212"/>
    <mergeCell ref="C213:E213"/>
    <mergeCell ref="C214:E214"/>
    <mergeCell ref="A191:B196"/>
    <mergeCell ref="C191:E191"/>
    <mergeCell ref="C192:E192"/>
    <mergeCell ref="C193:D194"/>
    <mergeCell ref="C195:E195"/>
    <mergeCell ref="C196:E196"/>
    <mergeCell ref="B197:B206"/>
    <mergeCell ref="C197:E197"/>
    <mergeCell ref="C198:E198"/>
    <mergeCell ref="C199:D199"/>
    <mergeCell ref="D200:E200"/>
    <mergeCell ref="C202:D202"/>
    <mergeCell ref="D203:E203"/>
    <mergeCell ref="C205:E205"/>
    <mergeCell ref="C206:E206"/>
    <mergeCell ref="C200:C201"/>
    <mergeCell ref="C203:C204"/>
    <mergeCell ref="D201:E201"/>
    <mergeCell ref="D204:E204"/>
    <mergeCell ref="B183:B190"/>
    <mergeCell ref="C183:E183"/>
    <mergeCell ref="C184:E184"/>
    <mergeCell ref="C185:D185"/>
    <mergeCell ref="D186:E186"/>
    <mergeCell ref="C187:D187"/>
    <mergeCell ref="D188:E188"/>
    <mergeCell ref="C189:E189"/>
    <mergeCell ref="C190:E190"/>
    <mergeCell ref="A165:B170"/>
    <mergeCell ref="C165:E165"/>
    <mergeCell ref="C166:E166"/>
    <mergeCell ref="C167:D168"/>
    <mergeCell ref="C169:E169"/>
    <mergeCell ref="C170:E170"/>
    <mergeCell ref="B171:B176"/>
    <mergeCell ref="C171:E171"/>
    <mergeCell ref="C172:E172"/>
    <mergeCell ref="C173:D173"/>
    <mergeCell ref="C174:D174"/>
    <mergeCell ref="C175:E175"/>
    <mergeCell ref="C176:E176"/>
    <mergeCell ref="C157:E157"/>
    <mergeCell ref="C158:E158"/>
    <mergeCell ref="C159:D159"/>
    <mergeCell ref="C161:D161"/>
    <mergeCell ref="C163:E163"/>
    <mergeCell ref="C164:E164"/>
    <mergeCell ref="D160:E160"/>
    <mergeCell ref="D162:E162"/>
    <mergeCell ref="A157:B164"/>
    <mergeCell ref="B139:B144"/>
    <mergeCell ref="C139:E139"/>
    <mergeCell ref="C140:E140"/>
    <mergeCell ref="C141:D141"/>
    <mergeCell ref="C142:D142"/>
    <mergeCell ref="C143:E143"/>
    <mergeCell ref="C144:E144"/>
    <mergeCell ref="A151:B156"/>
    <mergeCell ref="C151:E151"/>
    <mergeCell ref="C152:E152"/>
    <mergeCell ref="C153:D154"/>
    <mergeCell ref="C155:E155"/>
    <mergeCell ref="C156:E156"/>
    <mergeCell ref="B121:B126"/>
    <mergeCell ref="C121:E121"/>
    <mergeCell ref="C122:E122"/>
    <mergeCell ref="C123:D123"/>
    <mergeCell ref="C124:D124"/>
    <mergeCell ref="C125:E125"/>
    <mergeCell ref="C126:E126"/>
    <mergeCell ref="B133:B138"/>
    <mergeCell ref="C133:E133"/>
    <mergeCell ref="C134:E134"/>
    <mergeCell ref="C135:D135"/>
    <mergeCell ref="C136:D136"/>
    <mergeCell ref="C137:E137"/>
    <mergeCell ref="C138:E138"/>
    <mergeCell ref="B127:B132"/>
    <mergeCell ref="C127:E127"/>
    <mergeCell ref="C128:E128"/>
    <mergeCell ref="C129:D129"/>
    <mergeCell ref="C130:D130"/>
    <mergeCell ref="C131:E131"/>
    <mergeCell ref="C132:E132"/>
    <mergeCell ref="B109:B114"/>
    <mergeCell ref="C109:E109"/>
    <mergeCell ref="C110:E110"/>
    <mergeCell ref="C111:D111"/>
    <mergeCell ref="C112:D112"/>
    <mergeCell ref="C113:E113"/>
    <mergeCell ref="C114:E114"/>
    <mergeCell ref="A115:B120"/>
    <mergeCell ref="C115:E115"/>
    <mergeCell ref="C116:E116"/>
    <mergeCell ref="C117:D118"/>
    <mergeCell ref="C119:E119"/>
    <mergeCell ref="C120:E120"/>
    <mergeCell ref="A97:B102"/>
    <mergeCell ref="C97:E97"/>
    <mergeCell ref="C98:E98"/>
    <mergeCell ref="C99:D100"/>
    <mergeCell ref="C101:E101"/>
    <mergeCell ref="C102:E102"/>
    <mergeCell ref="B103:B108"/>
    <mergeCell ref="C103:E103"/>
    <mergeCell ref="C104:E104"/>
    <mergeCell ref="C105:D105"/>
    <mergeCell ref="C106:D106"/>
    <mergeCell ref="C107:E107"/>
    <mergeCell ref="C108:E108"/>
    <mergeCell ref="D88:E88"/>
    <mergeCell ref="C81:C88"/>
    <mergeCell ref="B91:B96"/>
    <mergeCell ref="C91:E91"/>
    <mergeCell ref="C92:E92"/>
    <mergeCell ref="C93:D93"/>
    <mergeCell ref="C94:D94"/>
    <mergeCell ref="C95:E95"/>
    <mergeCell ref="C96:E96"/>
    <mergeCell ref="B78:B90"/>
    <mergeCell ref="D78:E78"/>
    <mergeCell ref="D79:E79"/>
    <mergeCell ref="A63:B68"/>
    <mergeCell ref="C63:E63"/>
    <mergeCell ref="C64:E64"/>
    <mergeCell ref="C65:D66"/>
    <mergeCell ref="C67:E67"/>
    <mergeCell ref="C68:E68"/>
    <mergeCell ref="C69:E69"/>
    <mergeCell ref="C70:E70"/>
    <mergeCell ref="C71:D71"/>
    <mergeCell ref="B69:B77"/>
    <mergeCell ref="D72:E72"/>
    <mergeCell ref="D73:E73"/>
    <mergeCell ref="D74:E74"/>
    <mergeCell ref="D75:E75"/>
    <mergeCell ref="D76:E76"/>
    <mergeCell ref="D77:E77"/>
    <mergeCell ref="B47:B52"/>
    <mergeCell ref="C47:E47"/>
    <mergeCell ref="C48:E48"/>
    <mergeCell ref="C49:D49"/>
    <mergeCell ref="C50:D50"/>
    <mergeCell ref="C51:E51"/>
    <mergeCell ref="C52:E52"/>
    <mergeCell ref="C53:E53"/>
    <mergeCell ref="C54:E54"/>
    <mergeCell ref="A53:B62"/>
    <mergeCell ref="C55:D55"/>
    <mergeCell ref="C58:D58"/>
    <mergeCell ref="C61:E61"/>
    <mergeCell ref="C62:E62"/>
    <mergeCell ref="C56:C57"/>
    <mergeCell ref="C59:C60"/>
    <mergeCell ref="D56:E56"/>
    <mergeCell ref="D57:E57"/>
    <mergeCell ref="D59:E59"/>
    <mergeCell ref="D60:E60"/>
    <mergeCell ref="B35:B40"/>
    <mergeCell ref="C35:E35"/>
    <mergeCell ref="C36:E36"/>
    <mergeCell ref="C37:D37"/>
    <mergeCell ref="C38:D38"/>
    <mergeCell ref="C39:E39"/>
    <mergeCell ref="C40:E40"/>
    <mergeCell ref="B41:B46"/>
    <mergeCell ref="C41:E41"/>
    <mergeCell ref="C42:E42"/>
    <mergeCell ref="C43:D43"/>
    <mergeCell ref="C44:D44"/>
    <mergeCell ref="C45:E45"/>
    <mergeCell ref="C46:E46"/>
    <mergeCell ref="A29:B34"/>
    <mergeCell ref="C29:E29"/>
    <mergeCell ref="C30:E30"/>
    <mergeCell ref="C31:D32"/>
    <mergeCell ref="C33:E33"/>
    <mergeCell ref="F3:J3"/>
    <mergeCell ref="K3:K4"/>
    <mergeCell ref="A5:B10"/>
    <mergeCell ref="C7:D8"/>
    <mergeCell ref="C10:E10"/>
    <mergeCell ref="C9:E9"/>
    <mergeCell ref="A11:B16"/>
    <mergeCell ref="C11:E11"/>
    <mergeCell ref="C12:E12"/>
    <mergeCell ref="C13:D14"/>
    <mergeCell ref="C15:E15"/>
    <mergeCell ref="A3:E4"/>
    <mergeCell ref="C5:E5"/>
    <mergeCell ref="C6:E6"/>
    <mergeCell ref="C16:E16"/>
    <mergeCell ref="C34:E34"/>
    <mergeCell ref="C17:E17"/>
    <mergeCell ref="C18:E18"/>
    <mergeCell ref="C21:E21"/>
    <mergeCell ref="C22:E22"/>
    <mergeCell ref="A17:B22"/>
    <mergeCell ref="C19:D20"/>
    <mergeCell ref="A23:B28"/>
    <mergeCell ref="C23:E23"/>
    <mergeCell ref="C24:E24"/>
    <mergeCell ref="C25:D26"/>
    <mergeCell ref="C27:E27"/>
    <mergeCell ref="C28:E28"/>
    <mergeCell ref="B177:B182"/>
    <mergeCell ref="C177:E177"/>
    <mergeCell ref="C178:E178"/>
    <mergeCell ref="C179:D179"/>
    <mergeCell ref="C180:D180"/>
    <mergeCell ref="C181:E181"/>
    <mergeCell ref="C182:E182"/>
    <mergeCell ref="C80:D80"/>
    <mergeCell ref="C89:E89"/>
    <mergeCell ref="C90:E90"/>
    <mergeCell ref="D81:E81"/>
    <mergeCell ref="D82:E82"/>
    <mergeCell ref="D83:E83"/>
    <mergeCell ref="D84:E84"/>
    <mergeCell ref="B145:B150"/>
    <mergeCell ref="C145:E145"/>
    <mergeCell ref="C146:E146"/>
    <mergeCell ref="C147:D147"/>
    <mergeCell ref="C148:D148"/>
    <mergeCell ref="C149:E149"/>
    <mergeCell ref="C150:E150"/>
    <mergeCell ref="D85:E85"/>
    <mergeCell ref="D86:E86"/>
    <mergeCell ref="D87:E87"/>
  </mergeCells>
  <phoneticPr fontId="3" type="noConversion"/>
  <printOptions horizontalCentered="1"/>
  <pageMargins left="0.62992125984251968" right="0.62992125984251968" top="0.62992125984251968" bottom="0.62992125984251968" header="0.31496062992125984" footer="0.31496062992125984"/>
  <pageSetup paperSize="9" orientation="portrait" r:id="rId1"/>
  <ignoredErrors>
    <ignoredError sqref="F160:J160" formula="1"/>
  </ignoredErrors>
</worksheet>
</file>

<file path=xl/worksheets/sheet30.xml><?xml version="1.0" encoding="utf-8"?>
<worksheet xmlns="http://schemas.openxmlformats.org/spreadsheetml/2006/main" xmlns:r="http://schemas.openxmlformats.org/officeDocument/2006/relationships">
  <sheetPr enableFormatConditionsCalculation="0">
    <tabColor indexed="10"/>
  </sheetPr>
  <dimension ref="A1:I36"/>
  <sheetViews>
    <sheetView workbookViewId="0"/>
  </sheetViews>
  <sheetFormatPr defaultRowHeight="11.25"/>
  <cols>
    <col min="1" max="3" width="7.77734375" style="15" customWidth="1"/>
    <col min="4" max="4" width="9.109375" style="15" customWidth="1"/>
    <col min="5" max="9" width="9" style="15" customWidth="1"/>
    <col min="10" max="10" width="9.109375" style="15" customWidth="1"/>
    <col min="11" max="16384" width="8.88671875" style="15"/>
  </cols>
  <sheetData>
    <row r="1" spans="1:9" ht="24.95" customHeight="1">
      <c r="A1" s="91" t="s">
        <v>552</v>
      </c>
    </row>
    <row r="2" spans="1:9" ht="24.95" customHeight="1">
      <c r="A2" s="782" t="s">
        <v>83</v>
      </c>
      <c r="B2" s="782"/>
      <c r="C2" s="782"/>
      <c r="D2" s="782"/>
      <c r="E2" s="783" t="s">
        <v>58</v>
      </c>
      <c r="F2" s="783"/>
      <c r="G2" s="783"/>
      <c r="H2" s="783"/>
      <c r="I2" s="782" t="s">
        <v>84</v>
      </c>
    </row>
    <row r="3" spans="1:9" ht="24.95" customHeight="1">
      <c r="A3" s="782"/>
      <c r="B3" s="782"/>
      <c r="C3" s="782"/>
      <c r="D3" s="782"/>
      <c r="E3" s="17" t="s">
        <v>250</v>
      </c>
      <c r="F3" s="17" t="s">
        <v>251</v>
      </c>
      <c r="G3" s="17" t="s">
        <v>252</v>
      </c>
      <c r="H3" s="17" t="s">
        <v>253</v>
      </c>
      <c r="I3" s="782"/>
    </row>
    <row r="4" spans="1:9" ht="24.95" customHeight="1">
      <c r="A4" s="782" t="s">
        <v>85</v>
      </c>
      <c r="B4" s="781" t="s">
        <v>86</v>
      </c>
      <c r="C4" s="781" t="s">
        <v>59</v>
      </c>
      <c r="D4" s="781"/>
      <c r="E4" s="18">
        <f>SUM(E5:E6)</f>
        <v>135275</v>
      </c>
      <c r="F4" s="18">
        <f>SUM(F5:F6)</f>
        <v>151001.59178082191</v>
      </c>
      <c r="G4" s="18">
        <f>SUM(G5:G6)</f>
        <v>161081.34246575343</v>
      </c>
      <c r="H4" s="18">
        <f>SUM(H5:H6)</f>
        <v>163436.53150684931</v>
      </c>
      <c r="I4" s="10"/>
    </row>
    <row r="5" spans="1:9" ht="24.95" customHeight="1">
      <c r="A5" s="782"/>
      <c r="B5" s="782"/>
      <c r="C5" s="781" t="s">
        <v>60</v>
      </c>
      <c r="D5" s="781"/>
      <c r="E5" s="18">
        <f>생활용수량!D6</f>
        <v>130469</v>
      </c>
      <c r="F5" s="18">
        <f>생활용수량!E6</f>
        <v>133201</v>
      </c>
      <c r="G5" s="18">
        <f>생활용수량!F6</f>
        <v>136221</v>
      </c>
      <c r="H5" s="18">
        <f>생활용수량!G6</f>
        <v>138561</v>
      </c>
      <c r="I5" s="10"/>
    </row>
    <row r="6" spans="1:9" ht="24.95" customHeight="1">
      <c r="A6" s="782"/>
      <c r="B6" s="782"/>
      <c r="C6" s="781" t="s">
        <v>61</v>
      </c>
      <c r="D6" s="781"/>
      <c r="E6" s="18">
        <f>생활용수량!D7</f>
        <v>4806</v>
      </c>
      <c r="F6" s="18">
        <f>생활용수량!E7</f>
        <v>17800.591780821916</v>
      </c>
      <c r="G6" s="18">
        <f>생활용수량!F7</f>
        <v>24860.342465753423</v>
      </c>
      <c r="H6" s="18">
        <f>생활용수량!G7</f>
        <v>24875.531506849315</v>
      </c>
      <c r="I6" s="10"/>
    </row>
    <row r="7" spans="1:9" ht="24.95" customHeight="1">
      <c r="A7" s="782"/>
      <c r="B7" s="782" t="s">
        <v>87</v>
      </c>
      <c r="C7" s="781" t="s">
        <v>60</v>
      </c>
      <c r="D7" s="781"/>
      <c r="E7" s="39">
        <f>생활용수량!I3</f>
        <v>0.84</v>
      </c>
      <c r="F7" s="39">
        <f>생활용수량!J3</f>
        <v>0.85</v>
      </c>
      <c r="G7" s="39">
        <f>생활용수량!K3</f>
        <v>0.85</v>
      </c>
      <c r="H7" s="39">
        <f>생활용수량!L3</f>
        <v>0.86</v>
      </c>
      <c r="I7" s="10"/>
    </row>
    <row r="8" spans="1:9" ht="24.95" customHeight="1">
      <c r="A8" s="782"/>
      <c r="B8" s="782"/>
      <c r="C8" s="781" t="s">
        <v>61</v>
      </c>
      <c r="D8" s="781"/>
      <c r="E8" s="39">
        <v>1</v>
      </c>
      <c r="F8" s="39">
        <v>1</v>
      </c>
      <c r="G8" s="39">
        <v>1</v>
      </c>
      <c r="H8" s="39">
        <v>1</v>
      </c>
      <c r="I8" s="10"/>
    </row>
    <row r="9" spans="1:9" ht="24.95" customHeight="1">
      <c r="A9" s="782"/>
      <c r="B9" s="782" t="s">
        <v>88</v>
      </c>
      <c r="C9" s="781" t="s">
        <v>59</v>
      </c>
      <c r="D9" s="781"/>
      <c r="E9" s="18">
        <f>SUM(E10:E11)</f>
        <v>114400</v>
      </c>
      <c r="F9" s="18">
        <f>SUM(F10:F11)</f>
        <v>131022</v>
      </c>
      <c r="G9" s="18">
        <f>SUM(G10:G11)</f>
        <v>140648</v>
      </c>
      <c r="H9" s="18">
        <f>SUM(H10:H11)</f>
        <v>144038</v>
      </c>
      <c r="I9" s="10"/>
    </row>
    <row r="10" spans="1:9" ht="24.95" customHeight="1">
      <c r="A10" s="782"/>
      <c r="B10" s="782"/>
      <c r="C10" s="781" t="s">
        <v>60</v>
      </c>
      <c r="D10" s="781"/>
      <c r="E10" s="18">
        <f t="shared" ref="E10:H11" si="0">ROUND(E5*E7,0)</f>
        <v>109594</v>
      </c>
      <c r="F10" s="18">
        <f t="shared" si="0"/>
        <v>113221</v>
      </c>
      <c r="G10" s="18">
        <f t="shared" si="0"/>
        <v>115788</v>
      </c>
      <c r="H10" s="18">
        <f t="shared" si="0"/>
        <v>119162</v>
      </c>
      <c r="I10" s="10"/>
    </row>
    <row r="11" spans="1:9" ht="24.95" customHeight="1">
      <c r="A11" s="782"/>
      <c r="B11" s="782"/>
      <c r="C11" s="781" t="s">
        <v>61</v>
      </c>
      <c r="D11" s="781"/>
      <c r="E11" s="18">
        <f t="shared" si="0"/>
        <v>4806</v>
      </c>
      <c r="F11" s="18">
        <f t="shared" si="0"/>
        <v>17801</v>
      </c>
      <c r="G11" s="18">
        <f t="shared" si="0"/>
        <v>24860</v>
      </c>
      <c r="H11" s="18">
        <f t="shared" si="0"/>
        <v>24876</v>
      </c>
      <c r="I11" s="10"/>
    </row>
    <row r="12" spans="1:9" ht="24.95" customHeight="1">
      <c r="A12" s="782"/>
      <c r="B12" s="784" t="s">
        <v>254</v>
      </c>
      <c r="C12" s="784" t="s">
        <v>75</v>
      </c>
      <c r="D12" s="10" t="s">
        <v>752</v>
      </c>
      <c r="E12" s="16">
        <f>'[3]유수율적용 원단위'!$C$53</f>
        <v>336</v>
      </c>
      <c r="F12" s="16">
        <f>'[3]유수율적용 원단위'!$D$53</f>
        <v>352</v>
      </c>
      <c r="G12" s="16">
        <f>'[3]유수율적용 원단위'!$E$53</f>
        <v>373</v>
      </c>
      <c r="H12" s="16">
        <f>'[3]유수율적용 원단위'!$F$53</f>
        <v>396</v>
      </c>
      <c r="I12" s="10"/>
    </row>
    <row r="13" spans="1:9" ht="24.95" customHeight="1">
      <c r="A13" s="782"/>
      <c r="B13" s="785"/>
      <c r="C13" s="785"/>
      <c r="D13" s="10" t="s">
        <v>754</v>
      </c>
      <c r="E13" s="203">
        <f>'[3]유수율적용 원단위'!$C$54</f>
        <v>283.5</v>
      </c>
      <c r="F13" s="203">
        <f>'[3]유수율적용 원단위'!$D$54</f>
        <v>306</v>
      </c>
      <c r="G13" s="203">
        <f>'[3]유수율적용 원단위'!$E$54</f>
        <v>330.5</v>
      </c>
      <c r="H13" s="203">
        <f>'[3]유수율적용 원단위'!$F$54</f>
        <v>356</v>
      </c>
      <c r="I13" s="10"/>
    </row>
    <row r="14" spans="1:9" ht="24.95" customHeight="1">
      <c r="A14" s="782"/>
      <c r="B14" s="785"/>
      <c r="C14" s="786"/>
      <c r="D14" s="10" t="s">
        <v>756</v>
      </c>
      <c r="E14" s="203">
        <f>'[3]유수율적용 원단위'!$C$55</f>
        <v>248.5</v>
      </c>
      <c r="F14" s="203">
        <f>'[3]유수율적용 원단위'!$D$55</f>
        <v>264.75</v>
      </c>
      <c r="G14" s="203">
        <f>'[3]유수율적용 원단위'!$E$55</f>
        <v>278</v>
      </c>
      <c r="H14" s="203">
        <f>'[3]유수율적용 원단위'!$F$55</f>
        <v>288.25</v>
      </c>
      <c r="I14" s="10"/>
    </row>
    <row r="15" spans="1:9" ht="24.95" customHeight="1">
      <c r="A15" s="782"/>
      <c r="B15" s="785"/>
      <c r="C15" s="784" t="s">
        <v>76</v>
      </c>
      <c r="D15" s="10" t="s">
        <v>752</v>
      </c>
      <c r="E15" s="18">
        <f>[3]원단위결정!$E$19</f>
        <v>440.16</v>
      </c>
      <c r="F15" s="18">
        <f>[3]원단위결정!$F$19</f>
        <v>461.12</v>
      </c>
      <c r="G15" s="18">
        <f>[3]원단위결정!$G$19</f>
        <v>488.63</v>
      </c>
      <c r="H15" s="18">
        <f>[3]원단위결정!$H$19</f>
        <v>518.76</v>
      </c>
      <c r="I15" s="10"/>
    </row>
    <row r="16" spans="1:9" ht="24.95" customHeight="1">
      <c r="A16" s="782"/>
      <c r="B16" s="785"/>
      <c r="C16" s="785"/>
      <c r="D16" s="10" t="s">
        <v>754</v>
      </c>
      <c r="E16" s="18">
        <f>[3]원단위결정!$E$20</f>
        <v>371.38499999999999</v>
      </c>
      <c r="F16" s="18">
        <f>[3]원단위결정!$F$20</f>
        <v>400.86</v>
      </c>
      <c r="G16" s="18">
        <f>[3]원단위결정!$G$20</f>
        <v>432.95500000000004</v>
      </c>
      <c r="H16" s="18">
        <f>[3]원단위결정!$H$20</f>
        <v>466.36</v>
      </c>
      <c r="I16" s="10"/>
    </row>
    <row r="17" spans="1:9" ht="24.95" customHeight="1">
      <c r="A17" s="782"/>
      <c r="B17" s="786"/>
      <c r="C17" s="786"/>
      <c r="D17" s="10" t="s">
        <v>756</v>
      </c>
      <c r="E17" s="18">
        <f>[3]원단위결정!$E$21</f>
        <v>325.53500000000003</v>
      </c>
      <c r="F17" s="18">
        <f>[3]원단위결정!$F$21</f>
        <v>346.82249999999999</v>
      </c>
      <c r="G17" s="18">
        <f>[3]원단위결정!$G$21</f>
        <v>364.18</v>
      </c>
      <c r="H17" s="18">
        <f>[3]원단위결정!$H$21</f>
        <v>377.60750000000002</v>
      </c>
      <c r="I17" s="10"/>
    </row>
    <row r="18" spans="1:9" ht="24.95" customHeight="1">
      <c r="A18" s="782"/>
      <c r="B18" s="782" t="s">
        <v>77</v>
      </c>
      <c r="C18" s="781" t="s">
        <v>75</v>
      </c>
      <c r="D18" s="781"/>
      <c r="E18" s="18">
        <f>생활용수량!Q61</f>
        <v>33991</v>
      </c>
      <c r="F18" s="18">
        <f>생활용수량!R61</f>
        <v>40536</v>
      </c>
      <c r="G18" s="18">
        <f>생활용수량!S61</f>
        <v>45433</v>
      </c>
      <c r="H18" s="18">
        <f>생활용수량!T61</f>
        <v>48864</v>
      </c>
      <c r="I18" s="10"/>
    </row>
    <row r="19" spans="1:9" ht="24.95" customHeight="1">
      <c r="A19" s="782"/>
      <c r="B19" s="782"/>
      <c r="C19" s="781" t="s">
        <v>76</v>
      </c>
      <c r="D19" s="781"/>
      <c r="E19" s="18">
        <f>생활용수량!Q8</f>
        <v>43518</v>
      </c>
      <c r="F19" s="18">
        <f>생활용수량!R8</f>
        <v>52641</v>
      </c>
      <c r="G19" s="18">
        <f>생활용수량!S8</f>
        <v>59541</v>
      </c>
      <c r="H19" s="18">
        <f>생활용수량!T8</f>
        <v>64396</v>
      </c>
      <c r="I19" s="10"/>
    </row>
    <row r="20" spans="1:9" ht="24.95" customHeight="1">
      <c r="A20" s="10" t="s">
        <v>78</v>
      </c>
      <c r="B20" s="10" t="s">
        <v>77</v>
      </c>
      <c r="C20" s="781" t="s">
        <v>75</v>
      </c>
      <c r="D20" s="781"/>
      <c r="E20" s="18" t="e">
        <f>공업용수!C19</f>
        <v>#REF!</v>
      </c>
      <c r="F20" s="18" t="e">
        <f>공업용수!D19</f>
        <v>#REF!</v>
      </c>
      <c r="G20" s="18" t="e">
        <f>공업용수!E19</f>
        <v>#REF!</v>
      </c>
      <c r="H20" s="18" t="e">
        <f>공업용수!F19</f>
        <v>#REF!</v>
      </c>
      <c r="I20" s="10"/>
    </row>
    <row r="21" spans="1:9" ht="24.95" customHeight="1">
      <c r="A21" s="782" t="s">
        <v>79</v>
      </c>
      <c r="B21" s="782" t="s">
        <v>80</v>
      </c>
      <c r="C21" s="782"/>
      <c r="D21" s="782"/>
      <c r="E21" s="18">
        <f>관광용수!Q5</f>
        <v>0</v>
      </c>
      <c r="F21" s="18">
        <f>관광용수!R5</f>
        <v>149</v>
      </c>
      <c r="G21" s="18">
        <f>관광용수!S5</f>
        <v>161</v>
      </c>
      <c r="H21" s="18">
        <f>관광용수!T5</f>
        <v>170</v>
      </c>
      <c r="I21" s="10"/>
    </row>
    <row r="22" spans="1:9" ht="24.95" customHeight="1">
      <c r="A22" s="782"/>
      <c r="B22" s="782" t="s">
        <v>81</v>
      </c>
      <c r="C22" s="782"/>
      <c r="D22" s="782"/>
      <c r="E22" s="18">
        <v>5700</v>
      </c>
      <c r="F22" s="18">
        <v>5700</v>
      </c>
      <c r="G22" s="18">
        <v>5700</v>
      </c>
      <c r="H22" s="18">
        <v>5700</v>
      </c>
      <c r="I22" s="10"/>
    </row>
    <row r="23" spans="1:9" ht="24.95" customHeight="1">
      <c r="A23" s="782" t="s">
        <v>82</v>
      </c>
      <c r="B23" s="782"/>
      <c r="C23" s="782"/>
      <c r="D23" s="782"/>
      <c r="E23" s="18" t="e">
        <f>E19+E20+E21+E22</f>
        <v>#REF!</v>
      </c>
      <c r="F23" s="18" t="e">
        <f>F19+F20+F21+F22</f>
        <v>#REF!</v>
      </c>
      <c r="G23" s="18" t="e">
        <f>G19+G20+G21+G22</f>
        <v>#REF!</v>
      </c>
      <c r="H23" s="18" t="e">
        <f>H19+H20+H21+H22</f>
        <v>#REF!</v>
      </c>
      <c r="I23" s="10"/>
    </row>
    <row r="24" spans="1:9" ht="24.95" customHeight="1"/>
    <row r="25" spans="1:9" ht="24.95" customHeight="1"/>
    <row r="26" spans="1:9" ht="24.95" customHeight="1"/>
    <row r="27" spans="1:9" ht="24.95" customHeight="1"/>
    <row r="28" spans="1:9" ht="24.95" customHeight="1"/>
    <row r="29" spans="1:9" ht="24.95" customHeight="1"/>
    <row r="30" spans="1:9" ht="24.95" customHeight="1"/>
    <row r="31" spans="1:9" ht="24.95" customHeight="1"/>
    <row r="32" spans="1:9" ht="24.95" customHeight="1"/>
    <row r="33" ht="24.95" customHeight="1"/>
    <row r="34" ht="24.95" customHeight="1"/>
    <row r="35" ht="24.95" customHeight="1"/>
    <row r="36" ht="24.95" customHeight="1"/>
  </sheetData>
  <mergeCells count="26">
    <mergeCell ref="A23:D23"/>
    <mergeCell ref="A21:A22"/>
    <mergeCell ref="C20:D20"/>
    <mergeCell ref="C10:D10"/>
    <mergeCell ref="B12:B17"/>
    <mergeCell ref="C15:C17"/>
    <mergeCell ref="C19:D19"/>
    <mergeCell ref="C18:D18"/>
    <mergeCell ref="B18:B19"/>
    <mergeCell ref="C12:C14"/>
    <mergeCell ref="C7:D7"/>
    <mergeCell ref="C9:D9"/>
    <mergeCell ref="B21:D21"/>
    <mergeCell ref="B22:D22"/>
    <mergeCell ref="I2:I3"/>
    <mergeCell ref="E2:H2"/>
    <mergeCell ref="B4:B6"/>
    <mergeCell ref="B7:B8"/>
    <mergeCell ref="B9:B11"/>
    <mergeCell ref="C8:D8"/>
    <mergeCell ref="C11:D11"/>
    <mergeCell ref="C5:D5"/>
    <mergeCell ref="C6:D6"/>
    <mergeCell ref="A2:D3"/>
    <mergeCell ref="C4:D4"/>
    <mergeCell ref="A4:A19"/>
  </mergeCells>
  <phoneticPr fontId="3" type="noConversion"/>
  <printOptions horizontalCentered="1"/>
  <pageMargins left="0.62992125984251968" right="0.59055118110236227" top="0.59055118110236227" bottom="0.98425196850393704" header="0.51181102362204722" footer="0.51181102362204722"/>
  <pageSetup paperSize="9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sheetPr enableFormatConditionsCalculation="0">
    <tabColor indexed="10"/>
  </sheetPr>
  <dimension ref="A1:G201"/>
  <sheetViews>
    <sheetView workbookViewId="0"/>
  </sheetViews>
  <sheetFormatPr defaultRowHeight="11.25"/>
  <cols>
    <col min="1" max="7" width="11" style="15" customWidth="1"/>
    <col min="8" max="16384" width="8.88671875" style="15"/>
  </cols>
  <sheetData>
    <row r="1" spans="1:7" ht="24.95" customHeight="1">
      <c r="A1" s="91" t="s">
        <v>553</v>
      </c>
    </row>
    <row r="2" spans="1:7" ht="16.5" customHeight="1">
      <c r="A2" s="787" t="s">
        <v>57</v>
      </c>
      <c r="B2" s="787"/>
      <c r="C2" s="791" t="s">
        <v>262</v>
      </c>
      <c r="D2" s="791"/>
      <c r="E2" s="791"/>
      <c r="F2" s="791"/>
      <c r="G2" s="787" t="s">
        <v>127</v>
      </c>
    </row>
    <row r="3" spans="1:7" ht="16.5" customHeight="1">
      <c r="A3" s="787"/>
      <c r="B3" s="787"/>
      <c r="C3" s="23" t="s">
        <v>119</v>
      </c>
      <c r="D3" s="23" t="s">
        <v>120</v>
      </c>
      <c r="E3" s="23" t="s">
        <v>121</v>
      </c>
      <c r="F3" s="23" t="s">
        <v>122</v>
      </c>
      <c r="G3" s="787"/>
    </row>
    <row r="4" spans="1:7" ht="16.5" customHeight="1">
      <c r="A4" s="787" t="s">
        <v>698</v>
      </c>
      <c r="B4" s="23" t="s">
        <v>258</v>
      </c>
      <c r="C4" s="29">
        <f t="shared" ref="C4:F8" si="0">C9+C14+C19+C24+C29+C34+C39+C44+C49+C54+C59+C64+C69+C74+C79</f>
        <v>43518</v>
      </c>
      <c r="D4" s="29">
        <f t="shared" si="0"/>
        <v>52641</v>
      </c>
      <c r="E4" s="29">
        <f t="shared" si="0"/>
        <v>59541</v>
      </c>
      <c r="F4" s="29">
        <f t="shared" si="0"/>
        <v>64396</v>
      </c>
      <c r="G4" s="23"/>
    </row>
    <row r="5" spans="1:7" ht="16.5" customHeight="1">
      <c r="A5" s="787"/>
      <c r="B5" s="23" t="s">
        <v>259</v>
      </c>
      <c r="C5" s="29">
        <f t="shared" si="0"/>
        <v>0</v>
      </c>
      <c r="D5" s="29" t="e">
        <f t="shared" si="0"/>
        <v>#REF!</v>
      </c>
      <c r="E5" s="29" t="e">
        <f t="shared" si="0"/>
        <v>#REF!</v>
      </c>
      <c r="F5" s="29" t="e">
        <f t="shared" si="0"/>
        <v>#REF!</v>
      </c>
      <c r="G5" s="23"/>
    </row>
    <row r="6" spans="1:7" ht="16.5" customHeight="1">
      <c r="A6" s="787"/>
      <c r="B6" s="23" t="s">
        <v>260</v>
      </c>
      <c r="C6" s="29">
        <f t="shared" si="0"/>
        <v>0</v>
      </c>
      <c r="D6" s="29">
        <f t="shared" si="0"/>
        <v>149</v>
      </c>
      <c r="E6" s="29">
        <f t="shared" si="0"/>
        <v>161</v>
      </c>
      <c r="F6" s="29">
        <f t="shared" si="0"/>
        <v>170</v>
      </c>
      <c r="G6" s="23"/>
    </row>
    <row r="7" spans="1:7" ht="16.5" customHeight="1">
      <c r="A7" s="787"/>
      <c r="B7" s="23" t="s">
        <v>261</v>
      </c>
      <c r="C7" s="29">
        <f t="shared" si="0"/>
        <v>5700</v>
      </c>
      <c r="D7" s="29">
        <f t="shared" si="0"/>
        <v>5700</v>
      </c>
      <c r="E7" s="29">
        <f t="shared" si="0"/>
        <v>5700</v>
      </c>
      <c r="F7" s="29">
        <f t="shared" si="0"/>
        <v>5700</v>
      </c>
      <c r="G7" s="23"/>
    </row>
    <row r="8" spans="1:7" ht="16.5" customHeight="1">
      <c r="A8" s="787"/>
      <c r="B8" s="23" t="s">
        <v>59</v>
      </c>
      <c r="C8" s="29">
        <f t="shared" si="0"/>
        <v>49218</v>
      </c>
      <c r="D8" s="29" t="e">
        <f t="shared" si="0"/>
        <v>#REF!</v>
      </c>
      <c r="E8" s="29" t="e">
        <f t="shared" si="0"/>
        <v>#REF!</v>
      </c>
      <c r="F8" s="29" t="e">
        <f t="shared" si="0"/>
        <v>#REF!</v>
      </c>
      <c r="G8" s="23"/>
    </row>
    <row r="9" spans="1:7" ht="16.5" customHeight="1">
      <c r="A9" s="787" t="s">
        <v>699</v>
      </c>
      <c r="B9" s="23" t="s">
        <v>258</v>
      </c>
      <c r="C9" s="29">
        <f>생활용수량!Q11</f>
        <v>3504</v>
      </c>
      <c r="D9" s="29">
        <f>생활용수량!R11</f>
        <v>3909</v>
      </c>
      <c r="E9" s="29">
        <f>생활용수량!S11</f>
        <v>4508</v>
      </c>
      <c r="F9" s="29">
        <f>생활용수량!T11</f>
        <v>4979</v>
      </c>
      <c r="G9" s="23"/>
    </row>
    <row r="10" spans="1:7" ht="16.5" customHeight="1">
      <c r="A10" s="787"/>
      <c r="B10" s="23" t="s">
        <v>259</v>
      </c>
      <c r="C10" s="23"/>
      <c r="D10" s="194" t="e">
        <f>공업용수!F15</f>
        <v>#REF!</v>
      </c>
      <c r="E10" s="194" t="e">
        <f>공업용수!F15</f>
        <v>#REF!</v>
      </c>
      <c r="F10" s="194" t="e">
        <f>공업용수!F15</f>
        <v>#REF!</v>
      </c>
      <c r="G10" s="23"/>
    </row>
    <row r="11" spans="1:7" ht="16.5" customHeight="1">
      <c r="A11" s="787"/>
      <c r="B11" s="23" t="s">
        <v>260</v>
      </c>
      <c r="C11" s="29"/>
      <c r="D11" s="29">
        <f>관광용수!R8</f>
        <v>35</v>
      </c>
      <c r="E11" s="29">
        <f>관광용수!S8</f>
        <v>39</v>
      </c>
      <c r="F11" s="29">
        <f>관광용수!T8</f>
        <v>43</v>
      </c>
      <c r="G11" s="23"/>
    </row>
    <row r="12" spans="1:7" ht="16.5" customHeight="1">
      <c r="A12" s="787"/>
      <c r="B12" s="23" t="s">
        <v>261</v>
      </c>
      <c r="C12" s="29"/>
      <c r="D12" s="29"/>
      <c r="E12" s="29"/>
      <c r="F12" s="29"/>
      <c r="G12" s="23"/>
    </row>
    <row r="13" spans="1:7" ht="16.5" customHeight="1">
      <c r="A13" s="787"/>
      <c r="B13" s="23" t="s">
        <v>59</v>
      </c>
      <c r="C13" s="29">
        <f>SUM(C9:C12)</f>
        <v>3504</v>
      </c>
      <c r="D13" s="29" t="e">
        <f>SUM(D9:D12)</f>
        <v>#REF!</v>
      </c>
      <c r="E13" s="29" t="e">
        <f>SUM(E9:E12)</f>
        <v>#REF!</v>
      </c>
      <c r="F13" s="29" t="e">
        <f>SUM(F9:F12)</f>
        <v>#REF!</v>
      </c>
      <c r="G13" s="23"/>
    </row>
    <row r="14" spans="1:7" ht="16.5" customHeight="1">
      <c r="A14" s="787" t="s">
        <v>700</v>
      </c>
      <c r="B14" s="23" t="s">
        <v>258</v>
      </c>
      <c r="C14" s="29">
        <f>생활용수량!Q14</f>
        <v>5933</v>
      </c>
      <c r="D14" s="29">
        <f>생활용수량!R14</f>
        <v>7796</v>
      </c>
      <c r="E14" s="29">
        <f>생활용수량!S14</f>
        <v>8562</v>
      </c>
      <c r="F14" s="29">
        <f>생활용수량!T14</f>
        <v>9422</v>
      </c>
      <c r="G14" s="23"/>
    </row>
    <row r="15" spans="1:7" ht="16.5" customHeight="1">
      <c r="A15" s="787"/>
      <c r="B15" s="23" t="s">
        <v>259</v>
      </c>
      <c r="C15" s="23"/>
      <c r="D15" s="187" t="e">
        <f>(공업용수!F5+공업용수!F7)</f>
        <v>#REF!</v>
      </c>
      <c r="E15" s="187" t="e">
        <f>(공업용수!F5+공업용수!F7)</f>
        <v>#REF!</v>
      </c>
      <c r="F15" s="187" t="e">
        <f>(공업용수!F5+공업용수!F7)</f>
        <v>#REF!</v>
      </c>
      <c r="G15" s="23"/>
    </row>
    <row r="16" spans="1:7" ht="16.5" customHeight="1">
      <c r="A16" s="787"/>
      <c r="B16" s="23" t="s">
        <v>260</v>
      </c>
      <c r="C16" s="23"/>
      <c r="D16" s="23">
        <f>관광용수!R11</f>
        <v>29</v>
      </c>
      <c r="E16" s="23">
        <f>관광용수!S11</f>
        <v>32</v>
      </c>
      <c r="F16" s="23">
        <f>관광용수!T11</f>
        <v>35</v>
      </c>
      <c r="G16" s="23"/>
    </row>
    <row r="17" spans="1:7" ht="16.5" customHeight="1">
      <c r="A17" s="787"/>
      <c r="B17" s="23" t="s">
        <v>261</v>
      </c>
      <c r="C17" s="29">
        <v>5700</v>
      </c>
      <c r="D17" s="29">
        <v>5700</v>
      </c>
      <c r="E17" s="29">
        <v>5700</v>
      </c>
      <c r="F17" s="29">
        <v>5700</v>
      </c>
      <c r="G17" s="23"/>
    </row>
    <row r="18" spans="1:7" ht="16.5" customHeight="1">
      <c r="A18" s="787"/>
      <c r="B18" s="23" t="s">
        <v>59</v>
      </c>
      <c r="C18" s="29">
        <f>SUM(C14:C17)</f>
        <v>11633</v>
      </c>
      <c r="D18" s="29" t="e">
        <f>SUM(D14:D17)</f>
        <v>#REF!</v>
      </c>
      <c r="E18" s="29" t="e">
        <f>SUM(E14:E17)</f>
        <v>#REF!</v>
      </c>
      <c r="F18" s="29" t="e">
        <f>SUM(F14:F17)</f>
        <v>#REF!</v>
      </c>
      <c r="G18" s="23"/>
    </row>
    <row r="19" spans="1:7" ht="16.5" customHeight="1">
      <c r="A19" s="787" t="s">
        <v>701</v>
      </c>
      <c r="B19" s="23" t="s">
        <v>258</v>
      </c>
      <c r="C19" s="29">
        <f>생활용수량!Q17</f>
        <v>1482</v>
      </c>
      <c r="D19" s="29">
        <f>생활용수량!R17</f>
        <v>1631</v>
      </c>
      <c r="E19" s="29">
        <f>생활용수량!S17</f>
        <v>3117</v>
      </c>
      <c r="F19" s="29">
        <f>생활용수량!T17</f>
        <v>3284</v>
      </c>
      <c r="G19" s="23"/>
    </row>
    <row r="20" spans="1:7" ht="16.5" customHeight="1">
      <c r="A20" s="787"/>
      <c r="B20" s="23" t="s">
        <v>259</v>
      </c>
      <c r="C20" s="23"/>
      <c r="D20" s="23"/>
      <c r="E20" s="23"/>
      <c r="F20" s="23"/>
      <c r="G20" s="23"/>
    </row>
    <row r="21" spans="1:7" ht="16.5" customHeight="1">
      <c r="A21" s="787"/>
      <c r="B21" s="23" t="s">
        <v>260</v>
      </c>
      <c r="C21" s="23"/>
      <c r="D21" s="23">
        <f>관광용수!R14</f>
        <v>1</v>
      </c>
      <c r="E21" s="23">
        <f>관광용수!S14</f>
        <v>1</v>
      </c>
      <c r="F21" s="23">
        <f>관광용수!T14</f>
        <v>2</v>
      </c>
      <c r="G21" s="23"/>
    </row>
    <row r="22" spans="1:7" ht="16.5" customHeight="1">
      <c r="A22" s="787"/>
      <c r="B22" s="23" t="s">
        <v>261</v>
      </c>
      <c r="C22" s="29"/>
      <c r="D22" s="29"/>
      <c r="E22" s="29"/>
      <c r="F22" s="29"/>
      <c r="G22" s="23"/>
    </row>
    <row r="23" spans="1:7" ht="16.5" customHeight="1">
      <c r="A23" s="787"/>
      <c r="B23" s="23" t="s">
        <v>59</v>
      </c>
      <c r="C23" s="29">
        <f>SUM(C19:C22)</f>
        <v>1482</v>
      </c>
      <c r="D23" s="29">
        <f>SUM(D19:D22)</f>
        <v>1632</v>
      </c>
      <c r="E23" s="29">
        <f>SUM(E19:E22)</f>
        <v>3118</v>
      </c>
      <c r="F23" s="29">
        <f>SUM(F19:F22)</f>
        <v>3286</v>
      </c>
      <c r="G23" s="23"/>
    </row>
    <row r="24" spans="1:7" ht="16.5" customHeight="1">
      <c r="A24" s="788" t="s">
        <v>702</v>
      </c>
      <c r="B24" s="23" t="s">
        <v>258</v>
      </c>
      <c r="C24" s="23">
        <f>생활용수량!Q20</f>
        <v>1467</v>
      </c>
      <c r="D24" s="23">
        <f>생활용수량!R20</f>
        <v>1614</v>
      </c>
      <c r="E24" s="23">
        <f>생활용수량!S20</f>
        <v>1734</v>
      </c>
      <c r="F24" s="23">
        <f>생활용수량!T20</f>
        <v>1851</v>
      </c>
      <c r="G24" s="23"/>
    </row>
    <row r="25" spans="1:7" ht="16.5" customHeight="1">
      <c r="A25" s="789"/>
      <c r="B25" s="23" t="s">
        <v>259</v>
      </c>
      <c r="C25" s="23"/>
      <c r="D25" s="23"/>
      <c r="E25" s="23"/>
      <c r="F25" s="23"/>
      <c r="G25" s="23"/>
    </row>
    <row r="26" spans="1:7" ht="16.5" customHeight="1">
      <c r="A26" s="789"/>
      <c r="B26" s="23" t="s">
        <v>260</v>
      </c>
      <c r="C26" s="35"/>
      <c r="D26" s="35">
        <f>관광용수!R17</f>
        <v>1</v>
      </c>
      <c r="E26" s="35">
        <f>관광용수!S17</f>
        <v>1</v>
      </c>
      <c r="F26" s="35">
        <f>관광용수!T17</f>
        <v>1</v>
      </c>
      <c r="G26" s="23"/>
    </row>
    <row r="27" spans="1:7" ht="16.5" customHeight="1">
      <c r="A27" s="789"/>
      <c r="B27" s="23" t="s">
        <v>261</v>
      </c>
      <c r="C27" s="29"/>
      <c r="D27" s="29"/>
      <c r="E27" s="29"/>
      <c r="F27" s="29"/>
      <c r="G27" s="23"/>
    </row>
    <row r="28" spans="1:7" ht="16.5" customHeight="1">
      <c r="A28" s="790"/>
      <c r="B28" s="23" t="s">
        <v>59</v>
      </c>
      <c r="C28" s="29">
        <f>SUM(C24:C27)</f>
        <v>1467</v>
      </c>
      <c r="D28" s="29">
        <f>SUM(D24:D27)</f>
        <v>1615</v>
      </c>
      <c r="E28" s="29">
        <f>SUM(E24:E27)</f>
        <v>1735</v>
      </c>
      <c r="F28" s="29">
        <f>SUM(F24:F27)</f>
        <v>1852</v>
      </c>
      <c r="G28" s="23"/>
    </row>
    <row r="29" spans="1:7" ht="16.5" customHeight="1">
      <c r="A29" s="787" t="s">
        <v>703</v>
      </c>
      <c r="B29" s="23" t="s">
        <v>258</v>
      </c>
      <c r="C29" s="29">
        <f>생활용수량!Q23</f>
        <v>1078</v>
      </c>
      <c r="D29" s="29">
        <f>생활용수량!R23</f>
        <v>1186</v>
      </c>
      <c r="E29" s="29">
        <f>생활용수량!S23</f>
        <v>1729</v>
      </c>
      <c r="F29" s="29">
        <f>생활용수량!T23</f>
        <v>1831</v>
      </c>
      <c r="G29" s="23"/>
    </row>
    <row r="30" spans="1:7" ht="16.5" customHeight="1">
      <c r="A30" s="787"/>
      <c r="B30" s="23" t="s">
        <v>259</v>
      </c>
      <c r="C30" s="23"/>
      <c r="D30" s="23"/>
      <c r="E30" s="23"/>
      <c r="F30" s="23"/>
      <c r="G30" s="23"/>
    </row>
    <row r="31" spans="1:7" ht="16.5" customHeight="1">
      <c r="A31" s="787"/>
      <c r="B31" s="23" t="s">
        <v>260</v>
      </c>
      <c r="C31" s="29"/>
      <c r="D31" s="29">
        <f>관광용수!R20</f>
        <v>0</v>
      </c>
      <c r="E31" s="29">
        <f>관광용수!S20</f>
        <v>0</v>
      </c>
      <c r="F31" s="29">
        <f>관광용수!T20</f>
        <v>0</v>
      </c>
      <c r="G31" s="23"/>
    </row>
    <row r="32" spans="1:7" ht="16.5" customHeight="1">
      <c r="A32" s="787"/>
      <c r="B32" s="23" t="s">
        <v>261</v>
      </c>
      <c r="C32" s="29"/>
      <c r="D32" s="29"/>
      <c r="E32" s="29"/>
      <c r="F32" s="29"/>
      <c r="G32" s="23"/>
    </row>
    <row r="33" spans="1:7" ht="16.5" customHeight="1">
      <c r="A33" s="787"/>
      <c r="B33" s="23" t="s">
        <v>59</v>
      </c>
      <c r="C33" s="29">
        <f>SUM(C29:C32)</f>
        <v>1078</v>
      </c>
      <c r="D33" s="29">
        <f>SUM(D29:D32)</f>
        <v>1186</v>
      </c>
      <c r="E33" s="29">
        <f>SUM(E29:E32)</f>
        <v>1729</v>
      </c>
      <c r="F33" s="29">
        <f>SUM(F29:F32)</f>
        <v>1831</v>
      </c>
      <c r="G33" s="23"/>
    </row>
    <row r="34" spans="1:7" ht="16.5" customHeight="1">
      <c r="A34" s="787" t="s">
        <v>704</v>
      </c>
      <c r="B34" s="23" t="s">
        <v>258</v>
      </c>
      <c r="C34" s="29">
        <f>생활용수량!Q26</f>
        <v>1143</v>
      </c>
      <c r="D34" s="29">
        <f>생활용수량!R26</f>
        <v>1258</v>
      </c>
      <c r="E34" s="29">
        <f>생활용수량!S26</f>
        <v>1350</v>
      </c>
      <c r="F34" s="29">
        <f>생활용수량!T26</f>
        <v>1442</v>
      </c>
      <c r="G34" s="23"/>
    </row>
    <row r="35" spans="1:7" ht="16.5" customHeight="1">
      <c r="A35" s="787"/>
      <c r="B35" s="23" t="s">
        <v>259</v>
      </c>
      <c r="C35" s="23"/>
      <c r="D35" s="23"/>
      <c r="E35" s="23"/>
      <c r="F35" s="23"/>
      <c r="G35" s="23"/>
    </row>
    <row r="36" spans="1:7" ht="16.5" customHeight="1">
      <c r="A36" s="787"/>
      <c r="B36" s="23" t="s">
        <v>260</v>
      </c>
      <c r="C36" s="23"/>
      <c r="D36" s="23">
        <f>관광용수!R23</f>
        <v>1</v>
      </c>
      <c r="E36" s="23">
        <f>관광용수!S23</f>
        <v>1</v>
      </c>
      <c r="F36" s="23">
        <f>관광용수!T23</f>
        <v>1</v>
      </c>
      <c r="G36" s="23"/>
    </row>
    <row r="37" spans="1:7" ht="16.5" customHeight="1">
      <c r="A37" s="787"/>
      <c r="B37" s="23" t="s">
        <v>261</v>
      </c>
      <c r="C37" s="29"/>
      <c r="D37" s="29"/>
      <c r="E37" s="29"/>
      <c r="F37" s="29"/>
      <c r="G37" s="23"/>
    </row>
    <row r="38" spans="1:7" ht="16.5" customHeight="1">
      <c r="A38" s="787"/>
      <c r="B38" s="23" t="s">
        <v>59</v>
      </c>
      <c r="C38" s="29">
        <f>SUM(C34:C37)</f>
        <v>1143</v>
      </c>
      <c r="D38" s="29">
        <f>SUM(D34:D37)</f>
        <v>1259</v>
      </c>
      <c r="E38" s="29">
        <f>SUM(E34:E37)</f>
        <v>1351</v>
      </c>
      <c r="F38" s="29">
        <f>SUM(F34:F37)</f>
        <v>1443</v>
      </c>
      <c r="G38" s="23"/>
    </row>
    <row r="39" spans="1:7" ht="16.5" customHeight="1">
      <c r="A39" s="787" t="s">
        <v>705</v>
      </c>
      <c r="B39" s="23" t="s">
        <v>258</v>
      </c>
      <c r="C39" s="29">
        <f>생활용수량!Q29</f>
        <v>1192</v>
      </c>
      <c r="D39" s="29">
        <f>생활용수량!R29</f>
        <v>1312</v>
      </c>
      <c r="E39" s="29">
        <f>생활용수량!S29</f>
        <v>1986</v>
      </c>
      <c r="F39" s="29">
        <f>생활용수량!T29</f>
        <v>2103</v>
      </c>
      <c r="G39" s="23"/>
    </row>
    <row r="40" spans="1:7" ht="16.5" customHeight="1">
      <c r="A40" s="787"/>
      <c r="B40" s="23" t="s">
        <v>259</v>
      </c>
      <c r="C40" s="23"/>
      <c r="D40" s="23"/>
      <c r="E40" s="23"/>
      <c r="F40" s="23"/>
      <c r="G40" s="23"/>
    </row>
    <row r="41" spans="1:7" ht="16.5" customHeight="1">
      <c r="A41" s="787"/>
      <c r="B41" s="23" t="s">
        <v>260</v>
      </c>
      <c r="C41" s="23"/>
      <c r="D41" s="23">
        <f>관광용수!R26</f>
        <v>3</v>
      </c>
      <c r="E41" s="23">
        <f>관광용수!S26</f>
        <v>3</v>
      </c>
      <c r="F41" s="23">
        <f>관광용수!T26</f>
        <v>3</v>
      </c>
      <c r="G41" s="23"/>
    </row>
    <row r="42" spans="1:7" ht="16.5" customHeight="1">
      <c r="A42" s="787"/>
      <c r="B42" s="23" t="s">
        <v>261</v>
      </c>
      <c r="C42" s="29"/>
      <c r="D42" s="29"/>
      <c r="E42" s="29"/>
      <c r="F42" s="29"/>
      <c r="G42" s="23"/>
    </row>
    <row r="43" spans="1:7" ht="16.5" customHeight="1">
      <c r="A43" s="787"/>
      <c r="B43" s="23" t="s">
        <v>59</v>
      </c>
      <c r="C43" s="29">
        <f>SUM(C39:C42)</f>
        <v>1192</v>
      </c>
      <c r="D43" s="29">
        <f>SUM(D39:D42)</f>
        <v>1315</v>
      </c>
      <c r="E43" s="29">
        <f>SUM(E39:E42)</f>
        <v>1989</v>
      </c>
      <c r="F43" s="29">
        <f>SUM(F39:F42)</f>
        <v>2106</v>
      </c>
      <c r="G43" s="23"/>
    </row>
    <row r="44" spans="1:7" ht="16.5" customHeight="1">
      <c r="A44" s="787" t="s">
        <v>706</v>
      </c>
      <c r="B44" s="23" t="s">
        <v>258</v>
      </c>
      <c r="C44" s="29">
        <f>생활용수량!Q32</f>
        <v>1985</v>
      </c>
      <c r="D44" s="29">
        <f>생활용수량!R32</f>
        <v>2288</v>
      </c>
      <c r="E44" s="29">
        <f>생활용수량!S32</f>
        <v>2455</v>
      </c>
      <c r="F44" s="29">
        <f>생활용수량!T32</f>
        <v>2616</v>
      </c>
      <c r="G44" s="23"/>
    </row>
    <row r="45" spans="1:7" ht="16.5" customHeight="1">
      <c r="A45" s="787"/>
      <c r="B45" s="23" t="s">
        <v>259</v>
      </c>
      <c r="C45" s="23"/>
      <c r="D45" s="23"/>
      <c r="E45" s="23"/>
      <c r="F45" s="23"/>
      <c r="G45" s="23"/>
    </row>
    <row r="46" spans="1:7" ht="16.5" customHeight="1">
      <c r="A46" s="787"/>
      <c r="B46" s="23" t="s">
        <v>260</v>
      </c>
      <c r="C46" s="23"/>
      <c r="D46" s="23">
        <f>관광용수!R29</f>
        <v>15</v>
      </c>
      <c r="E46" s="23">
        <f>관광용수!S29</f>
        <v>16</v>
      </c>
      <c r="F46" s="23">
        <f>관광용수!T29</f>
        <v>16</v>
      </c>
      <c r="G46" s="23"/>
    </row>
    <row r="47" spans="1:7" ht="16.5" customHeight="1">
      <c r="A47" s="787"/>
      <c r="B47" s="23" t="s">
        <v>261</v>
      </c>
      <c r="C47" s="29"/>
      <c r="D47" s="29"/>
      <c r="E47" s="29"/>
      <c r="F47" s="29"/>
      <c r="G47" s="23"/>
    </row>
    <row r="48" spans="1:7" ht="16.5" customHeight="1">
      <c r="A48" s="787"/>
      <c r="B48" s="23" t="s">
        <v>59</v>
      </c>
      <c r="C48" s="29">
        <f>SUM(C44:C47)</f>
        <v>1985</v>
      </c>
      <c r="D48" s="29">
        <f>SUM(D44:D47)</f>
        <v>2303</v>
      </c>
      <c r="E48" s="29">
        <f>SUM(E44:E47)</f>
        <v>2471</v>
      </c>
      <c r="F48" s="29">
        <f>SUM(F44:F47)</f>
        <v>2632</v>
      </c>
      <c r="G48" s="23"/>
    </row>
    <row r="49" spans="1:7" ht="16.5" customHeight="1">
      <c r="A49" s="787" t="s">
        <v>707</v>
      </c>
      <c r="B49" s="23" t="s">
        <v>258</v>
      </c>
      <c r="C49" s="29">
        <f>생활용수량!Q35</f>
        <v>795</v>
      </c>
      <c r="D49" s="29">
        <f>생활용수량!R35</f>
        <v>874</v>
      </c>
      <c r="E49" s="29">
        <f>생활용수량!S35</f>
        <v>938</v>
      </c>
      <c r="F49" s="29">
        <f>생활용수량!T35</f>
        <v>1001</v>
      </c>
      <c r="G49" s="23"/>
    </row>
    <row r="50" spans="1:7" ht="16.5" customHeight="1">
      <c r="A50" s="787"/>
      <c r="B50" s="23" t="s">
        <v>259</v>
      </c>
      <c r="C50" s="23"/>
      <c r="D50" s="23"/>
      <c r="E50" s="23"/>
      <c r="F50" s="23"/>
      <c r="G50" s="23"/>
    </row>
    <row r="51" spans="1:7" ht="16.5" customHeight="1">
      <c r="A51" s="787"/>
      <c r="B51" s="23" t="s">
        <v>260</v>
      </c>
      <c r="C51" s="29"/>
      <c r="D51" s="29">
        <f>관광용수!R32</f>
        <v>8</v>
      </c>
      <c r="E51" s="29">
        <f>관광용수!S32</f>
        <v>9</v>
      </c>
      <c r="F51" s="29">
        <f>관광용수!T32</f>
        <v>9</v>
      </c>
      <c r="G51" s="23"/>
    </row>
    <row r="52" spans="1:7" ht="16.5" customHeight="1">
      <c r="A52" s="787"/>
      <c r="B52" s="23" t="s">
        <v>261</v>
      </c>
      <c r="C52" s="29"/>
      <c r="D52" s="29"/>
      <c r="E52" s="29"/>
      <c r="F52" s="29"/>
      <c r="G52" s="23"/>
    </row>
    <row r="53" spans="1:7" ht="16.5" customHeight="1">
      <c r="A53" s="787"/>
      <c r="B53" s="23" t="s">
        <v>59</v>
      </c>
      <c r="C53" s="29">
        <f>SUM(C49:C52)</f>
        <v>795</v>
      </c>
      <c r="D53" s="29">
        <f>SUM(D49:D52)</f>
        <v>882</v>
      </c>
      <c r="E53" s="29">
        <f>SUM(E49:E52)</f>
        <v>947</v>
      </c>
      <c r="F53" s="29">
        <f>SUM(F49:F52)</f>
        <v>1010</v>
      </c>
      <c r="G53" s="23"/>
    </row>
    <row r="54" spans="1:7" ht="16.5" customHeight="1">
      <c r="A54" s="787" t="s">
        <v>708</v>
      </c>
      <c r="B54" s="23" t="s">
        <v>258</v>
      </c>
      <c r="C54" s="29">
        <f>생활용수량!Q38</f>
        <v>1826</v>
      </c>
      <c r="D54" s="29">
        <f>생활용수량!R38</f>
        <v>3101</v>
      </c>
      <c r="E54" s="29">
        <f>생활용수량!S38</f>
        <v>3305</v>
      </c>
      <c r="F54" s="29">
        <f>생활용수량!T38</f>
        <v>3492</v>
      </c>
      <c r="G54" s="23"/>
    </row>
    <row r="55" spans="1:7" ht="16.5" customHeight="1">
      <c r="A55" s="787"/>
      <c r="B55" s="23" t="s">
        <v>259</v>
      </c>
      <c r="C55" s="23"/>
      <c r="D55" s="23"/>
      <c r="E55" s="23"/>
      <c r="F55" s="23"/>
      <c r="G55" s="23"/>
    </row>
    <row r="56" spans="1:7" ht="16.5" customHeight="1">
      <c r="A56" s="787"/>
      <c r="B56" s="23" t="s">
        <v>260</v>
      </c>
      <c r="C56" s="23"/>
      <c r="D56" s="23">
        <f>관광용수!R35</f>
        <v>3</v>
      </c>
      <c r="E56" s="23">
        <f>관광용수!S35</f>
        <v>3</v>
      </c>
      <c r="F56" s="23">
        <f>관광용수!T35</f>
        <v>3</v>
      </c>
      <c r="G56" s="23"/>
    </row>
    <row r="57" spans="1:7" ht="16.5" customHeight="1">
      <c r="A57" s="787"/>
      <c r="B57" s="23" t="s">
        <v>261</v>
      </c>
      <c r="C57" s="29"/>
      <c r="D57" s="29"/>
      <c r="E57" s="29"/>
      <c r="F57" s="29"/>
      <c r="G57" s="23"/>
    </row>
    <row r="58" spans="1:7" ht="16.5" customHeight="1">
      <c r="A58" s="787"/>
      <c r="B58" s="23" t="s">
        <v>59</v>
      </c>
      <c r="C58" s="29">
        <f>SUM(C54:C57)</f>
        <v>1826</v>
      </c>
      <c r="D58" s="29">
        <f>SUM(D54:D57)</f>
        <v>3104</v>
      </c>
      <c r="E58" s="29">
        <f>SUM(E54:E57)</f>
        <v>3308</v>
      </c>
      <c r="F58" s="29">
        <f>SUM(F54:F57)</f>
        <v>3495</v>
      </c>
      <c r="G58" s="23"/>
    </row>
    <row r="59" spans="1:7" ht="16.5" customHeight="1">
      <c r="A59" s="787" t="s">
        <v>709</v>
      </c>
      <c r="B59" s="23" t="s">
        <v>258</v>
      </c>
      <c r="C59" s="29">
        <f>생활용수량!Q41</f>
        <v>1188</v>
      </c>
      <c r="D59" s="29">
        <f>생활용수량!R41</f>
        <v>2462</v>
      </c>
      <c r="E59" s="29">
        <f>생활용수량!S41</f>
        <v>2623</v>
      </c>
      <c r="F59" s="29">
        <f>생활용수량!T41</f>
        <v>2768</v>
      </c>
      <c r="G59" s="23"/>
    </row>
    <row r="60" spans="1:7" ht="16.5" customHeight="1">
      <c r="A60" s="787"/>
      <c r="B60" s="23" t="s">
        <v>259</v>
      </c>
      <c r="C60" s="23"/>
      <c r="D60" s="23"/>
      <c r="E60" s="23"/>
      <c r="F60" s="23"/>
      <c r="G60" s="23"/>
    </row>
    <row r="61" spans="1:7" ht="16.5" customHeight="1">
      <c r="A61" s="787"/>
      <c r="B61" s="23" t="s">
        <v>260</v>
      </c>
      <c r="C61" s="23"/>
      <c r="D61" s="23">
        <f>관광용수!R38</f>
        <v>4</v>
      </c>
      <c r="E61" s="23">
        <f>관광용수!S38</f>
        <v>4</v>
      </c>
      <c r="F61" s="23">
        <f>관광용수!T38</f>
        <v>4</v>
      </c>
      <c r="G61" s="23"/>
    </row>
    <row r="62" spans="1:7" ht="16.5" customHeight="1">
      <c r="A62" s="787"/>
      <c r="B62" s="23" t="s">
        <v>261</v>
      </c>
      <c r="C62" s="29"/>
      <c r="D62" s="29"/>
      <c r="E62" s="29"/>
      <c r="F62" s="29"/>
      <c r="G62" s="23"/>
    </row>
    <row r="63" spans="1:7" ht="16.5" customHeight="1">
      <c r="A63" s="787"/>
      <c r="B63" s="23" t="s">
        <v>59</v>
      </c>
      <c r="C63" s="29">
        <f>SUM(C59:C62)</f>
        <v>1188</v>
      </c>
      <c r="D63" s="29">
        <f>SUM(D59:D62)</f>
        <v>2466</v>
      </c>
      <c r="E63" s="29">
        <f>SUM(E59:E62)</f>
        <v>2627</v>
      </c>
      <c r="F63" s="29">
        <f>SUM(F59:F62)</f>
        <v>2772</v>
      </c>
      <c r="G63" s="23"/>
    </row>
    <row r="64" spans="1:7" ht="16.5" customHeight="1">
      <c r="A64" s="788" t="s">
        <v>710</v>
      </c>
      <c r="B64" s="23" t="s">
        <v>258</v>
      </c>
      <c r="C64" s="23">
        <f>생활용수량!Q44</f>
        <v>1502</v>
      </c>
      <c r="D64" s="23">
        <f>생활용수량!R44</f>
        <v>1654</v>
      </c>
      <c r="E64" s="23">
        <f>생활용수량!S44</f>
        <v>1775</v>
      </c>
      <c r="F64" s="23">
        <f>생활용수량!T44</f>
        <v>1894</v>
      </c>
      <c r="G64" s="23"/>
    </row>
    <row r="65" spans="1:7" ht="16.5" customHeight="1">
      <c r="A65" s="789"/>
      <c r="B65" s="23" t="s">
        <v>259</v>
      </c>
      <c r="C65" s="23"/>
      <c r="D65" s="23"/>
      <c r="E65" s="23"/>
      <c r="F65" s="23"/>
      <c r="G65" s="23"/>
    </row>
    <row r="66" spans="1:7" ht="16.5" customHeight="1">
      <c r="A66" s="789"/>
      <c r="B66" s="23" t="s">
        <v>260</v>
      </c>
      <c r="C66" s="35"/>
      <c r="D66" s="35">
        <f>관광용수!R41</f>
        <v>1</v>
      </c>
      <c r="E66" s="35">
        <f>관광용수!S41</f>
        <v>1</v>
      </c>
      <c r="F66" s="35">
        <f>관광용수!T41</f>
        <v>2</v>
      </c>
      <c r="G66" s="23"/>
    </row>
    <row r="67" spans="1:7" ht="16.5" customHeight="1">
      <c r="A67" s="789"/>
      <c r="B67" s="23" t="s">
        <v>261</v>
      </c>
      <c r="C67" s="29"/>
      <c r="D67" s="29"/>
      <c r="E67" s="29"/>
      <c r="F67" s="29"/>
      <c r="G67" s="23"/>
    </row>
    <row r="68" spans="1:7" ht="16.5" customHeight="1">
      <c r="A68" s="790"/>
      <c r="B68" s="23" t="s">
        <v>59</v>
      </c>
      <c r="C68" s="29">
        <f>SUM(C64:C67)</f>
        <v>1502</v>
      </c>
      <c r="D68" s="29">
        <f>SUM(D64:D67)</f>
        <v>1655</v>
      </c>
      <c r="E68" s="29">
        <f>SUM(E64:E67)</f>
        <v>1776</v>
      </c>
      <c r="F68" s="29">
        <f>SUM(F64:F67)</f>
        <v>1896</v>
      </c>
      <c r="G68" s="23"/>
    </row>
    <row r="69" spans="1:7" ht="16.5" customHeight="1">
      <c r="A69" s="787" t="s">
        <v>711</v>
      </c>
      <c r="B69" s="23" t="s">
        <v>258</v>
      </c>
      <c r="C69" s="29">
        <f>생활용수량!Q47</f>
        <v>797</v>
      </c>
      <c r="D69" s="29">
        <f>생활용수량!R47</f>
        <v>876</v>
      </c>
      <c r="E69" s="29">
        <f>생활용수량!S47</f>
        <v>941</v>
      </c>
      <c r="F69" s="29">
        <f>생활용수량!T47</f>
        <v>1005</v>
      </c>
      <c r="G69" s="23"/>
    </row>
    <row r="70" spans="1:7" ht="16.5" customHeight="1">
      <c r="A70" s="787"/>
      <c r="B70" s="23" t="s">
        <v>259</v>
      </c>
      <c r="C70" s="23"/>
      <c r="D70" s="23"/>
      <c r="E70" s="23"/>
      <c r="F70" s="23"/>
      <c r="G70" s="23"/>
    </row>
    <row r="71" spans="1:7" ht="16.5" customHeight="1">
      <c r="A71" s="787"/>
      <c r="B71" s="23" t="s">
        <v>260</v>
      </c>
      <c r="C71" s="29"/>
      <c r="D71" s="29">
        <f>관광용수!R44</f>
        <v>0</v>
      </c>
      <c r="E71" s="29">
        <f>관광용수!S44</f>
        <v>0</v>
      </c>
      <c r="F71" s="29">
        <f>관광용수!T44</f>
        <v>0</v>
      </c>
      <c r="G71" s="23"/>
    </row>
    <row r="72" spans="1:7" ht="16.5" customHeight="1">
      <c r="A72" s="787"/>
      <c r="B72" s="23" t="s">
        <v>261</v>
      </c>
      <c r="C72" s="29"/>
      <c r="D72" s="29"/>
      <c r="E72" s="29"/>
      <c r="F72" s="29"/>
      <c r="G72" s="23"/>
    </row>
    <row r="73" spans="1:7" ht="16.5" customHeight="1">
      <c r="A73" s="787"/>
      <c r="B73" s="23" t="s">
        <v>59</v>
      </c>
      <c r="C73" s="29">
        <f>SUM(C69:C72)</f>
        <v>797</v>
      </c>
      <c r="D73" s="29">
        <f>SUM(D69:D72)</f>
        <v>876</v>
      </c>
      <c r="E73" s="29">
        <f>SUM(E69:E72)</f>
        <v>941</v>
      </c>
      <c r="F73" s="29">
        <f>SUM(F69:F72)</f>
        <v>1005</v>
      </c>
      <c r="G73" s="23"/>
    </row>
    <row r="74" spans="1:7" ht="16.5" customHeight="1">
      <c r="A74" s="787" t="s">
        <v>712</v>
      </c>
      <c r="B74" s="23" t="s">
        <v>258</v>
      </c>
      <c r="C74" s="29">
        <f>생활용수량!Q50</f>
        <v>12540</v>
      </c>
      <c r="D74" s="29">
        <f>생활용수량!R50</f>
        <v>14752</v>
      </c>
      <c r="E74" s="29">
        <f>생활용수량!S50</f>
        <v>15931</v>
      </c>
      <c r="F74" s="29">
        <f>생활용수량!T50</f>
        <v>17335</v>
      </c>
      <c r="G74" s="23"/>
    </row>
    <row r="75" spans="1:7" ht="16.5" customHeight="1">
      <c r="A75" s="787"/>
      <c r="B75" s="23" t="s">
        <v>259</v>
      </c>
      <c r="C75" s="23"/>
      <c r="D75" s="23"/>
      <c r="E75" s="23"/>
      <c r="F75" s="23"/>
      <c r="G75" s="23"/>
    </row>
    <row r="76" spans="1:7" ht="16.5" customHeight="1">
      <c r="A76" s="787"/>
      <c r="B76" s="23" t="s">
        <v>260</v>
      </c>
      <c r="C76" s="23"/>
      <c r="D76" s="23">
        <f>관광용수!R47</f>
        <v>44</v>
      </c>
      <c r="E76" s="23">
        <f>관광용수!S47</f>
        <v>47</v>
      </c>
      <c r="F76" s="23">
        <f>관광용수!T47</f>
        <v>47</v>
      </c>
      <c r="G76" s="23"/>
    </row>
    <row r="77" spans="1:7" ht="16.5" customHeight="1">
      <c r="A77" s="787"/>
      <c r="B77" s="23" t="s">
        <v>261</v>
      </c>
      <c r="C77" s="29"/>
      <c r="D77" s="29"/>
      <c r="E77" s="29"/>
      <c r="F77" s="29"/>
      <c r="G77" s="23"/>
    </row>
    <row r="78" spans="1:7" ht="16.5" customHeight="1">
      <c r="A78" s="787"/>
      <c r="B78" s="23" t="s">
        <v>59</v>
      </c>
      <c r="C78" s="29">
        <f>SUM(C74:C77)</f>
        <v>12540</v>
      </c>
      <c r="D78" s="29">
        <f>SUM(D74:D77)</f>
        <v>14796</v>
      </c>
      <c r="E78" s="29">
        <f>SUM(E74:E77)</f>
        <v>15978</v>
      </c>
      <c r="F78" s="29">
        <f>SUM(F74:F77)</f>
        <v>17382</v>
      </c>
      <c r="G78" s="23"/>
    </row>
    <row r="79" spans="1:7" ht="16.5" customHeight="1">
      <c r="A79" s="787" t="s">
        <v>713</v>
      </c>
      <c r="B79" s="23" t="s">
        <v>258</v>
      </c>
      <c r="C79" s="29">
        <f>생활용수량!Q53</f>
        <v>7086</v>
      </c>
      <c r="D79" s="29">
        <f>생활용수량!R53</f>
        <v>7928</v>
      </c>
      <c r="E79" s="29">
        <f>생활용수량!S53</f>
        <v>8587</v>
      </c>
      <c r="F79" s="29">
        <f>생활용수량!T53</f>
        <v>9373</v>
      </c>
      <c r="G79" s="23"/>
    </row>
    <row r="80" spans="1:7" ht="16.5" customHeight="1">
      <c r="A80" s="787"/>
      <c r="B80" s="23" t="s">
        <v>259</v>
      </c>
      <c r="C80" s="23"/>
      <c r="D80" s="23"/>
      <c r="E80" s="23"/>
      <c r="F80" s="23"/>
      <c r="G80" s="23"/>
    </row>
    <row r="81" spans="1:7" ht="16.5" customHeight="1">
      <c r="A81" s="787"/>
      <c r="B81" s="23" t="s">
        <v>260</v>
      </c>
      <c r="C81" s="23"/>
      <c r="D81" s="23">
        <f>관광용수!R50</f>
        <v>4</v>
      </c>
      <c r="E81" s="23">
        <f>관광용수!S50</f>
        <v>4</v>
      </c>
      <c r="F81" s="23">
        <f>관광용수!T50</f>
        <v>4</v>
      </c>
      <c r="G81" s="23"/>
    </row>
    <row r="82" spans="1:7" ht="16.5" customHeight="1">
      <c r="A82" s="787"/>
      <c r="B82" s="23" t="s">
        <v>261</v>
      </c>
      <c r="C82" s="29"/>
      <c r="D82" s="29"/>
      <c r="E82" s="29"/>
      <c r="F82" s="29"/>
      <c r="G82" s="23"/>
    </row>
    <row r="83" spans="1:7" ht="16.5" customHeight="1">
      <c r="A83" s="787"/>
      <c r="B83" s="23" t="s">
        <v>59</v>
      </c>
      <c r="C83" s="29">
        <f>SUM(C79:C82)</f>
        <v>7086</v>
      </c>
      <c r="D83" s="29">
        <f>SUM(D79:D82)</f>
        <v>7932</v>
      </c>
      <c r="E83" s="29">
        <f>SUM(E79:E82)</f>
        <v>8591</v>
      </c>
      <c r="F83" s="29">
        <f>SUM(F79:F82)</f>
        <v>9377</v>
      </c>
      <c r="G83" s="23"/>
    </row>
    <row r="84" spans="1:7" ht="16.5" customHeight="1"/>
    <row r="85" spans="1:7" ht="16.5" customHeight="1"/>
    <row r="86" spans="1:7" ht="16.5" customHeight="1"/>
    <row r="87" spans="1:7" ht="16.5" customHeight="1"/>
    <row r="88" spans="1:7" ht="16.5" customHeight="1"/>
    <row r="89" spans="1:7" ht="16.5" customHeight="1"/>
    <row r="90" spans="1:7" ht="24.95" customHeight="1"/>
    <row r="91" spans="1:7" ht="24.95" customHeight="1"/>
    <row r="92" spans="1:7" ht="24.95" customHeight="1"/>
    <row r="93" spans="1:7" ht="24.95" customHeight="1"/>
    <row r="94" spans="1:7" ht="24.95" customHeight="1"/>
    <row r="95" spans="1:7" ht="24.95" customHeight="1"/>
    <row r="96" spans="1:7" ht="24.95" customHeight="1"/>
    <row r="97" ht="24.95" customHeight="1"/>
    <row r="98" ht="24.95" customHeight="1"/>
    <row r="99" ht="24.95" customHeight="1"/>
    <row r="100" ht="24.95" customHeight="1"/>
    <row r="101" ht="24.95" customHeight="1"/>
    <row r="102" ht="24.95" customHeight="1"/>
    <row r="103" ht="24.95" customHeight="1"/>
    <row r="104" ht="24.95" customHeight="1"/>
    <row r="105" ht="24.95" customHeight="1"/>
    <row r="106" ht="24.95" customHeight="1"/>
    <row r="107" ht="24.95" customHeight="1"/>
    <row r="108" ht="24.95" customHeight="1"/>
    <row r="109" ht="24.95" customHeight="1"/>
    <row r="110" ht="24.95" customHeight="1"/>
    <row r="111" ht="24.95" customHeight="1"/>
    <row r="112" ht="24.95" customHeight="1"/>
    <row r="113" ht="24.95" customHeight="1"/>
    <row r="114" ht="24.95" customHeight="1"/>
    <row r="115" ht="24.95" customHeight="1"/>
    <row r="116" ht="24.95" customHeight="1"/>
    <row r="117" ht="24.95" customHeight="1"/>
    <row r="118" ht="24.95" customHeight="1"/>
    <row r="119" ht="24.95" customHeight="1"/>
    <row r="120" ht="24.95" customHeight="1"/>
    <row r="121" ht="24.95" customHeight="1"/>
    <row r="122" ht="24.95" customHeight="1"/>
    <row r="123" ht="24.95" customHeight="1"/>
    <row r="124" ht="24.95" customHeight="1"/>
    <row r="125" ht="24.95" customHeight="1"/>
    <row r="126" ht="24.95" customHeight="1"/>
    <row r="127" ht="24.95" customHeight="1"/>
    <row r="128" ht="24.95" customHeight="1"/>
    <row r="129" ht="24.95" customHeight="1"/>
    <row r="130" ht="24.95" customHeight="1"/>
    <row r="131" ht="24.95" customHeight="1"/>
    <row r="132" ht="24.95" customHeight="1"/>
    <row r="133" ht="24.95" customHeight="1"/>
    <row r="134" ht="24.95" customHeight="1"/>
    <row r="135" ht="24.95" customHeight="1"/>
    <row r="136" ht="24.95" customHeight="1"/>
    <row r="137" ht="24.95" customHeight="1"/>
    <row r="138" ht="24.95" customHeight="1"/>
    <row r="139" ht="24.95" customHeight="1"/>
    <row r="140" ht="24.95" customHeight="1"/>
    <row r="141" ht="24.95" customHeight="1"/>
    <row r="142" ht="24.95" customHeight="1"/>
    <row r="143" ht="24.95" customHeight="1"/>
    <row r="144" ht="24.95" customHeight="1"/>
    <row r="145" ht="24.95" customHeight="1"/>
    <row r="146" ht="24.95" customHeight="1"/>
    <row r="147" ht="24.95" customHeight="1"/>
    <row r="148" ht="24.95" customHeight="1"/>
    <row r="149" ht="24.95" customHeight="1"/>
    <row r="150" ht="24.95" customHeight="1"/>
    <row r="151" ht="24.95" customHeight="1"/>
    <row r="152" ht="24.95" customHeight="1"/>
    <row r="153" ht="24.95" customHeight="1"/>
    <row r="154" ht="24.95" customHeight="1"/>
    <row r="155" ht="24.95" customHeight="1"/>
    <row r="156" ht="24.95" customHeight="1"/>
    <row r="157" ht="24.95" customHeight="1"/>
    <row r="158" ht="24.95" customHeight="1"/>
    <row r="159" ht="24.95" customHeight="1"/>
    <row r="160" ht="24.95" customHeight="1"/>
    <row r="161" ht="24.95" customHeight="1"/>
    <row r="162" ht="24.95" customHeight="1"/>
    <row r="163" ht="24.95" customHeight="1"/>
    <row r="164" ht="24.95" customHeight="1"/>
    <row r="165" ht="24.95" customHeight="1"/>
    <row r="166" ht="24.95" customHeight="1"/>
    <row r="167" ht="24.95" customHeight="1"/>
    <row r="168" ht="24.95" customHeight="1"/>
    <row r="169" ht="24.95" customHeight="1"/>
    <row r="170" ht="24.95" customHeight="1"/>
    <row r="171" ht="24.95" customHeight="1"/>
    <row r="172" ht="24.95" customHeight="1"/>
    <row r="173" ht="24.95" customHeight="1"/>
    <row r="174" ht="24.95" customHeight="1"/>
    <row r="175" ht="24.95" customHeight="1"/>
    <row r="176" ht="24.95" customHeight="1"/>
    <row r="177" ht="24.95" customHeight="1"/>
    <row r="178" ht="24.95" customHeight="1"/>
    <row r="179" ht="24.95" customHeight="1"/>
    <row r="180" ht="24.95" customHeight="1"/>
    <row r="181" ht="24.95" customHeight="1"/>
    <row r="182" ht="24.95" customHeight="1"/>
    <row r="183" ht="24.95" customHeight="1"/>
    <row r="184" ht="24.95" customHeight="1"/>
    <row r="185" ht="24.95" customHeight="1"/>
    <row r="186" ht="24.95" customHeight="1"/>
    <row r="187" ht="24.95" customHeight="1"/>
    <row r="188" ht="24.95" customHeight="1"/>
    <row r="189" ht="24.95" customHeight="1"/>
    <row r="190" ht="24.95" customHeight="1"/>
    <row r="191" ht="24.95" customHeight="1"/>
    <row r="192" ht="24.95" customHeight="1"/>
    <row r="193" ht="24.95" customHeight="1"/>
    <row r="194" ht="24.95" customHeight="1"/>
    <row r="195" ht="24.95" customHeight="1"/>
    <row r="196" ht="24.95" customHeight="1"/>
    <row r="197" ht="24.95" customHeight="1"/>
    <row r="198" ht="24.95" customHeight="1"/>
    <row r="199" ht="24.95" customHeight="1"/>
    <row r="200" ht="24.95" customHeight="1"/>
    <row r="201" ht="24.95" customHeight="1"/>
  </sheetData>
  <mergeCells count="19">
    <mergeCell ref="A44:A48"/>
    <mergeCell ref="G2:G3"/>
    <mergeCell ref="A29:A33"/>
    <mergeCell ref="A2:B3"/>
    <mergeCell ref="A14:A18"/>
    <mergeCell ref="A19:A23"/>
    <mergeCell ref="C2:F2"/>
    <mergeCell ref="A34:A38"/>
    <mergeCell ref="A39:A43"/>
    <mergeCell ref="A4:A8"/>
    <mergeCell ref="A9:A13"/>
    <mergeCell ref="A24:A28"/>
    <mergeCell ref="A79:A83"/>
    <mergeCell ref="A49:A53"/>
    <mergeCell ref="A54:A58"/>
    <mergeCell ref="A59:A63"/>
    <mergeCell ref="A64:A68"/>
    <mergeCell ref="A69:A73"/>
    <mergeCell ref="A74:A78"/>
  </mergeCells>
  <phoneticPr fontId="3" type="noConversion"/>
  <printOptions horizontalCentered="1"/>
  <pageMargins left="0.59055118110236227" right="0.62992125984251968" top="0.59055118110236227" bottom="0.98425196850393704" header="0.51181102362204722" footer="0.51181102362204722"/>
  <pageSetup paperSize="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sheetPr enableFormatConditionsCalculation="0">
    <tabColor indexed="10"/>
  </sheetPr>
  <dimension ref="A1:AL110"/>
  <sheetViews>
    <sheetView workbookViewId="0"/>
  </sheetViews>
  <sheetFormatPr defaultRowHeight="11.25" outlineLevelRow="1"/>
  <cols>
    <col min="1" max="2" width="12.44140625" style="15" customWidth="1"/>
    <col min="3" max="21" width="8.6640625" style="15" customWidth="1"/>
    <col min="22" max="23" width="8.88671875" style="15"/>
    <col min="24" max="30" width="7.21875" style="15" customWidth="1"/>
    <col min="31" max="31" width="3.77734375" style="15" customWidth="1"/>
    <col min="32" max="32" width="6.5546875" style="15" customWidth="1"/>
    <col min="33" max="38" width="7.21875" style="15" customWidth="1"/>
    <col min="39" max="16384" width="8.88671875" style="15"/>
  </cols>
  <sheetData>
    <row r="1" spans="1:38" ht="24.95" customHeight="1" thickBot="1">
      <c r="A1" s="91" t="s">
        <v>554</v>
      </c>
    </row>
    <row r="2" spans="1:38" ht="27" customHeight="1">
      <c r="A2" s="806" t="s">
        <v>211</v>
      </c>
      <c r="B2" s="807"/>
      <c r="C2" s="808" t="s">
        <v>214</v>
      </c>
      <c r="D2" s="809"/>
      <c r="E2" s="809"/>
      <c r="F2" s="809"/>
      <c r="G2" s="810"/>
      <c r="H2" s="808" t="s">
        <v>213</v>
      </c>
      <c r="I2" s="809"/>
      <c r="J2" s="809"/>
      <c r="K2" s="809"/>
      <c r="L2" s="810"/>
      <c r="M2" s="811" t="s">
        <v>215</v>
      </c>
      <c r="N2" s="812"/>
      <c r="O2" s="812"/>
      <c r="P2" s="812"/>
      <c r="Q2" s="812" t="s">
        <v>216</v>
      </c>
      <c r="R2" s="812"/>
      <c r="S2" s="812"/>
      <c r="T2" s="812"/>
      <c r="U2" s="813" t="s">
        <v>212</v>
      </c>
      <c r="X2" s="782" t="s">
        <v>737</v>
      </c>
      <c r="Y2" s="782"/>
      <c r="Z2" s="782" t="s">
        <v>715</v>
      </c>
      <c r="AA2" s="782"/>
      <c r="AB2" s="782"/>
      <c r="AC2" s="782"/>
      <c r="AD2" s="782"/>
      <c r="AF2" s="797" t="s">
        <v>736</v>
      </c>
      <c r="AG2" s="798"/>
      <c r="AH2" s="803" t="s">
        <v>715</v>
      </c>
      <c r="AI2" s="804"/>
      <c r="AJ2" s="804"/>
      <c r="AK2" s="804"/>
      <c r="AL2" s="805"/>
    </row>
    <row r="3" spans="1:38" ht="27" customHeight="1" outlineLevel="1">
      <c r="A3" s="792"/>
      <c r="B3" s="803"/>
      <c r="C3" s="156"/>
      <c r="D3" s="10"/>
      <c r="E3" s="10"/>
      <c r="F3" s="10"/>
      <c r="G3" s="157"/>
      <c r="H3" s="156">
        <v>0.77</v>
      </c>
      <c r="I3" s="181">
        <v>0.84</v>
      </c>
      <c r="J3" s="181">
        <v>0.85</v>
      </c>
      <c r="K3" s="181">
        <v>0.85</v>
      </c>
      <c r="L3" s="182">
        <v>0.86</v>
      </c>
      <c r="M3" s="141"/>
      <c r="N3" s="10"/>
      <c r="O3" s="10"/>
      <c r="P3" s="10"/>
      <c r="Q3" s="10"/>
      <c r="R3" s="10"/>
      <c r="S3" s="10"/>
      <c r="T3" s="10"/>
      <c r="U3" s="814"/>
      <c r="X3" s="782"/>
      <c r="Y3" s="782"/>
      <c r="Z3" s="10">
        <v>0.77</v>
      </c>
      <c r="AA3" s="10">
        <v>0.8</v>
      </c>
      <c r="AB3" s="10">
        <v>0.85</v>
      </c>
      <c r="AC3" s="10">
        <v>0.9</v>
      </c>
      <c r="AD3" s="10">
        <v>0.95</v>
      </c>
      <c r="AF3" s="799"/>
      <c r="AG3" s="800"/>
      <c r="AH3" s="10">
        <v>0.77</v>
      </c>
      <c r="AI3" s="10">
        <v>0.8</v>
      </c>
      <c r="AJ3" s="10">
        <v>0.85</v>
      </c>
      <c r="AK3" s="10">
        <v>0.9</v>
      </c>
      <c r="AL3" s="10">
        <v>0.95</v>
      </c>
    </row>
    <row r="4" spans="1:38" ht="27" customHeight="1" outlineLevel="1">
      <c r="A4" s="792"/>
      <c r="B4" s="803"/>
      <c r="C4" s="156"/>
      <c r="D4" s="10"/>
      <c r="E4" s="10"/>
      <c r="F4" s="10"/>
      <c r="G4" s="157"/>
      <c r="H4" s="156">
        <v>1</v>
      </c>
      <c r="I4" s="10">
        <v>1</v>
      </c>
      <c r="J4" s="10">
        <v>1</v>
      </c>
      <c r="K4" s="10">
        <v>1</v>
      </c>
      <c r="L4" s="157">
        <v>1</v>
      </c>
      <c r="M4" s="141"/>
      <c r="N4" s="10"/>
      <c r="O4" s="10"/>
      <c r="P4" s="10"/>
      <c r="Q4" s="10"/>
      <c r="R4" s="10"/>
      <c r="S4" s="10"/>
      <c r="T4" s="10"/>
      <c r="U4" s="814"/>
      <c r="X4" s="782"/>
      <c r="Y4" s="782"/>
      <c r="Z4" s="10">
        <v>1</v>
      </c>
      <c r="AA4" s="10">
        <v>1</v>
      </c>
      <c r="AB4" s="10">
        <v>1</v>
      </c>
      <c r="AC4" s="10">
        <v>1</v>
      </c>
      <c r="AD4" s="10">
        <v>1</v>
      </c>
      <c r="AF4" s="799"/>
      <c r="AG4" s="800"/>
      <c r="AH4" s="10">
        <v>1</v>
      </c>
      <c r="AI4" s="10">
        <v>1</v>
      </c>
      <c r="AJ4" s="10">
        <v>1</v>
      </c>
      <c r="AK4" s="10">
        <v>1</v>
      </c>
      <c r="AL4" s="10">
        <v>1</v>
      </c>
    </row>
    <row r="5" spans="1:38" ht="27" customHeight="1">
      <c r="A5" s="792"/>
      <c r="B5" s="803"/>
      <c r="C5" s="156" t="s">
        <v>714</v>
      </c>
      <c r="D5" s="17" t="s">
        <v>160</v>
      </c>
      <c r="E5" s="17" t="s">
        <v>161</v>
      </c>
      <c r="F5" s="17" t="s">
        <v>162</v>
      </c>
      <c r="G5" s="158" t="s">
        <v>163</v>
      </c>
      <c r="H5" s="176" t="s">
        <v>714</v>
      </c>
      <c r="I5" s="17" t="s">
        <v>160</v>
      </c>
      <c r="J5" s="17" t="s">
        <v>161</v>
      </c>
      <c r="K5" s="17" t="s">
        <v>162</v>
      </c>
      <c r="L5" s="158" t="s">
        <v>163</v>
      </c>
      <c r="M5" s="142" t="s">
        <v>160</v>
      </c>
      <c r="N5" s="17" t="s">
        <v>161</v>
      </c>
      <c r="O5" s="17" t="s">
        <v>162</v>
      </c>
      <c r="P5" s="17" t="s">
        <v>163</v>
      </c>
      <c r="Q5" s="17" t="s">
        <v>160</v>
      </c>
      <c r="R5" s="17" t="s">
        <v>161</v>
      </c>
      <c r="S5" s="17" t="s">
        <v>162</v>
      </c>
      <c r="T5" s="17" t="s">
        <v>163</v>
      </c>
      <c r="U5" s="814"/>
      <c r="X5" s="782"/>
      <c r="Y5" s="782"/>
      <c r="Z5" s="10" t="s">
        <v>346</v>
      </c>
      <c r="AA5" s="10" t="s">
        <v>716</v>
      </c>
      <c r="AB5" s="10" t="s">
        <v>717</v>
      </c>
      <c r="AC5" s="10" t="s">
        <v>718</v>
      </c>
      <c r="AD5" s="10" t="s">
        <v>719</v>
      </c>
      <c r="AF5" s="801"/>
      <c r="AG5" s="802"/>
      <c r="AH5" s="10" t="s">
        <v>346</v>
      </c>
      <c r="AI5" s="10" t="s">
        <v>716</v>
      </c>
      <c r="AJ5" s="10" t="s">
        <v>717</v>
      </c>
      <c r="AK5" s="10" t="s">
        <v>718</v>
      </c>
      <c r="AL5" s="10" t="s">
        <v>719</v>
      </c>
    </row>
    <row r="6" spans="1:38" ht="27" customHeight="1">
      <c r="A6" s="792" t="s">
        <v>698</v>
      </c>
      <c r="B6" s="139" t="s">
        <v>60</v>
      </c>
      <c r="C6" s="159">
        <f t="shared" ref="C6:L6" si="0">C9+C12+C15+C18+C21+C24+C27+C30+C33+C36+C39+C42+C45+C48+C51</f>
        <v>128965</v>
      </c>
      <c r="D6" s="12">
        <f t="shared" si="0"/>
        <v>130469</v>
      </c>
      <c r="E6" s="12">
        <f t="shared" si="0"/>
        <v>133201</v>
      </c>
      <c r="F6" s="12">
        <f t="shared" si="0"/>
        <v>136221</v>
      </c>
      <c r="G6" s="160">
        <f t="shared" si="0"/>
        <v>138561</v>
      </c>
      <c r="H6" s="159">
        <f t="shared" si="0"/>
        <v>99303</v>
      </c>
      <c r="I6" s="12">
        <f t="shared" si="0"/>
        <v>109595</v>
      </c>
      <c r="J6" s="12">
        <f t="shared" si="0"/>
        <v>113220</v>
      </c>
      <c r="K6" s="12">
        <f t="shared" si="0"/>
        <v>115790</v>
      </c>
      <c r="L6" s="160">
        <f t="shared" si="0"/>
        <v>119162</v>
      </c>
      <c r="M6" s="141"/>
      <c r="N6" s="10"/>
      <c r="O6" s="10"/>
      <c r="P6" s="10"/>
      <c r="Q6" s="12"/>
      <c r="R6" s="12"/>
      <c r="S6" s="12"/>
      <c r="T6" s="12"/>
      <c r="U6" s="157"/>
      <c r="X6" s="794" t="s">
        <v>720</v>
      </c>
      <c r="Y6" s="10" t="s">
        <v>60</v>
      </c>
      <c r="Z6" s="10">
        <v>97523</v>
      </c>
      <c r="AA6" s="10">
        <v>106950</v>
      </c>
      <c r="AB6" s="10">
        <v>114398</v>
      </c>
      <c r="AC6" s="10">
        <v>122569</v>
      </c>
      <c r="AD6" s="10">
        <v>130705</v>
      </c>
      <c r="AF6" s="794" t="s">
        <v>720</v>
      </c>
      <c r="AG6" s="10" t="s">
        <v>60</v>
      </c>
      <c r="AH6" s="180">
        <f>Z6</f>
        <v>97523</v>
      </c>
      <c r="AI6" s="10">
        <f>AA6-Z6</f>
        <v>9427</v>
      </c>
      <c r="AJ6" s="10">
        <f t="shared" ref="AJ6:AL7" si="1">AB6-AA6</f>
        <v>7448</v>
      </c>
      <c r="AK6" s="10">
        <f t="shared" si="1"/>
        <v>8171</v>
      </c>
      <c r="AL6" s="10">
        <f t="shared" si="1"/>
        <v>8136</v>
      </c>
    </row>
    <row r="7" spans="1:38" ht="27" customHeight="1">
      <c r="A7" s="792"/>
      <c r="B7" s="139" t="s">
        <v>61</v>
      </c>
      <c r="C7" s="159">
        <f>C10+C13+C16+C19+C22+C25+C28+C31+C34+C37+C40+C43+C46+C49+C52</f>
        <v>0</v>
      </c>
      <c r="D7" s="12">
        <f>D10+D13+D16+D19+D22+D25+D28+D31+D34+D37+D40+D43+D46+D49+D52</f>
        <v>4806</v>
      </c>
      <c r="E7" s="12">
        <f t="shared" ref="E7:L7" si="2">E10+E13+E16+E19+E22+E25+E28+E31+E34+E37+E40+E43+E46+E49+E52</f>
        <v>17800.591780821916</v>
      </c>
      <c r="F7" s="12">
        <f t="shared" si="2"/>
        <v>24860.342465753423</v>
      </c>
      <c r="G7" s="160">
        <f t="shared" si="2"/>
        <v>24875.531506849315</v>
      </c>
      <c r="H7" s="159">
        <f t="shared" si="2"/>
        <v>0</v>
      </c>
      <c r="I7" s="12">
        <f t="shared" si="2"/>
        <v>4806</v>
      </c>
      <c r="J7" s="12">
        <f t="shared" si="2"/>
        <v>17801</v>
      </c>
      <c r="K7" s="12">
        <f t="shared" si="2"/>
        <v>24860</v>
      </c>
      <c r="L7" s="160">
        <f t="shared" si="2"/>
        <v>24876</v>
      </c>
      <c r="M7" s="141"/>
      <c r="N7" s="10"/>
      <c r="O7" s="10"/>
      <c r="P7" s="10"/>
      <c r="Q7" s="6"/>
      <c r="R7" s="6"/>
      <c r="S7" s="6"/>
      <c r="T7" s="6"/>
      <c r="U7" s="157"/>
      <c r="X7" s="795"/>
      <c r="Y7" s="10" t="s">
        <v>61</v>
      </c>
      <c r="Z7" s="10">
        <v>0</v>
      </c>
      <c r="AA7" s="10">
        <v>4806</v>
      </c>
      <c r="AB7" s="10">
        <v>17801</v>
      </c>
      <c r="AC7" s="10">
        <v>24860</v>
      </c>
      <c r="AD7" s="10">
        <v>24876</v>
      </c>
      <c r="AF7" s="795"/>
      <c r="AG7" s="10" t="s">
        <v>61</v>
      </c>
      <c r="AH7" s="180">
        <f t="shared" ref="AH7:AH53" si="3">Z7</f>
        <v>0</v>
      </c>
      <c r="AI7" s="10">
        <f>AA7-Z7</f>
        <v>4806</v>
      </c>
      <c r="AJ7" s="10">
        <f t="shared" si="1"/>
        <v>12995</v>
      </c>
      <c r="AK7" s="10">
        <f t="shared" si="1"/>
        <v>7059</v>
      </c>
      <c r="AL7" s="10">
        <f t="shared" si="1"/>
        <v>16</v>
      </c>
    </row>
    <row r="8" spans="1:38" ht="27" customHeight="1">
      <c r="A8" s="792"/>
      <c r="B8" s="140" t="s">
        <v>217</v>
      </c>
      <c r="C8" s="161">
        <f t="shared" ref="C8:L8" si="4">SUM(C6:C7)</f>
        <v>128965</v>
      </c>
      <c r="D8" s="6">
        <f t="shared" si="4"/>
        <v>135275</v>
      </c>
      <c r="E8" s="6">
        <f t="shared" si="4"/>
        <v>151001.59178082191</v>
      </c>
      <c r="F8" s="6">
        <f t="shared" si="4"/>
        <v>161081.34246575343</v>
      </c>
      <c r="G8" s="162">
        <f t="shared" si="4"/>
        <v>163436.53150684931</v>
      </c>
      <c r="H8" s="161">
        <f t="shared" si="4"/>
        <v>99303</v>
      </c>
      <c r="I8" s="6">
        <f t="shared" si="4"/>
        <v>114401</v>
      </c>
      <c r="J8" s="6">
        <f t="shared" si="4"/>
        <v>131021</v>
      </c>
      <c r="K8" s="6">
        <f t="shared" si="4"/>
        <v>140650</v>
      </c>
      <c r="L8" s="162">
        <f t="shared" si="4"/>
        <v>144038</v>
      </c>
      <c r="M8" s="141"/>
      <c r="N8" s="10"/>
      <c r="O8" s="10"/>
      <c r="P8" s="10"/>
      <c r="Q8" s="6">
        <f>Q11+Q14+Q17+Q20+Q23+Q26+Q29+Q32+Q35+Q38+Q41+Q44+Q47+Q50+Q53</f>
        <v>43518</v>
      </c>
      <c r="R8" s="6">
        <f>R11+R14+R17+R20+R23+R26+R29+R32+R35+R38+R41+R44+R47+R50+R53</f>
        <v>52641</v>
      </c>
      <c r="S8" s="6">
        <f>S11+S14+S17+S20+S23+S26+S29+S32+S35+S38+S41+S44+S47+S50+S53</f>
        <v>59541</v>
      </c>
      <c r="T8" s="6">
        <f>T11+T14+T17+T20+T23+T26+T29+T32+T35+T38+T41+T44+T47+T50+T53</f>
        <v>64396</v>
      </c>
      <c r="U8" s="157"/>
      <c r="X8" s="796"/>
      <c r="Y8" s="10" t="s">
        <v>59</v>
      </c>
      <c r="Z8" s="10">
        <v>97523</v>
      </c>
      <c r="AA8" s="10">
        <v>111756</v>
      </c>
      <c r="AB8" s="10">
        <v>132199</v>
      </c>
      <c r="AC8" s="10">
        <v>147429</v>
      </c>
      <c r="AD8" s="10">
        <v>155581</v>
      </c>
      <c r="AF8" s="796"/>
      <c r="AG8" s="10" t="s">
        <v>59</v>
      </c>
      <c r="AH8" s="180">
        <f t="shared" si="3"/>
        <v>97523</v>
      </c>
      <c r="AI8" s="180">
        <f>SUM(AI6:AI7)</f>
        <v>14233</v>
      </c>
      <c r="AJ8" s="180">
        <f>SUM(AJ6:AJ7)</f>
        <v>20443</v>
      </c>
      <c r="AK8" s="180">
        <f>SUM(AK6:AK7)</f>
        <v>15230</v>
      </c>
      <c r="AL8" s="180">
        <f>SUM(AL6:AL7)</f>
        <v>8152</v>
      </c>
    </row>
    <row r="9" spans="1:38" ht="27" customHeight="1">
      <c r="A9" s="792" t="s">
        <v>699</v>
      </c>
      <c r="B9" s="139" t="s">
        <v>60</v>
      </c>
      <c r="C9" s="245">
        <f>'[7]1.생잔모형법'!$B$4</f>
        <v>10575</v>
      </c>
      <c r="D9" s="143">
        <f>'[7]1.생잔모형법'!E4</f>
        <v>10689</v>
      </c>
      <c r="E9" s="143">
        <f>'[7]1.생잔모형법'!F4</f>
        <v>10935</v>
      </c>
      <c r="F9" s="143">
        <f>'[7]1.생잔모형법'!G4</f>
        <v>11184</v>
      </c>
      <c r="G9" s="164">
        <f>'[7]1.생잔모형법'!H4</f>
        <v>11359</v>
      </c>
      <c r="H9" s="161">
        <f>ROUND(C9*$H$3,0)</f>
        <v>8143</v>
      </c>
      <c r="I9" s="6">
        <f>ROUND(D9*$I$3,0)</f>
        <v>8979</v>
      </c>
      <c r="J9" s="6">
        <f>ROUND(E9*$J$3,0)</f>
        <v>9295</v>
      </c>
      <c r="K9" s="6">
        <f>ROUND(F9*$K$3,0)</f>
        <v>9506</v>
      </c>
      <c r="L9" s="162">
        <f>ROUND(G9*$L$3,0)</f>
        <v>9769</v>
      </c>
      <c r="M9" s="141"/>
      <c r="N9" s="10"/>
      <c r="O9" s="10"/>
      <c r="P9" s="10"/>
      <c r="Q9" s="6"/>
      <c r="R9" s="6"/>
      <c r="S9" s="6"/>
      <c r="T9" s="6"/>
      <c r="U9" s="157"/>
      <c r="X9" s="794" t="s">
        <v>721</v>
      </c>
      <c r="Y9" s="10" t="s">
        <v>60</v>
      </c>
      <c r="Z9" s="10">
        <v>8268</v>
      </c>
      <c r="AA9" s="10">
        <v>9070</v>
      </c>
      <c r="AB9" s="10">
        <v>9701</v>
      </c>
      <c r="AC9" s="10">
        <v>10394</v>
      </c>
      <c r="AD9" s="10">
        <v>11084</v>
      </c>
      <c r="AF9" s="794" t="s">
        <v>721</v>
      </c>
      <c r="AG9" s="10" t="s">
        <v>60</v>
      </c>
      <c r="AH9" s="180">
        <f t="shared" si="3"/>
        <v>8268</v>
      </c>
      <c r="AI9" s="10">
        <f t="shared" ref="AI9:AL10" si="5">AA9-Z9</f>
        <v>802</v>
      </c>
      <c r="AJ9" s="10">
        <f t="shared" si="5"/>
        <v>631</v>
      </c>
      <c r="AK9" s="10">
        <f t="shared" si="5"/>
        <v>693</v>
      </c>
      <c r="AL9" s="10">
        <f t="shared" si="5"/>
        <v>690</v>
      </c>
    </row>
    <row r="10" spans="1:38" s="149" customFormat="1" ht="27" customHeight="1">
      <c r="A10" s="792"/>
      <c r="B10" s="154" t="s">
        <v>61</v>
      </c>
      <c r="C10" s="165">
        <v>0</v>
      </c>
      <c r="D10" s="146">
        <v>457</v>
      </c>
      <c r="E10" s="146">
        <v>457</v>
      </c>
      <c r="F10" s="146">
        <v>907</v>
      </c>
      <c r="G10" s="166">
        <v>907</v>
      </c>
      <c r="H10" s="147">
        <f>ROUND(C10*$H$4,0)</f>
        <v>0</v>
      </c>
      <c r="I10" s="147">
        <f>ROUND(D10*$I$4,0)</f>
        <v>457</v>
      </c>
      <c r="J10" s="147">
        <f>ROUND(E10*$J$4,0)</f>
        <v>457</v>
      </c>
      <c r="K10" s="147">
        <f>ROUND(F10*$K$4,0)</f>
        <v>907</v>
      </c>
      <c r="L10" s="179">
        <f>ROUND(G10*$L$4,0)</f>
        <v>907</v>
      </c>
      <c r="M10" s="173"/>
      <c r="N10" s="148"/>
      <c r="O10" s="148"/>
      <c r="P10" s="148"/>
      <c r="Q10" s="147"/>
      <c r="R10" s="147"/>
      <c r="S10" s="147"/>
      <c r="T10" s="147"/>
      <c r="U10" s="196"/>
      <c r="X10" s="795"/>
      <c r="Y10" s="148" t="s">
        <v>61</v>
      </c>
      <c r="Z10" s="148">
        <v>0</v>
      </c>
      <c r="AA10" s="148">
        <v>457</v>
      </c>
      <c r="AB10" s="148">
        <v>457</v>
      </c>
      <c r="AC10" s="148">
        <v>907</v>
      </c>
      <c r="AD10" s="148">
        <v>907</v>
      </c>
      <c r="AF10" s="795"/>
      <c r="AG10" s="148" t="s">
        <v>61</v>
      </c>
      <c r="AH10" s="180">
        <f t="shared" si="3"/>
        <v>0</v>
      </c>
      <c r="AI10" s="10">
        <f t="shared" si="5"/>
        <v>457</v>
      </c>
      <c r="AJ10" s="10">
        <f t="shared" si="5"/>
        <v>0</v>
      </c>
      <c r="AK10" s="10">
        <f t="shared" si="5"/>
        <v>450</v>
      </c>
      <c r="AL10" s="10">
        <f t="shared" si="5"/>
        <v>0</v>
      </c>
    </row>
    <row r="11" spans="1:38" ht="27" customHeight="1">
      <c r="A11" s="792"/>
      <c r="B11" s="140" t="s">
        <v>217</v>
      </c>
      <c r="C11" s="161">
        <f>SUM(C9:C10)</f>
        <v>10575</v>
      </c>
      <c r="D11" s="6">
        <f t="shared" ref="D11:L11" si="6">SUM(D9:D10)</f>
        <v>11146</v>
      </c>
      <c r="E11" s="6">
        <f t="shared" si="6"/>
        <v>11392</v>
      </c>
      <c r="F11" s="6">
        <f t="shared" si="6"/>
        <v>12091</v>
      </c>
      <c r="G11" s="162">
        <f t="shared" si="6"/>
        <v>12266</v>
      </c>
      <c r="H11" s="6">
        <f t="shared" si="6"/>
        <v>8143</v>
      </c>
      <c r="I11" s="6">
        <f t="shared" si="6"/>
        <v>9436</v>
      </c>
      <c r="J11" s="6">
        <f t="shared" si="6"/>
        <v>9752</v>
      </c>
      <c r="K11" s="6">
        <f t="shared" si="6"/>
        <v>10413</v>
      </c>
      <c r="L11" s="162">
        <f t="shared" si="6"/>
        <v>10676</v>
      </c>
      <c r="M11" s="183">
        <f>[3]원단위결정!$E$20</f>
        <v>371.38499999999999</v>
      </c>
      <c r="N11" s="184">
        <f>[3]원단위결정!$F$20</f>
        <v>400.86</v>
      </c>
      <c r="O11" s="184">
        <f>[3]원단위결정!$G$20</f>
        <v>432.95500000000004</v>
      </c>
      <c r="P11" s="184">
        <f>[3]원단위결정!$H$20</f>
        <v>466.36</v>
      </c>
      <c r="Q11" s="6">
        <f>ROUND(I11*M11/1000,0)</f>
        <v>3504</v>
      </c>
      <c r="R11" s="6">
        <f>ROUND(J11*N11/1000,0)</f>
        <v>3909</v>
      </c>
      <c r="S11" s="6">
        <f>ROUND(K11*O11/1000,0)</f>
        <v>4508</v>
      </c>
      <c r="T11" s="6">
        <f>ROUND(L11*P11/1000,0)</f>
        <v>4979</v>
      </c>
      <c r="U11" s="157"/>
      <c r="X11" s="796"/>
      <c r="Y11" s="10" t="s">
        <v>59</v>
      </c>
      <c r="Z11" s="10">
        <v>8268</v>
      </c>
      <c r="AA11" s="10">
        <v>9527</v>
      </c>
      <c r="AB11" s="10">
        <v>10158</v>
      </c>
      <c r="AC11" s="10">
        <v>11301</v>
      </c>
      <c r="AD11" s="10">
        <v>11991</v>
      </c>
      <c r="AF11" s="796"/>
      <c r="AG11" s="10" t="s">
        <v>59</v>
      </c>
      <c r="AH11" s="180">
        <f t="shared" si="3"/>
        <v>8268</v>
      </c>
      <c r="AI11" s="180">
        <f>SUM(AI9:AI10)</f>
        <v>1259</v>
      </c>
      <c r="AJ11" s="180">
        <f>SUM(AJ9:AJ10)</f>
        <v>631</v>
      </c>
      <c r="AK11" s="180">
        <f>SUM(AK9:AK10)</f>
        <v>1143</v>
      </c>
      <c r="AL11" s="180">
        <f>SUM(AL9:AL10)</f>
        <v>690</v>
      </c>
    </row>
    <row r="12" spans="1:38" ht="27" customHeight="1">
      <c r="A12" s="792" t="s">
        <v>700</v>
      </c>
      <c r="B12" s="139" t="s">
        <v>60</v>
      </c>
      <c r="C12" s="245">
        <f>'[7]1.생잔모형법'!$B$5</f>
        <v>16342</v>
      </c>
      <c r="D12" s="143">
        <f>'[7]1.생잔모형법'!E5</f>
        <v>16535</v>
      </c>
      <c r="E12" s="143">
        <f>'[7]1.생잔모형법'!F5</f>
        <v>16879</v>
      </c>
      <c r="F12" s="143">
        <f>'[7]1.생잔모형법'!G5</f>
        <v>17263</v>
      </c>
      <c r="G12" s="164">
        <f>'[7]1.생잔모형법'!H5</f>
        <v>17559</v>
      </c>
      <c r="H12" s="161">
        <f>ROUND(C12*$H$3,0)</f>
        <v>12583</v>
      </c>
      <c r="I12" s="6">
        <f>ROUND(D12*$I$3,0)</f>
        <v>13889</v>
      </c>
      <c r="J12" s="6">
        <f>ROUND(E12*$J$3,0)</f>
        <v>14347</v>
      </c>
      <c r="K12" s="6">
        <f>ROUND(F12*$K$3,0)</f>
        <v>14674</v>
      </c>
      <c r="L12" s="162">
        <f>ROUND(G12*$L$3,0)</f>
        <v>15101</v>
      </c>
      <c r="M12" s="174"/>
      <c r="N12" s="144"/>
      <c r="O12" s="144"/>
      <c r="P12" s="10"/>
      <c r="Q12" s="6"/>
      <c r="R12" s="6"/>
      <c r="S12" s="6"/>
      <c r="T12" s="6"/>
      <c r="U12" s="157"/>
      <c r="X12" s="794" t="s">
        <v>722</v>
      </c>
      <c r="Y12" s="10" t="s">
        <v>60</v>
      </c>
      <c r="Z12" s="10">
        <v>12408</v>
      </c>
      <c r="AA12" s="10">
        <v>13606</v>
      </c>
      <c r="AB12" s="10">
        <v>14553</v>
      </c>
      <c r="AC12" s="10">
        <v>15593</v>
      </c>
      <c r="AD12" s="10">
        <v>16628</v>
      </c>
      <c r="AF12" s="794" t="s">
        <v>722</v>
      </c>
      <c r="AG12" s="10" t="s">
        <v>60</v>
      </c>
      <c r="AH12" s="180">
        <f t="shared" si="3"/>
        <v>12408</v>
      </c>
      <c r="AI12" s="10">
        <f t="shared" ref="AI12:AL13" si="7">AA12-Z12</f>
        <v>1198</v>
      </c>
      <c r="AJ12" s="10">
        <f t="shared" si="7"/>
        <v>947</v>
      </c>
      <c r="AK12" s="10">
        <f t="shared" si="7"/>
        <v>1040</v>
      </c>
      <c r="AL12" s="10">
        <f t="shared" si="7"/>
        <v>1035</v>
      </c>
    </row>
    <row r="13" spans="1:38" s="149" customFormat="1" ht="27" customHeight="1">
      <c r="A13" s="792"/>
      <c r="B13" s="154" t="s">
        <v>61</v>
      </c>
      <c r="C13" s="165">
        <v>0</v>
      </c>
      <c r="D13" s="146">
        <v>2087</v>
      </c>
      <c r="E13" s="146">
        <v>5102</v>
      </c>
      <c r="F13" s="146">
        <v>5102</v>
      </c>
      <c r="G13" s="166">
        <v>5102</v>
      </c>
      <c r="H13" s="147">
        <f>ROUND(C13*$H$4,0)</f>
        <v>0</v>
      </c>
      <c r="I13" s="147">
        <f>ROUND(D13*$I$4,0)</f>
        <v>2087</v>
      </c>
      <c r="J13" s="147">
        <f>ROUND(E13*$J$4,0)</f>
        <v>5102</v>
      </c>
      <c r="K13" s="147">
        <f>ROUND(F13*$K$4,0)</f>
        <v>5102</v>
      </c>
      <c r="L13" s="179">
        <f>ROUND(G13*$L$4,0)</f>
        <v>5102</v>
      </c>
      <c r="M13" s="175"/>
      <c r="N13" s="150"/>
      <c r="O13" s="150"/>
      <c r="P13" s="148"/>
      <c r="Q13" s="147"/>
      <c r="R13" s="147"/>
      <c r="S13" s="147"/>
      <c r="T13" s="147"/>
      <c r="U13" s="196"/>
      <c r="X13" s="795"/>
      <c r="Y13" s="148" t="s">
        <v>61</v>
      </c>
      <c r="Z13" s="148">
        <v>0</v>
      </c>
      <c r="AA13" s="148">
        <v>2087</v>
      </c>
      <c r="AB13" s="148">
        <v>5102</v>
      </c>
      <c r="AC13" s="148">
        <v>5102</v>
      </c>
      <c r="AD13" s="148">
        <v>5102</v>
      </c>
      <c r="AF13" s="795"/>
      <c r="AG13" s="148" t="s">
        <v>61</v>
      </c>
      <c r="AH13" s="180">
        <f t="shared" si="3"/>
        <v>0</v>
      </c>
      <c r="AI13" s="10">
        <f t="shared" si="7"/>
        <v>2087</v>
      </c>
      <c r="AJ13" s="10">
        <f t="shared" si="7"/>
        <v>3015</v>
      </c>
      <c r="AK13" s="10">
        <f t="shared" si="7"/>
        <v>0</v>
      </c>
      <c r="AL13" s="10">
        <f t="shared" si="7"/>
        <v>0</v>
      </c>
    </row>
    <row r="14" spans="1:38" ht="27" customHeight="1">
      <c r="A14" s="792"/>
      <c r="B14" s="140" t="s">
        <v>217</v>
      </c>
      <c r="C14" s="161">
        <f>SUM(C12:C13)</f>
        <v>16342</v>
      </c>
      <c r="D14" s="6">
        <f t="shared" ref="D14:L14" si="8">SUM(D12:D13)</f>
        <v>18622</v>
      </c>
      <c r="E14" s="6">
        <f t="shared" si="8"/>
        <v>21981</v>
      </c>
      <c r="F14" s="6">
        <f t="shared" si="8"/>
        <v>22365</v>
      </c>
      <c r="G14" s="162">
        <f t="shared" si="8"/>
        <v>22661</v>
      </c>
      <c r="H14" s="6">
        <f t="shared" si="8"/>
        <v>12583</v>
      </c>
      <c r="I14" s="6">
        <f t="shared" si="8"/>
        <v>15976</v>
      </c>
      <c r="J14" s="6">
        <f t="shared" si="8"/>
        <v>19449</v>
      </c>
      <c r="K14" s="6">
        <f t="shared" si="8"/>
        <v>19776</v>
      </c>
      <c r="L14" s="162">
        <f t="shared" si="8"/>
        <v>20203</v>
      </c>
      <c r="M14" s="174">
        <f>[3]원단위결정!$E$20</f>
        <v>371.38499999999999</v>
      </c>
      <c r="N14" s="144">
        <f>[3]원단위결정!$F$20</f>
        <v>400.86</v>
      </c>
      <c r="O14" s="144">
        <f>[3]원단위결정!$G$20</f>
        <v>432.95500000000004</v>
      </c>
      <c r="P14" s="184">
        <f>[3]원단위결정!$H$20</f>
        <v>466.36</v>
      </c>
      <c r="Q14" s="6">
        <f>ROUND(I14*M14/1000,0)</f>
        <v>5933</v>
      </c>
      <c r="R14" s="6">
        <f>ROUND(J14*N14/1000,0)</f>
        <v>7796</v>
      </c>
      <c r="S14" s="6">
        <f>ROUND(K14*O14/1000,0)</f>
        <v>8562</v>
      </c>
      <c r="T14" s="6">
        <f>ROUND(L14*P14/1000,0)</f>
        <v>9422</v>
      </c>
      <c r="U14" s="157"/>
      <c r="X14" s="796"/>
      <c r="Y14" s="10" t="s">
        <v>59</v>
      </c>
      <c r="Z14" s="10">
        <v>12408</v>
      </c>
      <c r="AA14" s="10">
        <v>15693</v>
      </c>
      <c r="AB14" s="10">
        <v>19655</v>
      </c>
      <c r="AC14" s="10">
        <v>20695</v>
      </c>
      <c r="AD14" s="10">
        <v>21730</v>
      </c>
      <c r="AF14" s="796"/>
      <c r="AG14" s="10" t="s">
        <v>59</v>
      </c>
      <c r="AH14" s="180">
        <f t="shared" si="3"/>
        <v>12408</v>
      </c>
      <c r="AI14" s="180">
        <f>SUM(AI12:AI13)</f>
        <v>3285</v>
      </c>
      <c r="AJ14" s="180">
        <f>SUM(AJ12:AJ13)</f>
        <v>3962</v>
      </c>
      <c r="AK14" s="180">
        <f>SUM(AK12:AK13)</f>
        <v>1040</v>
      </c>
      <c r="AL14" s="180">
        <f>SUM(AL12:AL13)</f>
        <v>1035</v>
      </c>
    </row>
    <row r="15" spans="1:38" ht="27" customHeight="1">
      <c r="A15" s="792" t="s">
        <v>701</v>
      </c>
      <c r="B15" s="139" t="s">
        <v>60</v>
      </c>
      <c r="C15" s="245">
        <f>'[7]1.생잔모형법'!$B$6</f>
        <v>5357</v>
      </c>
      <c r="D15" s="143">
        <f>'[7]1.생잔모형법'!E6</f>
        <v>5421</v>
      </c>
      <c r="E15" s="143">
        <f>'[7]1.생잔모형법'!F6</f>
        <v>5534</v>
      </c>
      <c r="F15" s="143">
        <f>'[7]1.생잔모형법'!G6</f>
        <v>5658</v>
      </c>
      <c r="G15" s="164">
        <f>'[7]1.생잔모형법'!H6</f>
        <v>5754</v>
      </c>
      <c r="H15" s="161">
        <f>ROUND(C15*$H$3,0)</f>
        <v>4125</v>
      </c>
      <c r="I15" s="6">
        <f>ROUND(D15*$I$3,0)</f>
        <v>4554</v>
      </c>
      <c r="J15" s="6">
        <f>ROUND(E15*$J$3,0)</f>
        <v>4704</v>
      </c>
      <c r="K15" s="6">
        <f>ROUND(F15*$K$3,0)</f>
        <v>4809</v>
      </c>
      <c r="L15" s="162">
        <f>ROUND(G15*$L$3,0)</f>
        <v>4948</v>
      </c>
      <c r="M15" s="141"/>
      <c r="N15" s="10"/>
      <c r="O15" s="10"/>
      <c r="P15" s="10"/>
      <c r="Q15" s="6"/>
      <c r="R15" s="6"/>
      <c r="S15" s="6"/>
      <c r="T15" s="6"/>
      <c r="U15" s="157"/>
      <c r="X15" s="794" t="s">
        <v>723</v>
      </c>
      <c r="Y15" s="10" t="s">
        <v>60</v>
      </c>
      <c r="Z15" s="10">
        <v>3960</v>
      </c>
      <c r="AA15" s="10">
        <v>4342</v>
      </c>
      <c r="AB15" s="10">
        <v>4645</v>
      </c>
      <c r="AC15" s="10">
        <v>4977</v>
      </c>
      <c r="AD15" s="10">
        <v>5308</v>
      </c>
      <c r="AF15" s="794" t="s">
        <v>723</v>
      </c>
      <c r="AG15" s="10" t="s">
        <v>60</v>
      </c>
      <c r="AH15" s="180">
        <f t="shared" si="3"/>
        <v>3960</v>
      </c>
      <c r="AI15" s="10">
        <f t="shared" ref="AI15:AL16" si="9">AA15-Z15</f>
        <v>382</v>
      </c>
      <c r="AJ15" s="10">
        <f t="shared" si="9"/>
        <v>303</v>
      </c>
      <c r="AK15" s="10">
        <f t="shared" si="9"/>
        <v>332</v>
      </c>
      <c r="AL15" s="10">
        <f t="shared" si="9"/>
        <v>331</v>
      </c>
    </row>
    <row r="16" spans="1:38" s="149" customFormat="1" ht="27" customHeight="1">
      <c r="A16" s="792"/>
      <c r="B16" s="154" t="s">
        <v>61</v>
      </c>
      <c r="C16" s="165">
        <v>0</v>
      </c>
      <c r="D16" s="151">
        <v>0</v>
      </c>
      <c r="E16" s="151">
        <v>0</v>
      </c>
      <c r="F16" s="146">
        <v>3750</v>
      </c>
      <c r="G16" s="166">
        <v>3750</v>
      </c>
      <c r="H16" s="147">
        <f>ROUND(C16*$H$4,0)</f>
        <v>0</v>
      </c>
      <c r="I16" s="152">
        <f>ROUND(D16*$I$4,0)</f>
        <v>0</v>
      </c>
      <c r="J16" s="152">
        <f>ROUND(E16*$J$4,0)</f>
        <v>0</v>
      </c>
      <c r="K16" s="147">
        <f>ROUND(F16*$K$4,0)</f>
        <v>3750</v>
      </c>
      <c r="L16" s="179">
        <f>ROUND(G16*$L$4,0)</f>
        <v>3750</v>
      </c>
      <c r="M16" s="173"/>
      <c r="N16" s="148"/>
      <c r="O16" s="148"/>
      <c r="P16" s="148"/>
      <c r="Q16" s="147"/>
      <c r="R16" s="147"/>
      <c r="S16" s="147"/>
      <c r="T16" s="147"/>
      <c r="U16" s="196"/>
      <c r="X16" s="795"/>
      <c r="Y16" s="148" t="s">
        <v>61</v>
      </c>
      <c r="Z16" s="148">
        <v>0</v>
      </c>
      <c r="AA16" s="148">
        <v>0</v>
      </c>
      <c r="AB16" s="148">
        <v>0</v>
      </c>
      <c r="AC16" s="148">
        <v>3750</v>
      </c>
      <c r="AD16" s="148">
        <v>3750</v>
      </c>
      <c r="AF16" s="795"/>
      <c r="AG16" s="148" t="s">
        <v>61</v>
      </c>
      <c r="AH16" s="180">
        <f t="shared" si="3"/>
        <v>0</v>
      </c>
      <c r="AI16" s="10">
        <f t="shared" si="9"/>
        <v>0</v>
      </c>
      <c r="AJ16" s="10">
        <f t="shared" si="9"/>
        <v>0</v>
      </c>
      <c r="AK16" s="10">
        <f t="shared" si="9"/>
        <v>3750</v>
      </c>
      <c r="AL16" s="10">
        <f t="shared" si="9"/>
        <v>0</v>
      </c>
    </row>
    <row r="17" spans="1:38" ht="27" customHeight="1">
      <c r="A17" s="792"/>
      <c r="B17" s="140" t="s">
        <v>217</v>
      </c>
      <c r="C17" s="161">
        <f>SUM(C15:C16)</f>
        <v>5357</v>
      </c>
      <c r="D17" s="6">
        <f t="shared" ref="D17:L17" si="10">SUM(D15:D16)</f>
        <v>5421</v>
      </c>
      <c r="E17" s="6">
        <f t="shared" si="10"/>
        <v>5534</v>
      </c>
      <c r="F17" s="6">
        <f t="shared" si="10"/>
        <v>9408</v>
      </c>
      <c r="G17" s="162">
        <f t="shared" si="10"/>
        <v>9504</v>
      </c>
      <c r="H17" s="6">
        <f t="shared" si="10"/>
        <v>4125</v>
      </c>
      <c r="I17" s="6">
        <f t="shared" si="10"/>
        <v>4554</v>
      </c>
      <c r="J17" s="6">
        <f t="shared" si="10"/>
        <v>4704</v>
      </c>
      <c r="K17" s="6">
        <f t="shared" si="10"/>
        <v>8559</v>
      </c>
      <c r="L17" s="162">
        <f t="shared" si="10"/>
        <v>8698</v>
      </c>
      <c r="M17" s="183">
        <f>[3]원단위결정!$E$21</f>
        <v>325.53500000000003</v>
      </c>
      <c r="N17" s="184">
        <f>[3]원단위결정!$F$21</f>
        <v>346.82249999999999</v>
      </c>
      <c r="O17" s="184">
        <f>[3]원단위결정!$G$21</f>
        <v>364.18</v>
      </c>
      <c r="P17" s="184">
        <f>[3]원단위결정!$H$21</f>
        <v>377.60750000000002</v>
      </c>
      <c r="Q17" s="6">
        <f>ROUND(I17*M17/1000,0)</f>
        <v>1482</v>
      </c>
      <c r="R17" s="6">
        <f>ROUND(J17*N17/1000,0)</f>
        <v>1631</v>
      </c>
      <c r="S17" s="6">
        <f>ROUND(K17*O17/1000,0)</f>
        <v>3117</v>
      </c>
      <c r="T17" s="6">
        <f>ROUND(L17*P17/1000,0)</f>
        <v>3284</v>
      </c>
      <c r="U17" s="157"/>
      <c r="X17" s="796"/>
      <c r="Y17" s="10" t="s">
        <v>59</v>
      </c>
      <c r="Z17" s="10">
        <v>3960</v>
      </c>
      <c r="AA17" s="10">
        <v>4342</v>
      </c>
      <c r="AB17" s="10">
        <v>4645</v>
      </c>
      <c r="AC17" s="10">
        <v>8727</v>
      </c>
      <c r="AD17" s="10">
        <v>9058</v>
      </c>
      <c r="AF17" s="796"/>
      <c r="AG17" s="10" t="s">
        <v>59</v>
      </c>
      <c r="AH17" s="180">
        <f t="shared" si="3"/>
        <v>3960</v>
      </c>
      <c r="AI17" s="180">
        <f>SUM(AI15:AI16)</f>
        <v>382</v>
      </c>
      <c r="AJ17" s="180">
        <f>SUM(AJ15:AJ16)</f>
        <v>303</v>
      </c>
      <c r="AK17" s="180">
        <f>SUM(AK15:AK16)</f>
        <v>4082</v>
      </c>
      <c r="AL17" s="180">
        <f>SUM(AL15:AL16)</f>
        <v>331</v>
      </c>
    </row>
    <row r="18" spans="1:38" ht="27" customHeight="1">
      <c r="A18" s="792" t="s">
        <v>702</v>
      </c>
      <c r="B18" s="139" t="s">
        <v>60</v>
      </c>
      <c r="C18" s="245">
        <f>'[7]1.생잔모형법'!$B$7</f>
        <v>5303</v>
      </c>
      <c r="D18" s="143">
        <f>'[7]1.생잔모형법'!E7</f>
        <v>5364</v>
      </c>
      <c r="E18" s="143">
        <f>'[7]1.생잔모형법'!F7</f>
        <v>5477</v>
      </c>
      <c r="F18" s="143">
        <f>'[7]1.생잔모형법'!G7</f>
        <v>5601</v>
      </c>
      <c r="G18" s="164">
        <f>'[7]1.생잔모형법'!H7</f>
        <v>5699</v>
      </c>
      <c r="H18" s="161">
        <f>ROUND(C18*$H$3,0)</f>
        <v>4083</v>
      </c>
      <c r="I18" s="6">
        <f>ROUND(D18*$I$3,0)</f>
        <v>4506</v>
      </c>
      <c r="J18" s="6">
        <f>ROUND(E18*$J$3,0)</f>
        <v>4655</v>
      </c>
      <c r="K18" s="6">
        <f>ROUND(F18*$K$3,0)</f>
        <v>4761</v>
      </c>
      <c r="L18" s="162">
        <f>ROUND(G18*$L$3,0)</f>
        <v>4901</v>
      </c>
      <c r="M18" s="141"/>
      <c r="N18" s="10"/>
      <c r="O18" s="10"/>
      <c r="P18" s="10"/>
      <c r="Q18" s="6"/>
      <c r="R18" s="6"/>
      <c r="S18" s="6"/>
      <c r="T18" s="6"/>
      <c r="U18" s="157"/>
      <c r="X18" s="794" t="s">
        <v>724</v>
      </c>
      <c r="Y18" s="10" t="s">
        <v>60</v>
      </c>
      <c r="Z18" s="10">
        <v>4039</v>
      </c>
      <c r="AA18" s="10">
        <v>4428</v>
      </c>
      <c r="AB18" s="10">
        <v>4736</v>
      </c>
      <c r="AC18" s="10">
        <v>5075</v>
      </c>
      <c r="AD18" s="10">
        <v>5412</v>
      </c>
      <c r="AF18" s="794" t="s">
        <v>724</v>
      </c>
      <c r="AG18" s="10" t="s">
        <v>60</v>
      </c>
      <c r="AH18" s="180">
        <f t="shared" si="3"/>
        <v>4039</v>
      </c>
      <c r="AI18" s="10">
        <f t="shared" ref="AI18:AL19" si="11">AA18-Z18</f>
        <v>389</v>
      </c>
      <c r="AJ18" s="10">
        <f t="shared" si="11"/>
        <v>308</v>
      </c>
      <c r="AK18" s="10">
        <f t="shared" si="11"/>
        <v>339</v>
      </c>
      <c r="AL18" s="10">
        <f t="shared" si="11"/>
        <v>337</v>
      </c>
    </row>
    <row r="19" spans="1:38" s="149" customFormat="1" ht="27" customHeight="1">
      <c r="A19" s="792"/>
      <c r="B19" s="154" t="s">
        <v>61</v>
      </c>
      <c r="C19" s="165">
        <v>0</v>
      </c>
      <c r="D19" s="151">
        <v>0</v>
      </c>
      <c r="E19" s="151">
        <v>0</v>
      </c>
      <c r="F19" s="151">
        <v>0</v>
      </c>
      <c r="G19" s="167">
        <v>0</v>
      </c>
      <c r="H19" s="147">
        <f>ROUND(C19*$H$4,0)</f>
        <v>0</v>
      </c>
      <c r="I19" s="152">
        <f>ROUND(D19*$I$4,0)</f>
        <v>0</v>
      </c>
      <c r="J19" s="152">
        <f>ROUND(E19*$J$4,0)</f>
        <v>0</v>
      </c>
      <c r="K19" s="152">
        <f>ROUND(F19*$K$4,0)</f>
        <v>0</v>
      </c>
      <c r="L19" s="168">
        <f>ROUND(G19*$L$4,0)</f>
        <v>0</v>
      </c>
      <c r="M19" s="173"/>
      <c r="N19" s="148"/>
      <c r="O19" s="148"/>
      <c r="P19" s="148"/>
      <c r="Q19" s="147"/>
      <c r="R19" s="147"/>
      <c r="S19" s="147"/>
      <c r="T19" s="147"/>
      <c r="U19" s="196"/>
      <c r="X19" s="795"/>
      <c r="Y19" s="148" t="s">
        <v>61</v>
      </c>
      <c r="Z19" s="148">
        <v>0</v>
      </c>
      <c r="AA19" s="148">
        <v>0</v>
      </c>
      <c r="AB19" s="148">
        <v>0</v>
      </c>
      <c r="AC19" s="148">
        <v>0</v>
      </c>
      <c r="AD19" s="148">
        <v>0</v>
      </c>
      <c r="AF19" s="795"/>
      <c r="AG19" s="148" t="s">
        <v>61</v>
      </c>
      <c r="AH19" s="180">
        <f t="shared" si="3"/>
        <v>0</v>
      </c>
      <c r="AI19" s="10">
        <f t="shared" si="11"/>
        <v>0</v>
      </c>
      <c r="AJ19" s="10">
        <f t="shared" si="11"/>
        <v>0</v>
      </c>
      <c r="AK19" s="10">
        <f t="shared" si="11"/>
        <v>0</v>
      </c>
      <c r="AL19" s="10">
        <f t="shared" si="11"/>
        <v>0</v>
      </c>
    </row>
    <row r="20" spans="1:38" ht="27" customHeight="1">
      <c r="A20" s="792"/>
      <c r="B20" s="140" t="s">
        <v>15</v>
      </c>
      <c r="C20" s="161">
        <f>SUM(C18:C19)</f>
        <v>5303</v>
      </c>
      <c r="D20" s="6">
        <f t="shared" ref="D20:L20" si="12">SUM(D18:D19)</f>
        <v>5364</v>
      </c>
      <c r="E20" s="6">
        <f t="shared" si="12"/>
        <v>5477</v>
      </c>
      <c r="F20" s="6">
        <f t="shared" si="12"/>
        <v>5601</v>
      </c>
      <c r="G20" s="162">
        <f t="shared" si="12"/>
        <v>5699</v>
      </c>
      <c r="H20" s="6">
        <f t="shared" si="12"/>
        <v>4083</v>
      </c>
      <c r="I20" s="6">
        <f t="shared" si="12"/>
        <v>4506</v>
      </c>
      <c r="J20" s="6">
        <f t="shared" si="12"/>
        <v>4655</v>
      </c>
      <c r="K20" s="6">
        <f t="shared" si="12"/>
        <v>4761</v>
      </c>
      <c r="L20" s="162">
        <f t="shared" si="12"/>
        <v>4901</v>
      </c>
      <c r="M20" s="183">
        <f>[3]원단위결정!$E$21</f>
        <v>325.53500000000003</v>
      </c>
      <c r="N20" s="184">
        <f>[3]원단위결정!$F$21</f>
        <v>346.82249999999999</v>
      </c>
      <c r="O20" s="184">
        <f>[3]원단위결정!$G$21</f>
        <v>364.18</v>
      </c>
      <c r="P20" s="184">
        <f>[3]원단위결정!$H$21</f>
        <v>377.60750000000002</v>
      </c>
      <c r="Q20" s="6">
        <f>ROUND(I20*M20/1000,0)</f>
        <v>1467</v>
      </c>
      <c r="R20" s="6">
        <f>ROUND(J20*N20/1000,0)</f>
        <v>1614</v>
      </c>
      <c r="S20" s="6">
        <f>ROUND(K20*O20/1000,0)</f>
        <v>1734</v>
      </c>
      <c r="T20" s="6">
        <f>ROUND(L20*P20/1000,0)</f>
        <v>1851</v>
      </c>
      <c r="U20" s="157"/>
      <c r="X20" s="796"/>
      <c r="Y20" s="10" t="s">
        <v>59</v>
      </c>
      <c r="Z20" s="10">
        <v>4039</v>
      </c>
      <c r="AA20" s="10">
        <v>4428</v>
      </c>
      <c r="AB20" s="10">
        <v>4736</v>
      </c>
      <c r="AC20" s="10">
        <v>5075</v>
      </c>
      <c r="AD20" s="10">
        <v>5412</v>
      </c>
      <c r="AF20" s="796"/>
      <c r="AG20" s="10" t="s">
        <v>59</v>
      </c>
      <c r="AH20" s="180">
        <f t="shared" si="3"/>
        <v>4039</v>
      </c>
      <c r="AI20" s="180">
        <f>SUM(AI18:AI19)</f>
        <v>389</v>
      </c>
      <c r="AJ20" s="180">
        <f>SUM(AJ18:AJ19)</f>
        <v>308</v>
      </c>
      <c r="AK20" s="180">
        <f>SUM(AK18:AK19)</f>
        <v>339</v>
      </c>
      <c r="AL20" s="180">
        <f>SUM(AL18:AL19)</f>
        <v>337</v>
      </c>
    </row>
    <row r="21" spans="1:38" ht="27" customHeight="1">
      <c r="A21" s="792" t="s">
        <v>703</v>
      </c>
      <c r="B21" s="139" t="s">
        <v>60</v>
      </c>
      <c r="C21" s="245">
        <f>'[7]1.생잔모형법'!$B$8</f>
        <v>3897</v>
      </c>
      <c r="D21" s="143">
        <f>'[7]1.생잔모형법'!E8</f>
        <v>3943</v>
      </c>
      <c r="E21" s="143">
        <f>'[7]1.생잔모형법'!F8</f>
        <v>4024</v>
      </c>
      <c r="F21" s="143">
        <f>'[7]1.생잔모형법'!G8</f>
        <v>4115</v>
      </c>
      <c r="G21" s="164">
        <f>'[7]1.생잔모형법'!H8</f>
        <v>4186</v>
      </c>
      <c r="H21" s="161">
        <f>ROUND(C21*$H$3,0)</f>
        <v>3001</v>
      </c>
      <c r="I21" s="6">
        <f>ROUND(D21*$I$3,0)</f>
        <v>3312</v>
      </c>
      <c r="J21" s="6">
        <f>ROUND(E21*$J$3,0)</f>
        <v>3420</v>
      </c>
      <c r="K21" s="6">
        <f>ROUND(F21*$K$3,0)</f>
        <v>3498</v>
      </c>
      <c r="L21" s="162">
        <f>ROUND(G21*$L$3,0)</f>
        <v>3600</v>
      </c>
      <c r="M21" s="174"/>
      <c r="N21" s="144"/>
      <c r="O21" s="144"/>
      <c r="P21" s="10"/>
      <c r="Q21" s="6"/>
      <c r="R21" s="6"/>
      <c r="S21" s="6"/>
      <c r="T21" s="6"/>
      <c r="U21" s="157"/>
      <c r="X21" s="794" t="s">
        <v>725</v>
      </c>
      <c r="Y21" s="10" t="s">
        <v>60</v>
      </c>
      <c r="Z21" s="10">
        <v>2998</v>
      </c>
      <c r="AA21" s="10">
        <v>3284</v>
      </c>
      <c r="AB21" s="10">
        <v>3512</v>
      </c>
      <c r="AC21" s="10">
        <v>3763</v>
      </c>
      <c r="AD21" s="10">
        <v>4013</v>
      </c>
      <c r="AF21" s="794" t="s">
        <v>725</v>
      </c>
      <c r="AG21" s="10" t="s">
        <v>60</v>
      </c>
      <c r="AH21" s="180">
        <f t="shared" si="3"/>
        <v>2998</v>
      </c>
      <c r="AI21" s="10">
        <f t="shared" ref="AI21:AL22" si="13">AA21-Z21</f>
        <v>286</v>
      </c>
      <c r="AJ21" s="10">
        <f t="shared" si="13"/>
        <v>228</v>
      </c>
      <c r="AK21" s="10">
        <f t="shared" si="13"/>
        <v>251</v>
      </c>
      <c r="AL21" s="10">
        <f t="shared" si="13"/>
        <v>250</v>
      </c>
    </row>
    <row r="22" spans="1:38" s="149" customFormat="1" ht="27" customHeight="1">
      <c r="A22" s="792"/>
      <c r="B22" s="154" t="s">
        <v>61</v>
      </c>
      <c r="C22" s="165">
        <v>0</v>
      </c>
      <c r="D22" s="151">
        <v>0</v>
      </c>
      <c r="E22" s="151">
        <v>0</v>
      </c>
      <c r="F22" s="146">
        <v>1250</v>
      </c>
      <c r="G22" s="166">
        <v>1250</v>
      </c>
      <c r="H22" s="147">
        <f>ROUND(C22*$H$4,0)</f>
        <v>0</v>
      </c>
      <c r="I22" s="152">
        <f>ROUND(D22*$I$4,0)</f>
        <v>0</v>
      </c>
      <c r="J22" s="152">
        <f>ROUND(E22*$J$4,0)</f>
        <v>0</v>
      </c>
      <c r="K22" s="147">
        <f>ROUND(F22*$K$4,0)</f>
        <v>1250</v>
      </c>
      <c r="L22" s="179">
        <f>ROUND(G22*$L$4,0)</f>
        <v>1250</v>
      </c>
      <c r="M22" s="175"/>
      <c r="N22" s="150"/>
      <c r="O22" s="150"/>
      <c r="P22" s="148"/>
      <c r="Q22" s="147"/>
      <c r="R22" s="147"/>
      <c r="S22" s="147"/>
      <c r="T22" s="147"/>
      <c r="U22" s="196"/>
      <c r="X22" s="795"/>
      <c r="Y22" s="148" t="s">
        <v>61</v>
      </c>
      <c r="Z22" s="148">
        <v>0</v>
      </c>
      <c r="AA22" s="148">
        <v>0</v>
      </c>
      <c r="AB22" s="148">
        <v>0</v>
      </c>
      <c r="AC22" s="148">
        <v>1250</v>
      </c>
      <c r="AD22" s="148">
        <v>1250</v>
      </c>
      <c r="AF22" s="795"/>
      <c r="AG22" s="148" t="s">
        <v>61</v>
      </c>
      <c r="AH22" s="180">
        <f t="shared" si="3"/>
        <v>0</v>
      </c>
      <c r="AI22" s="10">
        <f t="shared" si="13"/>
        <v>0</v>
      </c>
      <c r="AJ22" s="10">
        <f t="shared" si="13"/>
        <v>0</v>
      </c>
      <c r="AK22" s="10">
        <f t="shared" si="13"/>
        <v>1250</v>
      </c>
      <c r="AL22" s="10">
        <f t="shared" si="13"/>
        <v>0</v>
      </c>
    </row>
    <row r="23" spans="1:38" ht="27" customHeight="1">
      <c r="A23" s="792"/>
      <c r="B23" s="140" t="s">
        <v>15</v>
      </c>
      <c r="C23" s="161">
        <f>SUM(C21:C22)</f>
        <v>3897</v>
      </c>
      <c r="D23" s="6">
        <f t="shared" ref="D23:L23" si="14">SUM(D21:D22)</f>
        <v>3943</v>
      </c>
      <c r="E23" s="6">
        <f t="shared" si="14"/>
        <v>4024</v>
      </c>
      <c r="F23" s="6">
        <f t="shared" si="14"/>
        <v>5365</v>
      </c>
      <c r="G23" s="162">
        <f t="shared" si="14"/>
        <v>5436</v>
      </c>
      <c r="H23" s="6">
        <f t="shared" si="14"/>
        <v>3001</v>
      </c>
      <c r="I23" s="6">
        <f t="shared" si="14"/>
        <v>3312</v>
      </c>
      <c r="J23" s="6">
        <f t="shared" si="14"/>
        <v>3420</v>
      </c>
      <c r="K23" s="6">
        <f t="shared" si="14"/>
        <v>4748</v>
      </c>
      <c r="L23" s="162">
        <f t="shared" si="14"/>
        <v>4850</v>
      </c>
      <c r="M23" s="174">
        <f>[3]원단위결정!$E$21</f>
        <v>325.53500000000003</v>
      </c>
      <c r="N23" s="144">
        <f>[3]원단위결정!$F$21</f>
        <v>346.82249999999999</v>
      </c>
      <c r="O23" s="144">
        <f>[3]원단위결정!$G$21</f>
        <v>364.18</v>
      </c>
      <c r="P23" s="184">
        <f>[3]원단위결정!$H$21</f>
        <v>377.60750000000002</v>
      </c>
      <c r="Q23" s="6">
        <f>ROUND(I23*M23/1000,0)</f>
        <v>1078</v>
      </c>
      <c r="R23" s="6">
        <f>ROUND(J23*N23/1000,0)</f>
        <v>1186</v>
      </c>
      <c r="S23" s="6">
        <f>ROUND(K23*O23/1000,0)</f>
        <v>1729</v>
      </c>
      <c r="T23" s="6">
        <f>ROUND(L23*P23/1000,0)</f>
        <v>1831</v>
      </c>
      <c r="U23" s="157"/>
      <c r="X23" s="796"/>
      <c r="Y23" s="10" t="s">
        <v>59</v>
      </c>
      <c r="Z23" s="10">
        <v>2998</v>
      </c>
      <c r="AA23" s="10">
        <v>3284</v>
      </c>
      <c r="AB23" s="10">
        <v>3512</v>
      </c>
      <c r="AC23" s="10">
        <v>5013</v>
      </c>
      <c r="AD23" s="10">
        <v>5263</v>
      </c>
      <c r="AF23" s="796"/>
      <c r="AG23" s="10" t="s">
        <v>59</v>
      </c>
      <c r="AH23" s="180">
        <f t="shared" si="3"/>
        <v>2998</v>
      </c>
      <c r="AI23" s="180">
        <f>SUM(AI21:AI22)</f>
        <v>286</v>
      </c>
      <c r="AJ23" s="180">
        <f>SUM(AJ21:AJ22)</f>
        <v>228</v>
      </c>
      <c r="AK23" s="180">
        <f>SUM(AK21:AK22)</f>
        <v>1501</v>
      </c>
      <c r="AL23" s="180">
        <f>SUM(AL21:AL22)</f>
        <v>250</v>
      </c>
    </row>
    <row r="24" spans="1:38" ht="27" customHeight="1">
      <c r="A24" s="792" t="s">
        <v>704</v>
      </c>
      <c r="B24" s="139" t="s">
        <v>60</v>
      </c>
      <c r="C24" s="245">
        <f>'[7]1.생잔모형법'!$B$9</f>
        <v>4131</v>
      </c>
      <c r="D24" s="143">
        <f>'[7]1.생잔모형법'!E9</f>
        <v>4179</v>
      </c>
      <c r="E24" s="143">
        <f>'[7]1.생잔모형법'!F9</f>
        <v>4266</v>
      </c>
      <c r="F24" s="143">
        <f>'[7]1.생잔모형법'!G9</f>
        <v>4362</v>
      </c>
      <c r="G24" s="164">
        <f>'[7]1.생잔모형법'!H9</f>
        <v>4439</v>
      </c>
      <c r="H24" s="161">
        <f>ROUND(C24*$H$3,0)</f>
        <v>3181</v>
      </c>
      <c r="I24" s="6">
        <f>ROUND(D24*$I$3,0)</f>
        <v>3510</v>
      </c>
      <c r="J24" s="6">
        <f>ROUND(E24*$J$3,0)</f>
        <v>3626</v>
      </c>
      <c r="K24" s="6">
        <f>ROUND(F24*$K$3,0)</f>
        <v>3708</v>
      </c>
      <c r="L24" s="162">
        <f>ROUND(G24*$L$3,0)</f>
        <v>3818</v>
      </c>
      <c r="M24" s="141"/>
      <c r="N24" s="10"/>
      <c r="O24" s="10"/>
      <c r="P24" s="10"/>
      <c r="Q24" s="6"/>
      <c r="R24" s="6"/>
      <c r="S24" s="6"/>
      <c r="T24" s="6"/>
      <c r="U24" s="157"/>
      <c r="X24" s="794" t="s">
        <v>726</v>
      </c>
      <c r="Y24" s="10" t="s">
        <v>60</v>
      </c>
      <c r="Z24" s="10">
        <v>3124</v>
      </c>
      <c r="AA24" s="10">
        <v>3422</v>
      </c>
      <c r="AB24" s="10">
        <v>3661</v>
      </c>
      <c r="AC24" s="10">
        <v>3922</v>
      </c>
      <c r="AD24" s="10">
        <v>4183</v>
      </c>
      <c r="AF24" s="794" t="s">
        <v>726</v>
      </c>
      <c r="AG24" s="10" t="s">
        <v>60</v>
      </c>
      <c r="AH24" s="180">
        <f t="shared" si="3"/>
        <v>3124</v>
      </c>
      <c r="AI24" s="10">
        <f t="shared" ref="AI24:AL25" si="15">AA24-Z24</f>
        <v>298</v>
      </c>
      <c r="AJ24" s="10">
        <f t="shared" si="15"/>
        <v>239</v>
      </c>
      <c r="AK24" s="10">
        <f t="shared" si="15"/>
        <v>261</v>
      </c>
      <c r="AL24" s="10">
        <f t="shared" si="15"/>
        <v>261</v>
      </c>
    </row>
    <row r="25" spans="1:38" s="149" customFormat="1" ht="27" customHeight="1">
      <c r="A25" s="792"/>
      <c r="B25" s="154" t="s">
        <v>61</v>
      </c>
      <c r="C25" s="165">
        <v>0</v>
      </c>
      <c r="D25" s="152">
        <v>0</v>
      </c>
      <c r="E25" s="152">
        <v>0</v>
      </c>
      <c r="F25" s="152">
        <v>0</v>
      </c>
      <c r="G25" s="168">
        <v>0</v>
      </c>
      <c r="H25" s="147">
        <f>ROUND(C25*$H$4,0)</f>
        <v>0</v>
      </c>
      <c r="I25" s="152">
        <f>ROUND(D25*$I$4,0)</f>
        <v>0</v>
      </c>
      <c r="J25" s="152">
        <f>ROUND(E25*$J$4,0)</f>
        <v>0</v>
      </c>
      <c r="K25" s="152">
        <f>ROUND(F25*$K$4,0)</f>
        <v>0</v>
      </c>
      <c r="L25" s="168">
        <f>ROUND(G25*$L$4,0)</f>
        <v>0</v>
      </c>
      <c r="M25" s="173"/>
      <c r="N25" s="148"/>
      <c r="O25" s="148"/>
      <c r="P25" s="148"/>
      <c r="Q25" s="147"/>
      <c r="R25" s="147"/>
      <c r="S25" s="147"/>
      <c r="T25" s="147"/>
      <c r="U25" s="196"/>
      <c r="X25" s="795"/>
      <c r="Y25" s="148" t="s">
        <v>61</v>
      </c>
      <c r="Z25" s="148">
        <v>0</v>
      </c>
      <c r="AA25" s="148">
        <v>0</v>
      </c>
      <c r="AB25" s="148">
        <v>0</v>
      </c>
      <c r="AC25" s="148">
        <v>0</v>
      </c>
      <c r="AD25" s="148">
        <v>0</v>
      </c>
      <c r="AF25" s="795"/>
      <c r="AG25" s="148" t="s">
        <v>61</v>
      </c>
      <c r="AH25" s="180">
        <f t="shared" si="3"/>
        <v>0</v>
      </c>
      <c r="AI25" s="10">
        <f t="shared" si="15"/>
        <v>0</v>
      </c>
      <c r="AJ25" s="10">
        <f t="shared" si="15"/>
        <v>0</v>
      </c>
      <c r="AK25" s="10">
        <f t="shared" si="15"/>
        <v>0</v>
      </c>
      <c r="AL25" s="10">
        <f t="shared" si="15"/>
        <v>0</v>
      </c>
    </row>
    <row r="26" spans="1:38" ht="27" customHeight="1">
      <c r="A26" s="792"/>
      <c r="B26" s="140" t="s">
        <v>15</v>
      </c>
      <c r="C26" s="161">
        <f>SUM(C24:C25)</f>
        <v>4131</v>
      </c>
      <c r="D26" s="6">
        <f t="shared" ref="D26:L26" si="16">SUM(D24:D25)</f>
        <v>4179</v>
      </c>
      <c r="E26" s="6">
        <f t="shared" si="16"/>
        <v>4266</v>
      </c>
      <c r="F26" s="6">
        <f t="shared" si="16"/>
        <v>4362</v>
      </c>
      <c r="G26" s="162">
        <f t="shared" si="16"/>
        <v>4439</v>
      </c>
      <c r="H26" s="6">
        <f t="shared" si="16"/>
        <v>3181</v>
      </c>
      <c r="I26" s="6">
        <f t="shared" si="16"/>
        <v>3510</v>
      </c>
      <c r="J26" s="6">
        <f t="shared" si="16"/>
        <v>3626</v>
      </c>
      <c r="K26" s="6">
        <f t="shared" si="16"/>
        <v>3708</v>
      </c>
      <c r="L26" s="162">
        <f t="shared" si="16"/>
        <v>3818</v>
      </c>
      <c r="M26" s="183">
        <f>[3]원단위결정!$E$21</f>
        <v>325.53500000000003</v>
      </c>
      <c r="N26" s="184">
        <f>[3]원단위결정!$F$21</f>
        <v>346.82249999999999</v>
      </c>
      <c r="O26" s="184">
        <f>[3]원단위결정!$G$21</f>
        <v>364.18</v>
      </c>
      <c r="P26" s="184">
        <f>[3]원단위결정!$H$21</f>
        <v>377.60750000000002</v>
      </c>
      <c r="Q26" s="6">
        <f>ROUND(I26*M26/1000,0)</f>
        <v>1143</v>
      </c>
      <c r="R26" s="6">
        <f>ROUND(J26*N26/1000,0)</f>
        <v>1258</v>
      </c>
      <c r="S26" s="6">
        <f>ROUND(K26*O26/1000,0)</f>
        <v>1350</v>
      </c>
      <c r="T26" s="6">
        <f>ROUND(L26*P26/1000,0)</f>
        <v>1442</v>
      </c>
      <c r="U26" s="157"/>
      <c r="X26" s="796"/>
      <c r="Y26" s="10" t="s">
        <v>59</v>
      </c>
      <c r="Z26" s="10">
        <v>3124</v>
      </c>
      <c r="AA26" s="10">
        <v>3422</v>
      </c>
      <c r="AB26" s="10">
        <v>3661</v>
      </c>
      <c r="AC26" s="10">
        <v>3922</v>
      </c>
      <c r="AD26" s="10">
        <v>4183</v>
      </c>
      <c r="AF26" s="796"/>
      <c r="AG26" s="10" t="s">
        <v>59</v>
      </c>
      <c r="AH26" s="180">
        <f t="shared" si="3"/>
        <v>3124</v>
      </c>
      <c r="AI26" s="180">
        <f>SUM(AI24:AI25)</f>
        <v>298</v>
      </c>
      <c r="AJ26" s="180">
        <f>SUM(AJ24:AJ25)</f>
        <v>239</v>
      </c>
      <c r="AK26" s="180">
        <f>SUM(AK24:AK25)</f>
        <v>261</v>
      </c>
      <c r="AL26" s="180">
        <f>SUM(AL24:AL25)</f>
        <v>261</v>
      </c>
    </row>
    <row r="27" spans="1:38" ht="27" customHeight="1">
      <c r="A27" s="792" t="s">
        <v>705</v>
      </c>
      <c r="B27" s="139" t="s">
        <v>60</v>
      </c>
      <c r="C27" s="245">
        <f>'[7]1.생잔모형법'!$B$10</f>
        <v>4307</v>
      </c>
      <c r="D27" s="143">
        <f>'[7]1.생잔모형법'!E10</f>
        <v>4359</v>
      </c>
      <c r="E27" s="143">
        <f>'[7]1.생잔모형법'!F10</f>
        <v>4450</v>
      </c>
      <c r="F27" s="143">
        <f>'[7]1.생잔모형법'!G10</f>
        <v>4547</v>
      </c>
      <c r="G27" s="164">
        <f>'[7]1.생잔모형법'!H10</f>
        <v>4630</v>
      </c>
      <c r="H27" s="161">
        <f>ROUND(C27*$H$3,0)</f>
        <v>3316</v>
      </c>
      <c r="I27" s="6">
        <f>ROUND(D27*$I$3,0)</f>
        <v>3662</v>
      </c>
      <c r="J27" s="6">
        <f>ROUND(E27*$J$3,0)</f>
        <v>3783</v>
      </c>
      <c r="K27" s="6">
        <f>ROUND(F27*$K$3,0)</f>
        <v>3865</v>
      </c>
      <c r="L27" s="162">
        <f>ROUND(G27*$L$3,0)</f>
        <v>3982</v>
      </c>
      <c r="M27" s="174"/>
      <c r="N27" s="144"/>
      <c r="O27" s="144"/>
      <c r="P27" s="10"/>
      <c r="Q27" s="6"/>
      <c r="R27" s="6"/>
      <c r="S27" s="6"/>
      <c r="T27" s="6"/>
      <c r="U27" s="157"/>
      <c r="X27" s="794" t="s">
        <v>727</v>
      </c>
      <c r="Y27" s="10" t="s">
        <v>60</v>
      </c>
      <c r="Z27" s="10">
        <v>3242</v>
      </c>
      <c r="AA27" s="10">
        <v>3551</v>
      </c>
      <c r="AB27" s="10">
        <v>3798</v>
      </c>
      <c r="AC27" s="10">
        <v>4069</v>
      </c>
      <c r="AD27" s="10">
        <v>4339</v>
      </c>
      <c r="AF27" s="794" t="s">
        <v>727</v>
      </c>
      <c r="AG27" s="10" t="s">
        <v>60</v>
      </c>
      <c r="AH27" s="180">
        <f t="shared" si="3"/>
        <v>3242</v>
      </c>
      <c r="AI27" s="10">
        <f t="shared" ref="AI27:AL28" si="17">AA27-Z27</f>
        <v>309</v>
      </c>
      <c r="AJ27" s="10">
        <f t="shared" si="17"/>
        <v>247</v>
      </c>
      <c r="AK27" s="10">
        <f t="shared" si="17"/>
        <v>271</v>
      </c>
      <c r="AL27" s="10">
        <f t="shared" si="17"/>
        <v>270</v>
      </c>
    </row>
    <row r="28" spans="1:38" s="149" customFormat="1" ht="27" customHeight="1">
      <c r="A28" s="792"/>
      <c r="B28" s="155" t="s">
        <v>61</v>
      </c>
      <c r="C28" s="169">
        <v>0</v>
      </c>
      <c r="D28" s="152">
        <v>0</v>
      </c>
      <c r="E28" s="152">
        <v>0</v>
      </c>
      <c r="F28" s="146">
        <v>1588</v>
      </c>
      <c r="G28" s="166">
        <v>1588</v>
      </c>
      <c r="H28" s="147">
        <f>ROUND(C28*$H$4,0)</f>
        <v>0</v>
      </c>
      <c r="I28" s="152">
        <f>ROUND(D28*$I$4,0)</f>
        <v>0</v>
      </c>
      <c r="J28" s="152">
        <f>ROUND(E28*$J$4,0)</f>
        <v>0</v>
      </c>
      <c r="K28" s="147">
        <f>ROUND(F28*$K$4,0)</f>
        <v>1588</v>
      </c>
      <c r="L28" s="179">
        <f>ROUND(G28*$L$4,0)</f>
        <v>1588</v>
      </c>
      <c r="M28" s="175"/>
      <c r="N28" s="150"/>
      <c r="O28" s="150"/>
      <c r="P28" s="148"/>
      <c r="Q28" s="147"/>
      <c r="R28" s="147"/>
      <c r="S28" s="147"/>
      <c r="T28" s="147"/>
      <c r="U28" s="196"/>
      <c r="X28" s="795"/>
      <c r="Y28" s="148" t="s">
        <v>61</v>
      </c>
      <c r="Z28" s="148">
        <v>0</v>
      </c>
      <c r="AA28" s="148">
        <v>0</v>
      </c>
      <c r="AB28" s="148">
        <v>0</v>
      </c>
      <c r="AC28" s="148">
        <v>1588</v>
      </c>
      <c r="AD28" s="148">
        <v>1588</v>
      </c>
      <c r="AF28" s="795"/>
      <c r="AG28" s="148" t="s">
        <v>61</v>
      </c>
      <c r="AH28" s="180">
        <f t="shared" si="3"/>
        <v>0</v>
      </c>
      <c r="AI28" s="10">
        <f t="shared" si="17"/>
        <v>0</v>
      </c>
      <c r="AJ28" s="10">
        <f t="shared" si="17"/>
        <v>0</v>
      </c>
      <c r="AK28" s="10">
        <f t="shared" si="17"/>
        <v>1588</v>
      </c>
      <c r="AL28" s="10">
        <f t="shared" si="17"/>
        <v>0</v>
      </c>
    </row>
    <row r="29" spans="1:38" ht="27" customHeight="1">
      <c r="A29" s="792"/>
      <c r="B29" s="140" t="s">
        <v>15</v>
      </c>
      <c r="C29" s="161">
        <f>SUM(C27:C28)</f>
        <v>4307</v>
      </c>
      <c r="D29" s="6">
        <f t="shared" ref="D29:L29" si="18">SUM(D27:D28)</f>
        <v>4359</v>
      </c>
      <c r="E29" s="6">
        <f t="shared" si="18"/>
        <v>4450</v>
      </c>
      <c r="F29" s="6">
        <f t="shared" si="18"/>
        <v>6135</v>
      </c>
      <c r="G29" s="162">
        <f t="shared" si="18"/>
        <v>6218</v>
      </c>
      <c r="H29" s="6">
        <f t="shared" si="18"/>
        <v>3316</v>
      </c>
      <c r="I29" s="6">
        <f t="shared" si="18"/>
        <v>3662</v>
      </c>
      <c r="J29" s="6">
        <f t="shared" si="18"/>
        <v>3783</v>
      </c>
      <c r="K29" s="6">
        <f t="shared" si="18"/>
        <v>5453</v>
      </c>
      <c r="L29" s="162">
        <f t="shared" si="18"/>
        <v>5570</v>
      </c>
      <c r="M29" s="174">
        <f>[3]원단위결정!$E$21</f>
        <v>325.53500000000003</v>
      </c>
      <c r="N29" s="144">
        <f>[3]원단위결정!$F$21</f>
        <v>346.82249999999999</v>
      </c>
      <c r="O29" s="144">
        <f>[3]원단위결정!$G$21</f>
        <v>364.18</v>
      </c>
      <c r="P29" s="184">
        <f>[3]원단위결정!$H$21</f>
        <v>377.60750000000002</v>
      </c>
      <c r="Q29" s="6">
        <f>ROUND(I29*M29/1000,0)</f>
        <v>1192</v>
      </c>
      <c r="R29" s="6">
        <f>ROUND(J29*N29/1000,0)</f>
        <v>1312</v>
      </c>
      <c r="S29" s="6">
        <f>ROUND(K29*O29/1000,0)</f>
        <v>1986</v>
      </c>
      <c r="T29" s="6">
        <f>ROUND(L29*P29/1000,0)</f>
        <v>2103</v>
      </c>
      <c r="U29" s="157"/>
      <c r="X29" s="796"/>
      <c r="Y29" s="10" t="s">
        <v>59</v>
      </c>
      <c r="Z29" s="10">
        <v>3242</v>
      </c>
      <c r="AA29" s="10">
        <v>3551</v>
      </c>
      <c r="AB29" s="10">
        <v>3798</v>
      </c>
      <c r="AC29" s="10">
        <v>5657</v>
      </c>
      <c r="AD29" s="10">
        <v>5927</v>
      </c>
      <c r="AF29" s="796"/>
      <c r="AG29" s="10" t="s">
        <v>59</v>
      </c>
      <c r="AH29" s="180">
        <f t="shared" si="3"/>
        <v>3242</v>
      </c>
      <c r="AI29" s="180">
        <f>SUM(AI27:AI28)</f>
        <v>309</v>
      </c>
      <c r="AJ29" s="180">
        <f>SUM(AJ27:AJ28)</f>
        <v>247</v>
      </c>
      <c r="AK29" s="180">
        <f>SUM(AK27:AK28)</f>
        <v>1859</v>
      </c>
      <c r="AL29" s="180">
        <f>SUM(AL27:AL28)</f>
        <v>270</v>
      </c>
    </row>
    <row r="30" spans="1:38" ht="27" customHeight="1">
      <c r="A30" s="792" t="s">
        <v>706</v>
      </c>
      <c r="B30" s="139" t="s">
        <v>60</v>
      </c>
      <c r="C30" s="245">
        <f>'[7]1.생잔모형법'!$B$11</f>
        <v>7175</v>
      </c>
      <c r="D30" s="143">
        <f>'[7]1.생잔모형법'!E11</f>
        <v>7258</v>
      </c>
      <c r="E30" s="143">
        <f>'[7]1.생잔모형법'!F11</f>
        <v>7407</v>
      </c>
      <c r="F30" s="143">
        <f>'[7]1.생잔모형법'!G11</f>
        <v>7578</v>
      </c>
      <c r="G30" s="164">
        <f>'[7]1.생잔모형법'!H11</f>
        <v>7708</v>
      </c>
      <c r="H30" s="161">
        <f>ROUND(C30*$H$3,0)</f>
        <v>5525</v>
      </c>
      <c r="I30" s="6">
        <f>ROUND(D30*$I$3,0)</f>
        <v>6097</v>
      </c>
      <c r="J30" s="6">
        <f>ROUND(E30*$J$3,0)</f>
        <v>6296</v>
      </c>
      <c r="K30" s="6">
        <f>ROUND(F30*$K$3,0)</f>
        <v>6441</v>
      </c>
      <c r="L30" s="162">
        <f>ROUND(G30*$L$3,0)</f>
        <v>6629</v>
      </c>
      <c r="M30" s="141"/>
      <c r="N30" s="10"/>
      <c r="O30" s="10"/>
      <c r="P30" s="10"/>
      <c r="Q30" s="6"/>
      <c r="R30" s="6"/>
      <c r="S30" s="6"/>
      <c r="T30" s="6"/>
      <c r="U30" s="157"/>
      <c r="X30" s="794" t="s">
        <v>728</v>
      </c>
      <c r="Y30" s="10" t="s">
        <v>60</v>
      </c>
      <c r="Z30" s="10">
        <v>5341</v>
      </c>
      <c r="AA30" s="10">
        <v>5862</v>
      </c>
      <c r="AB30" s="10">
        <v>6270</v>
      </c>
      <c r="AC30" s="10">
        <v>6718</v>
      </c>
      <c r="AD30" s="10">
        <v>7163</v>
      </c>
      <c r="AF30" s="794" t="s">
        <v>728</v>
      </c>
      <c r="AG30" s="10" t="s">
        <v>60</v>
      </c>
      <c r="AH30" s="180">
        <f t="shared" si="3"/>
        <v>5341</v>
      </c>
      <c r="AI30" s="10">
        <f t="shared" ref="AI30:AL31" si="19">AA30-Z30</f>
        <v>521</v>
      </c>
      <c r="AJ30" s="10">
        <f t="shared" si="19"/>
        <v>408</v>
      </c>
      <c r="AK30" s="10">
        <f t="shared" si="19"/>
        <v>448</v>
      </c>
      <c r="AL30" s="10">
        <f t="shared" si="19"/>
        <v>445</v>
      </c>
    </row>
    <row r="31" spans="1:38" s="149" customFormat="1" ht="27" customHeight="1">
      <c r="A31" s="792"/>
      <c r="B31" s="154" t="s">
        <v>61</v>
      </c>
      <c r="C31" s="165">
        <v>0</v>
      </c>
      <c r="D31" s="152">
        <v>0</v>
      </c>
      <c r="E31" s="146">
        <v>300</v>
      </c>
      <c r="F31" s="146">
        <v>300</v>
      </c>
      <c r="G31" s="166">
        <v>300</v>
      </c>
      <c r="H31" s="147">
        <f>ROUND(C31*$H$4,0)</f>
        <v>0</v>
      </c>
      <c r="I31" s="152">
        <f>ROUND(D31*$I$4,0)</f>
        <v>0</v>
      </c>
      <c r="J31" s="147">
        <f>ROUND(E31*$J$4,0)</f>
        <v>300</v>
      </c>
      <c r="K31" s="147">
        <f>ROUND(F31*$K$4,0)</f>
        <v>300</v>
      </c>
      <c r="L31" s="179">
        <f>ROUND(G31*$L$4,0)</f>
        <v>300</v>
      </c>
      <c r="M31" s="173"/>
      <c r="N31" s="148"/>
      <c r="O31" s="148"/>
      <c r="P31" s="148"/>
      <c r="Q31" s="147"/>
      <c r="R31" s="147"/>
      <c r="S31" s="147"/>
      <c r="T31" s="147"/>
      <c r="U31" s="196"/>
      <c r="X31" s="795"/>
      <c r="Y31" s="148" t="s">
        <v>61</v>
      </c>
      <c r="Z31" s="148">
        <v>0</v>
      </c>
      <c r="AA31" s="148">
        <v>0</v>
      </c>
      <c r="AB31" s="148">
        <v>300</v>
      </c>
      <c r="AC31" s="148">
        <v>300</v>
      </c>
      <c r="AD31" s="148">
        <v>300</v>
      </c>
      <c r="AF31" s="795"/>
      <c r="AG31" s="148" t="s">
        <v>61</v>
      </c>
      <c r="AH31" s="180">
        <f t="shared" si="3"/>
        <v>0</v>
      </c>
      <c r="AI31" s="10">
        <f t="shared" si="19"/>
        <v>0</v>
      </c>
      <c r="AJ31" s="10">
        <f t="shared" si="19"/>
        <v>300</v>
      </c>
      <c r="AK31" s="10">
        <f t="shared" si="19"/>
        <v>0</v>
      </c>
      <c r="AL31" s="10">
        <f t="shared" si="19"/>
        <v>0</v>
      </c>
    </row>
    <row r="32" spans="1:38" ht="27" customHeight="1">
      <c r="A32" s="792"/>
      <c r="B32" s="140" t="s">
        <v>15</v>
      </c>
      <c r="C32" s="161">
        <f>SUM(C30:C31)</f>
        <v>7175</v>
      </c>
      <c r="D32" s="6">
        <f t="shared" ref="D32:L32" si="20">SUM(D30:D31)</f>
        <v>7258</v>
      </c>
      <c r="E32" s="6">
        <f t="shared" si="20"/>
        <v>7707</v>
      </c>
      <c r="F32" s="6">
        <f t="shared" si="20"/>
        <v>7878</v>
      </c>
      <c r="G32" s="162">
        <f t="shared" si="20"/>
        <v>8008</v>
      </c>
      <c r="H32" s="6">
        <f t="shared" si="20"/>
        <v>5525</v>
      </c>
      <c r="I32" s="6">
        <f t="shared" si="20"/>
        <v>6097</v>
      </c>
      <c r="J32" s="6">
        <f t="shared" si="20"/>
        <v>6596</v>
      </c>
      <c r="K32" s="6">
        <f t="shared" si="20"/>
        <v>6741</v>
      </c>
      <c r="L32" s="162">
        <f t="shared" si="20"/>
        <v>6929</v>
      </c>
      <c r="M32" s="183">
        <f>[3]원단위결정!$E$21</f>
        <v>325.53500000000003</v>
      </c>
      <c r="N32" s="184">
        <f>[3]원단위결정!$F$21</f>
        <v>346.82249999999999</v>
      </c>
      <c r="O32" s="184">
        <f>[3]원단위결정!$G$21</f>
        <v>364.18</v>
      </c>
      <c r="P32" s="184">
        <f>[3]원단위결정!$H$21</f>
        <v>377.60750000000002</v>
      </c>
      <c r="Q32" s="6">
        <f>ROUND(I32*M32/1000,0)</f>
        <v>1985</v>
      </c>
      <c r="R32" s="6">
        <f>ROUND(J32*N32/1000,0)</f>
        <v>2288</v>
      </c>
      <c r="S32" s="6">
        <f>ROUND(K32*O32/1000,0)</f>
        <v>2455</v>
      </c>
      <c r="T32" s="6">
        <f>ROUND(L32*P32/1000,0)</f>
        <v>2616</v>
      </c>
      <c r="U32" s="157"/>
      <c r="X32" s="796"/>
      <c r="Y32" s="10" t="s">
        <v>59</v>
      </c>
      <c r="Z32" s="10">
        <v>5341</v>
      </c>
      <c r="AA32" s="10">
        <v>5862</v>
      </c>
      <c r="AB32" s="10">
        <v>6570</v>
      </c>
      <c r="AC32" s="10">
        <v>7018</v>
      </c>
      <c r="AD32" s="10">
        <v>7463</v>
      </c>
      <c r="AF32" s="796"/>
      <c r="AG32" s="10" t="s">
        <v>59</v>
      </c>
      <c r="AH32" s="180">
        <f t="shared" si="3"/>
        <v>5341</v>
      </c>
      <c r="AI32" s="180">
        <f>SUM(AI30:AI31)</f>
        <v>521</v>
      </c>
      <c r="AJ32" s="180">
        <f>SUM(AJ30:AJ31)</f>
        <v>708</v>
      </c>
      <c r="AK32" s="180">
        <f>SUM(AK30:AK31)</f>
        <v>448</v>
      </c>
      <c r="AL32" s="180">
        <f>SUM(AL30:AL31)</f>
        <v>445</v>
      </c>
    </row>
    <row r="33" spans="1:38" ht="27" customHeight="1">
      <c r="A33" s="792" t="s">
        <v>707</v>
      </c>
      <c r="B33" s="139" t="s">
        <v>60</v>
      </c>
      <c r="C33" s="245">
        <f>'[7]1.생잔모형법'!$B$12</f>
        <v>2871</v>
      </c>
      <c r="D33" s="143">
        <f>'[7]1.생잔모형법'!E12</f>
        <v>2906</v>
      </c>
      <c r="E33" s="143">
        <f>'[7]1.생잔모형법'!F12</f>
        <v>2964</v>
      </c>
      <c r="F33" s="143">
        <f>'[7]1.생잔모형법'!G12</f>
        <v>3030</v>
      </c>
      <c r="G33" s="164">
        <f>'[7]1.생잔모형법'!H12</f>
        <v>3084</v>
      </c>
      <c r="H33" s="161">
        <f>ROUND(C33*$H$3,0)</f>
        <v>2211</v>
      </c>
      <c r="I33" s="6">
        <f>ROUND(D33*$I$3,0)</f>
        <v>2441</v>
      </c>
      <c r="J33" s="6">
        <f>ROUND(E33*$J$3,0)</f>
        <v>2519</v>
      </c>
      <c r="K33" s="6">
        <f>ROUND(F33*$K$3,0)</f>
        <v>2576</v>
      </c>
      <c r="L33" s="162">
        <f>ROUND(G33*$L$3,0)</f>
        <v>2652</v>
      </c>
      <c r="M33" s="141"/>
      <c r="N33" s="10"/>
      <c r="O33" s="10"/>
      <c r="P33" s="10"/>
      <c r="Q33" s="6"/>
      <c r="R33" s="6"/>
      <c r="S33" s="6"/>
      <c r="T33" s="6"/>
      <c r="U33" s="157"/>
      <c r="X33" s="794" t="s">
        <v>729</v>
      </c>
      <c r="Y33" s="10" t="s">
        <v>60</v>
      </c>
      <c r="Z33" s="10">
        <v>2184</v>
      </c>
      <c r="AA33" s="10">
        <v>2396</v>
      </c>
      <c r="AB33" s="10">
        <v>2563</v>
      </c>
      <c r="AC33" s="10">
        <v>2746</v>
      </c>
      <c r="AD33" s="10">
        <v>2928</v>
      </c>
      <c r="AF33" s="794" t="s">
        <v>729</v>
      </c>
      <c r="AG33" s="10" t="s">
        <v>60</v>
      </c>
      <c r="AH33" s="180">
        <f t="shared" si="3"/>
        <v>2184</v>
      </c>
      <c r="AI33" s="10">
        <f t="shared" ref="AI33:AL34" si="21">AA33-Z33</f>
        <v>212</v>
      </c>
      <c r="AJ33" s="10">
        <f t="shared" si="21"/>
        <v>167</v>
      </c>
      <c r="AK33" s="10">
        <f t="shared" si="21"/>
        <v>183</v>
      </c>
      <c r="AL33" s="10">
        <f t="shared" si="21"/>
        <v>182</v>
      </c>
    </row>
    <row r="34" spans="1:38" s="149" customFormat="1" ht="27" customHeight="1">
      <c r="A34" s="792"/>
      <c r="B34" s="154" t="s">
        <v>61</v>
      </c>
      <c r="C34" s="165">
        <v>0</v>
      </c>
      <c r="D34" s="151">
        <v>0</v>
      </c>
      <c r="E34" s="151">
        <v>0</v>
      </c>
      <c r="F34" s="151">
        <v>0</v>
      </c>
      <c r="G34" s="167">
        <v>0</v>
      </c>
      <c r="H34" s="147">
        <f>ROUND(C34*$H$4,0)</f>
        <v>0</v>
      </c>
      <c r="I34" s="152">
        <f>ROUND(D34*$I$4,0)</f>
        <v>0</v>
      </c>
      <c r="J34" s="152">
        <f>ROUND(E34*$J$4,0)</f>
        <v>0</v>
      </c>
      <c r="K34" s="152">
        <f>ROUND(F34*$K$4,0)</f>
        <v>0</v>
      </c>
      <c r="L34" s="168">
        <f>ROUND(G34*$L$4,0)</f>
        <v>0</v>
      </c>
      <c r="M34" s="173"/>
      <c r="N34" s="148"/>
      <c r="O34" s="148"/>
      <c r="P34" s="148"/>
      <c r="Q34" s="147"/>
      <c r="R34" s="147"/>
      <c r="S34" s="147"/>
      <c r="T34" s="147"/>
      <c r="U34" s="196"/>
      <c r="X34" s="795"/>
      <c r="Y34" s="148" t="s">
        <v>61</v>
      </c>
      <c r="Z34" s="148">
        <v>0</v>
      </c>
      <c r="AA34" s="148">
        <v>0</v>
      </c>
      <c r="AB34" s="148">
        <v>0</v>
      </c>
      <c r="AC34" s="148">
        <v>0</v>
      </c>
      <c r="AD34" s="148">
        <v>0</v>
      </c>
      <c r="AF34" s="795"/>
      <c r="AG34" s="148" t="s">
        <v>61</v>
      </c>
      <c r="AH34" s="180">
        <f t="shared" si="3"/>
        <v>0</v>
      </c>
      <c r="AI34" s="10">
        <f t="shared" si="21"/>
        <v>0</v>
      </c>
      <c r="AJ34" s="10">
        <f t="shared" si="21"/>
        <v>0</v>
      </c>
      <c r="AK34" s="10">
        <f t="shared" si="21"/>
        <v>0</v>
      </c>
      <c r="AL34" s="10">
        <f t="shared" si="21"/>
        <v>0</v>
      </c>
    </row>
    <row r="35" spans="1:38" ht="27" customHeight="1">
      <c r="A35" s="792"/>
      <c r="B35" s="140" t="s">
        <v>15</v>
      </c>
      <c r="C35" s="161">
        <f>SUM(C33:C34)</f>
        <v>2871</v>
      </c>
      <c r="D35" s="6">
        <f t="shared" ref="D35:L35" si="22">SUM(D33:D34)</f>
        <v>2906</v>
      </c>
      <c r="E35" s="6">
        <f t="shared" si="22"/>
        <v>2964</v>
      </c>
      <c r="F35" s="6">
        <f t="shared" si="22"/>
        <v>3030</v>
      </c>
      <c r="G35" s="162">
        <f t="shared" si="22"/>
        <v>3084</v>
      </c>
      <c r="H35" s="6">
        <f t="shared" si="22"/>
        <v>2211</v>
      </c>
      <c r="I35" s="6">
        <f t="shared" si="22"/>
        <v>2441</v>
      </c>
      <c r="J35" s="6">
        <f t="shared" si="22"/>
        <v>2519</v>
      </c>
      <c r="K35" s="6">
        <f t="shared" si="22"/>
        <v>2576</v>
      </c>
      <c r="L35" s="162">
        <f t="shared" si="22"/>
        <v>2652</v>
      </c>
      <c r="M35" s="183">
        <f>[3]원단위결정!$E$21</f>
        <v>325.53500000000003</v>
      </c>
      <c r="N35" s="184">
        <f>[3]원단위결정!$F$21</f>
        <v>346.82249999999999</v>
      </c>
      <c r="O35" s="184">
        <f>[3]원단위결정!$G$21</f>
        <v>364.18</v>
      </c>
      <c r="P35" s="184">
        <f>[3]원단위결정!$H$21</f>
        <v>377.60750000000002</v>
      </c>
      <c r="Q35" s="6">
        <f>ROUND(I35*M35/1000,0)</f>
        <v>795</v>
      </c>
      <c r="R35" s="6">
        <f>ROUND(J35*N35/1000,0)</f>
        <v>874</v>
      </c>
      <c r="S35" s="6">
        <f>ROUND(K35*O35/1000,0)</f>
        <v>938</v>
      </c>
      <c r="T35" s="6">
        <f>ROUND(L35*P35/1000,0)</f>
        <v>1001</v>
      </c>
      <c r="U35" s="157"/>
      <c r="X35" s="796"/>
      <c r="Y35" s="10" t="s">
        <v>59</v>
      </c>
      <c r="Z35" s="10">
        <v>2184</v>
      </c>
      <c r="AA35" s="10">
        <v>2396</v>
      </c>
      <c r="AB35" s="10">
        <v>2563</v>
      </c>
      <c r="AC35" s="10">
        <v>2746</v>
      </c>
      <c r="AD35" s="10">
        <v>2928</v>
      </c>
      <c r="AF35" s="796"/>
      <c r="AG35" s="10" t="s">
        <v>59</v>
      </c>
      <c r="AH35" s="180">
        <f t="shared" si="3"/>
        <v>2184</v>
      </c>
      <c r="AI35" s="180">
        <f>SUM(AI33:AI34)</f>
        <v>212</v>
      </c>
      <c r="AJ35" s="180">
        <f>SUM(AJ33:AJ34)</f>
        <v>167</v>
      </c>
      <c r="AK35" s="180">
        <f>SUM(AK33:AK34)</f>
        <v>183</v>
      </c>
      <c r="AL35" s="180">
        <f>SUM(AL33:AL34)</f>
        <v>182</v>
      </c>
    </row>
    <row r="36" spans="1:38" ht="27" customHeight="1">
      <c r="A36" s="792" t="s">
        <v>708</v>
      </c>
      <c r="B36" s="139" t="s">
        <v>60</v>
      </c>
      <c r="C36" s="245">
        <f>'[7]1.생잔모형법'!$B$13</f>
        <v>6598</v>
      </c>
      <c r="D36" s="143">
        <f>'[7]1.생잔모형법'!E13</f>
        <v>6676</v>
      </c>
      <c r="E36" s="143">
        <f>'[7]1.생잔모형법'!F13</f>
        <v>6813</v>
      </c>
      <c r="F36" s="143">
        <f>'[7]1.생잔모형법'!G13</f>
        <v>6970</v>
      </c>
      <c r="G36" s="164">
        <f>'[7]1.생잔모형법'!H13</f>
        <v>7090</v>
      </c>
      <c r="H36" s="161">
        <f>ROUND(C36*$H$3,0)</f>
        <v>5080</v>
      </c>
      <c r="I36" s="6">
        <f>ROUND(D36*$I$3,0)</f>
        <v>5608</v>
      </c>
      <c r="J36" s="6">
        <f>ROUND(E36*$J$3,0)</f>
        <v>5791</v>
      </c>
      <c r="K36" s="6">
        <f>ROUND(F36*$K$3,0)</f>
        <v>5925</v>
      </c>
      <c r="L36" s="162">
        <f>ROUND(G36*$L$3,0)</f>
        <v>6097</v>
      </c>
      <c r="M36" s="174"/>
      <c r="N36" s="144"/>
      <c r="O36" s="144"/>
      <c r="P36" s="10"/>
      <c r="Q36" s="6"/>
      <c r="R36" s="6"/>
      <c r="S36" s="6"/>
      <c r="T36" s="6"/>
      <c r="U36" s="157"/>
      <c r="X36" s="794" t="s">
        <v>730</v>
      </c>
      <c r="Y36" s="10" t="s">
        <v>60</v>
      </c>
      <c r="Z36" s="10">
        <v>4827</v>
      </c>
      <c r="AA36" s="10">
        <v>5294</v>
      </c>
      <c r="AB36" s="10">
        <v>5664</v>
      </c>
      <c r="AC36" s="10">
        <v>6068</v>
      </c>
      <c r="AD36" s="10">
        <v>6470</v>
      </c>
      <c r="AF36" s="794" t="s">
        <v>730</v>
      </c>
      <c r="AG36" s="10" t="s">
        <v>60</v>
      </c>
      <c r="AH36" s="180">
        <f t="shared" si="3"/>
        <v>4827</v>
      </c>
      <c r="AI36" s="10">
        <f t="shared" ref="AI36:AL37" si="23">AA36-Z36</f>
        <v>467</v>
      </c>
      <c r="AJ36" s="10">
        <f t="shared" si="23"/>
        <v>370</v>
      </c>
      <c r="AK36" s="10">
        <f t="shared" si="23"/>
        <v>404</v>
      </c>
      <c r="AL36" s="10">
        <f t="shared" si="23"/>
        <v>402</v>
      </c>
    </row>
    <row r="37" spans="1:38" s="149" customFormat="1" ht="27" customHeight="1">
      <c r="A37" s="792"/>
      <c r="B37" s="154" t="s">
        <v>61</v>
      </c>
      <c r="C37" s="165">
        <v>0</v>
      </c>
      <c r="D37" s="152">
        <v>0</v>
      </c>
      <c r="E37" s="146">
        <v>3150</v>
      </c>
      <c r="F37" s="146">
        <v>3150</v>
      </c>
      <c r="G37" s="166">
        <v>3150</v>
      </c>
      <c r="H37" s="147">
        <f>ROUND(C37*$H$4,0)</f>
        <v>0</v>
      </c>
      <c r="I37" s="147">
        <f>ROUND(D37*$I$4,0)</f>
        <v>0</v>
      </c>
      <c r="J37" s="147">
        <f>ROUND(E37*$J$4,0)</f>
        <v>3150</v>
      </c>
      <c r="K37" s="147">
        <f>ROUND(F37*$K$4,0)</f>
        <v>3150</v>
      </c>
      <c r="L37" s="179">
        <f>ROUND(G37*$L$4,0)</f>
        <v>3150</v>
      </c>
      <c r="M37" s="175"/>
      <c r="N37" s="150"/>
      <c r="O37" s="150"/>
      <c r="P37" s="148"/>
      <c r="Q37" s="147"/>
      <c r="R37" s="147"/>
      <c r="S37" s="147"/>
      <c r="T37" s="147"/>
      <c r="U37" s="196"/>
      <c r="X37" s="795"/>
      <c r="Y37" s="148" t="s">
        <v>61</v>
      </c>
      <c r="Z37" s="148">
        <v>0</v>
      </c>
      <c r="AA37" s="148">
        <v>0</v>
      </c>
      <c r="AB37" s="148">
        <v>3150</v>
      </c>
      <c r="AC37" s="148">
        <v>3150</v>
      </c>
      <c r="AD37" s="148">
        <v>3150</v>
      </c>
      <c r="AF37" s="795"/>
      <c r="AG37" s="148" t="s">
        <v>61</v>
      </c>
      <c r="AH37" s="180">
        <f t="shared" si="3"/>
        <v>0</v>
      </c>
      <c r="AI37" s="10">
        <f t="shared" si="23"/>
        <v>0</v>
      </c>
      <c r="AJ37" s="10">
        <f t="shared" si="23"/>
        <v>3150</v>
      </c>
      <c r="AK37" s="10">
        <f t="shared" si="23"/>
        <v>0</v>
      </c>
      <c r="AL37" s="10">
        <f t="shared" si="23"/>
        <v>0</v>
      </c>
    </row>
    <row r="38" spans="1:38" ht="27" customHeight="1">
      <c r="A38" s="792"/>
      <c r="B38" s="140" t="s">
        <v>15</v>
      </c>
      <c r="C38" s="161">
        <f>SUM(C36:C37)</f>
        <v>6598</v>
      </c>
      <c r="D38" s="6">
        <f t="shared" ref="D38:L38" si="24">SUM(D36:D37)</f>
        <v>6676</v>
      </c>
      <c r="E38" s="6">
        <f t="shared" si="24"/>
        <v>9963</v>
      </c>
      <c r="F38" s="6">
        <f t="shared" si="24"/>
        <v>10120</v>
      </c>
      <c r="G38" s="162">
        <f t="shared" si="24"/>
        <v>10240</v>
      </c>
      <c r="H38" s="6">
        <f t="shared" si="24"/>
        <v>5080</v>
      </c>
      <c r="I38" s="6">
        <f t="shared" si="24"/>
        <v>5608</v>
      </c>
      <c r="J38" s="6">
        <f t="shared" si="24"/>
        <v>8941</v>
      </c>
      <c r="K38" s="6">
        <f t="shared" si="24"/>
        <v>9075</v>
      </c>
      <c r="L38" s="162">
        <f t="shared" si="24"/>
        <v>9247</v>
      </c>
      <c r="M38" s="174">
        <f>[3]원단위결정!$E$21</f>
        <v>325.53500000000003</v>
      </c>
      <c r="N38" s="144">
        <f>[3]원단위결정!$F$21</f>
        <v>346.82249999999999</v>
      </c>
      <c r="O38" s="144">
        <f>[3]원단위결정!$G$21</f>
        <v>364.18</v>
      </c>
      <c r="P38" s="184">
        <f>[3]원단위결정!$H$21</f>
        <v>377.60750000000002</v>
      </c>
      <c r="Q38" s="6">
        <f>ROUND(I38*M38/1000,0)</f>
        <v>1826</v>
      </c>
      <c r="R38" s="6">
        <f>ROUND(J38*N38/1000,0)</f>
        <v>3101</v>
      </c>
      <c r="S38" s="6">
        <f>ROUND(K38*O38/1000,0)</f>
        <v>3305</v>
      </c>
      <c r="T38" s="6">
        <f>ROUND(L38*P38/1000,0)</f>
        <v>3492</v>
      </c>
      <c r="U38" s="157"/>
      <c r="X38" s="796"/>
      <c r="Y38" s="10" t="s">
        <v>59</v>
      </c>
      <c r="Z38" s="10">
        <v>4827</v>
      </c>
      <c r="AA38" s="10">
        <v>5294</v>
      </c>
      <c r="AB38" s="10">
        <v>8814</v>
      </c>
      <c r="AC38" s="10">
        <v>9218</v>
      </c>
      <c r="AD38" s="10">
        <v>9620</v>
      </c>
      <c r="AF38" s="796"/>
      <c r="AG38" s="10" t="s">
        <v>59</v>
      </c>
      <c r="AH38" s="180">
        <f t="shared" si="3"/>
        <v>4827</v>
      </c>
      <c r="AI38" s="180">
        <f>SUM(AI36:AI37)</f>
        <v>467</v>
      </c>
      <c r="AJ38" s="180">
        <f>SUM(AJ36:AJ37)</f>
        <v>3520</v>
      </c>
      <c r="AK38" s="180">
        <f>SUM(AK36:AK37)</f>
        <v>404</v>
      </c>
      <c r="AL38" s="180">
        <f>SUM(AL36:AL37)</f>
        <v>402</v>
      </c>
    </row>
    <row r="39" spans="1:38" ht="27" customHeight="1">
      <c r="A39" s="792" t="s">
        <v>709</v>
      </c>
      <c r="B39" s="139" t="s">
        <v>60</v>
      </c>
      <c r="C39" s="245">
        <f>'[7]1.생잔모형법'!$B$14</f>
        <v>4295</v>
      </c>
      <c r="D39" s="143">
        <f>'[7]1.생잔모형법'!E14</f>
        <v>4343</v>
      </c>
      <c r="E39" s="143">
        <f>'[7]1.생잔모형법'!F14</f>
        <v>4435</v>
      </c>
      <c r="F39" s="143">
        <f>'[7]1.생잔모형법'!G14</f>
        <v>4534</v>
      </c>
      <c r="G39" s="164">
        <f>'[7]1.생잔모형법'!H14</f>
        <v>4612</v>
      </c>
      <c r="H39" s="161">
        <f>ROUND(C39*$H$3,0)</f>
        <v>3307</v>
      </c>
      <c r="I39" s="6">
        <f>ROUND(D39*$I$3,0)</f>
        <v>3648</v>
      </c>
      <c r="J39" s="6">
        <f>ROUND(E39*$J$3,0)</f>
        <v>3770</v>
      </c>
      <c r="K39" s="6">
        <f>ROUND(F39*$K$3,0)</f>
        <v>3854</v>
      </c>
      <c r="L39" s="162">
        <f>ROUND(G39*$L$3,0)</f>
        <v>3966</v>
      </c>
      <c r="M39" s="141"/>
      <c r="N39" s="10"/>
      <c r="O39" s="10"/>
      <c r="P39" s="10"/>
      <c r="Q39" s="6"/>
      <c r="R39" s="6"/>
      <c r="S39" s="6"/>
      <c r="T39" s="6"/>
      <c r="U39" s="157"/>
      <c r="X39" s="794" t="s">
        <v>731</v>
      </c>
      <c r="Y39" s="10" t="s">
        <v>60</v>
      </c>
      <c r="Z39" s="10">
        <v>3288</v>
      </c>
      <c r="AA39" s="10">
        <v>3605</v>
      </c>
      <c r="AB39" s="10">
        <v>3856</v>
      </c>
      <c r="AC39" s="10">
        <v>4131</v>
      </c>
      <c r="AD39" s="10">
        <v>4405</v>
      </c>
      <c r="AF39" s="794" t="s">
        <v>731</v>
      </c>
      <c r="AG39" s="10" t="s">
        <v>60</v>
      </c>
      <c r="AH39" s="180">
        <f t="shared" si="3"/>
        <v>3288</v>
      </c>
      <c r="AI39" s="10">
        <f t="shared" ref="AI39:AL40" si="25">AA39-Z39</f>
        <v>317</v>
      </c>
      <c r="AJ39" s="10">
        <f t="shared" si="25"/>
        <v>251</v>
      </c>
      <c r="AK39" s="10">
        <f t="shared" si="25"/>
        <v>275</v>
      </c>
      <c r="AL39" s="10">
        <f t="shared" si="25"/>
        <v>274</v>
      </c>
    </row>
    <row r="40" spans="1:38" s="149" customFormat="1" ht="27" customHeight="1">
      <c r="A40" s="792"/>
      <c r="B40" s="154" t="s">
        <v>61</v>
      </c>
      <c r="C40" s="165">
        <v>0</v>
      </c>
      <c r="D40" s="152">
        <v>0</v>
      </c>
      <c r="E40" s="146">
        <v>3327.5917808219178</v>
      </c>
      <c r="F40" s="146">
        <v>3349.3424657534247</v>
      </c>
      <c r="G40" s="166">
        <v>3364.5315068493151</v>
      </c>
      <c r="H40" s="147">
        <f>ROUND(C40*$H$4,0)</f>
        <v>0</v>
      </c>
      <c r="I40" s="152">
        <f>ROUND(D40*$I$4,0)</f>
        <v>0</v>
      </c>
      <c r="J40" s="147">
        <f>ROUND(E40*$J$4,0)</f>
        <v>3328</v>
      </c>
      <c r="K40" s="147">
        <f>ROUND(F40*$K$4,0)</f>
        <v>3349</v>
      </c>
      <c r="L40" s="179">
        <f>ROUND(G40*$L$4,0)</f>
        <v>3365</v>
      </c>
      <c r="M40" s="173"/>
      <c r="N40" s="148"/>
      <c r="O40" s="148"/>
      <c r="P40" s="148"/>
      <c r="Q40" s="147"/>
      <c r="R40" s="147"/>
      <c r="S40" s="147"/>
      <c r="T40" s="147"/>
      <c r="U40" s="196"/>
      <c r="X40" s="795"/>
      <c r="Y40" s="148" t="s">
        <v>61</v>
      </c>
      <c r="Z40" s="148">
        <v>0</v>
      </c>
      <c r="AA40" s="148">
        <v>0</v>
      </c>
      <c r="AB40" s="148">
        <v>3328</v>
      </c>
      <c r="AC40" s="148">
        <v>3349</v>
      </c>
      <c r="AD40" s="148">
        <v>3365</v>
      </c>
      <c r="AF40" s="795"/>
      <c r="AG40" s="148" t="s">
        <v>61</v>
      </c>
      <c r="AH40" s="180">
        <f t="shared" si="3"/>
        <v>0</v>
      </c>
      <c r="AI40" s="10">
        <f t="shared" si="25"/>
        <v>0</v>
      </c>
      <c r="AJ40" s="10">
        <f t="shared" si="25"/>
        <v>3328</v>
      </c>
      <c r="AK40" s="10">
        <f t="shared" si="25"/>
        <v>21</v>
      </c>
      <c r="AL40" s="10">
        <f t="shared" si="25"/>
        <v>16</v>
      </c>
    </row>
    <row r="41" spans="1:38" ht="27" customHeight="1">
      <c r="A41" s="792"/>
      <c r="B41" s="140" t="s">
        <v>15</v>
      </c>
      <c r="C41" s="161">
        <f>SUM(C39:C40)</f>
        <v>4295</v>
      </c>
      <c r="D41" s="6">
        <f t="shared" ref="D41:L41" si="26">SUM(D39:D40)</f>
        <v>4343</v>
      </c>
      <c r="E41" s="6">
        <f t="shared" si="26"/>
        <v>7762.5917808219183</v>
      </c>
      <c r="F41" s="6">
        <f t="shared" si="26"/>
        <v>7883.3424657534251</v>
      </c>
      <c r="G41" s="162">
        <f t="shared" si="26"/>
        <v>7976.5315068493146</v>
      </c>
      <c r="H41" s="6">
        <f t="shared" si="26"/>
        <v>3307</v>
      </c>
      <c r="I41" s="6">
        <f t="shared" si="26"/>
        <v>3648</v>
      </c>
      <c r="J41" s="6">
        <f t="shared" si="26"/>
        <v>7098</v>
      </c>
      <c r="K41" s="6">
        <f t="shared" si="26"/>
        <v>7203</v>
      </c>
      <c r="L41" s="162">
        <f t="shared" si="26"/>
        <v>7331</v>
      </c>
      <c r="M41" s="183">
        <f>[3]원단위결정!$E$21</f>
        <v>325.53500000000003</v>
      </c>
      <c r="N41" s="184">
        <f>[3]원단위결정!$F$21</f>
        <v>346.82249999999999</v>
      </c>
      <c r="O41" s="184">
        <f>[3]원단위결정!$G$21</f>
        <v>364.18</v>
      </c>
      <c r="P41" s="184">
        <f>[3]원단위결정!$H$21</f>
        <v>377.60750000000002</v>
      </c>
      <c r="Q41" s="6">
        <f>ROUND(I41*M41/1000,0)</f>
        <v>1188</v>
      </c>
      <c r="R41" s="6">
        <f>ROUND(J41*N41/1000,0)</f>
        <v>2462</v>
      </c>
      <c r="S41" s="6">
        <f>ROUND(K41*O41/1000,0)</f>
        <v>2623</v>
      </c>
      <c r="T41" s="6">
        <f>ROUND(L41*P41/1000,0)</f>
        <v>2768</v>
      </c>
      <c r="U41" s="157"/>
      <c r="X41" s="796"/>
      <c r="Y41" s="10" t="s">
        <v>59</v>
      </c>
      <c r="Z41" s="10">
        <v>3288</v>
      </c>
      <c r="AA41" s="10">
        <v>3605</v>
      </c>
      <c r="AB41" s="10">
        <v>7184</v>
      </c>
      <c r="AC41" s="10">
        <v>7480</v>
      </c>
      <c r="AD41" s="10">
        <v>7770</v>
      </c>
      <c r="AF41" s="796"/>
      <c r="AG41" s="10" t="s">
        <v>59</v>
      </c>
      <c r="AH41" s="180">
        <f t="shared" si="3"/>
        <v>3288</v>
      </c>
      <c r="AI41" s="180">
        <f>SUM(AI39:AI40)</f>
        <v>317</v>
      </c>
      <c r="AJ41" s="180">
        <f>SUM(AJ39:AJ40)</f>
        <v>3579</v>
      </c>
      <c r="AK41" s="180">
        <f>SUM(AK39:AK40)</f>
        <v>296</v>
      </c>
      <c r="AL41" s="180">
        <f>SUM(AL39:AL40)</f>
        <v>290</v>
      </c>
    </row>
    <row r="42" spans="1:38" ht="27" customHeight="1">
      <c r="A42" s="792" t="s">
        <v>710</v>
      </c>
      <c r="B42" s="139" t="s">
        <v>60</v>
      </c>
      <c r="C42" s="245">
        <f>'[7]1.생잔모형법'!$B$15</f>
        <v>5431</v>
      </c>
      <c r="D42" s="143">
        <f>'[7]1.생잔모형법'!E15</f>
        <v>5494</v>
      </c>
      <c r="E42" s="143">
        <f>'[7]1.생잔모형법'!F15</f>
        <v>5609</v>
      </c>
      <c r="F42" s="143">
        <f>'[7]1.생잔모형법'!G15</f>
        <v>5735</v>
      </c>
      <c r="G42" s="164">
        <f>'[7]1.생잔모형법'!H15</f>
        <v>5834</v>
      </c>
      <c r="H42" s="161">
        <f>ROUND(C42*$H$3,0)</f>
        <v>4182</v>
      </c>
      <c r="I42" s="6">
        <f>ROUND(D42*$I$3,0)</f>
        <v>4615</v>
      </c>
      <c r="J42" s="6">
        <f>ROUND(E42*$J$3,0)</f>
        <v>4768</v>
      </c>
      <c r="K42" s="6">
        <f>ROUND(F42*$K$3,0)</f>
        <v>4875</v>
      </c>
      <c r="L42" s="162">
        <f>ROUND(G42*$L$3,0)</f>
        <v>5017</v>
      </c>
      <c r="M42" s="141"/>
      <c r="N42" s="10"/>
      <c r="O42" s="10"/>
      <c r="P42" s="10"/>
      <c r="Q42" s="6"/>
      <c r="R42" s="6"/>
      <c r="S42" s="6"/>
      <c r="T42" s="6"/>
      <c r="U42" s="157"/>
      <c r="X42" s="794" t="s">
        <v>732</v>
      </c>
      <c r="Y42" s="10" t="s">
        <v>60</v>
      </c>
      <c r="Z42" s="10">
        <v>4212</v>
      </c>
      <c r="AA42" s="10">
        <v>4621</v>
      </c>
      <c r="AB42" s="10">
        <v>4943</v>
      </c>
      <c r="AC42" s="10">
        <v>5296</v>
      </c>
      <c r="AD42" s="10">
        <v>5647</v>
      </c>
      <c r="AF42" s="794" t="s">
        <v>732</v>
      </c>
      <c r="AG42" s="10" t="s">
        <v>60</v>
      </c>
      <c r="AH42" s="180">
        <f t="shared" si="3"/>
        <v>4212</v>
      </c>
      <c r="AI42" s="10">
        <f t="shared" ref="AI42:AL43" si="27">AA42-Z42</f>
        <v>409</v>
      </c>
      <c r="AJ42" s="10">
        <f t="shared" si="27"/>
        <v>322</v>
      </c>
      <c r="AK42" s="10">
        <f t="shared" si="27"/>
        <v>353</v>
      </c>
      <c r="AL42" s="10">
        <f t="shared" si="27"/>
        <v>351</v>
      </c>
    </row>
    <row r="43" spans="1:38" s="149" customFormat="1" ht="27" customHeight="1">
      <c r="A43" s="792"/>
      <c r="B43" s="154" t="s">
        <v>61</v>
      </c>
      <c r="C43" s="165">
        <v>0</v>
      </c>
      <c r="D43" s="152">
        <v>0</v>
      </c>
      <c r="E43" s="152">
        <v>0</v>
      </c>
      <c r="F43" s="152">
        <v>0</v>
      </c>
      <c r="G43" s="168">
        <v>0</v>
      </c>
      <c r="H43" s="147">
        <f>ROUND(C43*$H$4,0)</f>
        <v>0</v>
      </c>
      <c r="I43" s="152">
        <f>ROUND(D43*$I$4,0)</f>
        <v>0</v>
      </c>
      <c r="J43" s="152">
        <f>ROUND(E43*$J$4,0)</f>
        <v>0</v>
      </c>
      <c r="K43" s="152">
        <f>ROUND(F43*$K$4,0)</f>
        <v>0</v>
      </c>
      <c r="L43" s="168">
        <f>ROUND(G43*$L$4,0)</f>
        <v>0</v>
      </c>
      <c r="M43" s="173"/>
      <c r="N43" s="148"/>
      <c r="O43" s="148"/>
      <c r="P43" s="148"/>
      <c r="Q43" s="147"/>
      <c r="R43" s="147"/>
      <c r="S43" s="147"/>
      <c r="T43" s="147"/>
      <c r="U43" s="196"/>
      <c r="X43" s="795"/>
      <c r="Y43" s="148" t="s">
        <v>61</v>
      </c>
      <c r="Z43" s="148">
        <v>0</v>
      </c>
      <c r="AA43" s="148">
        <v>0</v>
      </c>
      <c r="AB43" s="148">
        <v>0</v>
      </c>
      <c r="AC43" s="148">
        <v>0</v>
      </c>
      <c r="AD43" s="148">
        <v>0</v>
      </c>
      <c r="AF43" s="795"/>
      <c r="AG43" s="148" t="s">
        <v>61</v>
      </c>
      <c r="AH43" s="180">
        <f t="shared" si="3"/>
        <v>0</v>
      </c>
      <c r="AI43" s="10">
        <f t="shared" si="27"/>
        <v>0</v>
      </c>
      <c r="AJ43" s="10">
        <f t="shared" si="27"/>
        <v>0</v>
      </c>
      <c r="AK43" s="10">
        <f t="shared" si="27"/>
        <v>0</v>
      </c>
      <c r="AL43" s="10">
        <f t="shared" si="27"/>
        <v>0</v>
      </c>
    </row>
    <row r="44" spans="1:38" ht="27" customHeight="1">
      <c r="A44" s="792"/>
      <c r="B44" s="140" t="s">
        <v>217</v>
      </c>
      <c r="C44" s="161">
        <f>SUM(C42:C43)</f>
        <v>5431</v>
      </c>
      <c r="D44" s="6">
        <f t="shared" ref="D44:L44" si="28">SUM(D42:D43)</f>
        <v>5494</v>
      </c>
      <c r="E44" s="6">
        <f t="shared" si="28"/>
        <v>5609</v>
      </c>
      <c r="F44" s="6">
        <f t="shared" si="28"/>
        <v>5735</v>
      </c>
      <c r="G44" s="162">
        <f t="shared" si="28"/>
        <v>5834</v>
      </c>
      <c r="H44" s="6">
        <f t="shared" si="28"/>
        <v>4182</v>
      </c>
      <c r="I44" s="6">
        <f t="shared" si="28"/>
        <v>4615</v>
      </c>
      <c r="J44" s="6">
        <f t="shared" si="28"/>
        <v>4768</v>
      </c>
      <c r="K44" s="6">
        <f t="shared" si="28"/>
        <v>4875</v>
      </c>
      <c r="L44" s="162">
        <f t="shared" si="28"/>
        <v>5017</v>
      </c>
      <c r="M44" s="183">
        <f>[3]원단위결정!$E$21</f>
        <v>325.53500000000003</v>
      </c>
      <c r="N44" s="184">
        <f>[3]원단위결정!$F$21</f>
        <v>346.82249999999999</v>
      </c>
      <c r="O44" s="184">
        <f>[3]원단위결정!$G$21</f>
        <v>364.18</v>
      </c>
      <c r="P44" s="184">
        <f>[3]원단위결정!$H$21</f>
        <v>377.60750000000002</v>
      </c>
      <c r="Q44" s="6">
        <f>ROUND(I44*M44/1000,0)</f>
        <v>1502</v>
      </c>
      <c r="R44" s="6">
        <f>ROUND(J44*N44/1000,0)</f>
        <v>1654</v>
      </c>
      <c r="S44" s="6">
        <f>ROUND(K44*O44/1000,0)</f>
        <v>1775</v>
      </c>
      <c r="T44" s="6">
        <f>ROUND(L44*P44/1000,0)</f>
        <v>1894</v>
      </c>
      <c r="U44" s="157"/>
      <c r="X44" s="796"/>
      <c r="Y44" s="10" t="s">
        <v>59</v>
      </c>
      <c r="Z44" s="10">
        <v>4212</v>
      </c>
      <c r="AA44" s="10">
        <v>4621</v>
      </c>
      <c r="AB44" s="10">
        <v>4943</v>
      </c>
      <c r="AC44" s="10">
        <v>5296</v>
      </c>
      <c r="AD44" s="10">
        <v>5647</v>
      </c>
      <c r="AF44" s="796"/>
      <c r="AG44" s="10" t="s">
        <v>59</v>
      </c>
      <c r="AH44" s="180">
        <f t="shared" si="3"/>
        <v>4212</v>
      </c>
      <c r="AI44" s="180">
        <f>SUM(AI42:AI43)</f>
        <v>409</v>
      </c>
      <c r="AJ44" s="180">
        <f>SUM(AJ42:AJ43)</f>
        <v>322</v>
      </c>
      <c r="AK44" s="180">
        <f>SUM(AK42:AK43)</f>
        <v>353</v>
      </c>
      <c r="AL44" s="180">
        <f>SUM(AL42:AL43)</f>
        <v>351</v>
      </c>
    </row>
    <row r="45" spans="1:38" ht="27" customHeight="1">
      <c r="A45" s="792" t="s">
        <v>711</v>
      </c>
      <c r="B45" s="139" t="s">
        <v>60</v>
      </c>
      <c r="C45" s="245">
        <f>'[7]1.생잔모형법'!$B$16</f>
        <v>2879</v>
      </c>
      <c r="D45" s="143">
        <f>'[7]1.생잔모형법'!E16</f>
        <v>2915</v>
      </c>
      <c r="E45" s="143">
        <f>'[7]1.생잔모형법'!F16</f>
        <v>2971</v>
      </c>
      <c r="F45" s="143">
        <f>'[7]1.생잔모형법'!G16</f>
        <v>3041</v>
      </c>
      <c r="G45" s="164">
        <f>'[7]1.생잔모형법'!H16</f>
        <v>3094</v>
      </c>
      <c r="H45" s="161">
        <f>ROUND(C45*$H$3,0)</f>
        <v>2217</v>
      </c>
      <c r="I45" s="6">
        <f>ROUND(D45*$I$3,0)</f>
        <v>2449</v>
      </c>
      <c r="J45" s="6">
        <f>ROUND(E45*$J$3,0)</f>
        <v>2525</v>
      </c>
      <c r="K45" s="6">
        <f>ROUND(F45*$K$3,0)</f>
        <v>2585</v>
      </c>
      <c r="L45" s="162">
        <f>ROUND(G45*$L$3,0)</f>
        <v>2661</v>
      </c>
      <c r="M45" s="141"/>
      <c r="N45" s="10"/>
      <c r="O45" s="10"/>
      <c r="P45" s="10"/>
      <c r="Q45" s="6"/>
      <c r="R45" s="6"/>
      <c r="S45" s="6"/>
      <c r="T45" s="6"/>
      <c r="U45" s="157"/>
      <c r="X45" s="794" t="s">
        <v>733</v>
      </c>
      <c r="Y45" s="10" t="s">
        <v>60</v>
      </c>
      <c r="Z45" s="10">
        <v>2230</v>
      </c>
      <c r="AA45" s="10">
        <v>2450</v>
      </c>
      <c r="AB45" s="10">
        <v>2620</v>
      </c>
      <c r="AC45" s="10">
        <v>2807</v>
      </c>
      <c r="AD45" s="10">
        <v>2993</v>
      </c>
      <c r="AF45" s="794" t="s">
        <v>733</v>
      </c>
      <c r="AG45" s="10" t="s">
        <v>60</v>
      </c>
      <c r="AH45" s="180">
        <f t="shared" si="3"/>
        <v>2230</v>
      </c>
      <c r="AI45" s="10">
        <f t="shared" ref="AI45:AL46" si="29">AA45-Z45</f>
        <v>220</v>
      </c>
      <c r="AJ45" s="10">
        <f t="shared" si="29"/>
        <v>170</v>
      </c>
      <c r="AK45" s="10">
        <f t="shared" si="29"/>
        <v>187</v>
      </c>
      <c r="AL45" s="10">
        <f t="shared" si="29"/>
        <v>186</v>
      </c>
    </row>
    <row r="46" spans="1:38" s="149" customFormat="1" ht="27" customHeight="1">
      <c r="A46" s="792"/>
      <c r="B46" s="154" t="s">
        <v>61</v>
      </c>
      <c r="C46" s="165">
        <v>0</v>
      </c>
      <c r="D46" s="152">
        <v>0</v>
      </c>
      <c r="E46" s="152">
        <v>0</v>
      </c>
      <c r="F46" s="152">
        <v>0</v>
      </c>
      <c r="G46" s="168">
        <v>0</v>
      </c>
      <c r="H46" s="147">
        <f>ROUND(C46*$H$4,0)</f>
        <v>0</v>
      </c>
      <c r="I46" s="152">
        <f>ROUND(D46*$I$4,0)</f>
        <v>0</v>
      </c>
      <c r="J46" s="152">
        <f>ROUND(E46*$J$4,0)</f>
        <v>0</v>
      </c>
      <c r="K46" s="152">
        <f>ROUND(F46*$K$4,0)</f>
        <v>0</v>
      </c>
      <c r="L46" s="168">
        <f>ROUND(G46*$L$4,0)</f>
        <v>0</v>
      </c>
      <c r="M46" s="173"/>
      <c r="N46" s="148"/>
      <c r="O46" s="148"/>
      <c r="P46" s="148"/>
      <c r="Q46" s="147"/>
      <c r="R46" s="147"/>
      <c r="S46" s="147"/>
      <c r="T46" s="147"/>
      <c r="U46" s="196"/>
      <c r="X46" s="795"/>
      <c r="Y46" s="148" t="s">
        <v>61</v>
      </c>
      <c r="Z46" s="148">
        <v>0</v>
      </c>
      <c r="AA46" s="148">
        <v>0</v>
      </c>
      <c r="AB46" s="148">
        <v>0</v>
      </c>
      <c r="AC46" s="148">
        <v>0</v>
      </c>
      <c r="AD46" s="148">
        <v>0</v>
      </c>
      <c r="AF46" s="795"/>
      <c r="AG46" s="148" t="s">
        <v>61</v>
      </c>
      <c r="AH46" s="180">
        <f t="shared" si="3"/>
        <v>0</v>
      </c>
      <c r="AI46" s="10">
        <f t="shared" si="29"/>
        <v>0</v>
      </c>
      <c r="AJ46" s="10">
        <f t="shared" si="29"/>
        <v>0</v>
      </c>
      <c r="AK46" s="10">
        <f t="shared" si="29"/>
        <v>0</v>
      </c>
      <c r="AL46" s="10">
        <f t="shared" si="29"/>
        <v>0</v>
      </c>
    </row>
    <row r="47" spans="1:38" ht="27" customHeight="1">
      <c r="A47" s="792"/>
      <c r="B47" s="140" t="s">
        <v>217</v>
      </c>
      <c r="C47" s="161">
        <f>SUM(C45:C46)</f>
        <v>2879</v>
      </c>
      <c r="D47" s="6">
        <f t="shared" ref="D47:L47" si="30">SUM(D45:D46)</f>
        <v>2915</v>
      </c>
      <c r="E47" s="6">
        <f t="shared" si="30"/>
        <v>2971</v>
      </c>
      <c r="F47" s="6">
        <f t="shared" si="30"/>
        <v>3041</v>
      </c>
      <c r="G47" s="162">
        <f t="shared" si="30"/>
        <v>3094</v>
      </c>
      <c r="H47" s="6">
        <f t="shared" si="30"/>
        <v>2217</v>
      </c>
      <c r="I47" s="6">
        <f t="shared" si="30"/>
        <v>2449</v>
      </c>
      <c r="J47" s="6">
        <f t="shared" si="30"/>
        <v>2525</v>
      </c>
      <c r="K47" s="6">
        <f t="shared" si="30"/>
        <v>2585</v>
      </c>
      <c r="L47" s="162">
        <f t="shared" si="30"/>
        <v>2661</v>
      </c>
      <c r="M47" s="183">
        <f>[3]원단위결정!$E$21</f>
        <v>325.53500000000003</v>
      </c>
      <c r="N47" s="184">
        <f>[3]원단위결정!$F$21</f>
        <v>346.82249999999999</v>
      </c>
      <c r="O47" s="184">
        <f>[3]원단위결정!$G$21</f>
        <v>364.18</v>
      </c>
      <c r="P47" s="184">
        <f>[3]원단위결정!$H$21</f>
        <v>377.60750000000002</v>
      </c>
      <c r="Q47" s="6">
        <f>ROUND(I47*M47/1000,0)</f>
        <v>797</v>
      </c>
      <c r="R47" s="6">
        <f>ROUND(J47*N47/1000,0)</f>
        <v>876</v>
      </c>
      <c r="S47" s="6">
        <f>ROUND(K47*O47/1000,0)</f>
        <v>941</v>
      </c>
      <c r="T47" s="6">
        <f>ROUND(L47*P47/1000,0)</f>
        <v>1005</v>
      </c>
      <c r="U47" s="157"/>
      <c r="X47" s="796"/>
      <c r="Y47" s="10" t="s">
        <v>59</v>
      </c>
      <c r="Z47" s="10">
        <v>2230</v>
      </c>
      <c r="AA47" s="10">
        <v>2450</v>
      </c>
      <c r="AB47" s="10">
        <v>2620</v>
      </c>
      <c r="AC47" s="10">
        <v>2807</v>
      </c>
      <c r="AD47" s="10">
        <v>2993</v>
      </c>
      <c r="AF47" s="796"/>
      <c r="AG47" s="10" t="s">
        <v>59</v>
      </c>
      <c r="AH47" s="180">
        <f t="shared" si="3"/>
        <v>2230</v>
      </c>
      <c r="AI47" s="180">
        <f>SUM(AI45:AI46)</f>
        <v>220</v>
      </c>
      <c r="AJ47" s="180">
        <f>SUM(AJ45:AJ46)</f>
        <v>170</v>
      </c>
      <c r="AK47" s="180">
        <f>SUM(AK45:AK46)</f>
        <v>187</v>
      </c>
      <c r="AL47" s="180">
        <f>SUM(AL45:AL46)</f>
        <v>186</v>
      </c>
    </row>
    <row r="48" spans="1:38" ht="27" customHeight="1">
      <c r="A48" s="792" t="s">
        <v>712</v>
      </c>
      <c r="B48" s="139" t="s">
        <v>60</v>
      </c>
      <c r="C48" s="245">
        <f>'[7]1.생잔모형법'!$B$17</f>
        <v>30861</v>
      </c>
      <c r="D48" s="143">
        <f>'[7]1.생잔모형법'!E17</f>
        <v>31223</v>
      </c>
      <c r="E48" s="143">
        <f>'[7]1.생잔모형법'!F17</f>
        <v>31873</v>
      </c>
      <c r="F48" s="143">
        <f>'[7]1.생잔모형법'!G17</f>
        <v>32593</v>
      </c>
      <c r="G48" s="164">
        <f>'[7]1.생잔모형법'!H17</f>
        <v>33159</v>
      </c>
      <c r="H48" s="161">
        <f>ROUND(C48*$H$3,0)</f>
        <v>23763</v>
      </c>
      <c r="I48" s="6">
        <f>ROUND(D48*$I$3,0)</f>
        <v>26227</v>
      </c>
      <c r="J48" s="6">
        <f>ROUND(E48*$J$3,0)</f>
        <v>27092</v>
      </c>
      <c r="K48" s="6">
        <f>ROUND(F48*$K$3,0)</f>
        <v>27704</v>
      </c>
      <c r="L48" s="162">
        <f>ROUND(G48*$L$3,0)</f>
        <v>28517</v>
      </c>
      <c r="M48" s="141"/>
      <c r="N48" s="10"/>
      <c r="O48" s="10"/>
      <c r="P48" s="10"/>
      <c r="Q48" s="6"/>
      <c r="R48" s="6"/>
      <c r="S48" s="6"/>
      <c r="T48" s="6"/>
      <c r="U48" s="157"/>
      <c r="X48" s="794" t="s">
        <v>734</v>
      </c>
      <c r="Y48" s="10" t="s">
        <v>60</v>
      </c>
      <c r="Z48" s="10">
        <v>22853</v>
      </c>
      <c r="AA48" s="10">
        <v>25061</v>
      </c>
      <c r="AB48" s="10">
        <v>26806</v>
      </c>
      <c r="AC48" s="10">
        <v>28721</v>
      </c>
      <c r="AD48" s="10">
        <v>30628</v>
      </c>
      <c r="AF48" s="794" t="s">
        <v>734</v>
      </c>
      <c r="AG48" s="10" t="s">
        <v>60</v>
      </c>
      <c r="AH48" s="180">
        <f t="shared" si="3"/>
        <v>22853</v>
      </c>
      <c r="AI48" s="10">
        <f t="shared" ref="AI48:AL49" si="31">AA48-Z48</f>
        <v>2208</v>
      </c>
      <c r="AJ48" s="10">
        <f t="shared" si="31"/>
        <v>1745</v>
      </c>
      <c r="AK48" s="10">
        <f t="shared" si="31"/>
        <v>1915</v>
      </c>
      <c r="AL48" s="10">
        <f t="shared" si="31"/>
        <v>1907</v>
      </c>
    </row>
    <row r="49" spans="1:38" s="149" customFormat="1" ht="27" customHeight="1">
      <c r="A49" s="792"/>
      <c r="B49" s="154" t="s">
        <v>61</v>
      </c>
      <c r="C49" s="165">
        <v>0</v>
      </c>
      <c r="D49" s="146">
        <v>2262</v>
      </c>
      <c r="E49" s="146">
        <v>4899</v>
      </c>
      <c r="F49" s="146">
        <v>4899</v>
      </c>
      <c r="G49" s="166">
        <v>4899</v>
      </c>
      <c r="H49" s="147">
        <f>ROUND(C49*$H$4,0)</f>
        <v>0</v>
      </c>
      <c r="I49" s="147">
        <f>ROUND(D49*$I$4,0)</f>
        <v>2262</v>
      </c>
      <c r="J49" s="147">
        <f>ROUND(E49*$J$4,0)</f>
        <v>4899</v>
      </c>
      <c r="K49" s="147">
        <f>ROUND(F49*$K$4,0)</f>
        <v>4899</v>
      </c>
      <c r="L49" s="179">
        <f>ROUND(G49*$L$4,0)</f>
        <v>4899</v>
      </c>
      <c r="M49" s="173"/>
      <c r="N49" s="148"/>
      <c r="O49" s="148"/>
      <c r="P49" s="148"/>
      <c r="Q49" s="147"/>
      <c r="R49" s="147"/>
      <c r="S49" s="147"/>
      <c r="T49" s="147"/>
      <c r="U49" s="196"/>
      <c r="X49" s="795"/>
      <c r="Y49" s="148" t="s">
        <v>61</v>
      </c>
      <c r="Z49" s="148">
        <v>0</v>
      </c>
      <c r="AA49" s="148">
        <v>2262</v>
      </c>
      <c r="AB49" s="148">
        <v>4899</v>
      </c>
      <c r="AC49" s="148">
        <v>4899</v>
      </c>
      <c r="AD49" s="148">
        <v>4899</v>
      </c>
      <c r="AF49" s="795"/>
      <c r="AG49" s="148" t="s">
        <v>61</v>
      </c>
      <c r="AH49" s="180">
        <f t="shared" si="3"/>
        <v>0</v>
      </c>
      <c r="AI49" s="10">
        <f t="shared" si="31"/>
        <v>2262</v>
      </c>
      <c r="AJ49" s="10">
        <f t="shared" si="31"/>
        <v>2637</v>
      </c>
      <c r="AK49" s="10">
        <f t="shared" si="31"/>
        <v>0</v>
      </c>
      <c r="AL49" s="10">
        <f t="shared" si="31"/>
        <v>0</v>
      </c>
    </row>
    <row r="50" spans="1:38" ht="27" customHeight="1">
      <c r="A50" s="792"/>
      <c r="B50" s="140" t="s">
        <v>217</v>
      </c>
      <c r="C50" s="161">
        <f>SUM(C48:C49)</f>
        <v>30861</v>
      </c>
      <c r="D50" s="6">
        <f t="shared" ref="D50:L50" si="32">SUM(D48:D49)</f>
        <v>33485</v>
      </c>
      <c r="E50" s="6">
        <f t="shared" si="32"/>
        <v>36772</v>
      </c>
      <c r="F50" s="6">
        <f t="shared" si="32"/>
        <v>37492</v>
      </c>
      <c r="G50" s="162">
        <f t="shared" si="32"/>
        <v>38058</v>
      </c>
      <c r="H50" s="6">
        <f t="shared" si="32"/>
        <v>23763</v>
      </c>
      <c r="I50" s="6">
        <f t="shared" si="32"/>
        <v>28489</v>
      </c>
      <c r="J50" s="6">
        <f t="shared" si="32"/>
        <v>31991</v>
      </c>
      <c r="K50" s="6">
        <f t="shared" si="32"/>
        <v>32603</v>
      </c>
      <c r="L50" s="162">
        <f t="shared" si="32"/>
        <v>33416</v>
      </c>
      <c r="M50" s="183">
        <f>[3]원단위결정!$E$19</f>
        <v>440.16</v>
      </c>
      <c r="N50" s="184">
        <f>[3]원단위결정!$F$19</f>
        <v>461.12</v>
      </c>
      <c r="O50" s="184">
        <f>[3]원단위결정!$G$19</f>
        <v>488.63</v>
      </c>
      <c r="P50" s="184">
        <f>[3]원단위결정!$H$19</f>
        <v>518.76</v>
      </c>
      <c r="Q50" s="6">
        <f>ROUND(I50*M50/1000,0)</f>
        <v>12540</v>
      </c>
      <c r="R50" s="6">
        <f>ROUND(J50*N50/1000,0)</f>
        <v>14752</v>
      </c>
      <c r="S50" s="6">
        <f>ROUND(K50*O50/1000,0)</f>
        <v>15931</v>
      </c>
      <c r="T50" s="6">
        <f>ROUND(L50*P50/1000,0)</f>
        <v>17335</v>
      </c>
      <c r="U50" s="157"/>
      <c r="X50" s="796"/>
      <c r="Y50" s="10" t="s">
        <v>59</v>
      </c>
      <c r="Z50" s="10">
        <v>22853</v>
      </c>
      <c r="AA50" s="10">
        <v>27323</v>
      </c>
      <c r="AB50" s="10">
        <v>31705</v>
      </c>
      <c r="AC50" s="10">
        <v>33620</v>
      </c>
      <c r="AD50" s="10">
        <v>35527</v>
      </c>
      <c r="AF50" s="796"/>
      <c r="AG50" s="10" t="s">
        <v>59</v>
      </c>
      <c r="AH50" s="180">
        <f t="shared" si="3"/>
        <v>22853</v>
      </c>
      <c r="AI50" s="180">
        <f>SUM(AI48:AI49)</f>
        <v>4470</v>
      </c>
      <c r="AJ50" s="180">
        <f>SUM(AJ48:AJ49)</f>
        <v>4382</v>
      </c>
      <c r="AK50" s="180">
        <f>SUM(AK48:AK49)</f>
        <v>1915</v>
      </c>
      <c r="AL50" s="180">
        <f>SUM(AL48:AL49)</f>
        <v>1907</v>
      </c>
    </row>
    <row r="51" spans="1:38" ht="27" customHeight="1">
      <c r="A51" s="792" t="s">
        <v>713</v>
      </c>
      <c r="B51" s="139" t="s">
        <v>60</v>
      </c>
      <c r="C51" s="245">
        <f>'[7]1.생잔모형법'!$B$18</f>
        <v>18943</v>
      </c>
      <c r="D51" s="143">
        <f>'[7]1.생잔모형법'!E18</f>
        <v>19164</v>
      </c>
      <c r="E51" s="143">
        <f>'[7]1.생잔모형법'!F18</f>
        <v>19564</v>
      </c>
      <c r="F51" s="143">
        <f>'[7]1.생잔모형법'!G18</f>
        <v>20010</v>
      </c>
      <c r="G51" s="164">
        <f>'[7]1.생잔모형법'!H18</f>
        <v>20354</v>
      </c>
      <c r="H51" s="161">
        <f>ROUND(C51*$H$3,0)</f>
        <v>14586</v>
      </c>
      <c r="I51" s="6">
        <f>ROUND(D51*$I$3,0)</f>
        <v>16098</v>
      </c>
      <c r="J51" s="6">
        <f>ROUND(E51*$J$3,0)</f>
        <v>16629</v>
      </c>
      <c r="K51" s="6">
        <f>ROUND(F51*$K$3,0)</f>
        <v>17009</v>
      </c>
      <c r="L51" s="162">
        <f>ROUND(G51*$L$3,0)</f>
        <v>17504</v>
      </c>
      <c r="M51" s="141"/>
      <c r="N51" s="10"/>
      <c r="O51" s="10"/>
      <c r="P51" s="10"/>
      <c r="Q51" s="6"/>
      <c r="R51" s="6"/>
      <c r="S51" s="6"/>
      <c r="T51" s="6"/>
      <c r="U51" s="157"/>
      <c r="X51" s="794" t="s">
        <v>735</v>
      </c>
      <c r="Y51" s="10" t="s">
        <v>60</v>
      </c>
      <c r="Z51" s="10">
        <v>14549</v>
      </c>
      <c r="AA51" s="10">
        <v>15958</v>
      </c>
      <c r="AB51" s="10">
        <v>17070</v>
      </c>
      <c r="AC51" s="10">
        <v>18289</v>
      </c>
      <c r="AD51" s="10">
        <v>19504</v>
      </c>
      <c r="AF51" s="794" t="s">
        <v>735</v>
      </c>
      <c r="AG51" s="10" t="s">
        <v>60</v>
      </c>
      <c r="AH51" s="180">
        <f t="shared" si="3"/>
        <v>14549</v>
      </c>
      <c r="AI51" s="10">
        <f t="shared" ref="AI51:AL52" si="33">AA51-Z51</f>
        <v>1409</v>
      </c>
      <c r="AJ51" s="10">
        <f t="shared" si="33"/>
        <v>1112</v>
      </c>
      <c r="AK51" s="10">
        <f t="shared" si="33"/>
        <v>1219</v>
      </c>
      <c r="AL51" s="10">
        <f t="shared" si="33"/>
        <v>1215</v>
      </c>
    </row>
    <row r="52" spans="1:38" s="149" customFormat="1" ht="27" customHeight="1">
      <c r="A52" s="792"/>
      <c r="B52" s="154" t="s">
        <v>61</v>
      </c>
      <c r="C52" s="165">
        <v>0</v>
      </c>
      <c r="D52" s="146">
        <v>0</v>
      </c>
      <c r="E52" s="146">
        <v>565</v>
      </c>
      <c r="F52" s="146">
        <v>565</v>
      </c>
      <c r="G52" s="166">
        <v>565</v>
      </c>
      <c r="H52" s="147">
        <f>ROUND(C52*$H$4,0)</f>
        <v>0</v>
      </c>
      <c r="I52" s="147">
        <f>ROUND(D52*$I$4,0)</f>
        <v>0</v>
      </c>
      <c r="J52" s="147">
        <f>ROUND(E52*$J$4,0)</f>
        <v>565</v>
      </c>
      <c r="K52" s="147">
        <f>ROUND(F52*$K$4,0)</f>
        <v>565</v>
      </c>
      <c r="L52" s="179">
        <f>ROUND(G52*$L$4,0)</f>
        <v>565</v>
      </c>
      <c r="M52" s="173"/>
      <c r="N52" s="148"/>
      <c r="O52" s="148"/>
      <c r="P52" s="148"/>
      <c r="Q52" s="147"/>
      <c r="R52" s="147"/>
      <c r="S52" s="147"/>
      <c r="T52" s="147"/>
      <c r="U52" s="196"/>
      <c r="X52" s="795"/>
      <c r="Y52" s="148" t="s">
        <v>61</v>
      </c>
      <c r="Z52" s="148">
        <v>0</v>
      </c>
      <c r="AA52" s="148">
        <v>0</v>
      </c>
      <c r="AB52" s="148">
        <v>565</v>
      </c>
      <c r="AC52" s="148">
        <v>565</v>
      </c>
      <c r="AD52" s="148">
        <v>565</v>
      </c>
      <c r="AF52" s="795"/>
      <c r="AG52" s="148" t="s">
        <v>61</v>
      </c>
      <c r="AH52" s="180">
        <f t="shared" si="3"/>
        <v>0</v>
      </c>
      <c r="AI52" s="10">
        <f t="shared" si="33"/>
        <v>0</v>
      </c>
      <c r="AJ52" s="10">
        <f t="shared" si="33"/>
        <v>565</v>
      </c>
      <c r="AK52" s="10">
        <f t="shared" si="33"/>
        <v>0</v>
      </c>
      <c r="AL52" s="10">
        <f t="shared" si="33"/>
        <v>0</v>
      </c>
    </row>
    <row r="53" spans="1:38" ht="27" customHeight="1" thickBot="1">
      <c r="A53" s="793"/>
      <c r="B53" s="197" t="s">
        <v>217</v>
      </c>
      <c r="C53" s="170">
        <f>SUM(C51:C52)</f>
        <v>18943</v>
      </c>
      <c r="D53" s="171">
        <f t="shared" ref="D53:L53" si="34">SUM(D51:D52)</f>
        <v>19164</v>
      </c>
      <c r="E53" s="171">
        <f t="shared" si="34"/>
        <v>20129</v>
      </c>
      <c r="F53" s="171">
        <f t="shared" si="34"/>
        <v>20575</v>
      </c>
      <c r="G53" s="172">
        <f t="shared" si="34"/>
        <v>20919</v>
      </c>
      <c r="H53" s="171">
        <f t="shared" si="34"/>
        <v>14586</v>
      </c>
      <c r="I53" s="171">
        <f t="shared" si="34"/>
        <v>16098</v>
      </c>
      <c r="J53" s="171">
        <f t="shared" si="34"/>
        <v>17194</v>
      </c>
      <c r="K53" s="171">
        <f t="shared" si="34"/>
        <v>17574</v>
      </c>
      <c r="L53" s="172">
        <f t="shared" si="34"/>
        <v>18069</v>
      </c>
      <c r="M53" s="198">
        <f>[3]원단위결정!$E$19</f>
        <v>440.16</v>
      </c>
      <c r="N53" s="199">
        <f>[3]원단위결정!$F$19</f>
        <v>461.12</v>
      </c>
      <c r="O53" s="199">
        <f>[3]원단위결정!$G$19</f>
        <v>488.63</v>
      </c>
      <c r="P53" s="199">
        <f>[3]원단위결정!$H$19</f>
        <v>518.76</v>
      </c>
      <c r="Q53" s="171">
        <f>ROUND(I53*M53/1000,0)</f>
        <v>7086</v>
      </c>
      <c r="R53" s="171">
        <f>ROUND(J53*N53/1000,0)</f>
        <v>7928</v>
      </c>
      <c r="S53" s="171">
        <f>ROUND(K53*O53/1000,0)</f>
        <v>8587</v>
      </c>
      <c r="T53" s="171">
        <f>ROUND(L53*P53/1000,0)</f>
        <v>9373</v>
      </c>
      <c r="U53" s="200"/>
      <c r="X53" s="796"/>
      <c r="Y53" s="10" t="s">
        <v>59</v>
      </c>
      <c r="Z53" s="10">
        <v>14549</v>
      </c>
      <c r="AA53" s="10">
        <v>15958</v>
      </c>
      <c r="AB53" s="10">
        <v>17635</v>
      </c>
      <c r="AC53" s="10">
        <v>18854</v>
      </c>
      <c r="AD53" s="10">
        <v>20069</v>
      </c>
      <c r="AF53" s="796"/>
      <c r="AG53" s="10" t="s">
        <v>59</v>
      </c>
      <c r="AH53" s="180">
        <f t="shared" si="3"/>
        <v>14549</v>
      </c>
      <c r="AI53" s="180">
        <f>SUM(AI51:AI52)</f>
        <v>1409</v>
      </c>
      <c r="AJ53" s="180">
        <f>SUM(AJ51:AJ52)</f>
        <v>1677</v>
      </c>
      <c r="AK53" s="180">
        <f>SUM(AK51:AK52)</f>
        <v>1219</v>
      </c>
      <c r="AL53" s="180">
        <f>SUM(AL51:AL52)</f>
        <v>1215</v>
      </c>
    </row>
    <row r="54" spans="1:38" ht="24.95" customHeight="1" thickBot="1">
      <c r="A54" s="91" t="s">
        <v>555</v>
      </c>
    </row>
    <row r="55" spans="1:38" ht="27" customHeight="1">
      <c r="A55" s="806" t="s">
        <v>0</v>
      </c>
      <c r="B55" s="807"/>
      <c r="C55" s="808" t="s">
        <v>188</v>
      </c>
      <c r="D55" s="809"/>
      <c r="E55" s="809"/>
      <c r="F55" s="809"/>
      <c r="G55" s="810"/>
      <c r="H55" s="808" t="s">
        <v>50</v>
      </c>
      <c r="I55" s="809"/>
      <c r="J55" s="809"/>
      <c r="K55" s="809"/>
      <c r="L55" s="810"/>
      <c r="M55" s="811" t="s">
        <v>255</v>
      </c>
      <c r="N55" s="812"/>
      <c r="O55" s="812"/>
      <c r="P55" s="812"/>
      <c r="Q55" s="812" t="s">
        <v>256</v>
      </c>
      <c r="R55" s="812"/>
      <c r="S55" s="812"/>
      <c r="T55" s="812"/>
      <c r="U55" s="813" t="s">
        <v>30</v>
      </c>
      <c r="X55" s="782" t="s">
        <v>737</v>
      </c>
      <c r="Y55" s="782"/>
      <c r="Z55" s="782" t="s">
        <v>715</v>
      </c>
      <c r="AA55" s="782"/>
      <c r="AB55" s="782"/>
      <c r="AC55" s="782"/>
      <c r="AD55" s="782"/>
      <c r="AF55" s="797" t="s">
        <v>736</v>
      </c>
      <c r="AG55" s="798"/>
      <c r="AH55" s="803" t="s">
        <v>715</v>
      </c>
      <c r="AI55" s="804"/>
      <c r="AJ55" s="804"/>
      <c r="AK55" s="804"/>
      <c r="AL55" s="805"/>
    </row>
    <row r="56" spans="1:38" ht="27" customHeight="1" outlineLevel="1">
      <c r="A56" s="792"/>
      <c r="B56" s="803"/>
      <c r="C56" s="156"/>
      <c r="D56" s="10"/>
      <c r="E56" s="10"/>
      <c r="F56" s="10"/>
      <c r="G56" s="157"/>
      <c r="H56" s="156">
        <v>0.77</v>
      </c>
      <c r="I56" s="181">
        <f>[8]Sheet1!$D$42</f>
        <v>0.79401468246843854</v>
      </c>
      <c r="J56" s="181">
        <f>[8]Sheet1!$E$42</f>
        <v>0.85761291751172242</v>
      </c>
      <c r="K56" s="181">
        <f>[8]Sheet1!$F$42</f>
        <v>0.89938384537355864</v>
      </c>
      <c r="L56" s="182">
        <f>[8]Sheet1!$G$42</f>
        <v>0.9687340005669306</v>
      </c>
      <c r="M56" s="141"/>
      <c r="N56" s="10"/>
      <c r="O56" s="10"/>
      <c r="P56" s="10"/>
      <c r="Q56" s="10"/>
      <c r="R56" s="10"/>
      <c r="S56" s="10"/>
      <c r="T56" s="10"/>
      <c r="U56" s="814"/>
      <c r="X56" s="782"/>
      <c r="Y56" s="782"/>
      <c r="Z56" s="10">
        <v>0.77</v>
      </c>
      <c r="AA56" s="10">
        <v>0.8</v>
      </c>
      <c r="AB56" s="10">
        <v>0.85</v>
      </c>
      <c r="AC56" s="10">
        <v>0.9</v>
      </c>
      <c r="AD56" s="10">
        <v>0.95</v>
      </c>
      <c r="AF56" s="799"/>
      <c r="AG56" s="800"/>
      <c r="AH56" s="10">
        <v>0.77</v>
      </c>
      <c r="AI56" s="10">
        <v>0.8</v>
      </c>
      <c r="AJ56" s="10">
        <v>0.85</v>
      </c>
      <c r="AK56" s="10">
        <v>0.9</v>
      </c>
      <c r="AL56" s="10">
        <v>0.95</v>
      </c>
    </row>
    <row r="57" spans="1:38" ht="27" customHeight="1" outlineLevel="1">
      <c r="A57" s="792"/>
      <c r="B57" s="803"/>
      <c r="C57" s="156"/>
      <c r="D57" s="10"/>
      <c r="E57" s="10"/>
      <c r="F57" s="10"/>
      <c r="G57" s="157"/>
      <c r="H57" s="156">
        <v>1</v>
      </c>
      <c r="I57" s="10">
        <v>1</v>
      </c>
      <c r="J57" s="10">
        <v>1</v>
      </c>
      <c r="K57" s="10">
        <v>1</v>
      </c>
      <c r="L57" s="157">
        <v>1</v>
      </c>
      <c r="M57" s="141"/>
      <c r="N57" s="10"/>
      <c r="O57" s="10"/>
      <c r="P57" s="10"/>
      <c r="Q57" s="10"/>
      <c r="R57" s="10"/>
      <c r="S57" s="10"/>
      <c r="T57" s="10"/>
      <c r="U57" s="814"/>
      <c r="X57" s="782"/>
      <c r="Y57" s="782"/>
      <c r="Z57" s="10">
        <v>1</v>
      </c>
      <c r="AA57" s="10">
        <v>1</v>
      </c>
      <c r="AB57" s="10">
        <v>1</v>
      </c>
      <c r="AC57" s="10">
        <v>1</v>
      </c>
      <c r="AD57" s="10">
        <v>1</v>
      </c>
      <c r="AF57" s="799"/>
      <c r="AG57" s="800"/>
      <c r="AH57" s="10">
        <v>1</v>
      </c>
      <c r="AI57" s="10">
        <v>1</v>
      </c>
      <c r="AJ57" s="10">
        <v>1</v>
      </c>
      <c r="AK57" s="10">
        <v>1</v>
      </c>
      <c r="AL57" s="10">
        <v>1</v>
      </c>
    </row>
    <row r="58" spans="1:38" ht="27" customHeight="1">
      <c r="A58" s="792"/>
      <c r="B58" s="803"/>
      <c r="C58" s="156" t="s">
        <v>714</v>
      </c>
      <c r="D58" s="17" t="s">
        <v>114</v>
      </c>
      <c r="E58" s="17" t="s">
        <v>115</v>
      </c>
      <c r="F58" s="17" t="s">
        <v>116</v>
      </c>
      <c r="G58" s="158" t="s">
        <v>117</v>
      </c>
      <c r="H58" s="176" t="s">
        <v>714</v>
      </c>
      <c r="I58" s="17" t="s">
        <v>114</v>
      </c>
      <c r="J58" s="17" t="s">
        <v>115</v>
      </c>
      <c r="K58" s="17" t="s">
        <v>116</v>
      </c>
      <c r="L58" s="158" t="s">
        <v>117</v>
      </c>
      <c r="M58" s="142" t="s">
        <v>114</v>
      </c>
      <c r="N58" s="17" t="s">
        <v>115</v>
      </c>
      <c r="O58" s="17" t="s">
        <v>116</v>
      </c>
      <c r="P58" s="17" t="s">
        <v>117</v>
      </c>
      <c r="Q58" s="17" t="s">
        <v>114</v>
      </c>
      <c r="R58" s="17" t="s">
        <v>115</v>
      </c>
      <c r="S58" s="17" t="s">
        <v>116</v>
      </c>
      <c r="T58" s="17" t="s">
        <v>117</v>
      </c>
      <c r="U58" s="814"/>
      <c r="X58" s="782"/>
      <c r="Y58" s="782"/>
      <c r="Z58" s="10" t="s">
        <v>346</v>
      </c>
      <c r="AA58" s="10" t="s">
        <v>716</v>
      </c>
      <c r="AB58" s="10" t="s">
        <v>717</v>
      </c>
      <c r="AC58" s="10" t="s">
        <v>718</v>
      </c>
      <c r="AD58" s="10" t="s">
        <v>719</v>
      </c>
      <c r="AF58" s="801"/>
      <c r="AG58" s="802"/>
      <c r="AH58" s="10" t="s">
        <v>346</v>
      </c>
      <c r="AI58" s="10" t="s">
        <v>716</v>
      </c>
      <c r="AJ58" s="10" t="s">
        <v>717</v>
      </c>
      <c r="AK58" s="10" t="s">
        <v>718</v>
      </c>
      <c r="AL58" s="10" t="s">
        <v>719</v>
      </c>
    </row>
    <row r="59" spans="1:38" ht="27" customHeight="1">
      <c r="A59" s="792" t="s">
        <v>698</v>
      </c>
      <c r="B59" s="139" t="s">
        <v>60</v>
      </c>
      <c r="C59" s="159">
        <v>126653</v>
      </c>
      <c r="D59" s="12">
        <v>133688</v>
      </c>
      <c r="E59" s="12">
        <v>134584</v>
      </c>
      <c r="F59" s="12">
        <v>136186</v>
      </c>
      <c r="G59" s="160">
        <v>137583</v>
      </c>
      <c r="H59" s="159">
        <f t="shared" ref="H59:L60" si="35">H62+H65+H68+H71+H74+H77+H80+H83+H86+H89+H92+H95+H98+H101+H104</f>
        <v>97523</v>
      </c>
      <c r="I59" s="12">
        <f t="shared" si="35"/>
        <v>112299</v>
      </c>
      <c r="J59" s="12">
        <f t="shared" si="35"/>
        <v>114398</v>
      </c>
      <c r="K59" s="12">
        <f t="shared" si="35"/>
        <v>115758</v>
      </c>
      <c r="L59" s="160">
        <f t="shared" si="35"/>
        <v>118323</v>
      </c>
      <c r="M59" s="141"/>
      <c r="N59" s="10"/>
      <c r="O59" s="10"/>
      <c r="P59" s="10"/>
      <c r="Q59" s="12"/>
      <c r="R59" s="12"/>
      <c r="S59" s="12"/>
      <c r="T59" s="12"/>
      <c r="U59" s="157"/>
      <c r="X59" s="794" t="s">
        <v>720</v>
      </c>
      <c r="Y59" s="10" t="s">
        <v>60</v>
      </c>
      <c r="Z59" s="10">
        <v>97523</v>
      </c>
      <c r="AA59" s="10">
        <v>106950</v>
      </c>
      <c r="AB59" s="10">
        <v>114398</v>
      </c>
      <c r="AC59" s="10">
        <v>122569</v>
      </c>
      <c r="AD59" s="10">
        <v>130705</v>
      </c>
      <c r="AF59" s="794" t="s">
        <v>720</v>
      </c>
      <c r="AG59" s="10" t="s">
        <v>60</v>
      </c>
      <c r="AH59" s="180">
        <f>Z59</f>
        <v>97523</v>
      </c>
      <c r="AI59" s="10">
        <f t="shared" ref="AI59:AL60" si="36">AA59-Z59</f>
        <v>9427</v>
      </c>
      <c r="AJ59" s="10">
        <f t="shared" si="36"/>
        <v>7448</v>
      </c>
      <c r="AK59" s="10">
        <f t="shared" si="36"/>
        <v>8171</v>
      </c>
      <c r="AL59" s="10">
        <f t="shared" si="36"/>
        <v>8136</v>
      </c>
    </row>
    <row r="60" spans="1:38" ht="27" customHeight="1">
      <c r="A60" s="792"/>
      <c r="B60" s="139" t="s">
        <v>61</v>
      </c>
      <c r="C60" s="159">
        <v>0</v>
      </c>
      <c r="D60" s="12">
        <v>4806</v>
      </c>
      <c r="E60" s="12">
        <v>17800.591780821916</v>
      </c>
      <c r="F60" s="12">
        <v>24860.342465753423</v>
      </c>
      <c r="G60" s="160">
        <v>24875.531506849315</v>
      </c>
      <c r="H60" s="159">
        <f t="shared" si="35"/>
        <v>0</v>
      </c>
      <c r="I60" s="12">
        <f t="shared" si="35"/>
        <v>4806</v>
      </c>
      <c r="J60" s="12">
        <f t="shared" si="35"/>
        <v>17801</v>
      </c>
      <c r="K60" s="12">
        <f t="shared" si="35"/>
        <v>24860</v>
      </c>
      <c r="L60" s="160">
        <f t="shared" si="35"/>
        <v>24876</v>
      </c>
      <c r="M60" s="141"/>
      <c r="N60" s="10"/>
      <c r="O60" s="10"/>
      <c r="P60" s="10"/>
      <c r="Q60" s="6"/>
      <c r="R60" s="6"/>
      <c r="S60" s="6"/>
      <c r="T60" s="6"/>
      <c r="U60" s="157"/>
      <c r="X60" s="795"/>
      <c r="Y60" s="10" t="s">
        <v>61</v>
      </c>
      <c r="Z60" s="10">
        <v>0</v>
      </c>
      <c r="AA60" s="10">
        <v>4806</v>
      </c>
      <c r="AB60" s="10">
        <v>17801</v>
      </c>
      <c r="AC60" s="10">
        <v>24860</v>
      </c>
      <c r="AD60" s="10">
        <v>24876</v>
      </c>
      <c r="AF60" s="795"/>
      <c r="AG60" s="10" t="s">
        <v>61</v>
      </c>
      <c r="AH60" s="180">
        <f t="shared" ref="AH60:AH106" si="37">Z60</f>
        <v>0</v>
      </c>
      <c r="AI60" s="10">
        <f t="shared" si="36"/>
        <v>4806</v>
      </c>
      <c r="AJ60" s="10">
        <f t="shared" si="36"/>
        <v>12995</v>
      </c>
      <c r="AK60" s="10">
        <f t="shared" si="36"/>
        <v>7059</v>
      </c>
      <c r="AL60" s="10">
        <f t="shared" si="36"/>
        <v>16</v>
      </c>
    </row>
    <row r="61" spans="1:38" ht="27" customHeight="1">
      <c r="A61" s="792"/>
      <c r="B61" s="140" t="s">
        <v>15</v>
      </c>
      <c r="C61" s="161">
        <v>126653</v>
      </c>
      <c r="D61" s="6">
        <v>138494</v>
      </c>
      <c r="E61" s="6">
        <v>152384.59178082191</v>
      </c>
      <c r="F61" s="6">
        <v>161046.34246575343</v>
      </c>
      <c r="G61" s="162">
        <v>162458.53150684931</v>
      </c>
      <c r="H61" s="177">
        <f>SUM(H59:H60)</f>
        <v>97523</v>
      </c>
      <c r="I61" s="153">
        <f>SUM(I59:I60)</f>
        <v>117105</v>
      </c>
      <c r="J61" s="153">
        <f>SUM(J59:J60)</f>
        <v>132199</v>
      </c>
      <c r="K61" s="153">
        <f>SUM(K59:K60)</f>
        <v>140618</v>
      </c>
      <c r="L61" s="178">
        <f>SUM(L59:L60)</f>
        <v>143199</v>
      </c>
      <c r="M61" s="141"/>
      <c r="N61" s="10"/>
      <c r="O61" s="10"/>
      <c r="P61" s="10"/>
      <c r="Q61" s="6">
        <f>Q64+Q67+Q70+Q73+Q76+Q79+Q82+Q85+Q88+Q91+Q94+Q97+Q100+Q103+Q106</f>
        <v>33991</v>
      </c>
      <c r="R61" s="6">
        <f>R64+R67+R70+R73+R76+R79+R82+R85+R88+R91+R94+R97+R100+R103+R106</f>
        <v>40536</v>
      </c>
      <c r="S61" s="6">
        <f>S64+S67+S70+S73+S76+S79+S82+S85+S88+S91+S94+S97+S100+S103+S106</f>
        <v>45433</v>
      </c>
      <c r="T61" s="6">
        <f>T64+T67+T70+T73+T76+T79+T82+T85+T88+T91+T94+T97+T100+T103+T106</f>
        <v>48864</v>
      </c>
      <c r="U61" s="157"/>
      <c r="X61" s="796"/>
      <c r="Y61" s="10" t="s">
        <v>59</v>
      </c>
      <c r="Z61" s="10">
        <v>97523</v>
      </c>
      <c r="AA61" s="10">
        <v>111756</v>
      </c>
      <c r="AB61" s="10">
        <v>132199</v>
      </c>
      <c r="AC61" s="10">
        <v>147429</v>
      </c>
      <c r="AD61" s="10">
        <v>155581</v>
      </c>
      <c r="AF61" s="796"/>
      <c r="AG61" s="10" t="s">
        <v>59</v>
      </c>
      <c r="AH61" s="180">
        <f t="shared" si="37"/>
        <v>97523</v>
      </c>
      <c r="AI61" s="180">
        <f>SUM(AI59:AI60)</f>
        <v>14233</v>
      </c>
      <c r="AJ61" s="180">
        <f>SUM(AJ59:AJ60)</f>
        <v>20443</v>
      </c>
      <c r="AK61" s="180">
        <f>SUM(AK59:AK60)</f>
        <v>15230</v>
      </c>
      <c r="AL61" s="180">
        <f>SUM(AL59:AL60)</f>
        <v>8152</v>
      </c>
    </row>
    <row r="62" spans="1:38" ht="27" customHeight="1">
      <c r="A62" s="792" t="s">
        <v>699</v>
      </c>
      <c r="B62" s="139" t="s">
        <v>60</v>
      </c>
      <c r="C62" s="163">
        <v>10738</v>
      </c>
      <c r="D62" s="143">
        <v>11338</v>
      </c>
      <c r="E62" s="143">
        <v>11413</v>
      </c>
      <c r="F62" s="143">
        <v>11549</v>
      </c>
      <c r="G62" s="164">
        <v>11667</v>
      </c>
      <c r="H62" s="161">
        <f>ROUND(C62*$H$3,0)</f>
        <v>8268</v>
      </c>
      <c r="I62" s="6">
        <f>ROUND(D62*$I$3,0)</f>
        <v>9524</v>
      </c>
      <c r="J62" s="6">
        <f>ROUND(E62*$J$3,0)</f>
        <v>9701</v>
      </c>
      <c r="K62" s="6">
        <f>ROUND(F62*$K$3,0)</f>
        <v>9817</v>
      </c>
      <c r="L62" s="162">
        <f>ROUND(G62*$L$3,0)</f>
        <v>10034</v>
      </c>
      <c r="M62" s="141"/>
      <c r="N62" s="10"/>
      <c r="O62" s="10"/>
      <c r="P62" s="10"/>
      <c r="Q62" s="6"/>
      <c r="R62" s="6"/>
      <c r="S62" s="6"/>
      <c r="T62" s="6"/>
      <c r="U62" s="157"/>
      <c r="X62" s="794" t="s">
        <v>721</v>
      </c>
      <c r="Y62" s="10" t="s">
        <v>60</v>
      </c>
      <c r="Z62" s="10">
        <v>8268</v>
      </c>
      <c r="AA62" s="10">
        <v>9070</v>
      </c>
      <c r="AB62" s="10">
        <v>9701</v>
      </c>
      <c r="AC62" s="10">
        <v>10394</v>
      </c>
      <c r="AD62" s="10">
        <v>11084</v>
      </c>
      <c r="AF62" s="794" t="s">
        <v>721</v>
      </c>
      <c r="AG62" s="10" t="s">
        <v>60</v>
      </c>
      <c r="AH62" s="180">
        <f t="shared" si="37"/>
        <v>8268</v>
      </c>
      <c r="AI62" s="10">
        <f t="shared" ref="AI62:AL63" si="38">AA62-Z62</f>
        <v>802</v>
      </c>
      <c r="AJ62" s="10">
        <f t="shared" si="38"/>
        <v>631</v>
      </c>
      <c r="AK62" s="10">
        <f t="shared" si="38"/>
        <v>693</v>
      </c>
      <c r="AL62" s="10">
        <f t="shared" si="38"/>
        <v>690</v>
      </c>
    </row>
    <row r="63" spans="1:38" s="149" customFormat="1" ht="27" customHeight="1">
      <c r="A63" s="792"/>
      <c r="B63" s="154" t="s">
        <v>61</v>
      </c>
      <c r="C63" s="165">
        <v>0</v>
      </c>
      <c r="D63" s="146">
        <v>457</v>
      </c>
      <c r="E63" s="146">
        <v>457</v>
      </c>
      <c r="F63" s="146">
        <v>907</v>
      </c>
      <c r="G63" s="166">
        <v>907</v>
      </c>
      <c r="H63" s="147">
        <f>ROUND(C63*$H$4,0)</f>
        <v>0</v>
      </c>
      <c r="I63" s="147">
        <f>ROUND(D63*$I$4,0)</f>
        <v>457</v>
      </c>
      <c r="J63" s="147">
        <f>ROUND(E63*$J$4,0)</f>
        <v>457</v>
      </c>
      <c r="K63" s="147">
        <f>ROUND(F63*$K$4,0)</f>
        <v>907</v>
      </c>
      <c r="L63" s="179">
        <f>ROUND(G63*$L$4,0)</f>
        <v>907</v>
      </c>
      <c r="M63" s="173"/>
      <c r="N63" s="148"/>
      <c r="O63" s="148"/>
      <c r="P63" s="148"/>
      <c r="Q63" s="147"/>
      <c r="R63" s="147"/>
      <c r="S63" s="147"/>
      <c r="T63" s="147"/>
      <c r="U63" s="196"/>
      <c r="X63" s="795"/>
      <c r="Y63" s="148" t="s">
        <v>61</v>
      </c>
      <c r="Z63" s="148">
        <v>0</v>
      </c>
      <c r="AA63" s="148">
        <v>457</v>
      </c>
      <c r="AB63" s="148">
        <v>457</v>
      </c>
      <c r="AC63" s="148">
        <v>907</v>
      </c>
      <c r="AD63" s="148">
        <v>907</v>
      </c>
      <c r="AF63" s="795"/>
      <c r="AG63" s="148" t="s">
        <v>61</v>
      </c>
      <c r="AH63" s="180">
        <f t="shared" si="37"/>
        <v>0</v>
      </c>
      <c r="AI63" s="10">
        <f t="shared" si="38"/>
        <v>457</v>
      </c>
      <c r="AJ63" s="10">
        <f t="shared" si="38"/>
        <v>0</v>
      </c>
      <c r="AK63" s="10">
        <f t="shared" si="38"/>
        <v>450</v>
      </c>
      <c r="AL63" s="10">
        <f t="shared" si="38"/>
        <v>0</v>
      </c>
    </row>
    <row r="64" spans="1:38" ht="27" customHeight="1">
      <c r="A64" s="792"/>
      <c r="B64" s="140" t="s">
        <v>15</v>
      </c>
      <c r="C64" s="161">
        <v>10738</v>
      </c>
      <c r="D64" s="6">
        <v>11795</v>
      </c>
      <c r="E64" s="6">
        <v>11870</v>
      </c>
      <c r="F64" s="6">
        <v>12456</v>
      </c>
      <c r="G64" s="162">
        <v>12574</v>
      </c>
      <c r="H64" s="6">
        <f>SUM(H62:H63)</f>
        <v>8268</v>
      </c>
      <c r="I64" s="6">
        <f>SUM(I62:I63)</f>
        <v>9981</v>
      </c>
      <c r="J64" s="6">
        <f>SUM(J62:J63)</f>
        <v>10158</v>
      </c>
      <c r="K64" s="6">
        <f>SUM(K62:K63)</f>
        <v>10724</v>
      </c>
      <c r="L64" s="162">
        <f>SUM(L62:L63)</f>
        <v>10941</v>
      </c>
      <c r="M64" s="185">
        <f>'[3]유수율적용 원단위'!$C$54</f>
        <v>283.5</v>
      </c>
      <c r="N64" s="185">
        <f>'[3]유수율적용 원단위'!$D$54</f>
        <v>306</v>
      </c>
      <c r="O64" s="185">
        <f>'[3]유수율적용 원단위'!$E$54</f>
        <v>330.5</v>
      </c>
      <c r="P64" s="185">
        <f>'[3]유수율적용 원단위'!$F$54</f>
        <v>356</v>
      </c>
      <c r="Q64" s="6">
        <f>ROUND(I64*M64/1000,0)</f>
        <v>2830</v>
      </c>
      <c r="R64" s="6">
        <f>ROUND(J64*N64/1000,0)</f>
        <v>3108</v>
      </c>
      <c r="S64" s="6">
        <f>ROUND(K64*O64/1000,0)</f>
        <v>3544</v>
      </c>
      <c r="T64" s="6">
        <f>ROUND(L64*P64/1000,0)</f>
        <v>3895</v>
      </c>
      <c r="U64" s="157"/>
      <c r="X64" s="796"/>
      <c r="Y64" s="10" t="s">
        <v>59</v>
      </c>
      <c r="Z64" s="10">
        <v>8268</v>
      </c>
      <c r="AA64" s="10">
        <v>9527</v>
      </c>
      <c r="AB64" s="10">
        <v>10158</v>
      </c>
      <c r="AC64" s="10">
        <v>11301</v>
      </c>
      <c r="AD64" s="10">
        <v>11991</v>
      </c>
      <c r="AF64" s="796"/>
      <c r="AG64" s="10" t="s">
        <v>59</v>
      </c>
      <c r="AH64" s="180">
        <f t="shared" si="37"/>
        <v>8268</v>
      </c>
      <c r="AI64" s="180">
        <f>SUM(AI62:AI63)</f>
        <v>1259</v>
      </c>
      <c r="AJ64" s="180">
        <f>SUM(AJ62:AJ63)</f>
        <v>631</v>
      </c>
      <c r="AK64" s="180">
        <f>SUM(AK62:AK63)</f>
        <v>1143</v>
      </c>
      <c r="AL64" s="180">
        <f>SUM(AL62:AL63)</f>
        <v>690</v>
      </c>
    </row>
    <row r="65" spans="1:38" ht="27" customHeight="1">
      <c r="A65" s="792" t="s">
        <v>700</v>
      </c>
      <c r="B65" s="139" t="s">
        <v>60</v>
      </c>
      <c r="C65" s="163">
        <v>16114</v>
      </c>
      <c r="D65" s="143">
        <v>17007</v>
      </c>
      <c r="E65" s="143">
        <v>17121</v>
      </c>
      <c r="F65" s="143">
        <v>17325</v>
      </c>
      <c r="G65" s="164">
        <v>17503</v>
      </c>
      <c r="H65" s="161">
        <f>ROUND(C65*$H$3,0)</f>
        <v>12408</v>
      </c>
      <c r="I65" s="6">
        <f>ROUND(D65*$I$3,0)</f>
        <v>14286</v>
      </c>
      <c r="J65" s="6">
        <f>ROUND(E65*$J$3,0)</f>
        <v>14553</v>
      </c>
      <c r="K65" s="6">
        <f>ROUND(F65*$K$3,0)</f>
        <v>14726</v>
      </c>
      <c r="L65" s="162">
        <f>ROUND(G65*$L$3,0)</f>
        <v>15053</v>
      </c>
      <c r="M65" s="174"/>
      <c r="N65" s="144"/>
      <c r="O65" s="144"/>
      <c r="P65" s="10"/>
      <c r="Q65" s="6"/>
      <c r="R65" s="6"/>
      <c r="S65" s="6"/>
      <c r="T65" s="6"/>
      <c r="U65" s="157"/>
      <c r="X65" s="794" t="s">
        <v>722</v>
      </c>
      <c r="Y65" s="10" t="s">
        <v>60</v>
      </c>
      <c r="Z65" s="10">
        <v>12408</v>
      </c>
      <c r="AA65" s="10">
        <v>13606</v>
      </c>
      <c r="AB65" s="10">
        <v>14553</v>
      </c>
      <c r="AC65" s="10">
        <v>15593</v>
      </c>
      <c r="AD65" s="10">
        <v>16628</v>
      </c>
      <c r="AF65" s="794" t="s">
        <v>722</v>
      </c>
      <c r="AG65" s="10" t="s">
        <v>60</v>
      </c>
      <c r="AH65" s="180">
        <f t="shared" si="37"/>
        <v>12408</v>
      </c>
      <c r="AI65" s="10">
        <f t="shared" ref="AI65:AL66" si="39">AA65-Z65</f>
        <v>1198</v>
      </c>
      <c r="AJ65" s="10">
        <f t="shared" si="39"/>
        <v>947</v>
      </c>
      <c r="AK65" s="10">
        <f t="shared" si="39"/>
        <v>1040</v>
      </c>
      <c r="AL65" s="10">
        <f t="shared" si="39"/>
        <v>1035</v>
      </c>
    </row>
    <row r="66" spans="1:38" s="149" customFormat="1" ht="27" customHeight="1">
      <c r="A66" s="792"/>
      <c r="B66" s="154" t="s">
        <v>61</v>
      </c>
      <c r="C66" s="165">
        <v>0</v>
      </c>
      <c r="D66" s="146">
        <v>2087</v>
      </c>
      <c r="E66" s="146">
        <v>5102</v>
      </c>
      <c r="F66" s="146">
        <v>5102</v>
      </c>
      <c r="G66" s="166">
        <v>5102</v>
      </c>
      <c r="H66" s="147">
        <f>ROUND(C66*$H$4,0)</f>
        <v>0</v>
      </c>
      <c r="I66" s="147">
        <f>ROUND(D66*$I$4,0)</f>
        <v>2087</v>
      </c>
      <c r="J66" s="147">
        <f>ROUND(E66*$J$4,0)</f>
        <v>5102</v>
      </c>
      <c r="K66" s="147">
        <f>ROUND(F66*$K$4,0)</f>
        <v>5102</v>
      </c>
      <c r="L66" s="179">
        <f>ROUND(G66*$L$4,0)</f>
        <v>5102</v>
      </c>
      <c r="M66" s="175"/>
      <c r="N66" s="150"/>
      <c r="O66" s="150"/>
      <c r="P66" s="148"/>
      <c r="Q66" s="147"/>
      <c r="R66" s="147"/>
      <c r="S66" s="147"/>
      <c r="T66" s="147"/>
      <c r="U66" s="196"/>
      <c r="X66" s="795"/>
      <c r="Y66" s="148" t="s">
        <v>61</v>
      </c>
      <c r="Z66" s="148">
        <v>0</v>
      </c>
      <c r="AA66" s="148">
        <v>2087</v>
      </c>
      <c r="AB66" s="148">
        <v>5102</v>
      </c>
      <c r="AC66" s="148">
        <v>5102</v>
      </c>
      <c r="AD66" s="148">
        <v>5102</v>
      </c>
      <c r="AF66" s="795"/>
      <c r="AG66" s="148" t="s">
        <v>61</v>
      </c>
      <c r="AH66" s="180">
        <f t="shared" si="37"/>
        <v>0</v>
      </c>
      <c r="AI66" s="10">
        <f t="shared" si="39"/>
        <v>2087</v>
      </c>
      <c r="AJ66" s="10">
        <f t="shared" si="39"/>
        <v>3015</v>
      </c>
      <c r="AK66" s="10">
        <f t="shared" si="39"/>
        <v>0</v>
      </c>
      <c r="AL66" s="10">
        <f t="shared" si="39"/>
        <v>0</v>
      </c>
    </row>
    <row r="67" spans="1:38" ht="27" customHeight="1">
      <c r="A67" s="792"/>
      <c r="B67" s="140" t="s">
        <v>15</v>
      </c>
      <c r="C67" s="161">
        <v>16114</v>
      </c>
      <c r="D67" s="6">
        <v>19094</v>
      </c>
      <c r="E67" s="6">
        <v>22223</v>
      </c>
      <c r="F67" s="6">
        <v>22427</v>
      </c>
      <c r="G67" s="162">
        <v>22605</v>
      </c>
      <c r="H67" s="6">
        <f>SUM(H65:H66)</f>
        <v>12408</v>
      </c>
      <c r="I67" s="6">
        <f>SUM(I65:I66)</f>
        <v>16373</v>
      </c>
      <c r="J67" s="6">
        <f>SUM(J65:J66)</f>
        <v>19655</v>
      </c>
      <c r="K67" s="6">
        <f>SUM(K65:K66)</f>
        <v>19828</v>
      </c>
      <c r="L67" s="162">
        <f>SUM(L65:L66)</f>
        <v>20155</v>
      </c>
      <c r="M67" s="174">
        <f>'[3]유수율적용 원단위'!$C$54</f>
        <v>283.5</v>
      </c>
      <c r="N67" s="144">
        <f>'[3]유수율적용 원단위'!$D$54</f>
        <v>306</v>
      </c>
      <c r="O67" s="144">
        <f>'[3]유수율적용 원단위'!$E$54</f>
        <v>330.5</v>
      </c>
      <c r="P67" s="186">
        <f>'[3]유수율적용 원단위'!$F$54</f>
        <v>356</v>
      </c>
      <c r="Q67" s="6">
        <f>ROUND(I67*M67/1000,0)</f>
        <v>4642</v>
      </c>
      <c r="R67" s="6">
        <f>ROUND(J67*N67/1000,0)</f>
        <v>6014</v>
      </c>
      <c r="S67" s="6">
        <f>ROUND(K67*O67/1000,0)</f>
        <v>6553</v>
      </c>
      <c r="T67" s="6">
        <f>ROUND(L67*P67/1000,0)</f>
        <v>7175</v>
      </c>
      <c r="U67" s="157"/>
      <c r="X67" s="796"/>
      <c r="Y67" s="10" t="s">
        <v>59</v>
      </c>
      <c r="Z67" s="10">
        <v>12408</v>
      </c>
      <c r="AA67" s="10">
        <v>15693</v>
      </c>
      <c r="AB67" s="10">
        <v>19655</v>
      </c>
      <c r="AC67" s="10">
        <v>20695</v>
      </c>
      <c r="AD67" s="10">
        <v>21730</v>
      </c>
      <c r="AF67" s="796"/>
      <c r="AG67" s="10" t="s">
        <v>59</v>
      </c>
      <c r="AH67" s="180">
        <f t="shared" si="37"/>
        <v>12408</v>
      </c>
      <c r="AI67" s="180">
        <f>SUM(AI65:AI66)</f>
        <v>3285</v>
      </c>
      <c r="AJ67" s="180">
        <f>SUM(AJ65:AJ66)</f>
        <v>3962</v>
      </c>
      <c r="AK67" s="180">
        <f>SUM(AK65:AK66)</f>
        <v>1040</v>
      </c>
      <c r="AL67" s="180">
        <f>SUM(AL65:AL66)</f>
        <v>1035</v>
      </c>
    </row>
    <row r="68" spans="1:38" ht="27" customHeight="1">
      <c r="A68" s="792" t="s">
        <v>701</v>
      </c>
      <c r="B68" s="139" t="s">
        <v>60</v>
      </c>
      <c r="C68" s="163">
        <v>5143</v>
      </c>
      <c r="D68" s="143">
        <v>5428</v>
      </c>
      <c r="E68" s="143">
        <v>5465</v>
      </c>
      <c r="F68" s="143">
        <v>5530</v>
      </c>
      <c r="G68" s="164">
        <v>5587</v>
      </c>
      <c r="H68" s="161">
        <f>ROUND(C68*$H$3,0)</f>
        <v>3960</v>
      </c>
      <c r="I68" s="6">
        <f>ROUND(D68*$I$3,0)</f>
        <v>4560</v>
      </c>
      <c r="J68" s="6">
        <f>ROUND(E68*$J$3,0)</f>
        <v>4645</v>
      </c>
      <c r="K68" s="6">
        <f>ROUND(F68*$K$3,0)</f>
        <v>4701</v>
      </c>
      <c r="L68" s="162">
        <f>ROUND(G68*$L$3,0)</f>
        <v>4805</v>
      </c>
      <c r="M68" s="141"/>
      <c r="N68" s="10"/>
      <c r="O68" s="10"/>
      <c r="P68" s="10"/>
      <c r="Q68" s="6"/>
      <c r="R68" s="6"/>
      <c r="S68" s="6"/>
      <c r="T68" s="6"/>
      <c r="U68" s="157"/>
      <c r="X68" s="794" t="s">
        <v>723</v>
      </c>
      <c r="Y68" s="10" t="s">
        <v>60</v>
      </c>
      <c r="Z68" s="10">
        <v>3960</v>
      </c>
      <c r="AA68" s="10">
        <v>4342</v>
      </c>
      <c r="AB68" s="10">
        <v>4645</v>
      </c>
      <c r="AC68" s="10">
        <v>4977</v>
      </c>
      <c r="AD68" s="10">
        <v>5308</v>
      </c>
      <c r="AF68" s="794" t="s">
        <v>723</v>
      </c>
      <c r="AG68" s="10" t="s">
        <v>60</v>
      </c>
      <c r="AH68" s="180">
        <f t="shared" si="37"/>
        <v>3960</v>
      </c>
      <c r="AI68" s="10">
        <f t="shared" ref="AI68:AL69" si="40">AA68-Z68</f>
        <v>382</v>
      </c>
      <c r="AJ68" s="10">
        <f t="shared" si="40"/>
        <v>303</v>
      </c>
      <c r="AK68" s="10">
        <f t="shared" si="40"/>
        <v>332</v>
      </c>
      <c r="AL68" s="10">
        <f t="shared" si="40"/>
        <v>331</v>
      </c>
    </row>
    <row r="69" spans="1:38" s="149" customFormat="1" ht="27" customHeight="1">
      <c r="A69" s="792"/>
      <c r="B69" s="154" t="s">
        <v>61</v>
      </c>
      <c r="C69" s="165">
        <v>0</v>
      </c>
      <c r="D69" s="151">
        <v>0</v>
      </c>
      <c r="E69" s="151">
        <v>0</v>
      </c>
      <c r="F69" s="146">
        <v>3750</v>
      </c>
      <c r="G69" s="166">
        <v>3750</v>
      </c>
      <c r="H69" s="147">
        <f>ROUND(C69*$H$4,0)</f>
        <v>0</v>
      </c>
      <c r="I69" s="152">
        <f>ROUND(D69*$I$4,0)</f>
        <v>0</v>
      </c>
      <c r="J69" s="152">
        <f>ROUND(E69*$J$4,0)</f>
        <v>0</v>
      </c>
      <c r="K69" s="147">
        <f>ROUND(F69*$K$4,0)</f>
        <v>3750</v>
      </c>
      <c r="L69" s="179">
        <f>ROUND(G69*$L$4,0)</f>
        <v>3750</v>
      </c>
      <c r="M69" s="173"/>
      <c r="N69" s="148"/>
      <c r="O69" s="148"/>
      <c r="P69" s="148"/>
      <c r="Q69" s="147"/>
      <c r="R69" s="147"/>
      <c r="S69" s="147"/>
      <c r="T69" s="147"/>
      <c r="U69" s="196"/>
      <c r="X69" s="795"/>
      <c r="Y69" s="148" t="s">
        <v>61</v>
      </c>
      <c r="Z69" s="148">
        <v>0</v>
      </c>
      <c r="AA69" s="148">
        <v>0</v>
      </c>
      <c r="AB69" s="148">
        <v>0</v>
      </c>
      <c r="AC69" s="148">
        <v>3750</v>
      </c>
      <c r="AD69" s="148">
        <v>3750</v>
      </c>
      <c r="AF69" s="795"/>
      <c r="AG69" s="148" t="s">
        <v>61</v>
      </c>
      <c r="AH69" s="180">
        <f t="shared" si="37"/>
        <v>0</v>
      </c>
      <c r="AI69" s="10">
        <f t="shared" si="40"/>
        <v>0</v>
      </c>
      <c r="AJ69" s="10">
        <f t="shared" si="40"/>
        <v>0</v>
      </c>
      <c r="AK69" s="10">
        <f t="shared" si="40"/>
        <v>3750</v>
      </c>
      <c r="AL69" s="10">
        <f t="shared" si="40"/>
        <v>0</v>
      </c>
    </row>
    <row r="70" spans="1:38" ht="27" customHeight="1">
      <c r="A70" s="792"/>
      <c r="B70" s="140" t="s">
        <v>15</v>
      </c>
      <c r="C70" s="161">
        <v>5143</v>
      </c>
      <c r="D70" s="6">
        <v>5428</v>
      </c>
      <c r="E70" s="6">
        <v>5465</v>
      </c>
      <c r="F70" s="6">
        <v>9280</v>
      </c>
      <c r="G70" s="162">
        <v>9337</v>
      </c>
      <c r="H70" s="6">
        <f>SUM(H68:H69)</f>
        <v>3960</v>
      </c>
      <c r="I70" s="6">
        <f>SUM(I68:I69)</f>
        <v>4560</v>
      </c>
      <c r="J70" s="6">
        <f>SUM(J68:J69)</f>
        <v>4645</v>
      </c>
      <c r="K70" s="6">
        <f>SUM(K68:K69)</f>
        <v>8451</v>
      </c>
      <c r="L70" s="162">
        <f>SUM(L68:L69)</f>
        <v>8555</v>
      </c>
      <c r="M70" s="185">
        <f>'[3]유수율적용 원단위'!$C$55</f>
        <v>248.5</v>
      </c>
      <c r="N70" s="186">
        <f>'[3]유수율적용 원단위'!$D$55</f>
        <v>264.75</v>
      </c>
      <c r="O70" s="186">
        <f>'[3]유수율적용 원단위'!$E$55</f>
        <v>278</v>
      </c>
      <c r="P70" s="186">
        <f>'[3]유수율적용 원단위'!$F$55</f>
        <v>288.25</v>
      </c>
      <c r="Q70" s="6">
        <f>ROUND(I70*M70/1000,0)</f>
        <v>1133</v>
      </c>
      <c r="R70" s="6">
        <f>ROUND(J70*N70/1000,0)</f>
        <v>1230</v>
      </c>
      <c r="S70" s="6">
        <f>ROUND(K70*O70/1000,0)</f>
        <v>2349</v>
      </c>
      <c r="T70" s="6">
        <f>ROUND(L70*P70/1000,0)</f>
        <v>2466</v>
      </c>
      <c r="U70" s="157"/>
      <c r="X70" s="796"/>
      <c r="Y70" s="10" t="s">
        <v>59</v>
      </c>
      <c r="Z70" s="10">
        <v>3960</v>
      </c>
      <c r="AA70" s="10">
        <v>4342</v>
      </c>
      <c r="AB70" s="10">
        <v>4645</v>
      </c>
      <c r="AC70" s="10">
        <v>8727</v>
      </c>
      <c r="AD70" s="10">
        <v>9058</v>
      </c>
      <c r="AF70" s="796"/>
      <c r="AG70" s="10" t="s">
        <v>59</v>
      </c>
      <c r="AH70" s="180">
        <f t="shared" si="37"/>
        <v>3960</v>
      </c>
      <c r="AI70" s="180">
        <f>SUM(AI68:AI69)</f>
        <v>382</v>
      </c>
      <c r="AJ70" s="180">
        <f>SUM(AJ68:AJ69)</f>
        <v>303</v>
      </c>
      <c r="AK70" s="180">
        <f>SUM(AK68:AK69)</f>
        <v>4082</v>
      </c>
      <c r="AL70" s="180">
        <f>SUM(AL68:AL69)</f>
        <v>331</v>
      </c>
    </row>
    <row r="71" spans="1:38" ht="27" customHeight="1">
      <c r="A71" s="792" t="s">
        <v>702</v>
      </c>
      <c r="B71" s="139" t="s">
        <v>60</v>
      </c>
      <c r="C71" s="163">
        <v>5245</v>
      </c>
      <c r="D71" s="143">
        <v>5535</v>
      </c>
      <c r="E71" s="143">
        <v>5572</v>
      </c>
      <c r="F71" s="143">
        <v>5639</v>
      </c>
      <c r="G71" s="164">
        <v>5697</v>
      </c>
      <c r="H71" s="161">
        <f>ROUND(C71*$H$3,0)</f>
        <v>4039</v>
      </c>
      <c r="I71" s="6">
        <f>ROUND(D71*$I$3,0)</f>
        <v>4649</v>
      </c>
      <c r="J71" s="6">
        <f>ROUND(E71*$J$3,0)</f>
        <v>4736</v>
      </c>
      <c r="K71" s="6">
        <f>ROUND(F71*$K$3,0)</f>
        <v>4793</v>
      </c>
      <c r="L71" s="162">
        <f>ROUND(G71*$L$3,0)</f>
        <v>4899</v>
      </c>
      <c r="M71" s="141"/>
      <c r="N71" s="10"/>
      <c r="O71" s="10"/>
      <c r="P71" s="10"/>
      <c r="Q71" s="6"/>
      <c r="R71" s="6"/>
      <c r="S71" s="6"/>
      <c r="T71" s="6"/>
      <c r="U71" s="157"/>
      <c r="X71" s="794" t="s">
        <v>724</v>
      </c>
      <c r="Y71" s="10" t="s">
        <v>60</v>
      </c>
      <c r="Z71" s="10">
        <v>4039</v>
      </c>
      <c r="AA71" s="10">
        <v>4428</v>
      </c>
      <c r="AB71" s="10">
        <v>4736</v>
      </c>
      <c r="AC71" s="10">
        <v>5075</v>
      </c>
      <c r="AD71" s="10">
        <v>5412</v>
      </c>
      <c r="AF71" s="794" t="s">
        <v>724</v>
      </c>
      <c r="AG71" s="10" t="s">
        <v>60</v>
      </c>
      <c r="AH71" s="180">
        <f t="shared" si="37"/>
        <v>4039</v>
      </c>
      <c r="AI71" s="10">
        <f t="shared" ref="AI71:AL72" si="41">AA71-Z71</f>
        <v>389</v>
      </c>
      <c r="AJ71" s="10">
        <f t="shared" si="41"/>
        <v>308</v>
      </c>
      <c r="AK71" s="10">
        <f t="shared" si="41"/>
        <v>339</v>
      </c>
      <c r="AL71" s="10">
        <f t="shared" si="41"/>
        <v>337</v>
      </c>
    </row>
    <row r="72" spans="1:38" s="149" customFormat="1" ht="27" customHeight="1">
      <c r="A72" s="792"/>
      <c r="B72" s="154" t="s">
        <v>61</v>
      </c>
      <c r="C72" s="165">
        <v>0</v>
      </c>
      <c r="D72" s="151">
        <v>0</v>
      </c>
      <c r="E72" s="151">
        <v>0</v>
      </c>
      <c r="F72" s="151">
        <v>0</v>
      </c>
      <c r="G72" s="167">
        <v>0</v>
      </c>
      <c r="H72" s="147">
        <f>ROUND(C72*$H$4,0)</f>
        <v>0</v>
      </c>
      <c r="I72" s="152">
        <f>ROUND(D72*$I$4,0)</f>
        <v>0</v>
      </c>
      <c r="J72" s="152">
        <f>ROUND(E72*$J$4,0)</f>
        <v>0</v>
      </c>
      <c r="K72" s="152">
        <f>ROUND(F72*$K$4,0)</f>
        <v>0</v>
      </c>
      <c r="L72" s="168">
        <f>ROUND(G72*$L$4,0)</f>
        <v>0</v>
      </c>
      <c r="M72" s="173"/>
      <c r="N72" s="148"/>
      <c r="O72" s="148"/>
      <c r="P72" s="148"/>
      <c r="Q72" s="147"/>
      <c r="R72" s="147"/>
      <c r="S72" s="147"/>
      <c r="T72" s="147"/>
      <c r="U72" s="196"/>
      <c r="X72" s="795"/>
      <c r="Y72" s="148" t="s">
        <v>61</v>
      </c>
      <c r="Z72" s="148">
        <v>0</v>
      </c>
      <c r="AA72" s="148">
        <v>0</v>
      </c>
      <c r="AB72" s="148">
        <v>0</v>
      </c>
      <c r="AC72" s="148">
        <v>0</v>
      </c>
      <c r="AD72" s="148">
        <v>0</v>
      </c>
      <c r="AF72" s="795"/>
      <c r="AG72" s="148" t="s">
        <v>61</v>
      </c>
      <c r="AH72" s="180">
        <f t="shared" si="37"/>
        <v>0</v>
      </c>
      <c r="AI72" s="10">
        <f t="shared" si="41"/>
        <v>0</v>
      </c>
      <c r="AJ72" s="10">
        <f t="shared" si="41"/>
        <v>0</v>
      </c>
      <c r="AK72" s="10">
        <f t="shared" si="41"/>
        <v>0</v>
      </c>
      <c r="AL72" s="10">
        <f t="shared" si="41"/>
        <v>0</v>
      </c>
    </row>
    <row r="73" spans="1:38" ht="27" customHeight="1">
      <c r="A73" s="792"/>
      <c r="B73" s="140" t="s">
        <v>15</v>
      </c>
      <c r="C73" s="161">
        <v>5245</v>
      </c>
      <c r="D73" s="6">
        <v>5535</v>
      </c>
      <c r="E73" s="6">
        <v>5572</v>
      </c>
      <c r="F73" s="6">
        <v>5639</v>
      </c>
      <c r="G73" s="162">
        <v>5697</v>
      </c>
      <c r="H73" s="6">
        <f>SUM(H71:H72)</f>
        <v>4039</v>
      </c>
      <c r="I73" s="6">
        <f>SUM(I71:I72)</f>
        <v>4649</v>
      </c>
      <c r="J73" s="6">
        <f>SUM(J71:J72)</f>
        <v>4736</v>
      </c>
      <c r="K73" s="6">
        <f>SUM(K71:K72)</f>
        <v>4793</v>
      </c>
      <c r="L73" s="162">
        <f>SUM(L71:L72)</f>
        <v>4899</v>
      </c>
      <c r="M73" s="185">
        <f>'[3]유수율적용 원단위'!$C$55</f>
        <v>248.5</v>
      </c>
      <c r="N73" s="186">
        <f>'[3]유수율적용 원단위'!$D$55</f>
        <v>264.75</v>
      </c>
      <c r="O73" s="186">
        <f>'[3]유수율적용 원단위'!$E$55</f>
        <v>278</v>
      </c>
      <c r="P73" s="186">
        <f>'[3]유수율적용 원단위'!$F$55</f>
        <v>288.25</v>
      </c>
      <c r="Q73" s="6">
        <f>ROUND(I73*M73/1000,0)</f>
        <v>1155</v>
      </c>
      <c r="R73" s="6">
        <f>ROUND(J73*N73/1000,0)</f>
        <v>1254</v>
      </c>
      <c r="S73" s="6">
        <f>ROUND(K73*O73/1000,0)</f>
        <v>1332</v>
      </c>
      <c r="T73" s="6">
        <f>ROUND(L73*P73/1000,0)</f>
        <v>1412</v>
      </c>
      <c r="U73" s="157"/>
      <c r="X73" s="796"/>
      <c r="Y73" s="10" t="s">
        <v>59</v>
      </c>
      <c r="Z73" s="10">
        <v>4039</v>
      </c>
      <c r="AA73" s="10">
        <v>4428</v>
      </c>
      <c r="AB73" s="10">
        <v>4736</v>
      </c>
      <c r="AC73" s="10">
        <v>5075</v>
      </c>
      <c r="AD73" s="10">
        <v>5412</v>
      </c>
      <c r="AF73" s="796"/>
      <c r="AG73" s="10" t="s">
        <v>59</v>
      </c>
      <c r="AH73" s="180">
        <f t="shared" si="37"/>
        <v>4039</v>
      </c>
      <c r="AI73" s="180">
        <f>SUM(AI71:AI72)</f>
        <v>389</v>
      </c>
      <c r="AJ73" s="180">
        <f>SUM(AJ71:AJ72)</f>
        <v>308</v>
      </c>
      <c r="AK73" s="180">
        <f>SUM(AK71:AK72)</f>
        <v>339</v>
      </c>
      <c r="AL73" s="180">
        <f>SUM(AL71:AL72)</f>
        <v>337</v>
      </c>
    </row>
    <row r="74" spans="1:38" ht="27" customHeight="1">
      <c r="A74" s="792" t="s">
        <v>703</v>
      </c>
      <c r="B74" s="139" t="s">
        <v>60</v>
      </c>
      <c r="C74" s="163">
        <v>3894</v>
      </c>
      <c r="D74" s="143">
        <v>4105</v>
      </c>
      <c r="E74" s="143">
        <v>4132</v>
      </c>
      <c r="F74" s="143">
        <v>4181</v>
      </c>
      <c r="G74" s="164">
        <v>4224</v>
      </c>
      <c r="H74" s="161">
        <f>ROUND(C74*$H$3,0)</f>
        <v>2998</v>
      </c>
      <c r="I74" s="6">
        <f>ROUND(D74*$I$3,0)</f>
        <v>3448</v>
      </c>
      <c r="J74" s="6">
        <f>ROUND(E74*$J$3,0)</f>
        <v>3512</v>
      </c>
      <c r="K74" s="6">
        <f>ROUND(F74*$K$3,0)</f>
        <v>3554</v>
      </c>
      <c r="L74" s="162">
        <f>ROUND(G74*$L$3,0)</f>
        <v>3633</v>
      </c>
      <c r="M74" s="174"/>
      <c r="N74" s="144"/>
      <c r="O74" s="144"/>
      <c r="P74" s="10"/>
      <c r="Q74" s="6"/>
      <c r="R74" s="6"/>
      <c r="S74" s="6"/>
      <c r="T74" s="6"/>
      <c r="U74" s="157"/>
      <c r="X74" s="794" t="s">
        <v>725</v>
      </c>
      <c r="Y74" s="10" t="s">
        <v>60</v>
      </c>
      <c r="Z74" s="10">
        <v>2998</v>
      </c>
      <c r="AA74" s="10">
        <v>3284</v>
      </c>
      <c r="AB74" s="10">
        <v>3512</v>
      </c>
      <c r="AC74" s="10">
        <v>3763</v>
      </c>
      <c r="AD74" s="10">
        <v>4013</v>
      </c>
      <c r="AF74" s="794" t="s">
        <v>725</v>
      </c>
      <c r="AG74" s="10" t="s">
        <v>60</v>
      </c>
      <c r="AH74" s="180">
        <f t="shared" si="37"/>
        <v>2998</v>
      </c>
      <c r="AI74" s="10">
        <f t="shared" ref="AI74:AL75" si="42">AA74-Z74</f>
        <v>286</v>
      </c>
      <c r="AJ74" s="10">
        <f t="shared" si="42"/>
        <v>228</v>
      </c>
      <c r="AK74" s="10">
        <f t="shared" si="42"/>
        <v>251</v>
      </c>
      <c r="AL74" s="10">
        <f t="shared" si="42"/>
        <v>250</v>
      </c>
    </row>
    <row r="75" spans="1:38" s="149" customFormat="1" ht="27" customHeight="1">
      <c r="A75" s="792"/>
      <c r="B75" s="154" t="s">
        <v>61</v>
      </c>
      <c r="C75" s="165">
        <v>0</v>
      </c>
      <c r="D75" s="151">
        <v>0</v>
      </c>
      <c r="E75" s="151">
        <v>0</v>
      </c>
      <c r="F75" s="146">
        <v>1250</v>
      </c>
      <c r="G75" s="166">
        <v>1250</v>
      </c>
      <c r="H75" s="147">
        <f>ROUND(C75*$H$4,0)</f>
        <v>0</v>
      </c>
      <c r="I75" s="152">
        <f>ROUND(D75*$I$4,0)</f>
        <v>0</v>
      </c>
      <c r="J75" s="152">
        <f>ROUND(E75*$J$4,0)</f>
        <v>0</v>
      </c>
      <c r="K75" s="147">
        <f>ROUND(F75*$K$4,0)</f>
        <v>1250</v>
      </c>
      <c r="L75" s="179">
        <f>ROUND(G75*$L$4,0)</f>
        <v>1250</v>
      </c>
      <c r="M75" s="175"/>
      <c r="N75" s="150"/>
      <c r="O75" s="150"/>
      <c r="P75" s="148"/>
      <c r="Q75" s="147"/>
      <c r="R75" s="147"/>
      <c r="S75" s="147"/>
      <c r="T75" s="147"/>
      <c r="U75" s="196"/>
      <c r="X75" s="795"/>
      <c r="Y75" s="148" t="s">
        <v>61</v>
      </c>
      <c r="Z75" s="148">
        <v>0</v>
      </c>
      <c r="AA75" s="148">
        <v>0</v>
      </c>
      <c r="AB75" s="148">
        <v>0</v>
      </c>
      <c r="AC75" s="148">
        <v>1250</v>
      </c>
      <c r="AD75" s="148">
        <v>1250</v>
      </c>
      <c r="AF75" s="795"/>
      <c r="AG75" s="148" t="s">
        <v>61</v>
      </c>
      <c r="AH75" s="180">
        <f t="shared" si="37"/>
        <v>0</v>
      </c>
      <c r="AI75" s="10">
        <f t="shared" si="42"/>
        <v>0</v>
      </c>
      <c r="AJ75" s="10">
        <f t="shared" si="42"/>
        <v>0</v>
      </c>
      <c r="AK75" s="10">
        <f t="shared" si="42"/>
        <v>1250</v>
      </c>
      <c r="AL75" s="10">
        <f t="shared" si="42"/>
        <v>0</v>
      </c>
    </row>
    <row r="76" spans="1:38" ht="27" customHeight="1">
      <c r="A76" s="792"/>
      <c r="B76" s="140" t="s">
        <v>15</v>
      </c>
      <c r="C76" s="161">
        <v>3894</v>
      </c>
      <c r="D76" s="6">
        <v>4105</v>
      </c>
      <c r="E76" s="6">
        <v>4132</v>
      </c>
      <c r="F76" s="6">
        <v>5431</v>
      </c>
      <c r="G76" s="162">
        <v>5474</v>
      </c>
      <c r="H76" s="6">
        <f>SUM(H74:H75)</f>
        <v>2998</v>
      </c>
      <c r="I76" s="6">
        <f>SUM(I74:I75)</f>
        <v>3448</v>
      </c>
      <c r="J76" s="6">
        <f>SUM(J74:J75)</f>
        <v>3512</v>
      </c>
      <c r="K76" s="6">
        <f>SUM(K74:K75)</f>
        <v>4804</v>
      </c>
      <c r="L76" s="162">
        <f>SUM(L74:L75)</f>
        <v>4883</v>
      </c>
      <c r="M76" s="174">
        <f>'[3]유수율적용 원단위'!$C$55</f>
        <v>248.5</v>
      </c>
      <c r="N76" s="144">
        <f>'[3]유수율적용 원단위'!$D$55</f>
        <v>264.75</v>
      </c>
      <c r="O76" s="144">
        <f>'[3]유수율적용 원단위'!$E$55</f>
        <v>278</v>
      </c>
      <c r="P76" s="184">
        <f>'[3]유수율적용 원단위'!$F$55</f>
        <v>288.25</v>
      </c>
      <c r="Q76" s="6">
        <f>ROUND(I76*M76/1000,0)</f>
        <v>857</v>
      </c>
      <c r="R76" s="6">
        <f>ROUND(J76*N76/1000,0)</f>
        <v>930</v>
      </c>
      <c r="S76" s="6">
        <f>ROUND(K76*O76/1000,0)</f>
        <v>1336</v>
      </c>
      <c r="T76" s="6">
        <f>ROUND(L76*P76/1000,0)</f>
        <v>1408</v>
      </c>
      <c r="U76" s="157"/>
      <c r="X76" s="796"/>
      <c r="Y76" s="10" t="s">
        <v>59</v>
      </c>
      <c r="Z76" s="10">
        <v>2998</v>
      </c>
      <c r="AA76" s="10">
        <v>3284</v>
      </c>
      <c r="AB76" s="10">
        <v>3512</v>
      </c>
      <c r="AC76" s="10">
        <v>5013</v>
      </c>
      <c r="AD76" s="10">
        <v>5263</v>
      </c>
      <c r="AF76" s="796"/>
      <c r="AG76" s="10" t="s">
        <v>59</v>
      </c>
      <c r="AH76" s="180">
        <f t="shared" si="37"/>
        <v>2998</v>
      </c>
      <c r="AI76" s="180">
        <f>SUM(AI74:AI75)</f>
        <v>286</v>
      </c>
      <c r="AJ76" s="180">
        <f>SUM(AJ74:AJ75)</f>
        <v>228</v>
      </c>
      <c r="AK76" s="180">
        <f>SUM(AK74:AK75)</f>
        <v>1501</v>
      </c>
      <c r="AL76" s="180">
        <f>SUM(AL74:AL75)</f>
        <v>250</v>
      </c>
    </row>
    <row r="77" spans="1:38" ht="27" customHeight="1">
      <c r="A77" s="792" t="s">
        <v>704</v>
      </c>
      <c r="B77" s="139" t="s">
        <v>60</v>
      </c>
      <c r="C77" s="163">
        <v>4057</v>
      </c>
      <c r="D77" s="143">
        <v>4278</v>
      </c>
      <c r="E77" s="143">
        <v>4307</v>
      </c>
      <c r="F77" s="143">
        <v>4358</v>
      </c>
      <c r="G77" s="164">
        <v>4403</v>
      </c>
      <c r="H77" s="161">
        <f>ROUND(C77*$H$3,0)</f>
        <v>3124</v>
      </c>
      <c r="I77" s="6">
        <f>ROUND(D77*$I$3,0)</f>
        <v>3594</v>
      </c>
      <c r="J77" s="6">
        <f>ROUND(E77*$J$3,0)</f>
        <v>3661</v>
      </c>
      <c r="K77" s="6">
        <f>ROUND(F77*$K$3,0)</f>
        <v>3704</v>
      </c>
      <c r="L77" s="162">
        <f>ROUND(G77*$L$3,0)</f>
        <v>3787</v>
      </c>
      <c r="M77" s="141"/>
      <c r="N77" s="10"/>
      <c r="O77" s="10"/>
      <c r="P77" s="10"/>
      <c r="Q77" s="6"/>
      <c r="R77" s="6"/>
      <c r="S77" s="6"/>
      <c r="T77" s="6"/>
      <c r="U77" s="157"/>
      <c r="X77" s="794" t="s">
        <v>726</v>
      </c>
      <c r="Y77" s="10" t="s">
        <v>60</v>
      </c>
      <c r="Z77" s="10">
        <v>3124</v>
      </c>
      <c r="AA77" s="10">
        <v>3422</v>
      </c>
      <c r="AB77" s="10">
        <v>3661</v>
      </c>
      <c r="AC77" s="10">
        <v>3922</v>
      </c>
      <c r="AD77" s="10">
        <v>4183</v>
      </c>
      <c r="AF77" s="794" t="s">
        <v>726</v>
      </c>
      <c r="AG77" s="10" t="s">
        <v>60</v>
      </c>
      <c r="AH77" s="180">
        <f t="shared" si="37"/>
        <v>3124</v>
      </c>
      <c r="AI77" s="10">
        <f t="shared" ref="AI77:AL78" si="43">AA77-Z77</f>
        <v>298</v>
      </c>
      <c r="AJ77" s="10">
        <f t="shared" si="43"/>
        <v>239</v>
      </c>
      <c r="AK77" s="10">
        <f t="shared" si="43"/>
        <v>261</v>
      </c>
      <c r="AL77" s="10">
        <f t="shared" si="43"/>
        <v>261</v>
      </c>
    </row>
    <row r="78" spans="1:38" s="149" customFormat="1" ht="27" customHeight="1">
      <c r="A78" s="792"/>
      <c r="B78" s="154" t="s">
        <v>61</v>
      </c>
      <c r="C78" s="165">
        <v>0</v>
      </c>
      <c r="D78" s="152">
        <v>0</v>
      </c>
      <c r="E78" s="152">
        <v>0</v>
      </c>
      <c r="F78" s="152">
        <v>0</v>
      </c>
      <c r="G78" s="168">
        <v>0</v>
      </c>
      <c r="H78" s="147">
        <f>ROUND(C78*$H$4,0)</f>
        <v>0</v>
      </c>
      <c r="I78" s="152">
        <f>ROUND(D78*$I$4,0)</f>
        <v>0</v>
      </c>
      <c r="J78" s="152">
        <f>ROUND(E78*$J$4,0)</f>
        <v>0</v>
      </c>
      <c r="K78" s="152">
        <f>ROUND(F78*$K$4,0)</f>
        <v>0</v>
      </c>
      <c r="L78" s="168">
        <f>ROUND(G78*$L$4,0)</f>
        <v>0</v>
      </c>
      <c r="M78" s="173"/>
      <c r="N78" s="148"/>
      <c r="O78" s="148"/>
      <c r="P78" s="148"/>
      <c r="Q78" s="147"/>
      <c r="R78" s="147"/>
      <c r="S78" s="147"/>
      <c r="T78" s="147"/>
      <c r="U78" s="196"/>
      <c r="X78" s="795"/>
      <c r="Y78" s="148" t="s">
        <v>61</v>
      </c>
      <c r="Z78" s="148">
        <v>0</v>
      </c>
      <c r="AA78" s="148">
        <v>0</v>
      </c>
      <c r="AB78" s="148">
        <v>0</v>
      </c>
      <c r="AC78" s="148">
        <v>0</v>
      </c>
      <c r="AD78" s="148">
        <v>0</v>
      </c>
      <c r="AF78" s="795"/>
      <c r="AG78" s="148" t="s">
        <v>61</v>
      </c>
      <c r="AH78" s="180">
        <f t="shared" si="37"/>
        <v>0</v>
      </c>
      <c r="AI78" s="10">
        <f t="shared" si="43"/>
        <v>0</v>
      </c>
      <c r="AJ78" s="10">
        <f t="shared" si="43"/>
        <v>0</v>
      </c>
      <c r="AK78" s="10">
        <f t="shared" si="43"/>
        <v>0</v>
      </c>
      <c r="AL78" s="10">
        <f t="shared" si="43"/>
        <v>0</v>
      </c>
    </row>
    <row r="79" spans="1:38" ht="27" customHeight="1">
      <c r="A79" s="792"/>
      <c r="B79" s="140" t="s">
        <v>15</v>
      </c>
      <c r="C79" s="161">
        <v>4057</v>
      </c>
      <c r="D79" s="6">
        <v>4278</v>
      </c>
      <c r="E79" s="6">
        <v>4307</v>
      </c>
      <c r="F79" s="6">
        <v>4358</v>
      </c>
      <c r="G79" s="162">
        <v>4403</v>
      </c>
      <c r="H79" s="6">
        <f>SUM(H77:H78)</f>
        <v>3124</v>
      </c>
      <c r="I79" s="6">
        <f>SUM(I77:I78)</f>
        <v>3594</v>
      </c>
      <c r="J79" s="6">
        <f>SUM(J77:J78)</f>
        <v>3661</v>
      </c>
      <c r="K79" s="6">
        <f>SUM(K77:K78)</f>
        <v>3704</v>
      </c>
      <c r="L79" s="162">
        <f>SUM(L77:L78)</f>
        <v>3787</v>
      </c>
      <c r="M79" s="185">
        <f>'[3]유수율적용 원단위'!$C$55</f>
        <v>248.5</v>
      </c>
      <c r="N79" s="186">
        <f>'[3]유수율적용 원단위'!$D$55</f>
        <v>264.75</v>
      </c>
      <c r="O79" s="186">
        <f>'[3]유수율적용 원단위'!$E$55</f>
        <v>278</v>
      </c>
      <c r="P79" s="186">
        <f>'[3]유수율적용 원단위'!$F$55</f>
        <v>288.25</v>
      </c>
      <c r="Q79" s="6">
        <f>ROUND(I79*M79/1000,0)</f>
        <v>893</v>
      </c>
      <c r="R79" s="6">
        <f>ROUND(J79*N79/1000,0)</f>
        <v>969</v>
      </c>
      <c r="S79" s="6">
        <f>ROUND(K79*O79/1000,0)</f>
        <v>1030</v>
      </c>
      <c r="T79" s="6">
        <f>ROUND(L79*P79/1000,0)</f>
        <v>1092</v>
      </c>
      <c r="U79" s="157"/>
      <c r="X79" s="796"/>
      <c r="Y79" s="10" t="s">
        <v>59</v>
      </c>
      <c r="Z79" s="10">
        <v>3124</v>
      </c>
      <c r="AA79" s="10">
        <v>3422</v>
      </c>
      <c r="AB79" s="10">
        <v>3661</v>
      </c>
      <c r="AC79" s="10">
        <v>3922</v>
      </c>
      <c r="AD79" s="10">
        <v>4183</v>
      </c>
      <c r="AF79" s="796"/>
      <c r="AG79" s="10" t="s">
        <v>59</v>
      </c>
      <c r="AH79" s="180">
        <f t="shared" si="37"/>
        <v>3124</v>
      </c>
      <c r="AI79" s="180">
        <f>SUM(AI77:AI78)</f>
        <v>298</v>
      </c>
      <c r="AJ79" s="180">
        <f>SUM(AJ77:AJ78)</f>
        <v>239</v>
      </c>
      <c r="AK79" s="180">
        <f>SUM(AK77:AK78)</f>
        <v>261</v>
      </c>
      <c r="AL79" s="180">
        <f>SUM(AL77:AL78)</f>
        <v>261</v>
      </c>
    </row>
    <row r="80" spans="1:38" ht="27" customHeight="1">
      <c r="A80" s="792" t="s">
        <v>705</v>
      </c>
      <c r="B80" s="139" t="s">
        <v>60</v>
      </c>
      <c r="C80" s="163">
        <v>4210</v>
      </c>
      <c r="D80" s="143">
        <v>4439</v>
      </c>
      <c r="E80" s="143">
        <v>4468</v>
      </c>
      <c r="F80" s="143">
        <v>4521</v>
      </c>
      <c r="G80" s="164">
        <v>4567</v>
      </c>
      <c r="H80" s="161">
        <f>ROUND(C80*$H$3,0)</f>
        <v>3242</v>
      </c>
      <c r="I80" s="6">
        <f>ROUND(D80*$I$3,0)</f>
        <v>3729</v>
      </c>
      <c r="J80" s="6">
        <f>ROUND(E80*$J$3,0)</f>
        <v>3798</v>
      </c>
      <c r="K80" s="6">
        <f>ROUND(F80*$K$3,0)</f>
        <v>3843</v>
      </c>
      <c r="L80" s="162">
        <f>ROUND(G80*$L$3,0)</f>
        <v>3928</v>
      </c>
      <c r="M80" s="174"/>
      <c r="N80" s="144"/>
      <c r="O80" s="144"/>
      <c r="P80" s="10"/>
      <c r="Q80" s="6"/>
      <c r="R80" s="6"/>
      <c r="S80" s="6"/>
      <c r="T80" s="6"/>
      <c r="U80" s="157"/>
      <c r="X80" s="794" t="s">
        <v>727</v>
      </c>
      <c r="Y80" s="10" t="s">
        <v>60</v>
      </c>
      <c r="Z80" s="10">
        <v>3242</v>
      </c>
      <c r="AA80" s="10">
        <v>3551</v>
      </c>
      <c r="AB80" s="10">
        <v>3798</v>
      </c>
      <c r="AC80" s="10">
        <v>4069</v>
      </c>
      <c r="AD80" s="10">
        <v>4339</v>
      </c>
      <c r="AF80" s="794" t="s">
        <v>727</v>
      </c>
      <c r="AG80" s="10" t="s">
        <v>60</v>
      </c>
      <c r="AH80" s="180">
        <f t="shared" si="37"/>
        <v>3242</v>
      </c>
      <c r="AI80" s="10">
        <f t="shared" ref="AI80:AL81" si="44">AA80-Z80</f>
        <v>309</v>
      </c>
      <c r="AJ80" s="10">
        <f t="shared" si="44"/>
        <v>247</v>
      </c>
      <c r="AK80" s="10">
        <f t="shared" si="44"/>
        <v>271</v>
      </c>
      <c r="AL80" s="10">
        <f t="shared" si="44"/>
        <v>270</v>
      </c>
    </row>
    <row r="81" spans="1:38" s="149" customFormat="1" ht="27" customHeight="1">
      <c r="A81" s="792"/>
      <c r="B81" s="155" t="s">
        <v>61</v>
      </c>
      <c r="C81" s="169">
        <v>0</v>
      </c>
      <c r="D81" s="152">
        <v>0</v>
      </c>
      <c r="E81" s="152">
        <v>0</v>
      </c>
      <c r="F81" s="146">
        <v>1588</v>
      </c>
      <c r="G81" s="166">
        <v>1588</v>
      </c>
      <c r="H81" s="147">
        <f>ROUND(C81*$H$4,0)</f>
        <v>0</v>
      </c>
      <c r="I81" s="152">
        <f>ROUND(D81*$I$4,0)</f>
        <v>0</v>
      </c>
      <c r="J81" s="152">
        <f>ROUND(E81*$J$4,0)</f>
        <v>0</v>
      </c>
      <c r="K81" s="147">
        <f>ROUND(F81*$K$4,0)</f>
        <v>1588</v>
      </c>
      <c r="L81" s="179">
        <f>ROUND(G81*$L$4,0)</f>
        <v>1588</v>
      </c>
      <c r="M81" s="175"/>
      <c r="N81" s="150"/>
      <c r="O81" s="150"/>
      <c r="P81" s="148"/>
      <c r="Q81" s="147"/>
      <c r="R81" s="147"/>
      <c r="S81" s="147"/>
      <c r="T81" s="147"/>
      <c r="U81" s="196"/>
      <c r="X81" s="795"/>
      <c r="Y81" s="148" t="s">
        <v>61</v>
      </c>
      <c r="Z81" s="148">
        <v>0</v>
      </c>
      <c r="AA81" s="148">
        <v>0</v>
      </c>
      <c r="AB81" s="148">
        <v>0</v>
      </c>
      <c r="AC81" s="148">
        <v>1588</v>
      </c>
      <c r="AD81" s="148">
        <v>1588</v>
      </c>
      <c r="AF81" s="795"/>
      <c r="AG81" s="148" t="s">
        <v>61</v>
      </c>
      <c r="AH81" s="180">
        <f t="shared" si="37"/>
        <v>0</v>
      </c>
      <c r="AI81" s="10">
        <f t="shared" si="44"/>
        <v>0</v>
      </c>
      <c r="AJ81" s="10">
        <f t="shared" si="44"/>
        <v>0</v>
      </c>
      <c r="AK81" s="10">
        <f t="shared" si="44"/>
        <v>1588</v>
      </c>
      <c r="AL81" s="10">
        <f t="shared" si="44"/>
        <v>0</v>
      </c>
    </row>
    <row r="82" spans="1:38" ht="27" customHeight="1">
      <c r="A82" s="792"/>
      <c r="B82" s="140" t="s">
        <v>15</v>
      </c>
      <c r="C82" s="161">
        <v>4210</v>
      </c>
      <c r="D82" s="6">
        <v>4439</v>
      </c>
      <c r="E82" s="6">
        <v>4468</v>
      </c>
      <c r="F82" s="6">
        <v>6109</v>
      </c>
      <c r="G82" s="162">
        <v>6155</v>
      </c>
      <c r="H82" s="6">
        <f>SUM(H80:H81)</f>
        <v>3242</v>
      </c>
      <c r="I82" s="6">
        <f>SUM(I80:I81)</f>
        <v>3729</v>
      </c>
      <c r="J82" s="6">
        <f>SUM(J80:J81)</f>
        <v>3798</v>
      </c>
      <c r="K82" s="6">
        <f>SUM(K80:K81)</f>
        <v>5431</v>
      </c>
      <c r="L82" s="162">
        <f>SUM(L80:L81)</f>
        <v>5516</v>
      </c>
      <c r="M82" s="174">
        <f>'[3]유수율적용 원단위'!$C$55</f>
        <v>248.5</v>
      </c>
      <c r="N82" s="144">
        <f>'[3]유수율적용 원단위'!$D$55</f>
        <v>264.75</v>
      </c>
      <c r="O82" s="144">
        <f>'[3]유수율적용 원단위'!$E$55</f>
        <v>278</v>
      </c>
      <c r="P82" s="184">
        <f>'[3]유수율적용 원단위'!$F$55</f>
        <v>288.25</v>
      </c>
      <c r="Q82" s="6">
        <f>ROUND(I82*M82/1000,0)</f>
        <v>927</v>
      </c>
      <c r="R82" s="6">
        <f>ROUND(J82*N82/1000,0)</f>
        <v>1006</v>
      </c>
      <c r="S82" s="6">
        <f>ROUND(K82*O82/1000,0)</f>
        <v>1510</v>
      </c>
      <c r="T82" s="6">
        <f>ROUND(L82*P82/1000,0)</f>
        <v>1590</v>
      </c>
      <c r="U82" s="157"/>
      <c r="X82" s="796"/>
      <c r="Y82" s="10" t="s">
        <v>59</v>
      </c>
      <c r="Z82" s="10">
        <v>3242</v>
      </c>
      <c r="AA82" s="10">
        <v>3551</v>
      </c>
      <c r="AB82" s="10">
        <v>3798</v>
      </c>
      <c r="AC82" s="10">
        <v>5657</v>
      </c>
      <c r="AD82" s="10">
        <v>5927</v>
      </c>
      <c r="AF82" s="796"/>
      <c r="AG82" s="10" t="s">
        <v>59</v>
      </c>
      <c r="AH82" s="180">
        <f t="shared" si="37"/>
        <v>3242</v>
      </c>
      <c r="AI82" s="180">
        <f>SUM(AI80:AI81)</f>
        <v>309</v>
      </c>
      <c r="AJ82" s="180">
        <f>SUM(AJ80:AJ81)</f>
        <v>247</v>
      </c>
      <c r="AK82" s="180">
        <f>SUM(AK80:AK81)</f>
        <v>1859</v>
      </c>
      <c r="AL82" s="180">
        <f>SUM(AL80:AL81)</f>
        <v>270</v>
      </c>
    </row>
    <row r="83" spans="1:38" ht="27" customHeight="1">
      <c r="A83" s="792" t="s">
        <v>706</v>
      </c>
      <c r="B83" s="139" t="s">
        <v>60</v>
      </c>
      <c r="C83" s="163">
        <v>6937</v>
      </c>
      <c r="D83" s="143">
        <v>7327</v>
      </c>
      <c r="E83" s="143">
        <v>7376</v>
      </c>
      <c r="F83" s="143">
        <v>7464</v>
      </c>
      <c r="G83" s="164">
        <v>7540</v>
      </c>
      <c r="H83" s="161">
        <f>ROUND(C83*$H$3,0)</f>
        <v>5341</v>
      </c>
      <c r="I83" s="6">
        <f>ROUND(D83*$I$3,0)</f>
        <v>6155</v>
      </c>
      <c r="J83" s="6">
        <f>ROUND(E83*$J$3,0)</f>
        <v>6270</v>
      </c>
      <c r="K83" s="6">
        <f>ROUND(F83*$K$3,0)</f>
        <v>6344</v>
      </c>
      <c r="L83" s="162">
        <f>ROUND(G83*$L$3,0)</f>
        <v>6484</v>
      </c>
      <c r="M83" s="141"/>
      <c r="N83" s="10"/>
      <c r="O83" s="10"/>
      <c r="P83" s="10"/>
      <c r="Q83" s="6"/>
      <c r="R83" s="6"/>
      <c r="S83" s="6"/>
      <c r="T83" s="6"/>
      <c r="U83" s="157"/>
      <c r="X83" s="794" t="s">
        <v>728</v>
      </c>
      <c r="Y83" s="10" t="s">
        <v>60</v>
      </c>
      <c r="Z83" s="10">
        <v>5341</v>
      </c>
      <c r="AA83" s="10">
        <v>5862</v>
      </c>
      <c r="AB83" s="10">
        <v>6270</v>
      </c>
      <c r="AC83" s="10">
        <v>6718</v>
      </c>
      <c r="AD83" s="10">
        <v>7163</v>
      </c>
      <c r="AF83" s="794" t="s">
        <v>728</v>
      </c>
      <c r="AG83" s="10" t="s">
        <v>60</v>
      </c>
      <c r="AH83" s="180">
        <f t="shared" si="37"/>
        <v>5341</v>
      </c>
      <c r="AI83" s="10">
        <f t="shared" ref="AI83:AL84" si="45">AA83-Z83</f>
        <v>521</v>
      </c>
      <c r="AJ83" s="10">
        <f t="shared" si="45"/>
        <v>408</v>
      </c>
      <c r="AK83" s="10">
        <f t="shared" si="45"/>
        <v>448</v>
      </c>
      <c r="AL83" s="10">
        <f t="shared" si="45"/>
        <v>445</v>
      </c>
    </row>
    <row r="84" spans="1:38" s="149" customFormat="1" ht="27" customHeight="1">
      <c r="A84" s="792"/>
      <c r="B84" s="154" t="s">
        <v>61</v>
      </c>
      <c r="C84" s="165">
        <v>0</v>
      </c>
      <c r="D84" s="152">
        <v>0</v>
      </c>
      <c r="E84" s="146">
        <v>300</v>
      </c>
      <c r="F84" s="146">
        <v>300</v>
      </c>
      <c r="G84" s="166">
        <v>300</v>
      </c>
      <c r="H84" s="147">
        <f>ROUND(C84*$H$4,0)</f>
        <v>0</v>
      </c>
      <c r="I84" s="152">
        <f>ROUND(D84*$I$4,0)</f>
        <v>0</v>
      </c>
      <c r="J84" s="147">
        <f>ROUND(E84*$J$4,0)</f>
        <v>300</v>
      </c>
      <c r="K84" s="147">
        <f>ROUND(F84*$K$4,0)</f>
        <v>300</v>
      </c>
      <c r="L84" s="179">
        <f>ROUND(G84*$L$4,0)</f>
        <v>300</v>
      </c>
      <c r="M84" s="173"/>
      <c r="N84" s="148"/>
      <c r="O84" s="148"/>
      <c r="P84" s="148"/>
      <c r="Q84" s="147"/>
      <c r="R84" s="147"/>
      <c r="S84" s="147"/>
      <c r="T84" s="147"/>
      <c r="U84" s="196"/>
      <c r="X84" s="795"/>
      <c r="Y84" s="148" t="s">
        <v>61</v>
      </c>
      <c r="Z84" s="148">
        <v>0</v>
      </c>
      <c r="AA84" s="148">
        <v>0</v>
      </c>
      <c r="AB84" s="148">
        <v>300</v>
      </c>
      <c r="AC84" s="148">
        <v>300</v>
      </c>
      <c r="AD84" s="148">
        <v>300</v>
      </c>
      <c r="AF84" s="795"/>
      <c r="AG84" s="148" t="s">
        <v>61</v>
      </c>
      <c r="AH84" s="180">
        <f t="shared" si="37"/>
        <v>0</v>
      </c>
      <c r="AI84" s="10">
        <f t="shared" si="45"/>
        <v>0</v>
      </c>
      <c r="AJ84" s="10">
        <f t="shared" si="45"/>
        <v>300</v>
      </c>
      <c r="AK84" s="10">
        <f t="shared" si="45"/>
        <v>0</v>
      </c>
      <c r="AL84" s="10">
        <f t="shared" si="45"/>
        <v>0</v>
      </c>
    </row>
    <row r="85" spans="1:38" ht="27" customHeight="1">
      <c r="A85" s="792"/>
      <c r="B85" s="140" t="s">
        <v>15</v>
      </c>
      <c r="C85" s="161">
        <v>6937</v>
      </c>
      <c r="D85" s="6">
        <v>7327</v>
      </c>
      <c r="E85" s="6">
        <v>7676</v>
      </c>
      <c r="F85" s="6">
        <v>7764</v>
      </c>
      <c r="G85" s="162">
        <v>7840</v>
      </c>
      <c r="H85" s="6">
        <f>SUM(H83:H84)</f>
        <v>5341</v>
      </c>
      <c r="I85" s="6">
        <f>SUM(I83:I84)</f>
        <v>6155</v>
      </c>
      <c r="J85" s="6">
        <f>SUM(J83:J84)</f>
        <v>6570</v>
      </c>
      <c r="K85" s="6">
        <f>SUM(K83:K84)</f>
        <v>6644</v>
      </c>
      <c r="L85" s="162">
        <f>SUM(L83:L84)</f>
        <v>6784</v>
      </c>
      <c r="M85" s="185">
        <f>'[3]유수율적용 원단위'!$C$55</f>
        <v>248.5</v>
      </c>
      <c r="N85" s="186">
        <f>'[3]유수율적용 원단위'!$D$55</f>
        <v>264.75</v>
      </c>
      <c r="O85" s="186">
        <f>'[3]유수율적용 원단위'!$E$55</f>
        <v>278</v>
      </c>
      <c r="P85" s="186">
        <f>'[3]유수율적용 원단위'!$F$55</f>
        <v>288.25</v>
      </c>
      <c r="Q85" s="6">
        <f>ROUND(I85*M85/1000,0)</f>
        <v>1530</v>
      </c>
      <c r="R85" s="6">
        <f>ROUND(J85*N85/1000,0)</f>
        <v>1739</v>
      </c>
      <c r="S85" s="6">
        <f>ROUND(K85*O85/1000,0)</f>
        <v>1847</v>
      </c>
      <c r="T85" s="6">
        <f>ROUND(L85*P85/1000,0)</f>
        <v>1955</v>
      </c>
      <c r="U85" s="157"/>
      <c r="X85" s="796"/>
      <c r="Y85" s="10" t="s">
        <v>59</v>
      </c>
      <c r="Z85" s="10">
        <v>5341</v>
      </c>
      <c r="AA85" s="10">
        <v>5862</v>
      </c>
      <c r="AB85" s="10">
        <v>6570</v>
      </c>
      <c r="AC85" s="10">
        <v>7018</v>
      </c>
      <c r="AD85" s="10">
        <v>7463</v>
      </c>
      <c r="AF85" s="796"/>
      <c r="AG85" s="10" t="s">
        <v>59</v>
      </c>
      <c r="AH85" s="180">
        <f t="shared" si="37"/>
        <v>5341</v>
      </c>
      <c r="AI85" s="180">
        <f>SUM(AI83:AI84)</f>
        <v>521</v>
      </c>
      <c r="AJ85" s="180">
        <f>SUM(AJ83:AJ84)</f>
        <v>708</v>
      </c>
      <c r="AK85" s="180">
        <f>SUM(AK83:AK84)</f>
        <v>448</v>
      </c>
      <c r="AL85" s="180">
        <f>SUM(AL83:AL84)</f>
        <v>445</v>
      </c>
    </row>
    <row r="86" spans="1:38" ht="27" customHeight="1">
      <c r="A86" s="792" t="s">
        <v>707</v>
      </c>
      <c r="B86" s="139" t="s">
        <v>60</v>
      </c>
      <c r="C86" s="163">
        <v>2836</v>
      </c>
      <c r="D86" s="143">
        <v>2995</v>
      </c>
      <c r="E86" s="143">
        <v>3015</v>
      </c>
      <c r="F86" s="143">
        <v>3051</v>
      </c>
      <c r="G86" s="164">
        <v>3082</v>
      </c>
      <c r="H86" s="161">
        <f>ROUND(C86*$H$3,0)</f>
        <v>2184</v>
      </c>
      <c r="I86" s="6">
        <f>ROUND(D86*$I$3,0)</f>
        <v>2516</v>
      </c>
      <c r="J86" s="6">
        <f>ROUND(E86*$J$3,0)</f>
        <v>2563</v>
      </c>
      <c r="K86" s="6">
        <f>ROUND(F86*$K$3,0)</f>
        <v>2593</v>
      </c>
      <c r="L86" s="162">
        <f>ROUND(G86*$L$3,0)</f>
        <v>2651</v>
      </c>
      <c r="M86" s="141"/>
      <c r="N86" s="10"/>
      <c r="O86" s="10"/>
      <c r="P86" s="10"/>
      <c r="Q86" s="6"/>
      <c r="R86" s="6"/>
      <c r="S86" s="6"/>
      <c r="T86" s="6"/>
      <c r="U86" s="157"/>
      <c r="X86" s="794" t="s">
        <v>729</v>
      </c>
      <c r="Y86" s="10" t="s">
        <v>60</v>
      </c>
      <c r="Z86" s="10">
        <v>2184</v>
      </c>
      <c r="AA86" s="10">
        <v>2396</v>
      </c>
      <c r="AB86" s="10">
        <v>2563</v>
      </c>
      <c r="AC86" s="10">
        <v>2746</v>
      </c>
      <c r="AD86" s="10">
        <v>2928</v>
      </c>
      <c r="AF86" s="794" t="s">
        <v>729</v>
      </c>
      <c r="AG86" s="10" t="s">
        <v>60</v>
      </c>
      <c r="AH86" s="180">
        <f t="shared" si="37"/>
        <v>2184</v>
      </c>
      <c r="AI86" s="10">
        <f t="shared" ref="AI86:AL87" si="46">AA86-Z86</f>
        <v>212</v>
      </c>
      <c r="AJ86" s="10">
        <f t="shared" si="46"/>
        <v>167</v>
      </c>
      <c r="AK86" s="10">
        <f t="shared" si="46"/>
        <v>183</v>
      </c>
      <c r="AL86" s="10">
        <f t="shared" si="46"/>
        <v>182</v>
      </c>
    </row>
    <row r="87" spans="1:38" s="149" customFormat="1" ht="27" customHeight="1">
      <c r="A87" s="792"/>
      <c r="B87" s="154" t="s">
        <v>61</v>
      </c>
      <c r="C87" s="165">
        <v>0</v>
      </c>
      <c r="D87" s="151">
        <v>0</v>
      </c>
      <c r="E87" s="151">
        <v>0</v>
      </c>
      <c r="F87" s="151">
        <v>0</v>
      </c>
      <c r="G87" s="167">
        <v>0</v>
      </c>
      <c r="H87" s="147">
        <f>ROUND(C87*$H$4,0)</f>
        <v>0</v>
      </c>
      <c r="I87" s="152">
        <f>ROUND(D87*$I$4,0)</f>
        <v>0</v>
      </c>
      <c r="J87" s="152">
        <f>ROUND(E87*$J$4,0)</f>
        <v>0</v>
      </c>
      <c r="K87" s="152">
        <f>ROUND(F87*$K$4,0)</f>
        <v>0</v>
      </c>
      <c r="L87" s="168">
        <f>ROUND(G87*$L$4,0)</f>
        <v>0</v>
      </c>
      <c r="M87" s="173"/>
      <c r="N87" s="148"/>
      <c r="O87" s="148"/>
      <c r="P87" s="148"/>
      <c r="Q87" s="147"/>
      <c r="R87" s="147"/>
      <c r="S87" s="147"/>
      <c r="T87" s="147"/>
      <c r="U87" s="196"/>
      <c r="X87" s="795"/>
      <c r="Y87" s="148" t="s">
        <v>61</v>
      </c>
      <c r="Z87" s="148">
        <v>0</v>
      </c>
      <c r="AA87" s="148">
        <v>0</v>
      </c>
      <c r="AB87" s="148">
        <v>0</v>
      </c>
      <c r="AC87" s="148">
        <v>0</v>
      </c>
      <c r="AD87" s="148">
        <v>0</v>
      </c>
      <c r="AF87" s="795"/>
      <c r="AG87" s="148" t="s">
        <v>61</v>
      </c>
      <c r="AH87" s="180">
        <f t="shared" si="37"/>
        <v>0</v>
      </c>
      <c r="AI87" s="10">
        <f t="shared" si="46"/>
        <v>0</v>
      </c>
      <c r="AJ87" s="10">
        <f t="shared" si="46"/>
        <v>0</v>
      </c>
      <c r="AK87" s="10">
        <f t="shared" si="46"/>
        <v>0</v>
      </c>
      <c r="AL87" s="10">
        <f t="shared" si="46"/>
        <v>0</v>
      </c>
    </row>
    <row r="88" spans="1:38" ht="27" customHeight="1">
      <c r="A88" s="792"/>
      <c r="B88" s="140" t="s">
        <v>15</v>
      </c>
      <c r="C88" s="161">
        <v>2836</v>
      </c>
      <c r="D88" s="6">
        <v>2995</v>
      </c>
      <c r="E88" s="6">
        <v>3015</v>
      </c>
      <c r="F88" s="6">
        <v>3051</v>
      </c>
      <c r="G88" s="162">
        <v>3082</v>
      </c>
      <c r="H88" s="6">
        <f>SUM(H86:H87)</f>
        <v>2184</v>
      </c>
      <c r="I88" s="6">
        <f>SUM(I86:I87)</f>
        <v>2516</v>
      </c>
      <c r="J88" s="6">
        <f>SUM(J86:J87)</f>
        <v>2563</v>
      </c>
      <c r="K88" s="6">
        <f>SUM(K86:K87)</f>
        <v>2593</v>
      </c>
      <c r="L88" s="162">
        <f>SUM(L86:L87)</f>
        <v>2651</v>
      </c>
      <c r="M88" s="185">
        <f>'[3]유수율적용 원단위'!$C$55</f>
        <v>248.5</v>
      </c>
      <c r="N88" s="186">
        <f>'[3]유수율적용 원단위'!$D$55</f>
        <v>264.75</v>
      </c>
      <c r="O88" s="186">
        <f>'[3]유수율적용 원단위'!$E$55</f>
        <v>278</v>
      </c>
      <c r="P88" s="186">
        <f>'[3]유수율적용 원단위'!$F$55</f>
        <v>288.25</v>
      </c>
      <c r="Q88" s="6">
        <f>ROUND(I88*M88/1000,0)</f>
        <v>625</v>
      </c>
      <c r="R88" s="6">
        <f>ROUND(J88*N88/1000,0)</f>
        <v>679</v>
      </c>
      <c r="S88" s="6">
        <f>ROUND(K88*O88/1000,0)</f>
        <v>721</v>
      </c>
      <c r="T88" s="6">
        <f>ROUND(L88*P88/1000,0)</f>
        <v>764</v>
      </c>
      <c r="U88" s="157"/>
      <c r="X88" s="796"/>
      <c r="Y88" s="10" t="s">
        <v>59</v>
      </c>
      <c r="Z88" s="10">
        <v>2184</v>
      </c>
      <c r="AA88" s="10">
        <v>2396</v>
      </c>
      <c r="AB88" s="10">
        <v>2563</v>
      </c>
      <c r="AC88" s="10">
        <v>2746</v>
      </c>
      <c r="AD88" s="10">
        <v>2928</v>
      </c>
      <c r="AF88" s="796"/>
      <c r="AG88" s="10" t="s">
        <v>59</v>
      </c>
      <c r="AH88" s="180">
        <f t="shared" si="37"/>
        <v>2184</v>
      </c>
      <c r="AI88" s="180">
        <f>SUM(AI86:AI87)</f>
        <v>212</v>
      </c>
      <c r="AJ88" s="180">
        <f>SUM(AJ86:AJ87)</f>
        <v>167</v>
      </c>
      <c r="AK88" s="180">
        <f>SUM(AK86:AK87)</f>
        <v>183</v>
      </c>
      <c r="AL88" s="180">
        <f>SUM(AL86:AL87)</f>
        <v>182</v>
      </c>
    </row>
    <row r="89" spans="1:38" ht="27" customHeight="1">
      <c r="A89" s="792" t="s">
        <v>708</v>
      </c>
      <c r="B89" s="139" t="s">
        <v>60</v>
      </c>
      <c r="C89" s="163">
        <v>6269</v>
      </c>
      <c r="D89" s="143">
        <v>6618</v>
      </c>
      <c r="E89" s="143">
        <v>6663</v>
      </c>
      <c r="F89" s="143">
        <v>6742</v>
      </c>
      <c r="G89" s="164">
        <v>6811</v>
      </c>
      <c r="H89" s="161">
        <f>ROUND(C89*$H$3,0)</f>
        <v>4827</v>
      </c>
      <c r="I89" s="6">
        <f>ROUND(D89*$I$3,0)</f>
        <v>5559</v>
      </c>
      <c r="J89" s="6">
        <f>ROUND(E89*$J$3,0)</f>
        <v>5664</v>
      </c>
      <c r="K89" s="6">
        <f>ROUND(F89*$K$3,0)</f>
        <v>5731</v>
      </c>
      <c r="L89" s="162">
        <f>ROUND(G89*$L$3,0)</f>
        <v>5857</v>
      </c>
      <c r="M89" s="174"/>
      <c r="N89" s="144"/>
      <c r="O89" s="144"/>
      <c r="P89" s="10"/>
      <c r="Q89" s="6"/>
      <c r="R89" s="6"/>
      <c r="S89" s="6"/>
      <c r="T89" s="6"/>
      <c r="U89" s="157"/>
      <c r="X89" s="794" t="s">
        <v>730</v>
      </c>
      <c r="Y89" s="10" t="s">
        <v>60</v>
      </c>
      <c r="Z89" s="10">
        <v>4827</v>
      </c>
      <c r="AA89" s="10">
        <v>5294</v>
      </c>
      <c r="AB89" s="10">
        <v>5664</v>
      </c>
      <c r="AC89" s="10">
        <v>6068</v>
      </c>
      <c r="AD89" s="10">
        <v>6470</v>
      </c>
      <c r="AF89" s="794" t="s">
        <v>730</v>
      </c>
      <c r="AG89" s="10" t="s">
        <v>60</v>
      </c>
      <c r="AH89" s="180">
        <f t="shared" si="37"/>
        <v>4827</v>
      </c>
      <c r="AI89" s="10">
        <f t="shared" ref="AI89:AL90" si="47">AA89-Z89</f>
        <v>467</v>
      </c>
      <c r="AJ89" s="10">
        <f t="shared" si="47"/>
        <v>370</v>
      </c>
      <c r="AK89" s="10">
        <f t="shared" si="47"/>
        <v>404</v>
      </c>
      <c r="AL89" s="10">
        <f t="shared" si="47"/>
        <v>402</v>
      </c>
    </row>
    <row r="90" spans="1:38" s="149" customFormat="1" ht="27" customHeight="1">
      <c r="A90" s="792"/>
      <c r="B90" s="154" t="s">
        <v>61</v>
      </c>
      <c r="C90" s="165">
        <v>0</v>
      </c>
      <c r="D90" s="152">
        <v>0</v>
      </c>
      <c r="E90" s="146">
        <v>3150</v>
      </c>
      <c r="F90" s="146">
        <v>3150</v>
      </c>
      <c r="G90" s="166">
        <v>3150</v>
      </c>
      <c r="H90" s="147">
        <f>ROUND(C90*$H$4,0)</f>
        <v>0</v>
      </c>
      <c r="I90" s="147">
        <f>ROUND(D90*$I$4,0)</f>
        <v>0</v>
      </c>
      <c r="J90" s="147">
        <f>ROUND(E90*$J$4,0)</f>
        <v>3150</v>
      </c>
      <c r="K90" s="147">
        <f>ROUND(F90*$K$4,0)</f>
        <v>3150</v>
      </c>
      <c r="L90" s="179">
        <f>ROUND(G90*$L$4,0)</f>
        <v>3150</v>
      </c>
      <c r="M90" s="175"/>
      <c r="N90" s="150"/>
      <c r="O90" s="150"/>
      <c r="P90" s="148"/>
      <c r="Q90" s="147"/>
      <c r="R90" s="147"/>
      <c r="S90" s="147"/>
      <c r="T90" s="147"/>
      <c r="U90" s="196"/>
      <c r="X90" s="795"/>
      <c r="Y90" s="148" t="s">
        <v>61</v>
      </c>
      <c r="Z90" s="148">
        <v>0</v>
      </c>
      <c r="AA90" s="148">
        <v>0</v>
      </c>
      <c r="AB90" s="148">
        <v>3150</v>
      </c>
      <c r="AC90" s="148">
        <v>3150</v>
      </c>
      <c r="AD90" s="148">
        <v>3150</v>
      </c>
      <c r="AF90" s="795"/>
      <c r="AG90" s="148" t="s">
        <v>61</v>
      </c>
      <c r="AH90" s="180">
        <f t="shared" si="37"/>
        <v>0</v>
      </c>
      <c r="AI90" s="10">
        <f t="shared" si="47"/>
        <v>0</v>
      </c>
      <c r="AJ90" s="10">
        <f t="shared" si="47"/>
        <v>3150</v>
      </c>
      <c r="AK90" s="10">
        <f t="shared" si="47"/>
        <v>0</v>
      </c>
      <c r="AL90" s="10">
        <f t="shared" si="47"/>
        <v>0</v>
      </c>
    </row>
    <row r="91" spans="1:38" ht="27" customHeight="1">
      <c r="A91" s="792"/>
      <c r="B91" s="140" t="s">
        <v>15</v>
      </c>
      <c r="C91" s="161">
        <v>6269</v>
      </c>
      <c r="D91" s="6">
        <v>6618</v>
      </c>
      <c r="E91" s="6">
        <v>9813</v>
      </c>
      <c r="F91" s="6">
        <v>9892</v>
      </c>
      <c r="G91" s="162">
        <v>9961</v>
      </c>
      <c r="H91" s="6">
        <f>SUM(H89:H90)</f>
        <v>4827</v>
      </c>
      <c r="I91" s="6">
        <f>SUM(I89:I90)</f>
        <v>5559</v>
      </c>
      <c r="J91" s="6">
        <f>SUM(J89:J90)</f>
        <v>8814</v>
      </c>
      <c r="K91" s="6">
        <f>SUM(K89:K90)</f>
        <v>8881</v>
      </c>
      <c r="L91" s="162">
        <f>SUM(L89:L90)</f>
        <v>9007</v>
      </c>
      <c r="M91" s="174">
        <f>'[3]유수율적용 원단위'!$C$55</f>
        <v>248.5</v>
      </c>
      <c r="N91" s="144">
        <f>'[3]유수율적용 원단위'!$D$55</f>
        <v>264.75</v>
      </c>
      <c r="O91" s="144">
        <f>'[3]유수율적용 원단위'!$E$55</f>
        <v>278</v>
      </c>
      <c r="P91" s="184">
        <f>'[3]유수율적용 원단위'!$F$55</f>
        <v>288.25</v>
      </c>
      <c r="Q91" s="6">
        <f>ROUND(I91*M91/1000,0)</f>
        <v>1381</v>
      </c>
      <c r="R91" s="6">
        <f>ROUND(J91*N91/1000,0)</f>
        <v>2334</v>
      </c>
      <c r="S91" s="6">
        <f>ROUND(K91*O91/1000,0)</f>
        <v>2469</v>
      </c>
      <c r="T91" s="6">
        <f>ROUND(L91*P91/1000,0)</f>
        <v>2596</v>
      </c>
      <c r="U91" s="157"/>
      <c r="X91" s="796"/>
      <c r="Y91" s="10" t="s">
        <v>59</v>
      </c>
      <c r="Z91" s="10">
        <v>4827</v>
      </c>
      <c r="AA91" s="10">
        <v>5294</v>
      </c>
      <c r="AB91" s="10">
        <v>8814</v>
      </c>
      <c r="AC91" s="10">
        <v>9218</v>
      </c>
      <c r="AD91" s="10">
        <v>9620</v>
      </c>
      <c r="AF91" s="796"/>
      <c r="AG91" s="10" t="s">
        <v>59</v>
      </c>
      <c r="AH91" s="180">
        <f t="shared" si="37"/>
        <v>4827</v>
      </c>
      <c r="AI91" s="180">
        <f>SUM(AI89:AI90)</f>
        <v>467</v>
      </c>
      <c r="AJ91" s="180">
        <f>SUM(AJ89:AJ90)</f>
        <v>3520</v>
      </c>
      <c r="AK91" s="180">
        <f>SUM(AK89:AK90)</f>
        <v>404</v>
      </c>
      <c r="AL91" s="180">
        <f>SUM(AL89:AL90)</f>
        <v>402</v>
      </c>
    </row>
    <row r="92" spans="1:38" ht="27" customHeight="1">
      <c r="A92" s="792" t="s">
        <v>709</v>
      </c>
      <c r="B92" s="139" t="s">
        <v>60</v>
      </c>
      <c r="C92" s="163">
        <v>4270</v>
      </c>
      <c r="D92" s="143">
        <v>4506</v>
      </c>
      <c r="E92" s="143">
        <v>4536</v>
      </c>
      <c r="F92" s="143">
        <v>4590</v>
      </c>
      <c r="G92" s="164">
        <v>4637</v>
      </c>
      <c r="H92" s="161">
        <f>ROUND(C92*$H$3,0)</f>
        <v>3288</v>
      </c>
      <c r="I92" s="6">
        <f>ROUND(D92*$I$3,0)</f>
        <v>3785</v>
      </c>
      <c r="J92" s="6">
        <f>ROUND(E92*$J$3,0)</f>
        <v>3856</v>
      </c>
      <c r="K92" s="6">
        <f>ROUND(F92*$K$3,0)</f>
        <v>3902</v>
      </c>
      <c r="L92" s="162">
        <f>ROUND(G92*$L$3,0)</f>
        <v>3988</v>
      </c>
      <c r="M92" s="141"/>
      <c r="N92" s="10"/>
      <c r="O92" s="10"/>
      <c r="P92" s="10"/>
      <c r="Q92" s="6"/>
      <c r="R92" s="6"/>
      <c r="S92" s="6"/>
      <c r="T92" s="6"/>
      <c r="U92" s="157"/>
      <c r="X92" s="794" t="s">
        <v>731</v>
      </c>
      <c r="Y92" s="10" t="s">
        <v>60</v>
      </c>
      <c r="Z92" s="10">
        <v>3288</v>
      </c>
      <c r="AA92" s="10">
        <v>3605</v>
      </c>
      <c r="AB92" s="10">
        <v>3856</v>
      </c>
      <c r="AC92" s="10">
        <v>4131</v>
      </c>
      <c r="AD92" s="10">
        <v>4405</v>
      </c>
      <c r="AF92" s="794" t="s">
        <v>731</v>
      </c>
      <c r="AG92" s="10" t="s">
        <v>60</v>
      </c>
      <c r="AH92" s="180">
        <f t="shared" si="37"/>
        <v>3288</v>
      </c>
      <c r="AI92" s="10">
        <f t="shared" ref="AI92:AL93" si="48">AA92-Z92</f>
        <v>317</v>
      </c>
      <c r="AJ92" s="10">
        <f t="shared" si="48"/>
        <v>251</v>
      </c>
      <c r="AK92" s="10">
        <f t="shared" si="48"/>
        <v>275</v>
      </c>
      <c r="AL92" s="10">
        <f t="shared" si="48"/>
        <v>274</v>
      </c>
    </row>
    <row r="93" spans="1:38" s="149" customFormat="1" ht="27" customHeight="1">
      <c r="A93" s="792"/>
      <c r="B93" s="154" t="s">
        <v>61</v>
      </c>
      <c r="C93" s="165">
        <v>0</v>
      </c>
      <c r="D93" s="152">
        <v>0</v>
      </c>
      <c r="E93" s="146">
        <v>3327.5917808219178</v>
      </c>
      <c r="F93" s="146">
        <v>3349.3424657534247</v>
      </c>
      <c r="G93" s="166">
        <v>3364.5315068493151</v>
      </c>
      <c r="H93" s="147">
        <f>ROUND(C93*$H$4,0)</f>
        <v>0</v>
      </c>
      <c r="I93" s="152">
        <f>ROUND(D93*$I$4,0)</f>
        <v>0</v>
      </c>
      <c r="J93" s="147">
        <f>ROUND(E93*$J$4,0)</f>
        <v>3328</v>
      </c>
      <c r="K93" s="147">
        <f>ROUND(F93*$K$4,0)</f>
        <v>3349</v>
      </c>
      <c r="L93" s="179">
        <f>ROUND(G93*$L$4,0)</f>
        <v>3365</v>
      </c>
      <c r="M93" s="173"/>
      <c r="N93" s="148"/>
      <c r="O93" s="148"/>
      <c r="P93" s="148"/>
      <c r="Q93" s="147"/>
      <c r="R93" s="147"/>
      <c r="S93" s="147"/>
      <c r="T93" s="147"/>
      <c r="U93" s="196"/>
      <c r="X93" s="795"/>
      <c r="Y93" s="148" t="s">
        <v>61</v>
      </c>
      <c r="Z93" s="148">
        <v>0</v>
      </c>
      <c r="AA93" s="148">
        <v>0</v>
      </c>
      <c r="AB93" s="148">
        <v>3328</v>
      </c>
      <c r="AC93" s="148">
        <v>3349</v>
      </c>
      <c r="AD93" s="148">
        <v>3365</v>
      </c>
      <c r="AF93" s="795"/>
      <c r="AG93" s="148" t="s">
        <v>61</v>
      </c>
      <c r="AH93" s="180">
        <f t="shared" si="37"/>
        <v>0</v>
      </c>
      <c r="AI93" s="10">
        <f t="shared" si="48"/>
        <v>0</v>
      </c>
      <c r="AJ93" s="10">
        <f t="shared" si="48"/>
        <v>3328</v>
      </c>
      <c r="AK93" s="10">
        <f t="shared" si="48"/>
        <v>21</v>
      </c>
      <c r="AL93" s="10">
        <f t="shared" si="48"/>
        <v>16</v>
      </c>
    </row>
    <row r="94" spans="1:38" ht="27" customHeight="1">
      <c r="A94" s="792"/>
      <c r="B94" s="140" t="s">
        <v>15</v>
      </c>
      <c r="C94" s="161">
        <v>4270</v>
      </c>
      <c r="D94" s="6">
        <v>4506</v>
      </c>
      <c r="E94" s="6">
        <v>7863.5917808219183</v>
      </c>
      <c r="F94" s="6">
        <v>7939.3424657534251</v>
      </c>
      <c r="G94" s="162">
        <v>8001.5315068493146</v>
      </c>
      <c r="H94" s="6">
        <f>SUM(H92:H93)</f>
        <v>3288</v>
      </c>
      <c r="I94" s="6">
        <f>SUM(I92:I93)</f>
        <v>3785</v>
      </c>
      <c r="J94" s="6">
        <f>SUM(J92:J93)</f>
        <v>7184</v>
      </c>
      <c r="K94" s="6">
        <f>SUM(K92:K93)</f>
        <v>7251</v>
      </c>
      <c r="L94" s="162">
        <f>SUM(L92:L93)</f>
        <v>7353</v>
      </c>
      <c r="M94" s="185">
        <f>'[3]유수율적용 원단위'!$C$55</f>
        <v>248.5</v>
      </c>
      <c r="N94" s="186">
        <f>'[3]유수율적용 원단위'!$D$55</f>
        <v>264.75</v>
      </c>
      <c r="O94" s="186">
        <f>'[3]유수율적용 원단위'!$E$55</f>
        <v>278</v>
      </c>
      <c r="P94" s="186">
        <f>'[3]유수율적용 원단위'!$F$55</f>
        <v>288.25</v>
      </c>
      <c r="Q94" s="6">
        <f>ROUND(I94*M94/1000,0)</f>
        <v>941</v>
      </c>
      <c r="R94" s="6">
        <f>ROUND(J94*N94/1000,0)</f>
        <v>1902</v>
      </c>
      <c r="S94" s="6">
        <f>ROUND(K94*O94/1000,0)</f>
        <v>2016</v>
      </c>
      <c r="T94" s="6">
        <f>ROUND(L94*P94/1000,0)</f>
        <v>2120</v>
      </c>
      <c r="U94" s="157"/>
      <c r="X94" s="796"/>
      <c r="Y94" s="10" t="s">
        <v>59</v>
      </c>
      <c r="Z94" s="10">
        <v>3288</v>
      </c>
      <c r="AA94" s="10">
        <v>3605</v>
      </c>
      <c r="AB94" s="10">
        <v>7184</v>
      </c>
      <c r="AC94" s="10">
        <v>7480</v>
      </c>
      <c r="AD94" s="10">
        <v>7770</v>
      </c>
      <c r="AF94" s="796"/>
      <c r="AG94" s="10" t="s">
        <v>59</v>
      </c>
      <c r="AH94" s="180">
        <f t="shared" si="37"/>
        <v>3288</v>
      </c>
      <c r="AI94" s="180">
        <f>SUM(AI92:AI93)</f>
        <v>317</v>
      </c>
      <c r="AJ94" s="180">
        <f>SUM(AJ92:AJ93)</f>
        <v>3579</v>
      </c>
      <c r="AK94" s="180">
        <f>SUM(AK92:AK93)</f>
        <v>296</v>
      </c>
      <c r="AL94" s="180">
        <f>SUM(AL92:AL93)</f>
        <v>290</v>
      </c>
    </row>
    <row r="95" spans="1:38" ht="27" customHeight="1">
      <c r="A95" s="792" t="s">
        <v>710</v>
      </c>
      <c r="B95" s="139" t="s">
        <v>60</v>
      </c>
      <c r="C95" s="163">
        <v>5470</v>
      </c>
      <c r="D95" s="143">
        <v>5776</v>
      </c>
      <c r="E95" s="143">
        <v>5815</v>
      </c>
      <c r="F95" s="143">
        <v>5884</v>
      </c>
      <c r="G95" s="164">
        <v>5944</v>
      </c>
      <c r="H95" s="161">
        <f>ROUND(C95*$H$3,0)</f>
        <v>4212</v>
      </c>
      <c r="I95" s="6">
        <f>ROUND(D95*$I$3,0)</f>
        <v>4852</v>
      </c>
      <c r="J95" s="6">
        <f>ROUND(E95*$J$3,0)</f>
        <v>4943</v>
      </c>
      <c r="K95" s="6">
        <f>ROUND(F95*$K$3,0)</f>
        <v>5001</v>
      </c>
      <c r="L95" s="162">
        <f>ROUND(G95*$L$3,0)</f>
        <v>5112</v>
      </c>
      <c r="M95" s="141"/>
      <c r="N95" s="10"/>
      <c r="O95" s="10"/>
      <c r="P95" s="10"/>
      <c r="Q95" s="6"/>
      <c r="R95" s="6"/>
      <c r="S95" s="6"/>
      <c r="T95" s="6"/>
      <c r="U95" s="157"/>
      <c r="X95" s="794" t="s">
        <v>732</v>
      </c>
      <c r="Y95" s="10" t="s">
        <v>60</v>
      </c>
      <c r="Z95" s="10">
        <v>4212</v>
      </c>
      <c r="AA95" s="10">
        <v>4621</v>
      </c>
      <c r="AB95" s="10">
        <v>4943</v>
      </c>
      <c r="AC95" s="10">
        <v>5296</v>
      </c>
      <c r="AD95" s="10">
        <v>5647</v>
      </c>
      <c r="AF95" s="794" t="s">
        <v>732</v>
      </c>
      <c r="AG95" s="10" t="s">
        <v>60</v>
      </c>
      <c r="AH95" s="180">
        <f t="shared" si="37"/>
        <v>4212</v>
      </c>
      <c r="AI95" s="10">
        <f t="shared" ref="AI95:AL96" si="49">AA95-Z95</f>
        <v>409</v>
      </c>
      <c r="AJ95" s="10">
        <f t="shared" si="49"/>
        <v>322</v>
      </c>
      <c r="AK95" s="10">
        <f t="shared" si="49"/>
        <v>353</v>
      </c>
      <c r="AL95" s="10">
        <f t="shared" si="49"/>
        <v>351</v>
      </c>
    </row>
    <row r="96" spans="1:38" s="149" customFormat="1" ht="27" customHeight="1">
      <c r="A96" s="792"/>
      <c r="B96" s="154" t="s">
        <v>61</v>
      </c>
      <c r="C96" s="165">
        <v>0</v>
      </c>
      <c r="D96" s="152">
        <v>0</v>
      </c>
      <c r="E96" s="152">
        <v>0</v>
      </c>
      <c r="F96" s="152">
        <v>0</v>
      </c>
      <c r="G96" s="168">
        <v>0</v>
      </c>
      <c r="H96" s="147">
        <f>ROUND(C96*$H$4,0)</f>
        <v>0</v>
      </c>
      <c r="I96" s="152">
        <f>ROUND(D96*$I$4,0)</f>
        <v>0</v>
      </c>
      <c r="J96" s="152">
        <f>ROUND(E96*$J$4,0)</f>
        <v>0</v>
      </c>
      <c r="K96" s="152">
        <f>ROUND(F96*$K$4,0)</f>
        <v>0</v>
      </c>
      <c r="L96" s="168">
        <f>ROUND(G96*$L$4,0)</f>
        <v>0</v>
      </c>
      <c r="M96" s="173"/>
      <c r="N96" s="148"/>
      <c r="O96" s="148"/>
      <c r="P96" s="148"/>
      <c r="Q96" s="147"/>
      <c r="R96" s="147"/>
      <c r="S96" s="147"/>
      <c r="T96" s="147"/>
      <c r="U96" s="196"/>
      <c r="X96" s="795"/>
      <c r="Y96" s="148" t="s">
        <v>61</v>
      </c>
      <c r="Z96" s="148">
        <v>0</v>
      </c>
      <c r="AA96" s="148">
        <v>0</v>
      </c>
      <c r="AB96" s="148">
        <v>0</v>
      </c>
      <c r="AC96" s="148">
        <v>0</v>
      </c>
      <c r="AD96" s="148">
        <v>0</v>
      </c>
      <c r="AF96" s="795"/>
      <c r="AG96" s="148" t="s">
        <v>61</v>
      </c>
      <c r="AH96" s="180">
        <f t="shared" si="37"/>
        <v>0</v>
      </c>
      <c r="AI96" s="10">
        <f t="shared" si="49"/>
        <v>0</v>
      </c>
      <c r="AJ96" s="10">
        <f t="shared" si="49"/>
        <v>0</v>
      </c>
      <c r="AK96" s="10">
        <f t="shared" si="49"/>
        <v>0</v>
      </c>
      <c r="AL96" s="10">
        <f t="shared" si="49"/>
        <v>0</v>
      </c>
    </row>
    <row r="97" spans="1:38" ht="27" customHeight="1">
      <c r="A97" s="792"/>
      <c r="B97" s="140" t="s">
        <v>15</v>
      </c>
      <c r="C97" s="161">
        <v>5470</v>
      </c>
      <c r="D97" s="6">
        <v>5776</v>
      </c>
      <c r="E97" s="6">
        <v>5815</v>
      </c>
      <c r="F97" s="6">
        <v>5884</v>
      </c>
      <c r="G97" s="162">
        <v>5944</v>
      </c>
      <c r="H97" s="6">
        <f>SUM(H95:H96)</f>
        <v>4212</v>
      </c>
      <c r="I97" s="6">
        <f>SUM(I95:I96)</f>
        <v>4852</v>
      </c>
      <c r="J97" s="6">
        <f>SUM(J95:J96)</f>
        <v>4943</v>
      </c>
      <c r="K97" s="6">
        <f>SUM(K95:K96)</f>
        <v>5001</v>
      </c>
      <c r="L97" s="162">
        <f>SUM(L95:L96)</f>
        <v>5112</v>
      </c>
      <c r="M97" s="185">
        <f>'[3]유수율적용 원단위'!$C$55</f>
        <v>248.5</v>
      </c>
      <c r="N97" s="186">
        <f>'[3]유수율적용 원단위'!$D$55</f>
        <v>264.75</v>
      </c>
      <c r="O97" s="186">
        <f>'[3]유수율적용 원단위'!$E$55</f>
        <v>278</v>
      </c>
      <c r="P97" s="186">
        <f>'[3]유수율적용 원단위'!$F$55</f>
        <v>288.25</v>
      </c>
      <c r="Q97" s="6">
        <f>ROUND(I97*M97/1000,0)</f>
        <v>1206</v>
      </c>
      <c r="R97" s="6">
        <f>ROUND(J97*N97/1000,0)</f>
        <v>1309</v>
      </c>
      <c r="S97" s="6">
        <f>ROUND(K97*O97/1000,0)</f>
        <v>1390</v>
      </c>
      <c r="T97" s="6">
        <f>ROUND(L97*P97/1000,0)</f>
        <v>1474</v>
      </c>
      <c r="U97" s="157"/>
      <c r="X97" s="796"/>
      <c r="Y97" s="10" t="s">
        <v>59</v>
      </c>
      <c r="Z97" s="10">
        <v>4212</v>
      </c>
      <c r="AA97" s="10">
        <v>4621</v>
      </c>
      <c r="AB97" s="10">
        <v>4943</v>
      </c>
      <c r="AC97" s="10">
        <v>5296</v>
      </c>
      <c r="AD97" s="10">
        <v>5647</v>
      </c>
      <c r="AF97" s="796"/>
      <c r="AG97" s="10" t="s">
        <v>59</v>
      </c>
      <c r="AH97" s="180">
        <f t="shared" si="37"/>
        <v>4212</v>
      </c>
      <c r="AI97" s="180">
        <f>SUM(AI95:AI96)</f>
        <v>409</v>
      </c>
      <c r="AJ97" s="180">
        <f>SUM(AJ95:AJ96)</f>
        <v>322</v>
      </c>
      <c r="AK97" s="180">
        <f>SUM(AK95:AK96)</f>
        <v>353</v>
      </c>
      <c r="AL97" s="180">
        <f>SUM(AL95:AL96)</f>
        <v>351</v>
      </c>
    </row>
    <row r="98" spans="1:38" ht="27" customHeight="1">
      <c r="A98" s="792" t="s">
        <v>711</v>
      </c>
      <c r="B98" s="139" t="s">
        <v>60</v>
      </c>
      <c r="C98" s="163">
        <v>2896</v>
      </c>
      <c r="D98" s="143">
        <v>3062</v>
      </c>
      <c r="E98" s="143">
        <v>3082</v>
      </c>
      <c r="F98" s="143">
        <v>3119</v>
      </c>
      <c r="G98" s="164">
        <v>3151</v>
      </c>
      <c r="H98" s="161">
        <f>ROUND(C98*$H$3,0)</f>
        <v>2230</v>
      </c>
      <c r="I98" s="6">
        <f>ROUND(D98*$I$3,0)</f>
        <v>2572</v>
      </c>
      <c r="J98" s="6">
        <f>ROUND(E98*$J$3,0)</f>
        <v>2620</v>
      </c>
      <c r="K98" s="6">
        <f>ROUND(F98*$K$3,0)</f>
        <v>2651</v>
      </c>
      <c r="L98" s="162">
        <f>ROUND(G98*$L$3,0)</f>
        <v>2710</v>
      </c>
      <c r="M98" s="141"/>
      <c r="N98" s="10"/>
      <c r="O98" s="10"/>
      <c r="P98" s="10"/>
      <c r="Q98" s="6"/>
      <c r="R98" s="6"/>
      <c r="S98" s="6"/>
      <c r="T98" s="6"/>
      <c r="U98" s="157"/>
      <c r="X98" s="794" t="s">
        <v>733</v>
      </c>
      <c r="Y98" s="10" t="s">
        <v>60</v>
      </c>
      <c r="Z98" s="10">
        <v>2230</v>
      </c>
      <c r="AA98" s="10">
        <v>2450</v>
      </c>
      <c r="AB98" s="10">
        <v>2620</v>
      </c>
      <c r="AC98" s="10">
        <v>2807</v>
      </c>
      <c r="AD98" s="10">
        <v>2993</v>
      </c>
      <c r="AF98" s="794" t="s">
        <v>733</v>
      </c>
      <c r="AG98" s="10" t="s">
        <v>60</v>
      </c>
      <c r="AH98" s="180">
        <f t="shared" si="37"/>
        <v>2230</v>
      </c>
      <c r="AI98" s="10">
        <f t="shared" ref="AI98:AL99" si="50">AA98-Z98</f>
        <v>220</v>
      </c>
      <c r="AJ98" s="10">
        <f t="shared" si="50"/>
        <v>170</v>
      </c>
      <c r="AK98" s="10">
        <f t="shared" si="50"/>
        <v>187</v>
      </c>
      <c r="AL98" s="10">
        <f t="shared" si="50"/>
        <v>186</v>
      </c>
    </row>
    <row r="99" spans="1:38" s="149" customFormat="1" ht="27" customHeight="1">
      <c r="A99" s="792"/>
      <c r="B99" s="154" t="s">
        <v>61</v>
      </c>
      <c r="C99" s="165">
        <v>0</v>
      </c>
      <c r="D99" s="152">
        <v>0</v>
      </c>
      <c r="E99" s="152">
        <v>0</v>
      </c>
      <c r="F99" s="152">
        <v>0</v>
      </c>
      <c r="G99" s="168">
        <v>0</v>
      </c>
      <c r="H99" s="147">
        <f>ROUND(C99*$H$4,0)</f>
        <v>0</v>
      </c>
      <c r="I99" s="152">
        <f>ROUND(D99*$I$4,0)</f>
        <v>0</v>
      </c>
      <c r="J99" s="152">
        <f>ROUND(E99*$J$4,0)</f>
        <v>0</v>
      </c>
      <c r="K99" s="152">
        <f>ROUND(F99*$K$4,0)</f>
        <v>0</v>
      </c>
      <c r="L99" s="168">
        <f>ROUND(G99*$L$4,0)</f>
        <v>0</v>
      </c>
      <c r="M99" s="173"/>
      <c r="N99" s="148"/>
      <c r="O99" s="148"/>
      <c r="P99" s="148"/>
      <c r="Q99" s="147"/>
      <c r="R99" s="147"/>
      <c r="S99" s="147"/>
      <c r="T99" s="147"/>
      <c r="U99" s="196"/>
      <c r="X99" s="795"/>
      <c r="Y99" s="148" t="s">
        <v>61</v>
      </c>
      <c r="Z99" s="148">
        <v>0</v>
      </c>
      <c r="AA99" s="148">
        <v>0</v>
      </c>
      <c r="AB99" s="148">
        <v>0</v>
      </c>
      <c r="AC99" s="148">
        <v>0</v>
      </c>
      <c r="AD99" s="148">
        <v>0</v>
      </c>
      <c r="AF99" s="795"/>
      <c r="AG99" s="148" t="s">
        <v>61</v>
      </c>
      <c r="AH99" s="180">
        <f t="shared" si="37"/>
        <v>0</v>
      </c>
      <c r="AI99" s="10">
        <f t="shared" si="50"/>
        <v>0</v>
      </c>
      <c r="AJ99" s="10">
        <f t="shared" si="50"/>
        <v>0</v>
      </c>
      <c r="AK99" s="10">
        <f t="shared" si="50"/>
        <v>0</v>
      </c>
      <c r="AL99" s="10">
        <f t="shared" si="50"/>
        <v>0</v>
      </c>
    </row>
    <row r="100" spans="1:38" ht="27" customHeight="1">
      <c r="A100" s="792"/>
      <c r="B100" s="140" t="s">
        <v>15</v>
      </c>
      <c r="C100" s="161">
        <v>2896</v>
      </c>
      <c r="D100" s="6">
        <v>3062</v>
      </c>
      <c r="E100" s="6">
        <v>3082</v>
      </c>
      <c r="F100" s="6">
        <v>3119</v>
      </c>
      <c r="G100" s="162">
        <v>3151</v>
      </c>
      <c r="H100" s="6">
        <f>SUM(H98:H99)</f>
        <v>2230</v>
      </c>
      <c r="I100" s="6">
        <f>SUM(I98:I99)</f>
        <v>2572</v>
      </c>
      <c r="J100" s="6">
        <f>SUM(J98:J99)</f>
        <v>2620</v>
      </c>
      <c r="K100" s="6">
        <f>SUM(K98:K99)</f>
        <v>2651</v>
      </c>
      <c r="L100" s="162">
        <f>SUM(L98:L99)</f>
        <v>2710</v>
      </c>
      <c r="M100" s="185">
        <f>'[3]유수율적용 원단위'!$C$55</f>
        <v>248.5</v>
      </c>
      <c r="N100" s="186">
        <f>'[3]유수율적용 원단위'!$D$55</f>
        <v>264.75</v>
      </c>
      <c r="O100" s="186">
        <f>'[3]유수율적용 원단위'!$E$55</f>
        <v>278</v>
      </c>
      <c r="P100" s="186">
        <f>'[3]유수율적용 원단위'!$F$55</f>
        <v>288.25</v>
      </c>
      <c r="Q100" s="6">
        <f>ROUND(I100*M100/1000,0)</f>
        <v>639</v>
      </c>
      <c r="R100" s="6">
        <f>ROUND(J100*N100/1000,0)</f>
        <v>694</v>
      </c>
      <c r="S100" s="6">
        <f>ROUND(K100*O100/1000,0)</f>
        <v>737</v>
      </c>
      <c r="T100" s="6">
        <f>ROUND(L100*P100/1000,0)</f>
        <v>781</v>
      </c>
      <c r="U100" s="157"/>
      <c r="X100" s="796"/>
      <c r="Y100" s="10" t="s">
        <v>59</v>
      </c>
      <c r="Z100" s="10">
        <v>2230</v>
      </c>
      <c r="AA100" s="10">
        <v>2450</v>
      </c>
      <c r="AB100" s="10">
        <v>2620</v>
      </c>
      <c r="AC100" s="10">
        <v>2807</v>
      </c>
      <c r="AD100" s="10">
        <v>2993</v>
      </c>
      <c r="AF100" s="796"/>
      <c r="AG100" s="10" t="s">
        <v>59</v>
      </c>
      <c r="AH100" s="180">
        <f t="shared" si="37"/>
        <v>2230</v>
      </c>
      <c r="AI100" s="180">
        <f>SUM(AI98:AI99)</f>
        <v>220</v>
      </c>
      <c r="AJ100" s="180">
        <f>SUM(AJ98:AJ99)</f>
        <v>170</v>
      </c>
      <c r="AK100" s="180">
        <f>SUM(AK98:AK99)</f>
        <v>187</v>
      </c>
      <c r="AL100" s="180">
        <f>SUM(AL98:AL99)</f>
        <v>186</v>
      </c>
    </row>
    <row r="101" spans="1:38" ht="27" customHeight="1">
      <c r="A101" s="792" t="s">
        <v>712</v>
      </c>
      <c r="B101" s="139" t="s">
        <v>60</v>
      </c>
      <c r="C101" s="163">
        <v>29679</v>
      </c>
      <c r="D101" s="143">
        <v>31326</v>
      </c>
      <c r="E101" s="143">
        <v>31537</v>
      </c>
      <c r="F101" s="143">
        <v>31912</v>
      </c>
      <c r="G101" s="164">
        <v>32240</v>
      </c>
      <c r="H101" s="161">
        <f>ROUND(C101*$H$3,0)</f>
        <v>22853</v>
      </c>
      <c r="I101" s="6">
        <f>ROUND(D101*$I$3,0)</f>
        <v>26314</v>
      </c>
      <c r="J101" s="6">
        <f>ROUND(E101*$J$3,0)</f>
        <v>26806</v>
      </c>
      <c r="K101" s="6">
        <f>ROUND(F101*$K$3,0)</f>
        <v>27125</v>
      </c>
      <c r="L101" s="162">
        <f>ROUND(G101*$L$3,0)</f>
        <v>27726</v>
      </c>
      <c r="M101" s="141"/>
      <c r="N101" s="10"/>
      <c r="O101" s="10"/>
      <c r="P101" s="10"/>
      <c r="Q101" s="6"/>
      <c r="R101" s="6"/>
      <c r="S101" s="6"/>
      <c r="T101" s="6"/>
      <c r="U101" s="157"/>
      <c r="X101" s="794" t="s">
        <v>734</v>
      </c>
      <c r="Y101" s="10" t="s">
        <v>60</v>
      </c>
      <c r="Z101" s="10">
        <v>22853</v>
      </c>
      <c r="AA101" s="10">
        <v>25061</v>
      </c>
      <c r="AB101" s="10">
        <v>26806</v>
      </c>
      <c r="AC101" s="10">
        <v>28721</v>
      </c>
      <c r="AD101" s="10">
        <v>30628</v>
      </c>
      <c r="AF101" s="794" t="s">
        <v>734</v>
      </c>
      <c r="AG101" s="10" t="s">
        <v>60</v>
      </c>
      <c r="AH101" s="180">
        <f t="shared" si="37"/>
        <v>22853</v>
      </c>
      <c r="AI101" s="10">
        <f t="shared" ref="AI101:AL102" si="51">AA101-Z101</f>
        <v>2208</v>
      </c>
      <c r="AJ101" s="10">
        <f t="shared" si="51"/>
        <v>1745</v>
      </c>
      <c r="AK101" s="10">
        <f t="shared" si="51"/>
        <v>1915</v>
      </c>
      <c r="AL101" s="10">
        <f t="shared" si="51"/>
        <v>1907</v>
      </c>
    </row>
    <row r="102" spans="1:38" s="149" customFormat="1" ht="27" customHeight="1">
      <c r="A102" s="792"/>
      <c r="B102" s="154" t="s">
        <v>61</v>
      </c>
      <c r="C102" s="165">
        <v>0</v>
      </c>
      <c r="D102" s="146">
        <v>2262</v>
      </c>
      <c r="E102" s="146">
        <v>4899</v>
      </c>
      <c r="F102" s="146">
        <v>4899</v>
      </c>
      <c r="G102" s="166">
        <v>4899</v>
      </c>
      <c r="H102" s="147">
        <f>ROUND(C102*$H$4,0)</f>
        <v>0</v>
      </c>
      <c r="I102" s="147">
        <f>ROUND(D102*$I$4,0)</f>
        <v>2262</v>
      </c>
      <c r="J102" s="147">
        <f>ROUND(E102*$J$4,0)</f>
        <v>4899</v>
      </c>
      <c r="K102" s="147">
        <f>ROUND(F102*$K$4,0)</f>
        <v>4899</v>
      </c>
      <c r="L102" s="179">
        <f>ROUND(G102*$L$4,0)</f>
        <v>4899</v>
      </c>
      <c r="M102" s="173"/>
      <c r="N102" s="148"/>
      <c r="O102" s="148"/>
      <c r="P102" s="148"/>
      <c r="Q102" s="147"/>
      <c r="R102" s="147"/>
      <c r="S102" s="147"/>
      <c r="T102" s="147"/>
      <c r="U102" s="196"/>
      <c r="X102" s="795"/>
      <c r="Y102" s="148" t="s">
        <v>61</v>
      </c>
      <c r="Z102" s="148">
        <v>0</v>
      </c>
      <c r="AA102" s="148">
        <v>2262</v>
      </c>
      <c r="AB102" s="148">
        <v>4899</v>
      </c>
      <c r="AC102" s="148">
        <v>4899</v>
      </c>
      <c r="AD102" s="148">
        <v>4899</v>
      </c>
      <c r="AF102" s="795"/>
      <c r="AG102" s="148" t="s">
        <v>61</v>
      </c>
      <c r="AH102" s="180">
        <f t="shared" si="37"/>
        <v>0</v>
      </c>
      <c r="AI102" s="10">
        <f t="shared" si="51"/>
        <v>2262</v>
      </c>
      <c r="AJ102" s="10">
        <f t="shared" si="51"/>
        <v>2637</v>
      </c>
      <c r="AK102" s="10">
        <f t="shared" si="51"/>
        <v>0</v>
      </c>
      <c r="AL102" s="10">
        <f t="shared" si="51"/>
        <v>0</v>
      </c>
    </row>
    <row r="103" spans="1:38" ht="27" customHeight="1">
      <c r="A103" s="792"/>
      <c r="B103" s="140" t="s">
        <v>15</v>
      </c>
      <c r="C103" s="161">
        <v>29679</v>
      </c>
      <c r="D103" s="6">
        <v>33588</v>
      </c>
      <c r="E103" s="6">
        <v>36436</v>
      </c>
      <c r="F103" s="6">
        <v>36811</v>
      </c>
      <c r="G103" s="162">
        <v>37139</v>
      </c>
      <c r="H103" s="6">
        <f>SUM(H101:H102)</f>
        <v>22853</v>
      </c>
      <c r="I103" s="6">
        <f>SUM(I101:I102)</f>
        <v>28576</v>
      </c>
      <c r="J103" s="6">
        <f>SUM(J101:J102)</f>
        <v>31705</v>
      </c>
      <c r="K103" s="6">
        <f>SUM(K101:K102)</f>
        <v>32024</v>
      </c>
      <c r="L103" s="162">
        <f>SUM(L101:L102)</f>
        <v>32625</v>
      </c>
      <c r="M103" s="141">
        <f>'[3]유수율적용 원단위'!$C$53</f>
        <v>336</v>
      </c>
      <c r="N103" s="10">
        <f>'[3]유수율적용 원단위'!$D$53</f>
        <v>352</v>
      </c>
      <c r="O103" s="10">
        <f>'[3]유수율적용 원단위'!$E$53</f>
        <v>373</v>
      </c>
      <c r="P103" s="10">
        <f>'[3]유수율적용 원단위'!$F$53</f>
        <v>396</v>
      </c>
      <c r="Q103" s="6">
        <f>ROUND(I103*M103/1000,0)</f>
        <v>9602</v>
      </c>
      <c r="R103" s="6">
        <f>ROUND(J103*N103/1000,0)</f>
        <v>11160</v>
      </c>
      <c r="S103" s="6">
        <f>ROUND(K103*O103/1000,0)</f>
        <v>11945</v>
      </c>
      <c r="T103" s="6">
        <f>ROUND(L103*P103/1000,0)</f>
        <v>12920</v>
      </c>
      <c r="U103" s="157"/>
      <c r="X103" s="796"/>
      <c r="Y103" s="10" t="s">
        <v>59</v>
      </c>
      <c r="Z103" s="10">
        <v>22853</v>
      </c>
      <c r="AA103" s="10">
        <v>27323</v>
      </c>
      <c r="AB103" s="10">
        <v>31705</v>
      </c>
      <c r="AC103" s="10">
        <v>33620</v>
      </c>
      <c r="AD103" s="10">
        <v>35527</v>
      </c>
      <c r="AF103" s="796"/>
      <c r="AG103" s="10" t="s">
        <v>59</v>
      </c>
      <c r="AH103" s="180">
        <f t="shared" si="37"/>
        <v>22853</v>
      </c>
      <c r="AI103" s="180">
        <f>SUM(AI101:AI102)</f>
        <v>4470</v>
      </c>
      <c r="AJ103" s="180">
        <f>SUM(AJ101:AJ102)</f>
        <v>4382</v>
      </c>
      <c r="AK103" s="180">
        <f>SUM(AK101:AK102)</f>
        <v>1915</v>
      </c>
      <c r="AL103" s="180">
        <f>SUM(AL101:AL102)</f>
        <v>1907</v>
      </c>
    </row>
    <row r="104" spans="1:38" ht="27" customHeight="1">
      <c r="A104" s="792" t="s">
        <v>713</v>
      </c>
      <c r="B104" s="139" t="s">
        <v>60</v>
      </c>
      <c r="C104" s="163">
        <v>18895</v>
      </c>
      <c r="D104" s="143">
        <v>19948</v>
      </c>
      <c r="E104" s="143">
        <v>20082</v>
      </c>
      <c r="F104" s="143">
        <v>20321</v>
      </c>
      <c r="G104" s="164">
        <v>20530</v>
      </c>
      <c r="H104" s="161">
        <f>ROUND(C104*$H$3,0)</f>
        <v>14549</v>
      </c>
      <c r="I104" s="6">
        <f>ROUND(D104*$I$3,0)</f>
        <v>16756</v>
      </c>
      <c r="J104" s="6">
        <f>ROUND(E104*$J$3,0)</f>
        <v>17070</v>
      </c>
      <c r="K104" s="6">
        <f>ROUND(F104*$K$3,0)</f>
        <v>17273</v>
      </c>
      <c r="L104" s="162">
        <f>ROUND(G104*$L$3,0)</f>
        <v>17656</v>
      </c>
      <c r="M104" s="141"/>
      <c r="N104" s="10"/>
      <c r="O104" s="10"/>
      <c r="P104" s="10"/>
      <c r="Q104" s="6"/>
      <c r="R104" s="6"/>
      <c r="S104" s="6"/>
      <c r="T104" s="6"/>
      <c r="U104" s="157"/>
      <c r="X104" s="794" t="s">
        <v>735</v>
      </c>
      <c r="Y104" s="10" t="s">
        <v>60</v>
      </c>
      <c r="Z104" s="10">
        <v>14549</v>
      </c>
      <c r="AA104" s="10">
        <v>15958</v>
      </c>
      <c r="AB104" s="10">
        <v>17070</v>
      </c>
      <c r="AC104" s="10">
        <v>18289</v>
      </c>
      <c r="AD104" s="10">
        <v>19504</v>
      </c>
      <c r="AF104" s="794" t="s">
        <v>735</v>
      </c>
      <c r="AG104" s="10" t="s">
        <v>60</v>
      </c>
      <c r="AH104" s="180">
        <f t="shared" si="37"/>
        <v>14549</v>
      </c>
      <c r="AI104" s="10">
        <f t="shared" ref="AI104:AL105" si="52">AA104-Z104</f>
        <v>1409</v>
      </c>
      <c r="AJ104" s="10">
        <f t="shared" si="52"/>
        <v>1112</v>
      </c>
      <c r="AK104" s="10">
        <f t="shared" si="52"/>
        <v>1219</v>
      </c>
      <c r="AL104" s="10">
        <f t="shared" si="52"/>
        <v>1215</v>
      </c>
    </row>
    <row r="105" spans="1:38" s="149" customFormat="1" ht="27" customHeight="1">
      <c r="A105" s="792"/>
      <c r="B105" s="154" t="s">
        <v>61</v>
      </c>
      <c r="C105" s="165">
        <v>0</v>
      </c>
      <c r="D105" s="146">
        <v>0</v>
      </c>
      <c r="E105" s="146">
        <v>565</v>
      </c>
      <c r="F105" s="146">
        <v>565</v>
      </c>
      <c r="G105" s="166">
        <v>565</v>
      </c>
      <c r="H105" s="147">
        <f>ROUND(C105*$H$4,0)</f>
        <v>0</v>
      </c>
      <c r="I105" s="147">
        <f>ROUND(D105*$I$4,0)</f>
        <v>0</v>
      </c>
      <c r="J105" s="147">
        <f>ROUND(E105*$J$4,0)</f>
        <v>565</v>
      </c>
      <c r="K105" s="147">
        <f>ROUND(F105*$K$4,0)</f>
        <v>565</v>
      </c>
      <c r="L105" s="179">
        <f>ROUND(G105*$L$4,0)</f>
        <v>565</v>
      </c>
      <c r="M105" s="173"/>
      <c r="N105" s="148"/>
      <c r="O105" s="148"/>
      <c r="P105" s="148"/>
      <c r="Q105" s="147"/>
      <c r="R105" s="147"/>
      <c r="S105" s="147"/>
      <c r="T105" s="147"/>
      <c r="U105" s="196"/>
      <c r="X105" s="795"/>
      <c r="Y105" s="148" t="s">
        <v>61</v>
      </c>
      <c r="Z105" s="148">
        <v>0</v>
      </c>
      <c r="AA105" s="148">
        <v>0</v>
      </c>
      <c r="AB105" s="148">
        <v>565</v>
      </c>
      <c r="AC105" s="148">
        <v>565</v>
      </c>
      <c r="AD105" s="148">
        <v>565</v>
      </c>
      <c r="AF105" s="795"/>
      <c r="AG105" s="148" t="s">
        <v>61</v>
      </c>
      <c r="AH105" s="180">
        <f t="shared" si="37"/>
        <v>0</v>
      </c>
      <c r="AI105" s="10">
        <f t="shared" si="52"/>
        <v>0</v>
      </c>
      <c r="AJ105" s="10">
        <f t="shared" si="52"/>
        <v>565</v>
      </c>
      <c r="AK105" s="10">
        <f t="shared" si="52"/>
        <v>0</v>
      </c>
      <c r="AL105" s="10">
        <f t="shared" si="52"/>
        <v>0</v>
      </c>
    </row>
    <row r="106" spans="1:38" ht="27" customHeight="1" thickBot="1">
      <c r="A106" s="793"/>
      <c r="B106" s="197" t="s">
        <v>15</v>
      </c>
      <c r="C106" s="170">
        <v>18895</v>
      </c>
      <c r="D106" s="171">
        <v>19948</v>
      </c>
      <c r="E106" s="171">
        <v>20647</v>
      </c>
      <c r="F106" s="171">
        <v>20886</v>
      </c>
      <c r="G106" s="172">
        <v>21095</v>
      </c>
      <c r="H106" s="171">
        <f>SUM(H104:H105)</f>
        <v>14549</v>
      </c>
      <c r="I106" s="171">
        <f>SUM(I104:I105)</f>
        <v>16756</v>
      </c>
      <c r="J106" s="171">
        <f>SUM(J104:J105)</f>
        <v>17635</v>
      </c>
      <c r="K106" s="171">
        <f>SUM(K104:K105)</f>
        <v>17838</v>
      </c>
      <c r="L106" s="172">
        <f>SUM(L104:L105)</f>
        <v>18221</v>
      </c>
      <c r="M106" s="201">
        <f>'[3]유수율적용 원단위'!$C$53</f>
        <v>336</v>
      </c>
      <c r="N106" s="202">
        <f>'[3]유수율적용 원단위'!$D$53</f>
        <v>352</v>
      </c>
      <c r="O106" s="202">
        <f>'[3]유수율적용 원단위'!$E$53</f>
        <v>373</v>
      </c>
      <c r="P106" s="202">
        <f>'[3]유수율적용 원단위'!$F$53</f>
        <v>396</v>
      </c>
      <c r="Q106" s="171">
        <f>ROUND(I106*M106/1000,0)</f>
        <v>5630</v>
      </c>
      <c r="R106" s="171">
        <f>ROUND(J106*N106/1000,0)</f>
        <v>6208</v>
      </c>
      <c r="S106" s="171">
        <f>ROUND(K106*O106/1000,0)</f>
        <v>6654</v>
      </c>
      <c r="T106" s="171">
        <f>ROUND(L106*P106/1000,0)</f>
        <v>7216</v>
      </c>
      <c r="U106" s="200"/>
      <c r="X106" s="796"/>
      <c r="Y106" s="10" t="s">
        <v>59</v>
      </c>
      <c r="Z106" s="10">
        <v>14549</v>
      </c>
      <c r="AA106" s="10">
        <v>15958</v>
      </c>
      <c r="AB106" s="10">
        <v>17635</v>
      </c>
      <c r="AC106" s="10">
        <v>18854</v>
      </c>
      <c r="AD106" s="10">
        <v>20069</v>
      </c>
      <c r="AF106" s="796"/>
      <c r="AG106" s="10" t="s">
        <v>59</v>
      </c>
      <c r="AH106" s="180">
        <f t="shared" si="37"/>
        <v>14549</v>
      </c>
      <c r="AI106" s="180">
        <f>SUM(AI104:AI105)</f>
        <v>1409</v>
      </c>
      <c r="AJ106" s="180">
        <f>SUM(AJ104:AJ105)</f>
        <v>1677</v>
      </c>
      <c r="AK106" s="180">
        <f>SUM(AK104:AK105)</f>
        <v>1219</v>
      </c>
      <c r="AL106" s="180">
        <f>SUM(AL104:AL105)</f>
        <v>1215</v>
      </c>
    </row>
    <row r="107" spans="1:38" ht="27" customHeight="1">
      <c r="A107" s="15" t="s">
        <v>738</v>
      </c>
    </row>
    <row r="108" spans="1:38" ht="27" customHeight="1"/>
    <row r="109" spans="1:38" ht="27" customHeight="1"/>
    <row r="110" spans="1:38" ht="27" customHeight="1"/>
  </sheetData>
  <mergeCells count="116">
    <mergeCell ref="AF2:AG5"/>
    <mergeCell ref="AH2:AL2"/>
    <mergeCell ref="AF30:AF32"/>
    <mergeCell ref="AF33:AF35"/>
    <mergeCell ref="AF36:AF38"/>
    <mergeCell ref="AF39:AF41"/>
    <mergeCell ref="AF42:AF44"/>
    <mergeCell ref="AF45:AF47"/>
    <mergeCell ref="X51:X53"/>
    <mergeCell ref="AF6:AF8"/>
    <mergeCell ref="AF9:AF11"/>
    <mergeCell ref="AF12:AF14"/>
    <mergeCell ref="AF15:AF17"/>
    <mergeCell ref="AF18:AF20"/>
    <mergeCell ref="AF21:AF23"/>
    <mergeCell ref="AF24:AF26"/>
    <mergeCell ref="AF27:AF29"/>
    <mergeCell ref="AF48:AF50"/>
    <mergeCell ref="AF51:AF53"/>
    <mergeCell ref="X24:X26"/>
    <mergeCell ref="X27:X29"/>
    <mergeCell ref="X30:X32"/>
    <mergeCell ref="X33:X35"/>
    <mergeCell ref="X36:X38"/>
    <mergeCell ref="X39:X41"/>
    <mergeCell ref="X42:X44"/>
    <mergeCell ref="X45:X47"/>
    <mergeCell ref="X48:X50"/>
    <mergeCell ref="Z2:AD2"/>
    <mergeCell ref="X2:Y5"/>
    <mergeCell ref="X6:X8"/>
    <mergeCell ref="X9:X11"/>
    <mergeCell ref="U2:U5"/>
    <mergeCell ref="X12:X14"/>
    <mergeCell ref="X15:X17"/>
    <mergeCell ref="X18:X20"/>
    <mergeCell ref="X21:X23"/>
    <mergeCell ref="M2:P2"/>
    <mergeCell ref="Q2:T2"/>
    <mergeCell ref="A12:A14"/>
    <mergeCell ref="A15:A17"/>
    <mergeCell ref="A42:A44"/>
    <mergeCell ref="A45:A47"/>
    <mergeCell ref="A27:A29"/>
    <mergeCell ref="A30:A32"/>
    <mergeCell ref="A33:A35"/>
    <mergeCell ref="A36:A38"/>
    <mergeCell ref="C2:G2"/>
    <mergeCell ref="H2:L2"/>
    <mergeCell ref="A6:A8"/>
    <mergeCell ref="A9:A11"/>
    <mergeCell ref="A2:B5"/>
    <mergeCell ref="A18:A20"/>
    <mergeCell ref="A21:A23"/>
    <mergeCell ref="A39:A41"/>
    <mergeCell ref="A24:A26"/>
    <mergeCell ref="A48:A50"/>
    <mergeCell ref="A51:A53"/>
    <mergeCell ref="X55:Y58"/>
    <mergeCell ref="Z55:AD55"/>
    <mergeCell ref="AF55:AG58"/>
    <mergeCell ref="AH55:AL55"/>
    <mergeCell ref="A59:A61"/>
    <mergeCell ref="X59:X61"/>
    <mergeCell ref="AF59:AF61"/>
    <mergeCell ref="A55:B58"/>
    <mergeCell ref="C55:G55"/>
    <mergeCell ref="H55:L55"/>
    <mergeCell ref="M55:P55"/>
    <mergeCell ref="Q55:T55"/>
    <mergeCell ref="U55:U58"/>
    <mergeCell ref="A68:A70"/>
    <mergeCell ref="X68:X70"/>
    <mergeCell ref="AF68:AF70"/>
    <mergeCell ref="A71:A73"/>
    <mergeCell ref="X71:X73"/>
    <mergeCell ref="AF71:AF73"/>
    <mergeCell ref="A62:A64"/>
    <mergeCell ref="X62:X64"/>
    <mergeCell ref="AF62:AF64"/>
    <mergeCell ref="A65:A67"/>
    <mergeCell ref="X65:X67"/>
    <mergeCell ref="AF65:AF67"/>
    <mergeCell ref="A80:A82"/>
    <mergeCell ref="X80:X82"/>
    <mergeCell ref="AF80:AF82"/>
    <mergeCell ref="A83:A85"/>
    <mergeCell ref="X83:X85"/>
    <mergeCell ref="AF83:AF85"/>
    <mergeCell ref="A74:A76"/>
    <mergeCell ref="X74:X76"/>
    <mergeCell ref="AF74:AF76"/>
    <mergeCell ref="A77:A79"/>
    <mergeCell ref="X77:X79"/>
    <mergeCell ref="AF77:AF79"/>
    <mergeCell ref="A92:A94"/>
    <mergeCell ref="X92:X94"/>
    <mergeCell ref="AF92:AF94"/>
    <mergeCell ref="A95:A97"/>
    <mergeCell ref="X95:X97"/>
    <mergeCell ref="AF95:AF97"/>
    <mergeCell ref="A86:A88"/>
    <mergeCell ref="X86:X88"/>
    <mergeCell ref="AF86:AF88"/>
    <mergeCell ref="A89:A91"/>
    <mergeCell ref="X89:X91"/>
    <mergeCell ref="AF89:AF91"/>
    <mergeCell ref="A104:A106"/>
    <mergeCell ref="X104:X106"/>
    <mergeCell ref="AF104:AF106"/>
    <mergeCell ref="A98:A100"/>
    <mergeCell ref="X98:X100"/>
    <mergeCell ref="AF98:AF100"/>
    <mergeCell ref="A101:A103"/>
    <mergeCell ref="X101:X103"/>
    <mergeCell ref="AF101:AF103"/>
  </mergeCells>
  <phoneticPr fontId="3" type="noConversion"/>
  <printOptions horizontalCentered="1"/>
  <pageMargins left="0.51181102362204722" right="0.51181102362204722" top="0.59055118110236227" bottom="0.62992125984251968" header="0.51181102362204722" footer="0.51181102362204722"/>
  <pageSetup paperSize="8" scale="62" orientation="portrait" r:id="rId1"/>
  <headerFooter alignWithMargins="0"/>
  <rowBreaks count="1" manualBreakCount="1">
    <brk id="53" max="20" man="1"/>
  </rowBreaks>
</worksheet>
</file>

<file path=xl/worksheets/sheet33.xml><?xml version="1.0" encoding="utf-8"?>
<worksheet xmlns="http://schemas.openxmlformats.org/spreadsheetml/2006/main" xmlns:r="http://schemas.openxmlformats.org/officeDocument/2006/relationships">
  <sheetPr enableFormatConditionsCalculation="0">
    <tabColor indexed="10"/>
  </sheetPr>
  <dimension ref="A1:G79"/>
  <sheetViews>
    <sheetView workbookViewId="0"/>
  </sheetViews>
  <sheetFormatPr defaultRowHeight="11.25"/>
  <cols>
    <col min="1" max="1" width="2.33203125" style="1" customWidth="1"/>
    <col min="2" max="2" width="18.109375" style="1" customWidth="1"/>
    <col min="3" max="7" width="10.77734375" style="1" customWidth="1"/>
    <col min="8" max="16384" width="8.88671875" style="1"/>
  </cols>
  <sheetData>
    <row r="1" spans="1:7" ht="24.95" customHeight="1">
      <c r="A1" s="91" t="s">
        <v>556</v>
      </c>
    </row>
    <row r="2" spans="1:7" ht="30" customHeight="1">
      <c r="A2" s="821" t="s">
        <v>57</v>
      </c>
      <c r="B2" s="822"/>
      <c r="C2" s="817" t="s">
        <v>741</v>
      </c>
      <c r="D2" s="817" t="s">
        <v>247</v>
      </c>
      <c r="E2" s="825" t="s">
        <v>123</v>
      </c>
      <c r="F2" s="826"/>
      <c r="G2" s="817" t="s">
        <v>73</v>
      </c>
    </row>
    <row r="3" spans="1:7" ht="30" customHeight="1" thickBot="1">
      <c r="A3" s="823"/>
      <c r="B3" s="824"/>
      <c r="C3" s="818"/>
      <c r="D3" s="818"/>
      <c r="E3" s="26" t="s">
        <v>248</v>
      </c>
      <c r="F3" s="26" t="s">
        <v>249</v>
      </c>
      <c r="G3" s="818"/>
    </row>
    <row r="4" spans="1:7" ht="24.95" customHeight="1" thickTop="1">
      <c r="A4" s="819" t="s">
        <v>59</v>
      </c>
      <c r="B4" s="820"/>
      <c r="C4" s="27">
        <f>C5+C7+C15</f>
        <v>384.84349999999995</v>
      </c>
      <c r="D4" s="189" t="e">
        <f>D5+D7+D15</f>
        <v>#REF!</v>
      </c>
      <c r="E4" s="28" t="s">
        <v>63</v>
      </c>
      <c r="F4" s="190" t="e">
        <f>F5+F7+F15</f>
        <v>#REF!</v>
      </c>
      <c r="G4" s="28"/>
    </row>
    <row r="5" spans="1:7" ht="24.95" customHeight="1">
      <c r="A5" s="815" t="s">
        <v>739</v>
      </c>
      <c r="B5" s="816"/>
      <c r="C5" s="29">
        <f>C6</f>
        <v>104.1665</v>
      </c>
      <c r="D5" s="188">
        <f>D6</f>
        <v>584</v>
      </c>
      <c r="E5" s="23" t="s">
        <v>63</v>
      </c>
      <c r="F5" s="191" t="e">
        <f>SUM(F6:F6)</f>
        <v>#REF!</v>
      </c>
      <c r="G5" s="23"/>
    </row>
    <row r="6" spans="1:7" ht="24.95" customHeight="1">
      <c r="A6" s="145"/>
      <c r="B6" s="23" t="s">
        <v>740</v>
      </c>
      <c r="C6" s="29">
        <f>'[1]3.계획산단용수산정'!$C$5</f>
        <v>104.1665</v>
      </c>
      <c r="D6" s="188">
        <f>'[1]3.계획산단용수산정'!$D$5</f>
        <v>584</v>
      </c>
      <c r="E6" s="23" t="e">
        <f>'[1]3.계획산단용수산정'!$E$5</f>
        <v>#REF!</v>
      </c>
      <c r="F6" s="191" t="e">
        <f>ROUND(C6*E6,1)</f>
        <v>#REF!</v>
      </c>
      <c r="G6" s="23"/>
    </row>
    <row r="7" spans="1:7" ht="24.95" customHeight="1">
      <c r="A7" s="815" t="s">
        <v>749</v>
      </c>
      <c r="B7" s="816"/>
      <c r="C7" s="29">
        <f>SUM(C8:C14)</f>
        <v>186.255</v>
      </c>
      <c r="D7" s="187" t="e">
        <f>SUM(D8:D14)</f>
        <v>#REF!</v>
      </c>
      <c r="E7" s="23" t="s">
        <v>63</v>
      </c>
      <c r="F7" s="191" t="e">
        <f>SUM(F8:F14)</f>
        <v>#REF!</v>
      </c>
      <c r="G7" s="23"/>
    </row>
    <row r="8" spans="1:7" ht="24.95" customHeight="1">
      <c r="A8" s="789"/>
      <c r="B8" s="23" t="s">
        <v>740</v>
      </c>
      <c r="C8" s="29">
        <f>'[1]3.계획산단용수산정'!$C$7</f>
        <v>8.4077999999999999</v>
      </c>
      <c r="D8" s="187" t="e">
        <f>'[1]3.계획산단용수산정'!$D$7</f>
        <v>#REF!</v>
      </c>
      <c r="E8" s="23" t="e">
        <f>'[1]3.계획산단용수산정'!$E$7</f>
        <v>#REF!</v>
      </c>
      <c r="F8" s="191" t="e">
        <f t="shared" ref="F8:F14" si="0">ROUND(C8*E8,1)</f>
        <v>#REF!</v>
      </c>
      <c r="G8" s="23"/>
    </row>
    <row r="9" spans="1:7" ht="24.95" customHeight="1">
      <c r="A9" s="789"/>
      <c r="B9" s="23" t="s">
        <v>742</v>
      </c>
      <c r="C9" s="29">
        <f>'[1]3.계획산단용수산정'!$C$8</f>
        <v>12.994299999999999</v>
      </c>
      <c r="D9" s="187" t="e">
        <f>'[1]3.계획산단용수산정'!$D$8</f>
        <v>#REF!</v>
      </c>
      <c r="E9" s="23" t="e">
        <f>'[1]3.계획산단용수산정'!$E$8</f>
        <v>#REF!</v>
      </c>
      <c r="F9" s="191" t="e">
        <f t="shared" si="0"/>
        <v>#REF!</v>
      </c>
      <c r="G9" s="23"/>
    </row>
    <row r="10" spans="1:7" ht="24.95" customHeight="1">
      <c r="A10" s="789"/>
      <c r="B10" s="23" t="s">
        <v>743</v>
      </c>
      <c r="C10" s="29">
        <f>'[1]3.계획산단용수산정'!$C$9</f>
        <v>58.019400000000005</v>
      </c>
      <c r="D10" s="187" t="e">
        <f>'[1]3.계획산단용수산정'!$D$9</f>
        <v>#REF!</v>
      </c>
      <c r="E10" s="23" t="e">
        <f>'[1]3.계획산단용수산정'!$E$9</f>
        <v>#REF!</v>
      </c>
      <c r="F10" s="191" t="e">
        <f t="shared" si="0"/>
        <v>#REF!</v>
      </c>
      <c r="G10" s="23"/>
    </row>
    <row r="11" spans="1:7" ht="24.95" customHeight="1">
      <c r="A11" s="789"/>
      <c r="B11" s="23" t="s">
        <v>744</v>
      </c>
      <c r="C11" s="29">
        <f>'[1]3.계획산단용수산정'!$C$10</f>
        <v>43.162500000000001</v>
      </c>
      <c r="D11" s="187" t="e">
        <f>'[1]3.계획산단용수산정'!$D$10</f>
        <v>#REF!</v>
      </c>
      <c r="E11" s="23" t="e">
        <f>'[1]3.계획산단용수산정'!$E$10</f>
        <v>#REF!</v>
      </c>
      <c r="F11" s="191" t="e">
        <f t="shared" si="0"/>
        <v>#REF!</v>
      </c>
      <c r="G11" s="23"/>
    </row>
    <row r="12" spans="1:7" ht="24.95" customHeight="1">
      <c r="A12" s="789"/>
      <c r="B12" s="23" t="s">
        <v>745</v>
      </c>
      <c r="C12" s="29">
        <f>'[1]3.계획산단용수산정'!$C$11</f>
        <v>11.503500000000001</v>
      </c>
      <c r="D12" s="187" t="e">
        <f>'[1]3.계획산단용수산정'!$D$11</f>
        <v>#REF!</v>
      </c>
      <c r="E12" s="23" t="e">
        <f>'[1]3.계획산단용수산정'!$E$11</f>
        <v>#REF!</v>
      </c>
      <c r="F12" s="191" t="e">
        <f t="shared" si="0"/>
        <v>#REF!</v>
      </c>
      <c r="G12" s="23"/>
    </row>
    <row r="13" spans="1:7" ht="24.95" customHeight="1">
      <c r="A13" s="789"/>
      <c r="B13" s="23" t="s">
        <v>746</v>
      </c>
      <c r="C13" s="29">
        <f>'[1]3.계획산단용수산정'!$C$12</f>
        <v>21.238799999999998</v>
      </c>
      <c r="D13" s="187" t="e">
        <f>'[1]3.계획산단용수산정'!$D$12</f>
        <v>#REF!</v>
      </c>
      <c r="E13" s="23" t="e">
        <f>'[1]3.계획산단용수산정'!$E$12</f>
        <v>#REF!</v>
      </c>
      <c r="F13" s="191" t="e">
        <f t="shared" si="0"/>
        <v>#REF!</v>
      </c>
      <c r="G13" s="23"/>
    </row>
    <row r="14" spans="1:7" ht="24.95" customHeight="1">
      <c r="A14" s="790"/>
      <c r="B14" s="66" t="s">
        <v>747</v>
      </c>
      <c r="C14" s="29">
        <f>'[1]3.계획산단용수산정'!$C$13</f>
        <v>30.928699999999999</v>
      </c>
      <c r="D14" s="187" t="e">
        <f>'[1]3.계획산단용수산정'!$D$13</f>
        <v>#REF!</v>
      </c>
      <c r="E14" s="23" t="e">
        <f>'[1]3.계획산단용수산정'!$E$13</f>
        <v>#REF!</v>
      </c>
      <c r="F14" s="191" t="e">
        <f t="shared" si="0"/>
        <v>#REF!</v>
      </c>
      <c r="G14" s="23"/>
    </row>
    <row r="15" spans="1:7" ht="24.95" customHeight="1">
      <c r="A15" s="815" t="s">
        <v>748</v>
      </c>
      <c r="B15" s="816"/>
      <c r="C15" s="29">
        <f>C16</f>
        <v>94.421999999999997</v>
      </c>
      <c r="D15" s="188" t="e">
        <f>D16</f>
        <v>#REF!</v>
      </c>
      <c r="E15" s="23" t="s">
        <v>63</v>
      </c>
      <c r="F15" s="191" t="e">
        <f>SUM(F16:F16)</f>
        <v>#REF!</v>
      </c>
      <c r="G15" s="23"/>
    </row>
    <row r="16" spans="1:7" ht="24.95" customHeight="1">
      <c r="A16" s="145"/>
      <c r="B16" s="23" t="s">
        <v>750</v>
      </c>
      <c r="C16" s="29">
        <f>'[1]3.계획산단용수산정'!$C$15</f>
        <v>94.421999999999997</v>
      </c>
      <c r="D16" s="187" t="e">
        <f>'[1]3.계획산단용수산정'!$D$15</f>
        <v>#REF!</v>
      </c>
      <c r="E16" s="23" t="e">
        <f>'[1]3.계획산단용수산정'!$E$15</f>
        <v>#REF!</v>
      </c>
      <c r="F16" s="191" t="e">
        <f>ROUND(C16*E16,1)</f>
        <v>#REF!</v>
      </c>
      <c r="G16" s="23"/>
    </row>
    <row r="17" spans="2:7" ht="24.95" customHeight="1"/>
    <row r="18" spans="2:7" ht="24.95" customHeight="1">
      <c r="B18" s="16" t="s">
        <v>0</v>
      </c>
      <c r="C18" s="17" t="s">
        <v>119</v>
      </c>
      <c r="D18" s="17" t="s">
        <v>120</v>
      </c>
      <c r="E18" s="17" t="s">
        <v>121</v>
      </c>
      <c r="F18" s="17" t="s">
        <v>122</v>
      </c>
      <c r="G18" s="2" t="s">
        <v>74</v>
      </c>
    </row>
    <row r="19" spans="2:7" ht="24.95" customHeight="1">
      <c r="B19" s="2" t="s">
        <v>125</v>
      </c>
      <c r="C19" s="192" t="e">
        <f>F4</f>
        <v>#REF!</v>
      </c>
      <c r="D19" s="192" t="e">
        <f>C19</f>
        <v>#REF!</v>
      </c>
      <c r="E19" s="192" t="e">
        <f>D19</f>
        <v>#REF!</v>
      </c>
      <c r="F19" s="192" t="e">
        <f>E19</f>
        <v>#REF!</v>
      </c>
      <c r="G19" s="2"/>
    </row>
    <row r="20" spans="2:7" ht="24.95" customHeight="1"/>
    <row r="21" spans="2:7" ht="24.95" customHeight="1"/>
    <row r="22" spans="2:7" ht="24.95" customHeight="1"/>
    <row r="23" spans="2:7" ht="24.95" customHeight="1"/>
    <row r="24" spans="2:7" ht="24.95" customHeight="1"/>
    <row r="25" spans="2:7" ht="24.95" customHeight="1"/>
    <row r="26" spans="2:7" ht="24.95" customHeight="1"/>
    <row r="27" spans="2:7" ht="24.95" customHeight="1"/>
    <row r="28" spans="2:7" ht="24.95" customHeight="1"/>
    <row r="29" spans="2:7" ht="24.95" customHeight="1"/>
    <row r="30" spans="2:7" ht="24.95" customHeight="1"/>
    <row r="31" spans="2:7" ht="24.95" customHeight="1"/>
    <row r="32" spans="2:7" ht="24.95" customHeight="1"/>
    <row r="33" ht="24.95" customHeight="1"/>
    <row r="34" ht="24.95" customHeight="1"/>
    <row r="35" ht="24.95" customHeight="1"/>
    <row r="36" ht="24.95" customHeight="1"/>
    <row r="37" ht="24.95" customHeight="1"/>
    <row r="38" ht="24.95" customHeight="1"/>
    <row r="39" ht="24.95" customHeight="1"/>
    <row r="40" ht="24.95" customHeight="1"/>
    <row r="41" ht="24.95" customHeight="1"/>
    <row r="42" ht="24.95" customHeight="1"/>
    <row r="43" ht="24.95" customHeight="1"/>
    <row r="44" ht="24.95" customHeight="1"/>
    <row r="45" ht="24.95" customHeight="1"/>
    <row r="46" ht="24.95" customHeight="1"/>
    <row r="47" ht="24.95" customHeight="1"/>
    <row r="48" ht="24.95" customHeight="1"/>
    <row r="49" ht="24.95" customHeight="1"/>
    <row r="50" ht="24.95" customHeight="1"/>
    <row r="51" ht="24.95" customHeight="1"/>
    <row r="52" ht="24.95" customHeight="1"/>
    <row r="53" ht="24.95" customHeight="1"/>
    <row r="54" ht="24.95" customHeight="1"/>
    <row r="55" ht="24.95" customHeight="1"/>
    <row r="56" ht="24.95" customHeight="1"/>
    <row r="57" ht="24.95" customHeight="1"/>
    <row r="58" ht="24.95" customHeight="1"/>
    <row r="59" ht="24.95" customHeight="1"/>
    <row r="60" ht="24.95" customHeight="1"/>
    <row r="61" ht="24.95" customHeight="1"/>
    <row r="62" ht="24.95" customHeight="1"/>
    <row r="63" ht="24.95" customHeight="1"/>
    <row r="64" ht="24.95" customHeight="1"/>
    <row r="65" ht="24.95" customHeight="1"/>
    <row r="66" ht="24.95" customHeight="1"/>
    <row r="67" ht="24.95" customHeight="1"/>
    <row r="68" ht="24.95" customHeight="1"/>
    <row r="69" ht="24.95" customHeight="1"/>
    <row r="70" ht="24.95" customHeight="1"/>
    <row r="71" ht="24.95" customHeight="1"/>
    <row r="72" ht="24.95" customHeight="1"/>
    <row r="73" ht="24.95" customHeight="1"/>
    <row r="74" ht="24.95" customHeight="1"/>
    <row r="75" ht="24.95" customHeight="1"/>
    <row r="76" ht="24.95" customHeight="1"/>
    <row r="77" ht="24.95" customHeight="1"/>
    <row r="78" ht="24.95" customHeight="1"/>
    <row r="79" ht="24.95" customHeight="1"/>
  </sheetData>
  <mergeCells count="10">
    <mergeCell ref="A7:B7"/>
    <mergeCell ref="A8:A14"/>
    <mergeCell ref="A15:B15"/>
    <mergeCell ref="G2:G3"/>
    <mergeCell ref="A4:B4"/>
    <mergeCell ref="C2:C3"/>
    <mergeCell ref="D2:D3"/>
    <mergeCell ref="A5:B5"/>
    <mergeCell ref="A2:B3"/>
    <mergeCell ref="E2:F2"/>
  </mergeCells>
  <phoneticPr fontId="3" type="noConversion"/>
  <printOptions horizontalCentered="1"/>
  <pageMargins left="0.6692913385826772" right="0.6692913385826772" top="0.6692913385826772" bottom="0.98425196850393704" header="0.51181102362204722" footer="0.51181102362204722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sheetPr enableFormatConditionsCalculation="0">
    <tabColor indexed="10"/>
  </sheetPr>
  <dimension ref="A1:U221"/>
  <sheetViews>
    <sheetView workbookViewId="0"/>
  </sheetViews>
  <sheetFormatPr defaultRowHeight="11.25"/>
  <cols>
    <col min="1" max="21" width="11.21875" style="1" customWidth="1"/>
    <col min="22" max="16384" width="8.88671875" style="1"/>
  </cols>
  <sheetData>
    <row r="1" spans="1:21" ht="24.95" customHeight="1">
      <c r="A1" s="92" t="s">
        <v>263</v>
      </c>
      <c r="H1" s="92" t="s">
        <v>264</v>
      </c>
      <c r="O1" s="92" t="s">
        <v>265</v>
      </c>
    </row>
    <row r="2" spans="1:21" ht="27" customHeight="1">
      <c r="A2" s="829" t="s">
        <v>57</v>
      </c>
      <c r="B2" s="829"/>
      <c r="C2" s="24" t="s">
        <v>119</v>
      </c>
      <c r="D2" s="24" t="s">
        <v>120</v>
      </c>
      <c r="E2" s="24" t="s">
        <v>121</v>
      </c>
      <c r="F2" s="24" t="s">
        <v>122</v>
      </c>
      <c r="G2" s="24" t="s">
        <v>127</v>
      </c>
      <c r="H2" s="829" t="s">
        <v>57</v>
      </c>
      <c r="I2" s="829"/>
      <c r="J2" s="24" t="s">
        <v>119</v>
      </c>
      <c r="K2" s="24" t="s">
        <v>120</v>
      </c>
      <c r="L2" s="24" t="s">
        <v>121</v>
      </c>
      <c r="M2" s="24" t="s">
        <v>122</v>
      </c>
      <c r="N2" s="24" t="s">
        <v>127</v>
      </c>
      <c r="O2" s="829" t="s">
        <v>57</v>
      </c>
      <c r="P2" s="829"/>
      <c r="Q2" s="24" t="s">
        <v>119</v>
      </c>
      <c r="R2" s="24" t="s">
        <v>120</v>
      </c>
      <c r="S2" s="24" t="s">
        <v>121</v>
      </c>
      <c r="T2" s="24" t="s">
        <v>122</v>
      </c>
      <c r="U2" s="24" t="s">
        <v>127</v>
      </c>
    </row>
    <row r="3" spans="1:21" ht="27" customHeight="1">
      <c r="A3" s="787" t="s">
        <v>59</v>
      </c>
      <c r="B3" s="23" t="s">
        <v>129</v>
      </c>
      <c r="C3" s="35"/>
      <c r="D3" s="35">
        <f>D6+D9+D12+D15+D18+D21+D24+D27+D30+D33+D36+D39+D42+D45+D48</f>
        <v>580</v>
      </c>
      <c r="E3" s="35">
        <f t="shared" ref="E3:F5" si="0">E6+E9+E12+E15+E18+E21+E24+E27+E30+E33+E36+E39+E42+E45+E48</f>
        <v>592</v>
      </c>
      <c r="F3" s="35">
        <f t="shared" si="0"/>
        <v>600</v>
      </c>
      <c r="G3" s="23"/>
      <c r="H3" s="787" t="s">
        <v>59</v>
      </c>
      <c r="I3" s="23" t="s">
        <v>137</v>
      </c>
      <c r="J3" s="35"/>
      <c r="K3" s="35">
        <f>K6+K9+K12+K15+K18+K21+K24+K27+K30+K33+K36+K39+K42+K45+K48</f>
        <v>469</v>
      </c>
      <c r="L3" s="35">
        <f>L6+L9+L12+L15+L18+L21+L24+L27+L30+L33+L36+L39+L42+L45+L48</f>
        <v>479</v>
      </c>
      <c r="M3" s="35">
        <f>M6+M9+M12+M15+M18+M21+M24+M27+M30+M33+M36+M39+M42+M45+M48</f>
        <v>486</v>
      </c>
      <c r="N3" s="23"/>
      <c r="O3" s="787" t="s">
        <v>59</v>
      </c>
      <c r="P3" s="23" t="s">
        <v>136</v>
      </c>
      <c r="Q3" s="29">
        <f>Q6+Q9+Q12+Q15+Q18+Q21+Q24</f>
        <v>0</v>
      </c>
      <c r="R3" s="35">
        <f t="shared" ref="R3:T4" si="1">R6+R9+R12+R15+R18+R21+R24+R27+R30+R33+R36+R39+R42+R45+R48</f>
        <v>120</v>
      </c>
      <c r="S3" s="35">
        <f t="shared" si="1"/>
        <v>131</v>
      </c>
      <c r="T3" s="35">
        <f t="shared" si="1"/>
        <v>138</v>
      </c>
      <c r="U3" s="23"/>
    </row>
    <row r="4" spans="1:21" ht="27" customHeight="1">
      <c r="A4" s="787"/>
      <c r="B4" s="23" t="s">
        <v>70</v>
      </c>
      <c r="C4" s="35"/>
      <c r="D4" s="35"/>
      <c r="E4" s="35"/>
      <c r="F4" s="35"/>
      <c r="G4" s="23"/>
      <c r="H4" s="787"/>
      <c r="I4" s="23" t="s">
        <v>70</v>
      </c>
      <c r="J4" s="35"/>
      <c r="K4" s="35"/>
      <c r="L4" s="35"/>
      <c r="M4" s="35"/>
      <c r="N4" s="23"/>
      <c r="O4" s="787"/>
      <c r="P4" s="23" t="s">
        <v>137</v>
      </c>
      <c r="Q4" s="29">
        <f>Q7+Q10+Q13+Q16+Q19+Q22+Q25</f>
        <v>0</v>
      </c>
      <c r="R4" s="35">
        <f t="shared" si="1"/>
        <v>29</v>
      </c>
      <c r="S4" s="35">
        <f t="shared" si="1"/>
        <v>30</v>
      </c>
      <c r="T4" s="35">
        <f t="shared" si="1"/>
        <v>32</v>
      </c>
      <c r="U4" s="23"/>
    </row>
    <row r="5" spans="1:21" ht="27" customHeight="1">
      <c r="A5" s="787"/>
      <c r="B5" s="23" t="s">
        <v>124</v>
      </c>
      <c r="C5" s="35"/>
      <c r="D5" s="35">
        <f>D8+D11+D14+D17+D20+D23+D26+D29+D32+D35+D38+D41+D44+D47+D50</f>
        <v>120</v>
      </c>
      <c r="E5" s="35">
        <f t="shared" si="0"/>
        <v>131</v>
      </c>
      <c r="F5" s="35">
        <f t="shared" si="0"/>
        <v>138</v>
      </c>
      <c r="G5" s="23"/>
      <c r="H5" s="787"/>
      <c r="I5" s="23" t="s">
        <v>124</v>
      </c>
      <c r="J5" s="35"/>
      <c r="K5" s="35">
        <f>K8+K11+K14+K17+K20+K23+K26+K29+K32+K35+K38+K41+K44+K47+K50</f>
        <v>29</v>
      </c>
      <c r="L5" s="35">
        <f>L8+L11+L14+L17+L20+L23+L26+L29+L32+L35+L38+L41+L44+L47+L50</f>
        <v>30</v>
      </c>
      <c r="M5" s="35">
        <f>M8+M11+M14+M17+M20+M23+M26+M29+M32+M35+M38+M41+M44+M47+M50</f>
        <v>32</v>
      </c>
      <c r="N5" s="23"/>
      <c r="O5" s="787"/>
      <c r="P5" s="23" t="s">
        <v>15</v>
      </c>
      <c r="Q5" s="35">
        <f>SUM(Q3:Q4)</f>
        <v>0</v>
      </c>
      <c r="R5" s="35">
        <f>SUM(R3:R4)</f>
        <v>149</v>
      </c>
      <c r="S5" s="35">
        <f>SUM(S3:S4)</f>
        <v>161</v>
      </c>
      <c r="T5" s="35">
        <f>SUM(T3:T4)</f>
        <v>170</v>
      </c>
      <c r="U5" s="23"/>
    </row>
    <row r="6" spans="1:21" ht="27" customHeight="1">
      <c r="A6" s="787" t="s">
        <v>699</v>
      </c>
      <c r="B6" s="23" t="s">
        <v>129</v>
      </c>
      <c r="C6" s="35"/>
      <c r="D6" s="35">
        <f>E55</f>
        <v>125</v>
      </c>
      <c r="E6" s="35">
        <f>F55</f>
        <v>127</v>
      </c>
      <c r="F6" s="35">
        <f>G55</f>
        <v>129</v>
      </c>
      <c r="G6" s="23"/>
      <c r="H6" s="787" t="s">
        <v>699</v>
      </c>
      <c r="I6" s="23" t="s">
        <v>137</v>
      </c>
      <c r="J6" s="29"/>
      <c r="K6" s="29">
        <f>E56</f>
        <v>98</v>
      </c>
      <c r="L6" s="29">
        <f>F56</f>
        <v>100</v>
      </c>
      <c r="M6" s="29">
        <f>G56</f>
        <v>102</v>
      </c>
      <c r="N6" s="23"/>
      <c r="O6" s="787" t="s">
        <v>699</v>
      </c>
      <c r="P6" s="23" t="s">
        <v>136</v>
      </c>
      <c r="Q6" s="29"/>
      <c r="R6" s="29">
        <f>D8</f>
        <v>28</v>
      </c>
      <c r="S6" s="29">
        <f>E8</f>
        <v>32</v>
      </c>
      <c r="T6" s="29">
        <f>F8</f>
        <v>35</v>
      </c>
      <c r="U6" s="23"/>
    </row>
    <row r="7" spans="1:21" ht="27" customHeight="1">
      <c r="A7" s="787"/>
      <c r="B7" s="23" t="s">
        <v>70</v>
      </c>
      <c r="C7" s="35"/>
      <c r="D7" s="35">
        <v>226.63</v>
      </c>
      <c r="E7" s="35">
        <v>249.22750000000002</v>
      </c>
      <c r="F7" s="35">
        <v>268.8775</v>
      </c>
      <c r="G7" s="23"/>
      <c r="H7" s="787"/>
      <c r="I7" s="23" t="s">
        <v>70</v>
      </c>
      <c r="J7" s="35"/>
      <c r="K7" s="35">
        <v>67.98899999999999</v>
      </c>
      <c r="L7" s="35">
        <v>74.768250000000009</v>
      </c>
      <c r="M7" s="35">
        <v>80.663249999999991</v>
      </c>
      <c r="N7" s="23"/>
      <c r="O7" s="787"/>
      <c r="P7" s="23" t="s">
        <v>137</v>
      </c>
      <c r="Q7" s="35"/>
      <c r="R7" s="35">
        <f>K8</f>
        <v>7</v>
      </c>
      <c r="S7" s="35">
        <f>L8</f>
        <v>7</v>
      </c>
      <c r="T7" s="35">
        <f>M8</f>
        <v>8</v>
      </c>
      <c r="U7" s="23"/>
    </row>
    <row r="8" spans="1:21" ht="27" customHeight="1">
      <c r="A8" s="787"/>
      <c r="B8" s="23" t="s">
        <v>124</v>
      </c>
      <c r="C8" s="35"/>
      <c r="D8" s="35">
        <f>ROUND(D6*D7/1000,0)</f>
        <v>28</v>
      </c>
      <c r="E8" s="35">
        <f>ROUND(E6*E7/1000,0)</f>
        <v>32</v>
      </c>
      <c r="F8" s="35">
        <f>ROUND(F6*F7/1000,0)</f>
        <v>35</v>
      </c>
      <c r="G8" s="23"/>
      <c r="H8" s="787"/>
      <c r="I8" s="23" t="s">
        <v>124</v>
      </c>
      <c r="J8" s="35"/>
      <c r="K8" s="35">
        <f>ROUND(K6*K7/1000,0)</f>
        <v>7</v>
      </c>
      <c r="L8" s="35">
        <f>ROUND(L6*L7/1000,0)</f>
        <v>7</v>
      </c>
      <c r="M8" s="35">
        <f>ROUND(M6*M7/1000,0)</f>
        <v>8</v>
      </c>
      <c r="N8" s="23"/>
      <c r="O8" s="787"/>
      <c r="P8" s="23" t="s">
        <v>15</v>
      </c>
      <c r="Q8" s="35"/>
      <c r="R8" s="35">
        <f>SUM(R6:R7)</f>
        <v>35</v>
      </c>
      <c r="S8" s="35">
        <f>SUM(S6:S7)</f>
        <v>39</v>
      </c>
      <c r="T8" s="35">
        <f>SUM(T6:T7)</f>
        <v>43</v>
      </c>
      <c r="U8" s="23"/>
    </row>
    <row r="9" spans="1:21" ht="27" customHeight="1">
      <c r="A9" s="787" t="s">
        <v>700</v>
      </c>
      <c r="B9" s="23" t="s">
        <v>129</v>
      </c>
      <c r="C9" s="35"/>
      <c r="D9" s="35">
        <f>E57</f>
        <v>101</v>
      </c>
      <c r="E9" s="35">
        <f>F57</f>
        <v>103</v>
      </c>
      <c r="F9" s="35">
        <f>G57</f>
        <v>105</v>
      </c>
      <c r="G9" s="23"/>
      <c r="H9" s="787" t="s">
        <v>700</v>
      </c>
      <c r="I9" s="23" t="s">
        <v>137</v>
      </c>
      <c r="J9" s="29"/>
      <c r="K9" s="29">
        <f>E58</f>
        <v>82</v>
      </c>
      <c r="L9" s="29">
        <f>F58</f>
        <v>84</v>
      </c>
      <c r="M9" s="29">
        <f>G58</f>
        <v>85</v>
      </c>
      <c r="N9" s="23"/>
      <c r="O9" s="787" t="s">
        <v>700</v>
      </c>
      <c r="P9" s="23" t="s">
        <v>136</v>
      </c>
      <c r="Q9" s="29"/>
      <c r="R9" s="29">
        <f>D11</f>
        <v>23</v>
      </c>
      <c r="S9" s="29">
        <f>E11</f>
        <v>26</v>
      </c>
      <c r="T9" s="29">
        <f>F11</f>
        <v>28</v>
      </c>
      <c r="U9" s="23"/>
    </row>
    <row r="10" spans="1:21" ht="27" customHeight="1">
      <c r="A10" s="787"/>
      <c r="B10" s="23" t="s">
        <v>70</v>
      </c>
      <c r="C10" s="35"/>
      <c r="D10" s="35">
        <v>226.63</v>
      </c>
      <c r="E10" s="35">
        <v>249.22750000000002</v>
      </c>
      <c r="F10" s="35">
        <v>268.8775</v>
      </c>
      <c r="G10" s="23"/>
      <c r="H10" s="787"/>
      <c r="I10" s="23" t="s">
        <v>70</v>
      </c>
      <c r="J10" s="35"/>
      <c r="K10" s="35">
        <v>67.98899999999999</v>
      </c>
      <c r="L10" s="35">
        <v>74.768250000000009</v>
      </c>
      <c r="M10" s="35">
        <v>80.663249999999991</v>
      </c>
      <c r="N10" s="23"/>
      <c r="O10" s="787"/>
      <c r="P10" s="23" t="s">
        <v>137</v>
      </c>
      <c r="Q10" s="35"/>
      <c r="R10" s="35">
        <f>K11</f>
        <v>6</v>
      </c>
      <c r="S10" s="35">
        <f>L11</f>
        <v>6</v>
      </c>
      <c r="T10" s="35">
        <f>M11</f>
        <v>7</v>
      </c>
      <c r="U10" s="23"/>
    </row>
    <row r="11" spans="1:21" ht="27" customHeight="1">
      <c r="A11" s="787"/>
      <c r="B11" s="23" t="s">
        <v>124</v>
      </c>
      <c r="C11" s="35"/>
      <c r="D11" s="35">
        <f>ROUND(D9*D10/1000,0)</f>
        <v>23</v>
      </c>
      <c r="E11" s="35">
        <f>ROUND(E9*E10/1000,0)</f>
        <v>26</v>
      </c>
      <c r="F11" s="35">
        <f>ROUND(F9*F10/1000,0)</f>
        <v>28</v>
      </c>
      <c r="G11" s="23"/>
      <c r="H11" s="787"/>
      <c r="I11" s="23" t="s">
        <v>124</v>
      </c>
      <c r="J11" s="35"/>
      <c r="K11" s="35">
        <f>ROUND(K9*K10/1000,0)</f>
        <v>6</v>
      </c>
      <c r="L11" s="35">
        <f>ROUND(L9*L10/1000,0)</f>
        <v>6</v>
      </c>
      <c r="M11" s="35">
        <f>ROUND(M9*M10/1000,0)</f>
        <v>7</v>
      </c>
      <c r="N11" s="23"/>
      <c r="O11" s="787"/>
      <c r="P11" s="23" t="s">
        <v>15</v>
      </c>
      <c r="Q11" s="35"/>
      <c r="R11" s="35">
        <f>SUM(R9:R10)</f>
        <v>29</v>
      </c>
      <c r="S11" s="35">
        <f>SUM(S9:S10)</f>
        <v>32</v>
      </c>
      <c r="T11" s="35">
        <f>SUM(T9:T10)</f>
        <v>35</v>
      </c>
      <c r="U11" s="23"/>
    </row>
    <row r="12" spans="1:21" ht="27" customHeight="1">
      <c r="A12" s="787" t="s">
        <v>701</v>
      </c>
      <c r="B12" s="23" t="s">
        <v>129</v>
      </c>
      <c r="C12" s="35"/>
      <c r="D12" s="35">
        <f>E59</f>
        <v>8</v>
      </c>
      <c r="E12" s="35">
        <f>F59</f>
        <v>8</v>
      </c>
      <c r="F12" s="35">
        <f>G59</f>
        <v>8</v>
      </c>
      <c r="G12" s="23"/>
      <c r="H12" s="787" t="s">
        <v>701</v>
      </c>
      <c r="I12" s="23" t="s">
        <v>137</v>
      </c>
      <c r="J12" s="29"/>
      <c r="K12" s="29">
        <f>E60</f>
        <v>7</v>
      </c>
      <c r="L12" s="29">
        <f>F60</f>
        <v>7</v>
      </c>
      <c r="M12" s="29">
        <f>G60</f>
        <v>7</v>
      </c>
      <c r="N12" s="23"/>
      <c r="O12" s="787" t="s">
        <v>701</v>
      </c>
      <c r="P12" s="23" t="s">
        <v>136</v>
      </c>
      <c r="Q12" s="29"/>
      <c r="R12" s="29">
        <f>D14</f>
        <v>1</v>
      </c>
      <c r="S12" s="29">
        <f>E14</f>
        <v>1</v>
      </c>
      <c r="T12" s="29">
        <f>F14</f>
        <v>2</v>
      </c>
      <c r="U12" s="23"/>
    </row>
    <row r="13" spans="1:21" ht="27" customHeight="1">
      <c r="A13" s="787"/>
      <c r="B13" s="23" t="s">
        <v>70</v>
      </c>
      <c r="C13" s="35"/>
      <c r="D13" s="35">
        <v>173.41125</v>
      </c>
      <c r="E13" s="35">
        <v>182.09</v>
      </c>
      <c r="F13" s="35">
        <v>188.80375000000001</v>
      </c>
      <c r="G13" s="23"/>
      <c r="H13" s="787"/>
      <c r="I13" s="23" t="s">
        <v>70</v>
      </c>
      <c r="J13" s="35"/>
      <c r="K13" s="35">
        <v>52.023374999999994</v>
      </c>
      <c r="L13" s="35">
        <v>54.627000000000002</v>
      </c>
      <c r="M13" s="35">
        <v>56.641125000000002</v>
      </c>
      <c r="N13" s="23"/>
      <c r="O13" s="787"/>
      <c r="P13" s="23" t="s">
        <v>137</v>
      </c>
      <c r="Q13" s="35"/>
      <c r="R13" s="35">
        <f>K14</f>
        <v>0</v>
      </c>
      <c r="S13" s="35">
        <f>L14</f>
        <v>0</v>
      </c>
      <c r="T13" s="35">
        <f>M14</f>
        <v>0</v>
      </c>
      <c r="U13" s="23"/>
    </row>
    <row r="14" spans="1:21" ht="27" customHeight="1">
      <c r="A14" s="787"/>
      <c r="B14" s="23" t="s">
        <v>124</v>
      </c>
      <c r="C14" s="35"/>
      <c r="D14" s="35">
        <f>ROUND(D12*D13/1000,0)</f>
        <v>1</v>
      </c>
      <c r="E14" s="35">
        <f>ROUND(E12*E13/1000,0)</f>
        <v>1</v>
      </c>
      <c r="F14" s="35">
        <f>ROUND(F12*F13/1000,0)</f>
        <v>2</v>
      </c>
      <c r="G14" s="23"/>
      <c r="H14" s="787"/>
      <c r="I14" s="23" t="s">
        <v>124</v>
      </c>
      <c r="J14" s="35"/>
      <c r="K14" s="35">
        <f>ROUND(K12*K13/1000,0)</f>
        <v>0</v>
      </c>
      <c r="L14" s="35">
        <f>ROUND(L12*L13/1000,0)</f>
        <v>0</v>
      </c>
      <c r="M14" s="35">
        <f>ROUND(M12*M13/1000,0)</f>
        <v>0</v>
      </c>
      <c r="N14" s="23"/>
      <c r="O14" s="787"/>
      <c r="P14" s="23" t="s">
        <v>15</v>
      </c>
      <c r="Q14" s="35"/>
      <c r="R14" s="35">
        <f>SUM(R12:R13)</f>
        <v>1</v>
      </c>
      <c r="S14" s="35">
        <f>SUM(S12:S13)</f>
        <v>1</v>
      </c>
      <c r="T14" s="35">
        <f>SUM(T12:T13)</f>
        <v>2</v>
      </c>
      <c r="U14" s="23"/>
    </row>
    <row r="15" spans="1:21" ht="27" customHeight="1">
      <c r="A15" s="788" t="s">
        <v>702</v>
      </c>
      <c r="B15" s="23" t="s">
        <v>129</v>
      </c>
      <c r="C15" s="35"/>
      <c r="D15" s="35">
        <f>E61</f>
        <v>4</v>
      </c>
      <c r="E15" s="35">
        <f>F61</f>
        <v>4</v>
      </c>
      <c r="F15" s="35">
        <f>G61</f>
        <v>4</v>
      </c>
      <c r="G15" s="23"/>
      <c r="H15" s="788" t="s">
        <v>702</v>
      </c>
      <c r="I15" s="23" t="s">
        <v>137</v>
      </c>
      <c r="J15" s="29"/>
      <c r="K15" s="29">
        <f>E62</f>
        <v>3</v>
      </c>
      <c r="L15" s="29">
        <f>F62</f>
        <v>3</v>
      </c>
      <c r="M15" s="29">
        <f>G62</f>
        <v>3</v>
      </c>
      <c r="N15" s="23"/>
      <c r="O15" s="788" t="s">
        <v>702</v>
      </c>
      <c r="P15" s="23" t="s">
        <v>136</v>
      </c>
      <c r="Q15" s="29"/>
      <c r="R15" s="29">
        <f>D17</f>
        <v>1</v>
      </c>
      <c r="S15" s="29">
        <f>E17</f>
        <v>1</v>
      </c>
      <c r="T15" s="29">
        <f>F17</f>
        <v>1</v>
      </c>
      <c r="U15" s="23"/>
    </row>
    <row r="16" spans="1:21" ht="27" customHeight="1">
      <c r="A16" s="789"/>
      <c r="B16" s="23" t="s">
        <v>70</v>
      </c>
      <c r="C16" s="35"/>
      <c r="D16" s="35">
        <v>173.41125</v>
      </c>
      <c r="E16" s="35">
        <v>182.09</v>
      </c>
      <c r="F16" s="35">
        <v>188.80375000000001</v>
      </c>
      <c r="G16" s="23"/>
      <c r="H16" s="789"/>
      <c r="I16" s="23" t="s">
        <v>70</v>
      </c>
      <c r="J16" s="35"/>
      <c r="K16" s="35">
        <v>52.023374999999994</v>
      </c>
      <c r="L16" s="35">
        <v>54.627000000000002</v>
      </c>
      <c r="M16" s="35">
        <v>56.641125000000002</v>
      </c>
      <c r="N16" s="23"/>
      <c r="O16" s="789"/>
      <c r="P16" s="23" t="s">
        <v>137</v>
      </c>
      <c r="Q16" s="35"/>
      <c r="R16" s="35">
        <f>K17</f>
        <v>0</v>
      </c>
      <c r="S16" s="35">
        <f>L17</f>
        <v>0</v>
      </c>
      <c r="T16" s="35">
        <f>M17</f>
        <v>0</v>
      </c>
      <c r="U16" s="23"/>
    </row>
    <row r="17" spans="1:21" ht="27" customHeight="1">
      <c r="A17" s="790"/>
      <c r="B17" s="23" t="s">
        <v>124</v>
      </c>
      <c r="C17" s="35"/>
      <c r="D17" s="35">
        <f>ROUND(D15*D16/1000,0)</f>
        <v>1</v>
      </c>
      <c r="E17" s="35">
        <f>ROUND(E15*E16/1000,0)</f>
        <v>1</v>
      </c>
      <c r="F17" s="35">
        <f>ROUND(F15*F16/1000,0)</f>
        <v>1</v>
      </c>
      <c r="G17" s="23"/>
      <c r="H17" s="790"/>
      <c r="I17" s="23" t="s">
        <v>124</v>
      </c>
      <c r="J17" s="35"/>
      <c r="K17" s="35">
        <f>ROUND(K15*K16/1000,0)</f>
        <v>0</v>
      </c>
      <c r="L17" s="35">
        <f>ROUND(L15*L16/1000,0)</f>
        <v>0</v>
      </c>
      <c r="M17" s="35">
        <f>ROUND(M15*M16/1000,0)</f>
        <v>0</v>
      </c>
      <c r="N17" s="23"/>
      <c r="O17" s="790"/>
      <c r="P17" s="23" t="s">
        <v>15</v>
      </c>
      <c r="Q17" s="35"/>
      <c r="R17" s="35">
        <f>SUM(R15:R16)</f>
        <v>1</v>
      </c>
      <c r="S17" s="35">
        <f>SUM(S15:S16)</f>
        <v>1</v>
      </c>
      <c r="T17" s="35">
        <f>SUM(T15:T16)</f>
        <v>1</v>
      </c>
      <c r="U17" s="23"/>
    </row>
    <row r="18" spans="1:21" ht="27" customHeight="1">
      <c r="A18" s="787" t="s">
        <v>703</v>
      </c>
      <c r="B18" s="23" t="s">
        <v>129</v>
      </c>
      <c r="C18" s="35"/>
      <c r="D18" s="35">
        <f>E63</f>
        <v>0</v>
      </c>
      <c r="E18" s="35">
        <f>F63</f>
        <v>0</v>
      </c>
      <c r="F18" s="35">
        <f>G63</f>
        <v>0</v>
      </c>
      <c r="G18" s="23"/>
      <c r="H18" s="787" t="s">
        <v>703</v>
      </c>
      <c r="I18" s="23" t="s">
        <v>137</v>
      </c>
      <c r="J18" s="29"/>
      <c r="K18" s="29">
        <f>E64</f>
        <v>0</v>
      </c>
      <c r="L18" s="29">
        <f>F64</f>
        <v>0</v>
      </c>
      <c r="M18" s="29">
        <f>G64</f>
        <v>0</v>
      </c>
      <c r="N18" s="23"/>
      <c r="O18" s="787" t="s">
        <v>703</v>
      </c>
      <c r="P18" s="23" t="s">
        <v>136</v>
      </c>
      <c r="Q18" s="29"/>
      <c r="R18" s="29">
        <f>D20</f>
        <v>0</v>
      </c>
      <c r="S18" s="29">
        <f>E20</f>
        <v>0</v>
      </c>
      <c r="T18" s="29">
        <f>F20</f>
        <v>0</v>
      </c>
      <c r="U18" s="23"/>
    </row>
    <row r="19" spans="1:21" ht="27" customHeight="1">
      <c r="A19" s="787"/>
      <c r="B19" s="23" t="s">
        <v>70</v>
      </c>
      <c r="C19" s="35"/>
      <c r="D19" s="35">
        <v>173.41125</v>
      </c>
      <c r="E19" s="35">
        <v>182.09</v>
      </c>
      <c r="F19" s="35">
        <v>188.80375000000001</v>
      </c>
      <c r="G19" s="23"/>
      <c r="H19" s="787"/>
      <c r="I19" s="23" t="s">
        <v>70</v>
      </c>
      <c r="J19" s="35"/>
      <c r="K19" s="35">
        <v>52.023374999999994</v>
      </c>
      <c r="L19" s="35">
        <v>54.627000000000002</v>
      </c>
      <c r="M19" s="35">
        <v>56.641125000000002</v>
      </c>
      <c r="N19" s="23"/>
      <c r="O19" s="787"/>
      <c r="P19" s="23" t="s">
        <v>137</v>
      </c>
      <c r="Q19" s="35"/>
      <c r="R19" s="35">
        <f>K20</f>
        <v>0</v>
      </c>
      <c r="S19" s="35">
        <f>L20</f>
        <v>0</v>
      </c>
      <c r="T19" s="35">
        <f>M20</f>
        <v>0</v>
      </c>
      <c r="U19" s="23"/>
    </row>
    <row r="20" spans="1:21" ht="27" customHeight="1">
      <c r="A20" s="787"/>
      <c r="B20" s="23" t="s">
        <v>124</v>
      </c>
      <c r="C20" s="35"/>
      <c r="D20" s="35">
        <f>ROUND(D18*D19/1000,0)</f>
        <v>0</v>
      </c>
      <c r="E20" s="35">
        <f>ROUND(E18*E19/1000,0)</f>
        <v>0</v>
      </c>
      <c r="F20" s="35">
        <f>ROUND(F18*F19/1000,0)</f>
        <v>0</v>
      </c>
      <c r="G20" s="23"/>
      <c r="H20" s="787"/>
      <c r="I20" s="23" t="s">
        <v>124</v>
      </c>
      <c r="J20" s="35"/>
      <c r="K20" s="35">
        <f>ROUND(K18*K19/1000,0)</f>
        <v>0</v>
      </c>
      <c r="L20" s="35">
        <f>ROUND(L18*L19/1000,0)</f>
        <v>0</v>
      </c>
      <c r="M20" s="35">
        <f>ROUND(M18*M19/1000,0)</f>
        <v>0</v>
      </c>
      <c r="N20" s="23"/>
      <c r="O20" s="787"/>
      <c r="P20" s="23" t="s">
        <v>15</v>
      </c>
      <c r="Q20" s="35"/>
      <c r="R20" s="35">
        <f>SUM(R18:R19)</f>
        <v>0</v>
      </c>
      <c r="S20" s="35">
        <f>SUM(S18:S19)</f>
        <v>0</v>
      </c>
      <c r="T20" s="35">
        <f>SUM(T18:T19)</f>
        <v>0</v>
      </c>
      <c r="U20" s="23"/>
    </row>
    <row r="21" spans="1:21" ht="27" customHeight="1">
      <c r="A21" s="787" t="s">
        <v>704</v>
      </c>
      <c r="B21" s="23" t="s">
        <v>129</v>
      </c>
      <c r="C21" s="35"/>
      <c r="D21" s="35">
        <f>E65</f>
        <v>4</v>
      </c>
      <c r="E21" s="35">
        <f>F65</f>
        <v>4</v>
      </c>
      <c r="F21" s="35">
        <f>G65</f>
        <v>4</v>
      </c>
      <c r="G21" s="23"/>
      <c r="H21" s="787" t="s">
        <v>704</v>
      </c>
      <c r="I21" s="23" t="s">
        <v>137</v>
      </c>
      <c r="J21" s="29"/>
      <c r="K21" s="29">
        <f>E66</f>
        <v>3</v>
      </c>
      <c r="L21" s="29">
        <f>F66</f>
        <v>3</v>
      </c>
      <c r="M21" s="29">
        <f>G66</f>
        <v>3</v>
      </c>
      <c r="N21" s="23"/>
      <c r="O21" s="787" t="s">
        <v>704</v>
      </c>
      <c r="P21" s="23" t="s">
        <v>136</v>
      </c>
      <c r="Q21" s="29"/>
      <c r="R21" s="29">
        <f>D23</f>
        <v>1</v>
      </c>
      <c r="S21" s="29">
        <f>E23</f>
        <v>1</v>
      </c>
      <c r="T21" s="29">
        <f>F23</f>
        <v>1</v>
      </c>
      <c r="U21" s="23"/>
    </row>
    <row r="22" spans="1:21" ht="27" customHeight="1">
      <c r="A22" s="787"/>
      <c r="B22" s="23" t="s">
        <v>70</v>
      </c>
      <c r="C22" s="35"/>
      <c r="D22" s="35">
        <v>173.41125</v>
      </c>
      <c r="E22" s="35">
        <v>182.09</v>
      </c>
      <c r="F22" s="35">
        <v>188.80375000000001</v>
      </c>
      <c r="G22" s="23"/>
      <c r="H22" s="787"/>
      <c r="I22" s="23" t="s">
        <v>70</v>
      </c>
      <c r="J22" s="35"/>
      <c r="K22" s="35">
        <v>52.023374999999994</v>
      </c>
      <c r="L22" s="35">
        <v>54.627000000000002</v>
      </c>
      <c r="M22" s="35">
        <v>56.641125000000002</v>
      </c>
      <c r="N22" s="23"/>
      <c r="O22" s="787"/>
      <c r="P22" s="23" t="s">
        <v>137</v>
      </c>
      <c r="Q22" s="35"/>
      <c r="R22" s="35">
        <f>K23</f>
        <v>0</v>
      </c>
      <c r="S22" s="35">
        <f>L23</f>
        <v>0</v>
      </c>
      <c r="T22" s="35">
        <f>M23</f>
        <v>0</v>
      </c>
      <c r="U22" s="23"/>
    </row>
    <row r="23" spans="1:21" ht="27" customHeight="1">
      <c r="A23" s="787"/>
      <c r="B23" s="23" t="s">
        <v>124</v>
      </c>
      <c r="C23" s="35"/>
      <c r="D23" s="35">
        <f>ROUND(D21*D22/1000,0)</f>
        <v>1</v>
      </c>
      <c r="E23" s="35">
        <f>ROUND(E21*E22/1000,0)</f>
        <v>1</v>
      </c>
      <c r="F23" s="35">
        <f>ROUND(F21*F22/1000,0)</f>
        <v>1</v>
      </c>
      <c r="G23" s="23"/>
      <c r="H23" s="787"/>
      <c r="I23" s="23" t="s">
        <v>124</v>
      </c>
      <c r="J23" s="35"/>
      <c r="K23" s="35">
        <f>ROUND(K21*K22/1000,0)</f>
        <v>0</v>
      </c>
      <c r="L23" s="35">
        <f>ROUND(L21*L22/1000,0)</f>
        <v>0</v>
      </c>
      <c r="M23" s="35">
        <f>ROUND(M21*M22/1000,0)</f>
        <v>0</v>
      </c>
      <c r="N23" s="23"/>
      <c r="O23" s="787"/>
      <c r="P23" s="23" t="s">
        <v>15</v>
      </c>
      <c r="Q23" s="35"/>
      <c r="R23" s="35">
        <f>SUM(R21:R22)</f>
        <v>1</v>
      </c>
      <c r="S23" s="35">
        <f>SUM(S21:S22)</f>
        <v>1</v>
      </c>
      <c r="T23" s="35">
        <f>SUM(T21:T22)</f>
        <v>1</v>
      </c>
      <c r="U23" s="23"/>
    </row>
    <row r="24" spans="1:21" ht="27" customHeight="1">
      <c r="A24" s="787" t="s">
        <v>705</v>
      </c>
      <c r="B24" s="23" t="s">
        <v>129</v>
      </c>
      <c r="C24" s="35"/>
      <c r="D24" s="35">
        <f>E67</f>
        <v>12</v>
      </c>
      <c r="E24" s="35">
        <f>F67</f>
        <v>12</v>
      </c>
      <c r="F24" s="35">
        <f>G67</f>
        <v>13</v>
      </c>
      <c r="G24" s="23"/>
      <c r="H24" s="787" t="s">
        <v>705</v>
      </c>
      <c r="I24" s="23" t="s">
        <v>137</v>
      </c>
      <c r="J24" s="29"/>
      <c r="K24" s="29">
        <f>E68</f>
        <v>10</v>
      </c>
      <c r="L24" s="29">
        <f>F68</f>
        <v>10</v>
      </c>
      <c r="M24" s="29">
        <f>G68</f>
        <v>10</v>
      </c>
      <c r="N24" s="23"/>
      <c r="O24" s="787" t="s">
        <v>705</v>
      </c>
      <c r="P24" s="23" t="s">
        <v>136</v>
      </c>
      <c r="Q24" s="29"/>
      <c r="R24" s="29">
        <f>D26</f>
        <v>2</v>
      </c>
      <c r="S24" s="29">
        <f>E26</f>
        <v>2</v>
      </c>
      <c r="T24" s="29">
        <f>F26</f>
        <v>2</v>
      </c>
      <c r="U24" s="23"/>
    </row>
    <row r="25" spans="1:21" ht="27" customHeight="1">
      <c r="A25" s="787"/>
      <c r="B25" s="23" t="s">
        <v>70</v>
      </c>
      <c r="C25" s="35"/>
      <c r="D25" s="35">
        <v>173.41125</v>
      </c>
      <c r="E25" s="35">
        <v>182.09</v>
      </c>
      <c r="F25" s="35">
        <v>188.80375000000001</v>
      </c>
      <c r="G25" s="23"/>
      <c r="H25" s="787"/>
      <c r="I25" s="23" t="s">
        <v>70</v>
      </c>
      <c r="J25" s="35"/>
      <c r="K25" s="35">
        <v>52.023374999999994</v>
      </c>
      <c r="L25" s="35">
        <v>54.627000000000002</v>
      </c>
      <c r="M25" s="35">
        <v>56.641125000000002</v>
      </c>
      <c r="N25" s="23"/>
      <c r="O25" s="787"/>
      <c r="P25" s="23" t="s">
        <v>137</v>
      </c>
      <c r="Q25" s="35"/>
      <c r="R25" s="35">
        <f>K26</f>
        <v>1</v>
      </c>
      <c r="S25" s="35">
        <f>L26</f>
        <v>1</v>
      </c>
      <c r="T25" s="35">
        <f>M26</f>
        <v>1</v>
      </c>
      <c r="U25" s="23"/>
    </row>
    <row r="26" spans="1:21" ht="27" customHeight="1">
      <c r="A26" s="787"/>
      <c r="B26" s="23" t="s">
        <v>124</v>
      </c>
      <c r="C26" s="35"/>
      <c r="D26" s="35">
        <f>ROUND(D24*D25/1000,0)</f>
        <v>2</v>
      </c>
      <c r="E26" s="35">
        <f>ROUND(E24*E25/1000,0)</f>
        <v>2</v>
      </c>
      <c r="F26" s="35">
        <f>ROUND(F24*F25/1000,0)</f>
        <v>2</v>
      </c>
      <c r="G26" s="23"/>
      <c r="H26" s="787"/>
      <c r="I26" s="23" t="s">
        <v>124</v>
      </c>
      <c r="J26" s="35"/>
      <c r="K26" s="35">
        <f>ROUND(K24*K25/1000,0)</f>
        <v>1</v>
      </c>
      <c r="L26" s="35">
        <f>ROUND(L24*L25/1000,0)</f>
        <v>1</v>
      </c>
      <c r="M26" s="35">
        <f>ROUND(M24*M25/1000,0)</f>
        <v>1</v>
      </c>
      <c r="N26" s="23"/>
      <c r="O26" s="787"/>
      <c r="P26" s="23" t="s">
        <v>15</v>
      </c>
      <c r="Q26" s="35"/>
      <c r="R26" s="35">
        <f>SUM(R24:R25)</f>
        <v>3</v>
      </c>
      <c r="S26" s="35">
        <f>SUM(S24:S25)</f>
        <v>3</v>
      </c>
      <c r="T26" s="35">
        <f>SUM(T24:T25)</f>
        <v>3</v>
      </c>
      <c r="U26" s="23"/>
    </row>
    <row r="27" spans="1:21" ht="27" customHeight="1">
      <c r="A27" s="787" t="s">
        <v>706</v>
      </c>
      <c r="B27" s="23" t="s">
        <v>129</v>
      </c>
      <c r="C27" s="35"/>
      <c r="D27" s="35">
        <f>E69</f>
        <v>69</v>
      </c>
      <c r="E27" s="35">
        <f>F69</f>
        <v>70</v>
      </c>
      <c r="F27" s="35">
        <f>G69</f>
        <v>71</v>
      </c>
      <c r="G27" s="23"/>
      <c r="H27" s="787" t="s">
        <v>706</v>
      </c>
      <c r="I27" s="23" t="s">
        <v>137</v>
      </c>
      <c r="J27" s="29"/>
      <c r="K27" s="29">
        <f>E70</f>
        <v>56</v>
      </c>
      <c r="L27" s="29">
        <f>F70</f>
        <v>57</v>
      </c>
      <c r="M27" s="29">
        <f>G70</f>
        <v>58</v>
      </c>
      <c r="N27" s="23"/>
      <c r="O27" s="787" t="s">
        <v>706</v>
      </c>
      <c r="P27" s="23" t="s">
        <v>136</v>
      </c>
      <c r="Q27" s="29"/>
      <c r="R27" s="29">
        <f>D29</f>
        <v>12</v>
      </c>
      <c r="S27" s="29">
        <f>E29</f>
        <v>13</v>
      </c>
      <c r="T27" s="29">
        <f>F29</f>
        <v>13</v>
      </c>
      <c r="U27" s="23"/>
    </row>
    <row r="28" spans="1:21" ht="27" customHeight="1">
      <c r="A28" s="787"/>
      <c r="B28" s="23" t="s">
        <v>70</v>
      </c>
      <c r="C28" s="35"/>
      <c r="D28" s="35">
        <v>173.41125</v>
      </c>
      <c r="E28" s="35">
        <v>182.09</v>
      </c>
      <c r="F28" s="35">
        <v>188.80375000000001</v>
      </c>
      <c r="G28" s="23"/>
      <c r="H28" s="787"/>
      <c r="I28" s="23" t="s">
        <v>70</v>
      </c>
      <c r="J28" s="35"/>
      <c r="K28" s="35">
        <v>52.023374999999994</v>
      </c>
      <c r="L28" s="35">
        <v>54.627000000000002</v>
      </c>
      <c r="M28" s="35">
        <v>56.641125000000002</v>
      </c>
      <c r="N28" s="23"/>
      <c r="O28" s="787"/>
      <c r="P28" s="23" t="s">
        <v>137</v>
      </c>
      <c r="Q28" s="35"/>
      <c r="R28" s="35">
        <f>K29</f>
        <v>3</v>
      </c>
      <c r="S28" s="35">
        <f>L29</f>
        <v>3</v>
      </c>
      <c r="T28" s="35">
        <f>M29</f>
        <v>3</v>
      </c>
      <c r="U28" s="23"/>
    </row>
    <row r="29" spans="1:21" ht="27" customHeight="1">
      <c r="A29" s="787"/>
      <c r="B29" s="23" t="s">
        <v>124</v>
      </c>
      <c r="C29" s="35"/>
      <c r="D29" s="35">
        <f>ROUND(D27*D28/1000,0)</f>
        <v>12</v>
      </c>
      <c r="E29" s="35">
        <f>ROUND(E27*E28/1000,0)</f>
        <v>13</v>
      </c>
      <c r="F29" s="35">
        <f>ROUND(F27*F28/1000,0)</f>
        <v>13</v>
      </c>
      <c r="G29" s="23"/>
      <c r="H29" s="787"/>
      <c r="I29" s="23" t="s">
        <v>124</v>
      </c>
      <c r="J29" s="35"/>
      <c r="K29" s="35">
        <f>ROUND(K27*K28/1000,0)</f>
        <v>3</v>
      </c>
      <c r="L29" s="35">
        <f>ROUND(L27*L28/1000,0)</f>
        <v>3</v>
      </c>
      <c r="M29" s="35">
        <f>ROUND(M27*M28/1000,0)</f>
        <v>3</v>
      </c>
      <c r="N29" s="23"/>
      <c r="O29" s="787"/>
      <c r="P29" s="23" t="s">
        <v>15</v>
      </c>
      <c r="Q29" s="35"/>
      <c r="R29" s="35">
        <f>SUM(R27:R28)</f>
        <v>15</v>
      </c>
      <c r="S29" s="35">
        <f>SUM(S27:S28)</f>
        <v>16</v>
      </c>
      <c r="T29" s="35">
        <f>SUM(T27:T28)</f>
        <v>16</v>
      </c>
      <c r="U29" s="23"/>
    </row>
    <row r="30" spans="1:21" ht="27" customHeight="1">
      <c r="A30" s="787" t="s">
        <v>707</v>
      </c>
      <c r="B30" s="23" t="s">
        <v>129</v>
      </c>
      <c r="C30" s="35"/>
      <c r="D30" s="35">
        <f>E71</f>
        <v>37</v>
      </c>
      <c r="E30" s="35">
        <f>F71</f>
        <v>37</v>
      </c>
      <c r="F30" s="35">
        <f>G71</f>
        <v>38</v>
      </c>
      <c r="G30" s="23"/>
      <c r="H30" s="787" t="s">
        <v>707</v>
      </c>
      <c r="I30" s="23" t="s">
        <v>137</v>
      </c>
      <c r="J30" s="29"/>
      <c r="K30" s="29">
        <f>E72</f>
        <v>30</v>
      </c>
      <c r="L30" s="29">
        <f>F72</f>
        <v>30</v>
      </c>
      <c r="M30" s="29">
        <f>G72</f>
        <v>31</v>
      </c>
      <c r="N30" s="23"/>
      <c r="O30" s="787" t="s">
        <v>707</v>
      </c>
      <c r="P30" s="23" t="s">
        <v>136</v>
      </c>
      <c r="Q30" s="29"/>
      <c r="R30" s="29">
        <f>D32</f>
        <v>6</v>
      </c>
      <c r="S30" s="29">
        <f>E32</f>
        <v>7</v>
      </c>
      <c r="T30" s="29">
        <f>F32</f>
        <v>7</v>
      </c>
      <c r="U30" s="23"/>
    </row>
    <row r="31" spans="1:21" ht="27" customHeight="1">
      <c r="A31" s="787"/>
      <c r="B31" s="23" t="s">
        <v>70</v>
      </c>
      <c r="C31" s="35"/>
      <c r="D31" s="35">
        <v>173.41125</v>
      </c>
      <c r="E31" s="35">
        <v>182.09</v>
      </c>
      <c r="F31" s="35">
        <v>188.80375000000001</v>
      </c>
      <c r="G31" s="23"/>
      <c r="H31" s="787"/>
      <c r="I31" s="23" t="s">
        <v>70</v>
      </c>
      <c r="J31" s="35"/>
      <c r="K31" s="35">
        <v>52.023374999999994</v>
      </c>
      <c r="L31" s="35">
        <v>54.627000000000002</v>
      </c>
      <c r="M31" s="35">
        <v>56.641125000000002</v>
      </c>
      <c r="N31" s="23"/>
      <c r="O31" s="787"/>
      <c r="P31" s="23" t="s">
        <v>137</v>
      </c>
      <c r="Q31" s="35"/>
      <c r="R31" s="35">
        <f>K32</f>
        <v>2</v>
      </c>
      <c r="S31" s="35">
        <f>L32</f>
        <v>2</v>
      </c>
      <c r="T31" s="35">
        <f>M32</f>
        <v>2</v>
      </c>
      <c r="U31" s="23"/>
    </row>
    <row r="32" spans="1:21" ht="27" customHeight="1">
      <c r="A32" s="787"/>
      <c r="B32" s="23" t="s">
        <v>124</v>
      </c>
      <c r="C32" s="35"/>
      <c r="D32" s="35">
        <f>ROUND(D30*D31/1000,0)</f>
        <v>6</v>
      </c>
      <c r="E32" s="35">
        <f>ROUND(E30*E31/1000,0)</f>
        <v>7</v>
      </c>
      <c r="F32" s="35">
        <f>ROUND(F30*F31/1000,0)</f>
        <v>7</v>
      </c>
      <c r="G32" s="23"/>
      <c r="H32" s="787"/>
      <c r="I32" s="23" t="s">
        <v>124</v>
      </c>
      <c r="J32" s="35"/>
      <c r="K32" s="35">
        <f>ROUND(K30*K31/1000,0)</f>
        <v>2</v>
      </c>
      <c r="L32" s="35">
        <f>ROUND(L30*L31/1000,0)</f>
        <v>2</v>
      </c>
      <c r="M32" s="35">
        <f>ROUND(M30*M31/1000,0)</f>
        <v>2</v>
      </c>
      <c r="N32" s="23"/>
      <c r="O32" s="787"/>
      <c r="P32" s="23" t="s">
        <v>15</v>
      </c>
      <c r="Q32" s="35"/>
      <c r="R32" s="35">
        <f>SUM(R30:R31)</f>
        <v>8</v>
      </c>
      <c r="S32" s="35">
        <f>SUM(S30:S31)</f>
        <v>9</v>
      </c>
      <c r="T32" s="35">
        <f>SUM(T30:T31)</f>
        <v>9</v>
      </c>
      <c r="U32" s="23"/>
    </row>
    <row r="33" spans="1:21" ht="27" customHeight="1">
      <c r="A33" s="787" t="s">
        <v>708</v>
      </c>
      <c r="B33" s="23" t="s">
        <v>129</v>
      </c>
      <c r="C33" s="35"/>
      <c r="D33" s="35">
        <f>E73</f>
        <v>12</v>
      </c>
      <c r="E33" s="35">
        <f>F73</f>
        <v>12</v>
      </c>
      <c r="F33" s="35">
        <f>G73</f>
        <v>13</v>
      </c>
      <c r="G33" s="23"/>
      <c r="H33" s="787" t="s">
        <v>708</v>
      </c>
      <c r="I33" s="23" t="s">
        <v>137</v>
      </c>
      <c r="J33" s="29"/>
      <c r="K33" s="29">
        <f>E74</f>
        <v>10</v>
      </c>
      <c r="L33" s="29">
        <f>F74</f>
        <v>10</v>
      </c>
      <c r="M33" s="29">
        <f>G74</f>
        <v>10</v>
      </c>
      <c r="N33" s="23"/>
      <c r="O33" s="787" t="s">
        <v>708</v>
      </c>
      <c r="P33" s="23" t="s">
        <v>136</v>
      </c>
      <c r="Q33" s="29"/>
      <c r="R33" s="29">
        <f>D35</f>
        <v>2</v>
      </c>
      <c r="S33" s="29">
        <f>E35</f>
        <v>2</v>
      </c>
      <c r="T33" s="29">
        <f>F35</f>
        <v>2</v>
      </c>
      <c r="U33" s="23"/>
    </row>
    <row r="34" spans="1:21" ht="27" customHeight="1">
      <c r="A34" s="787"/>
      <c r="B34" s="23" t="s">
        <v>70</v>
      </c>
      <c r="C34" s="35"/>
      <c r="D34" s="35">
        <v>173.41125</v>
      </c>
      <c r="E34" s="35">
        <v>182.09</v>
      </c>
      <c r="F34" s="35">
        <v>188.80375000000001</v>
      </c>
      <c r="G34" s="23"/>
      <c r="H34" s="787"/>
      <c r="I34" s="23" t="s">
        <v>70</v>
      </c>
      <c r="J34" s="35"/>
      <c r="K34" s="35">
        <v>52.023374999999994</v>
      </c>
      <c r="L34" s="35">
        <v>54.627000000000002</v>
      </c>
      <c r="M34" s="35">
        <v>56.641125000000002</v>
      </c>
      <c r="N34" s="23"/>
      <c r="O34" s="787"/>
      <c r="P34" s="23" t="s">
        <v>137</v>
      </c>
      <c r="Q34" s="35"/>
      <c r="R34" s="35">
        <f>K35</f>
        <v>1</v>
      </c>
      <c r="S34" s="35">
        <f>L35</f>
        <v>1</v>
      </c>
      <c r="T34" s="35">
        <f>M35</f>
        <v>1</v>
      </c>
      <c r="U34" s="23"/>
    </row>
    <row r="35" spans="1:21" ht="27" customHeight="1">
      <c r="A35" s="787"/>
      <c r="B35" s="23" t="s">
        <v>124</v>
      </c>
      <c r="C35" s="35"/>
      <c r="D35" s="35">
        <f>ROUND(D33*D34/1000,0)</f>
        <v>2</v>
      </c>
      <c r="E35" s="35">
        <f>ROUND(E33*E34/1000,0)</f>
        <v>2</v>
      </c>
      <c r="F35" s="35">
        <f>ROUND(F33*F34/1000,0)</f>
        <v>2</v>
      </c>
      <c r="G35" s="23"/>
      <c r="H35" s="787"/>
      <c r="I35" s="23" t="s">
        <v>124</v>
      </c>
      <c r="J35" s="35"/>
      <c r="K35" s="35">
        <f>ROUND(K33*K34/1000,0)</f>
        <v>1</v>
      </c>
      <c r="L35" s="35">
        <f>ROUND(L33*L34/1000,0)</f>
        <v>1</v>
      </c>
      <c r="M35" s="35">
        <f>ROUND(M33*M34/1000,0)</f>
        <v>1</v>
      </c>
      <c r="N35" s="23"/>
      <c r="O35" s="787"/>
      <c r="P35" s="23" t="s">
        <v>15</v>
      </c>
      <c r="Q35" s="35"/>
      <c r="R35" s="35">
        <f>SUM(R33:R34)</f>
        <v>3</v>
      </c>
      <c r="S35" s="35">
        <f>SUM(S33:S34)</f>
        <v>3</v>
      </c>
      <c r="T35" s="35">
        <f>SUM(T33:T34)</f>
        <v>3</v>
      </c>
      <c r="U35" s="23"/>
    </row>
    <row r="36" spans="1:21" ht="27" customHeight="1">
      <c r="A36" s="787" t="s">
        <v>709</v>
      </c>
      <c r="B36" s="23" t="s">
        <v>129</v>
      </c>
      <c r="C36" s="35"/>
      <c r="D36" s="35">
        <f>E75</f>
        <v>16</v>
      </c>
      <c r="E36" s="35">
        <f>F75</f>
        <v>17</v>
      </c>
      <c r="F36" s="35">
        <f>G75</f>
        <v>17</v>
      </c>
      <c r="G36" s="23"/>
      <c r="H36" s="787" t="s">
        <v>709</v>
      </c>
      <c r="I36" s="23" t="s">
        <v>137</v>
      </c>
      <c r="J36" s="29"/>
      <c r="K36" s="29">
        <f>E76</f>
        <v>13</v>
      </c>
      <c r="L36" s="29">
        <f>F76</f>
        <v>13</v>
      </c>
      <c r="M36" s="29">
        <f>G76</f>
        <v>14</v>
      </c>
      <c r="N36" s="23"/>
      <c r="O36" s="787" t="s">
        <v>709</v>
      </c>
      <c r="P36" s="23" t="s">
        <v>136</v>
      </c>
      <c r="Q36" s="29"/>
      <c r="R36" s="29">
        <f>D38</f>
        <v>3</v>
      </c>
      <c r="S36" s="29">
        <f>E38</f>
        <v>3</v>
      </c>
      <c r="T36" s="29">
        <f>F38</f>
        <v>3</v>
      </c>
      <c r="U36" s="23"/>
    </row>
    <row r="37" spans="1:21" ht="27" customHeight="1">
      <c r="A37" s="787"/>
      <c r="B37" s="23" t="s">
        <v>70</v>
      </c>
      <c r="C37" s="35"/>
      <c r="D37" s="35">
        <v>173.41125</v>
      </c>
      <c r="E37" s="35">
        <v>182.09</v>
      </c>
      <c r="F37" s="35">
        <v>188.80375000000001</v>
      </c>
      <c r="G37" s="23"/>
      <c r="H37" s="787"/>
      <c r="I37" s="23" t="s">
        <v>70</v>
      </c>
      <c r="J37" s="35"/>
      <c r="K37" s="35">
        <v>52.023374999999994</v>
      </c>
      <c r="L37" s="35">
        <v>54.627000000000002</v>
      </c>
      <c r="M37" s="35">
        <v>56.641125000000002</v>
      </c>
      <c r="N37" s="23"/>
      <c r="O37" s="787"/>
      <c r="P37" s="23" t="s">
        <v>137</v>
      </c>
      <c r="Q37" s="35"/>
      <c r="R37" s="35">
        <f>K38</f>
        <v>1</v>
      </c>
      <c r="S37" s="35">
        <f>L38</f>
        <v>1</v>
      </c>
      <c r="T37" s="35">
        <f>M38</f>
        <v>1</v>
      </c>
      <c r="U37" s="23"/>
    </row>
    <row r="38" spans="1:21" ht="27" customHeight="1">
      <c r="A38" s="787"/>
      <c r="B38" s="23" t="s">
        <v>124</v>
      </c>
      <c r="C38" s="35"/>
      <c r="D38" s="35">
        <f>ROUND(D36*D37/1000,0)</f>
        <v>3</v>
      </c>
      <c r="E38" s="35">
        <f>ROUND(E36*E37/1000,0)</f>
        <v>3</v>
      </c>
      <c r="F38" s="35">
        <f>ROUND(F36*F37/1000,0)</f>
        <v>3</v>
      </c>
      <c r="G38" s="23"/>
      <c r="H38" s="787"/>
      <c r="I38" s="23" t="s">
        <v>124</v>
      </c>
      <c r="J38" s="35"/>
      <c r="K38" s="35">
        <f>ROUND(K36*K37/1000,0)</f>
        <v>1</v>
      </c>
      <c r="L38" s="35">
        <f>ROUND(L36*L37/1000,0)</f>
        <v>1</v>
      </c>
      <c r="M38" s="35">
        <f>ROUND(M36*M37/1000,0)</f>
        <v>1</v>
      </c>
      <c r="N38" s="23"/>
      <c r="O38" s="787"/>
      <c r="P38" s="23" t="s">
        <v>15</v>
      </c>
      <c r="Q38" s="35"/>
      <c r="R38" s="35">
        <f>SUM(R36:R37)</f>
        <v>4</v>
      </c>
      <c r="S38" s="35">
        <f>SUM(S36:S37)</f>
        <v>4</v>
      </c>
      <c r="T38" s="35">
        <f>SUM(T36:T37)</f>
        <v>4</v>
      </c>
      <c r="U38" s="23"/>
    </row>
    <row r="39" spans="1:21" ht="27" customHeight="1">
      <c r="A39" s="787" t="s">
        <v>710</v>
      </c>
      <c r="B39" s="23" t="s">
        <v>129</v>
      </c>
      <c r="C39" s="35"/>
      <c r="D39" s="35">
        <f>E77</f>
        <v>8</v>
      </c>
      <c r="E39" s="35">
        <f>F77</f>
        <v>8</v>
      </c>
      <c r="F39" s="35">
        <f>G77</f>
        <v>8</v>
      </c>
      <c r="G39" s="23"/>
      <c r="H39" s="787" t="s">
        <v>710</v>
      </c>
      <c r="I39" s="23" t="s">
        <v>137</v>
      </c>
      <c r="J39" s="29"/>
      <c r="K39" s="29">
        <f>E78</f>
        <v>7</v>
      </c>
      <c r="L39" s="29">
        <f>F78</f>
        <v>7</v>
      </c>
      <c r="M39" s="29">
        <f>G78</f>
        <v>7</v>
      </c>
      <c r="N39" s="23"/>
      <c r="O39" s="787" t="s">
        <v>710</v>
      </c>
      <c r="P39" s="23" t="s">
        <v>136</v>
      </c>
      <c r="Q39" s="29"/>
      <c r="R39" s="29">
        <f>D41</f>
        <v>1</v>
      </c>
      <c r="S39" s="29">
        <f>E41</f>
        <v>1</v>
      </c>
      <c r="T39" s="29">
        <f>F41</f>
        <v>2</v>
      </c>
      <c r="U39" s="23"/>
    </row>
    <row r="40" spans="1:21" ht="27" customHeight="1">
      <c r="A40" s="787"/>
      <c r="B40" s="23" t="s">
        <v>70</v>
      </c>
      <c r="C40" s="35"/>
      <c r="D40" s="35">
        <v>173.41125</v>
      </c>
      <c r="E40" s="35">
        <v>182.09</v>
      </c>
      <c r="F40" s="35">
        <v>188.80375000000001</v>
      </c>
      <c r="G40" s="23"/>
      <c r="H40" s="787"/>
      <c r="I40" s="23" t="s">
        <v>70</v>
      </c>
      <c r="J40" s="35"/>
      <c r="K40" s="35">
        <v>52.023374999999994</v>
      </c>
      <c r="L40" s="35">
        <v>54.627000000000002</v>
      </c>
      <c r="M40" s="35">
        <v>56.641125000000002</v>
      </c>
      <c r="N40" s="23"/>
      <c r="O40" s="787"/>
      <c r="P40" s="23" t="s">
        <v>137</v>
      </c>
      <c r="Q40" s="35"/>
      <c r="R40" s="35">
        <f>K41</f>
        <v>0</v>
      </c>
      <c r="S40" s="35">
        <f>L41</f>
        <v>0</v>
      </c>
      <c r="T40" s="35">
        <f>M41</f>
        <v>0</v>
      </c>
      <c r="U40" s="23"/>
    </row>
    <row r="41" spans="1:21" ht="27" customHeight="1">
      <c r="A41" s="787"/>
      <c r="B41" s="23" t="s">
        <v>124</v>
      </c>
      <c r="C41" s="35"/>
      <c r="D41" s="35">
        <f>ROUND(D39*D40/1000,0)</f>
        <v>1</v>
      </c>
      <c r="E41" s="35">
        <f>ROUND(E39*E40/1000,0)</f>
        <v>1</v>
      </c>
      <c r="F41" s="35">
        <f>ROUND(F39*F40/1000,0)</f>
        <v>2</v>
      </c>
      <c r="G41" s="23"/>
      <c r="H41" s="787"/>
      <c r="I41" s="23" t="s">
        <v>124</v>
      </c>
      <c r="J41" s="35"/>
      <c r="K41" s="35">
        <f>ROUND(K39*K40/1000,0)</f>
        <v>0</v>
      </c>
      <c r="L41" s="35">
        <f>ROUND(L39*L40/1000,0)</f>
        <v>0</v>
      </c>
      <c r="M41" s="35">
        <f>ROUND(M39*M40/1000,0)</f>
        <v>0</v>
      </c>
      <c r="N41" s="23"/>
      <c r="O41" s="787"/>
      <c r="P41" s="23" t="s">
        <v>15</v>
      </c>
      <c r="Q41" s="35"/>
      <c r="R41" s="35">
        <f>SUM(R39:R40)</f>
        <v>1</v>
      </c>
      <c r="S41" s="35">
        <f>SUM(S39:S40)</f>
        <v>1</v>
      </c>
      <c r="T41" s="35">
        <f>SUM(T39:T40)</f>
        <v>2</v>
      </c>
      <c r="U41" s="23"/>
    </row>
    <row r="42" spans="1:21" ht="27" customHeight="1">
      <c r="A42" s="787" t="s">
        <v>711</v>
      </c>
      <c r="B42" s="23" t="s">
        <v>129</v>
      </c>
      <c r="C42" s="35"/>
      <c r="D42" s="35">
        <f>E79</f>
        <v>0</v>
      </c>
      <c r="E42" s="35">
        <f>F79</f>
        <v>0</v>
      </c>
      <c r="F42" s="35">
        <f>G79</f>
        <v>0</v>
      </c>
      <c r="G42" s="23"/>
      <c r="H42" s="787" t="s">
        <v>711</v>
      </c>
      <c r="I42" s="23" t="s">
        <v>137</v>
      </c>
      <c r="J42" s="29"/>
      <c r="K42" s="29">
        <f>E80</f>
        <v>0</v>
      </c>
      <c r="L42" s="29">
        <f>F80</f>
        <v>0</v>
      </c>
      <c r="M42" s="29">
        <f>G80</f>
        <v>0</v>
      </c>
      <c r="N42" s="23"/>
      <c r="O42" s="787" t="s">
        <v>711</v>
      </c>
      <c r="P42" s="23" t="s">
        <v>136</v>
      </c>
      <c r="Q42" s="29"/>
      <c r="R42" s="29">
        <f>D44</f>
        <v>0</v>
      </c>
      <c r="S42" s="29">
        <f>E44</f>
        <v>0</v>
      </c>
      <c r="T42" s="29">
        <f>F44</f>
        <v>0</v>
      </c>
      <c r="U42" s="23"/>
    </row>
    <row r="43" spans="1:21" ht="27" customHeight="1">
      <c r="A43" s="787"/>
      <c r="B43" s="23" t="s">
        <v>70</v>
      </c>
      <c r="C43" s="35"/>
      <c r="D43" s="35">
        <v>173.41125</v>
      </c>
      <c r="E43" s="35">
        <v>182.09</v>
      </c>
      <c r="F43" s="35">
        <v>188.80375000000001</v>
      </c>
      <c r="G43" s="23"/>
      <c r="H43" s="787"/>
      <c r="I43" s="23" t="s">
        <v>70</v>
      </c>
      <c r="J43" s="35"/>
      <c r="K43" s="35">
        <v>52.023374999999994</v>
      </c>
      <c r="L43" s="35">
        <v>54.627000000000002</v>
      </c>
      <c r="M43" s="35">
        <v>56.641125000000002</v>
      </c>
      <c r="N43" s="23"/>
      <c r="O43" s="787"/>
      <c r="P43" s="23" t="s">
        <v>137</v>
      </c>
      <c r="Q43" s="35"/>
      <c r="R43" s="35">
        <f>K44</f>
        <v>0</v>
      </c>
      <c r="S43" s="35">
        <f>L44</f>
        <v>0</v>
      </c>
      <c r="T43" s="35">
        <f>M44</f>
        <v>0</v>
      </c>
      <c r="U43" s="23"/>
    </row>
    <row r="44" spans="1:21" ht="27" customHeight="1">
      <c r="A44" s="787"/>
      <c r="B44" s="23" t="s">
        <v>124</v>
      </c>
      <c r="C44" s="35"/>
      <c r="D44" s="35">
        <f>ROUND(D42*D43/1000,0)</f>
        <v>0</v>
      </c>
      <c r="E44" s="35">
        <f>ROUND(E42*E43/1000,0)</f>
        <v>0</v>
      </c>
      <c r="F44" s="35">
        <f>ROUND(F42*F43/1000,0)</f>
        <v>0</v>
      </c>
      <c r="G44" s="23"/>
      <c r="H44" s="787"/>
      <c r="I44" s="23" t="s">
        <v>124</v>
      </c>
      <c r="J44" s="35"/>
      <c r="K44" s="35">
        <f>ROUND(K42*K43/1000,0)</f>
        <v>0</v>
      </c>
      <c r="L44" s="35">
        <f>ROUND(L42*L43/1000,0)</f>
        <v>0</v>
      </c>
      <c r="M44" s="35">
        <f>ROUND(M42*M43/1000,0)</f>
        <v>0</v>
      </c>
      <c r="N44" s="23"/>
      <c r="O44" s="787"/>
      <c r="P44" s="23" t="s">
        <v>15</v>
      </c>
      <c r="Q44" s="35"/>
      <c r="R44" s="35">
        <f>SUM(R42:R43)</f>
        <v>0</v>
      </c>
      <c r="S44" s="35">
        <f>SUM(S42:S43)</f>
        <v>0</v>
      </c>
      <c r="T44" s="35">
        <f>SUM(T42:T43)</f>
        <v>0</v>
      </c>
      <c r="U44" s="23"/>
    </row>
    <row r="45" spans="1:21" ht="27" customHeight="1">
      <c r="A45" s="787" t="s">
        <v>712</v>
      </c>
      <c r="B45" s="23" t="s">
        <v>129</v>
      </c>
      <c r="C45" s="35"/>
      <c r="D45" s="35">
        <f>E81</f>
        <v>172</v>
      </c>
      <c r="E45" s="35">
        <f>F81</f>
        <v>178</v>
      </c>
      <c r="F45" s="35">
        <f>G81</f>
        <v>177</v>
      </c>
      <c r="G45" s="23"/>
      <c r="H45" s="787" t="s">
        <v>712</v>
      </c>
      <c r="I45" s="23" t="s">
        <v>137</v>
      </c>
      <c r="J45" s="29"/>
      <c r="K45" s="29">
        <f>E82</f>
        <v>140</v>
      </c>
      <c r="L45" s="29">
        <f>F82</f>
        <v>145</v>
      </c>
      <c r="M45" s="29">
        <f>G82</f>
        <v>146</v>
      </c>
      <c r="N45" s="23"/>
      <c r="O45" s="787" t="s">
        <v>712</v>
      </c>
      <c r="P45" s="23" t="s">
        <v>136</v>
      </c>
      <c r="Q45" s="29"/>
      <c r="R45" s="29">
        <f>D47</f>
        <v>37</v>
      </c>
      <c r="S45" s="29">
        <f>E47</f>
        <v>39</v>
      </c>
      <c r="T45" s="29">
        <f>F47</f>
        <v>39</v>
      </c>
      <c r="U45" s="23"/>
    </row>
    <row r="46" spans="1:21" ht="27" customHeight="1">
      <c r="A46" s="787"/>
      <c r="B46" s="23" t="s">
        <v>70</v>
      </c>
      <c r="C46" s="35"/>
      <c r="D46" s="35">
        <v>216.15</v>
      </c>
      <c r="E46" s="35">
        <v>219.42500000000001</v>
      </c>
      <c r="F46" s="35">
        <v>222.04500000000002</v>
      </c>
      <c r="G46" s="23"/>
      <c r="H46" s="787"/>
      <c r="I46" s="23" t="s">
        <v>70</v>
      </c>
      <c r="J46" s="35"/>
      <c r="K46" s="35">
        <v>52.023374999999994</v>
      </c>
      <c r="L46" s="35">
        <v>54.627000000000002</v>
      </c>
      <c r="M46" s="35">
        <v>56.641125000000002</v>
      </c>
      <c r="N46" s="23"/>
      <c r="O46" s="787"/>
      <c r="P46" s="23" t="s">
        <v>137</v>
      </c>
      <c r="Q46" s="35"/>
      <c r="R46" s="35">
        <f>K47</f>
        <v>7</v>
      </c>
      <c r="S46" s="35">
        <f>L47</f>
        <v>8</v>
      </c>
      <c r="T46" s="35">
        <f>M47</f>
        <v>8</v>
      </c>
      <c r="U46" s="23"/>
    </row>
    <row r="47" spans="1:21" ht="27" customHeight="1">
      <c r="A47" s="787"/>
      <c r="B47" s="23" t="s">
        <v>124</v>
      </c>
      <c r="C47" s="35"/>
      <c r="D47" s="35">
        <f>ROUND(D45*D46/1000,0)</f>
        <v>37</v>
      </c>
      <c r="E47" s="35">
        <f>ROUND(E45*E46/1000,0)</f>
        <v>39</v>
      </c>
      <c r="F47" s="35">
        <f>ROUND(F45*F46/1000,0)</f>
        <v>39</v>
      </c>
      <c r="G47" s="23"/>
      <c r="H47" s="787"/>
      <c r="I47" s="23" t="s">
        <v>124</v>
      </c>
      <c r="J47" s="35"/>
      <c r="K47" s="35">
        <f>ROUND(K45*K46/1000,0)</f>
        <v>7</v>
      </c>
      <c r="L47" s="35">
        <f>ROUND(L45*L46/1000,0)</f>
        <v>8</v>
      </c>
      <c r="M47" s="35">
        <f>ROUND(M45*M46/1000,0)</f>
        <v>8</v>
      </c>
      <c r="N47" s="23"/>
      <c r="O47" s="787"/>
      <c r="P47" s="23" t="s">
        <v>15</v>
      </c>
      <c r="Q47" s="35"/>
      <c r="R47" s="35">
        <f>SUM(R45:R46)</f>
        <v>44</v>
      </c>
      <c r="S47" s="35">
        <f>SUM(S45:S46)</f>
        <v>47</v>
      </c>
      <c r="T47" s="35">
        <f>SUM(T45:T46)</f>
        <v>47</v>
      </c>
      <c r="U47" s="23"/>
    </row>
    <row r="48" spans="1:21" ht="27" customHeight="1">
      <c r="A48" s="787" t="s">
        <v>713</v>
      </c>
      <c r="B48" s="23" t="s">
        <v>129</v>
      </c>
      <c r="C48" s="35"/>
      <c r="D48" s="35">
        <f>E83</f>
        <v>12</v>
      </c>
      <c r="E48" s="35">
        <f>F83</f>
        <v>12</v>
      </c>
      <c r="F48" s="35">
        <f>G83</f>
        <v>13</v>
      </c>
      <c r="G48" s="23"/>
      <c r="H48" s="787" t="s">
        <v>713</v>
      </c>
      <c r="I48" s="23" t="s">
        <v>137</v>
      </c>
      <c r="J48" s="29"/>
      <c r="K48" s="29">
        <f>E84</f>
        <v>10</v>
      </c>
      <c r="L48" s="29">
        <f>F84</f>
        <v>10</v>
      </c>
      <c r="M48" s="29">
        <f>G84</f>
        <v>10</v>
      </c>
      <c r="N48" s="23"/>
      <c r="O48" s="787" t="s">
        <v>713</v>
      </c>
      <c r="P48" s="23" t="s">
        <v>136</v>
      </c>
      <c r="Q48" s="29"/>
      <c r="R48" s="29">
        <f>D50</f>
        <v>3</v>
      </c>
      <c r="S48" s="29">
        <f>E50</f>
        <v>3</v>
      </c>
      <c r="T48" s="29">
        <f>F50</f>
        <v>3</v>
      </c>
      <c r="U48" s="23"/>
    </row>
    <row r="49" spans="1:21" ht="27" customHeight="1">
      <c r="A49" s="787"/>
      <c r="B49" s="23" t="s">
        <v>70</v>
      </c>
      <c r="C49" s="35"/>
      <c r="D49" s="35">
        <v>216.15</v>
      </c>
      <c r="E49" s="35">
        <v>219.42500000000001</v>
      </c>
      <c r="F49" s="35">
        <v>222.04500000000002</v>
      </c>
      <c r="G49" s="23"/>
      <c r="H49" s="787"/>
      <c r="I49" s="23" t="s">
        <v>70</v>
      </c>
      <c r="J49" s="35"/>
      <c r="K49" s="35">
        <v>52.023374999999994</v>
      </c>
      <c r="L49" s="35">
        <v>54.627000000000002</v>
      </c>
      <c r="M49" s="35">
        <v>56.641125000000002</v>
      </c>
      <c r="N49" s="23"/>
      <c r="O49" s="787"/>
      <c r="P49" s="23" t="s">
        <v>137</v>
      </c>
      <c r="Q49" s="35"/>
      <c r="R49" s="35">
        <f>K50</f>
        <v>1</v>
      </c>
      <c r="S49" s="35">
        <f>L50</f>
        <v>1</v>
      </c>
      <c r="T49" s="35">
        <f>M50</f>
        <v>1</v>
      </c>
      <c r="U49" s="23"/>
    </row>
    <row r="50" spans="1:21" ht="27" customHeight="1">
      <c r="A50" s="787"/>
      <c r="B50" s="23" t="s">
        <v>124</v>
      </c>
      <c r="C50" s="35"/>
      <c r="D50" s="35">
        <f>ROUND(D48*D49/1000,0)</f>
        <v>3</v>
      </c>
      <c r="E50" s="35">
        <f>ROUND(E48*E49/1000,0)</f>
        <v>3</v>
      </c>
      <c r="F50" s="35">
        <f>ROUND(F48*F49/1000,0)</f>
        <v>3</v>
      </c>
      <c r="G50" s="23"/>
      <c r="H50" s="787"/>
      <c r="I50" s="23" t="s">
        <v>124</v>
      </c>
      <c r="J50" s="35"/>
      <c r="K50" s="35">
        <f>ROUND(K48*K49/1000,0)</f>
        <v>1</v>
      </c>
      <c r="L50" s="35">
        <f>ROUND(L48*L49/1000,0)</f>
        <v>1</v>
      </c>
      <c r="M50" s="35">
        <f>ROUND(M48*M49/1000,0)</f>
        <v>1</v>
      </c>
      <c r="N50" s="23"/>
      <c r="O50" s="787"/>
      <c r="P50" s="23" t="s">
        <v>15</v>
      </c>
      <c r="Q50" s="35"/>
      <c r="R50" s="35">
        <f>SUM(R48:R49)</f>
        <v>4</v>
      </c>
      <c r="S50" s="35">
        <f>SUM(S48:S49)</f>
        <v>4</v>
      </c>
      <c r="T50" s="35">
        <f>SUM(T48:T49)</f>
        <v>4</v>
      </c>
      <c r="U50" s="23"/>
    </row>
    <row r="51" spans="1:21" ht="24.95" customHeight="1"/>
    <row r="52" spans="1:21" ht="24.95" customHeight="1">
      <c r="A52" s="825" t="s">
        <v>57</v>
      </c>
      <c r="B52" s="826"/>
      <c r="C52" s="24" t="s">
        <v>126</v>
      </c>
      <c r="D52" s="24" t="s">
        <v>119</v>
      </c>
      <c r="E52" s="24" t="s">
        <v>120</v>
      </c>
      <c r="F52" s="24" t="s">
        <v>121</v>
      </c>
      <c r="G52" s="24" t="s">
        <v>122</v>
      </c>
      <c r="H52" s="36"/>
      <c r="I52" s="36"/>
      <c r="J52" s="36"/>
      <c r="K52" s="36"/>
      <c r="L52" s="36"/>
      <c r="M52" s="36"/>
      <c r="N52" s="36"/>
      <c r="O52" s="36"/>
    </row>
    <row r="53" spans="1:21" ht="24.95" customHeight="1">
      <c r="A53" s="788" t="s">
        <v>128</v>
      </c>
      <c r="B53" s="23" t="s">
        <v>129</v>
      </c>
      <c r="C53" s="830">
        <v>1</v>
      </c>
      <c r="D53" s="29"/>
      <c r="E53" s="29">
        <v>580</v>
      </c>
      <c r="F53" s="29">
        <v>592</v>
      </c>
      <c r="G53" s="29">
        <v>600</v>
      </c>
      <c r="H53" s="37"/>
      <c r="I53" s="53">
        <f t="shared" ref="I53:K54" si="2">E55+E57+E59+E61+E63+E65+E67+E69+E71+E73+E75+E77+E79+E81+E83</f>
        <v>580</v>
      </c>
      <c r="J53" s="53">
        <f t="shared" si="2"/>
        <v>592</v>
      </c>
      <c r="K53" s="53">
        <f t="shared" si="2"/>
        <v>600</v>
      </c>
      <c r="L53" s="37"/>
      <c r="M53" s="37"/>
      <c r="N53" s="37"/>
      <c r="O53" s="37"/>
    </row>
    <row r="54" spans="1:21" ht="24.95" customHeight="1">
      <c r="A54" s="790"/>
      <c r="B54" s="23" t="s">
        <v>130</v>
      </c>
      <c r="C54" s="831"/>
      <c r="D54" s="29"/>
      <c r="E54" s="29">
        <f>298+171</f>
        <v>469</v>
      </c>
      <c r="F54" s="29">
        <f>304+175</f>
        <v>479</v>
      </c>
      <c r="G54" s="29">
        <f>309+177</f>
        <v>486</v>
      </c>
      <c r="H54" s="37"/>
      <c r="I54" s="53">
        <f t="shared" si="2"/>
        <v>469</v>
      </c>
      <c r="J54" s="53">
        <f t="shared" si="2"/>
        <v>479</v>
      </c>
      <c r="K54" s="53">
        <f t="shared" si="2"/>
        <v>486</v>
      </c>
      <c r="L54" s="52"/>
      <c r="M54" s="52"/>
      <c r="N54" s="52"/>
      <c r="O54" s="37"/>
    </row>
    <row r="55" spans="1:21" ht="24.95" customHeight="1">
      <c r="A55" s="788" t="s">
        <v>699</v>
      </c>
      <c r="B55" s="23" t="s">
        <v>129</v>
      </c>
      <c r="C55" s="827">
        <f>30/143</f>
        <v>0.20979020979020979</v>
      </c>
      <c r="D55" s="29"/>
      <c r="E55" s="29">
        <f>ROUND($C$55*E53,0)+3</f>
        <v>125</v>
      </c>
      <c r="F55" s="29">
        <f>ROUND($C$55*F53,0)+3</f>
        <v>127</v>
      </c>
      <c r="G55" s="29">
        <f>ROUND($C$55*G53,0)+3</f>
        <v>129</v>
      </c>
      <c r="H55" s="37"/>
    </row>
    <row r="56" spans="1:21" ht="24.95" customHeight="1">
      <c r="A56" s="790"/>
      <c r="B56" s="23" t="s">
        <v>130</v>
      </c>
      <c r="C56" s="828"/>
      <c r="D56" s="29"/>
      <c r="E56" s="29">
        <f>ROUND($C$55*E54,0)</f>
        <v>98</v>
      </c>
      <c r="F56" s="29">
        <f>ROUND($C$55*F54,0)</f>
        <v>100</v>
      </c>
      <c r="G56" s="29">
        <f>ROUND($C$55*G54,0)</f>
        <v>102</v>
      </c>
      <c r="H56" s="37"/>
    </row>
    <row r="57" spans="1:21" ht="24.95" customHeight="1">
      <c r="A57" s="788" t="s">
        <v>700</v>
      </c>
      <c r="B57" s="23" t="s">
        <v>129</v>
      </c>
      <c r="C57" s="827">
        <f>25/143</f>
        <v>0.17482517482517482</v>
      </c>
      <c r="D57" s="29"/>
      <c r="E57" s="29">
        <f t="shared" ref="E57:G58" si="3">ROUND($C$57*E53,0)</f>
        <v>101</v>
      </c>
      <c r="F57" s="29">
        <f t="shared" si="3"/>
        <v>103</v>
      </c>
      <c r="G57" s="29">
        <f t="shared" si="3"/>
        <v>105</v>
      </c>
      <c r="H57" s="37"/>
      <c r="J57" s="1" t="s">
        <v>757</v>
      </c>
      <c r="K57" s="1" t="s">
        <v>716</v>
      </c>
      <c r="L57" s="1" t="s">
        <v>717</v>
      </c>
      <c r="M57" s="1" t="s">
        <v>718</v>
      </c>
      <c r="N57" s="1" t="s">
        <v>719</v>
      </c>
    </row>
    <row r="58" spans="1:21" ht="24.95" customHeight="1">
      <c r="A58" s="790"/>
      <c r="B58" s="23" t="s">
        <v>130</v>
      </c>
      <c r="C58" s="828"/>
      <c r="D58" s="29"/>
      <c r="E58" s="29">
        <f t="shared" si="3"/>
        <v>82</v>
      </c>
      <c r="F58" s="29">
        <f t="shared" si="3"/>
        <v>84</v>
      </c>
      <c r="G58" s="29">
        <f t="shared" si="3"/>
        <v>85</v>
      </c>
      <c r="H58" s="37"/>
      <c r="I58" s="1" t="s">
        <v>751</v>
      </c>
      <c r="J58" s="1">
        <v>0</v>
      </c>
      <c r="K58" s="193">
        <v>429.68</v>
      </c>
      <c r="L58" s="193">
        <v>432.3</v>
      </c>
      <c r="M58" s="193">
        <v>438.85</v>
      </c>
      <c r="N58" s="193">
        <v>444.09000000000003</v>
      </c>
    </row>
    <row r="59" spans="1:21" ht="24.95" customHeight="1">
      <c r="A59" s="788" t="s">
        <v>701</v>
      </c>
      <c r="B59" s="23" t="s">
        <v>129</v>
      </c>
      <c r="C59" s="827">
        <f>2/143</f>
        <v>1.3986013986013986E-2</v>
      </c>
      <c r="D59" s="29"/>
      <c r="E59" s="29">
        <f t="shared" ref="E59:G60" si="4">ROUND($C$59*E53,0)</f>
        <v>8</v>
      </c>
      <c r="F59" s="29">
        <f t="shared" si="4"/>
        <v>8</v>
      </c>
      <c r="G59" s="29">
        <f t="shared" si="4"/>
        <v>8</v>
      </c>
      <c r="H59" s="37"/>
      <c r="I59" s="1" t="s">
        <v>753</v>
      </c>
      <c r="J59" s="1">
        <v>0</v>
      </c>
      <c r="K59" s="193">
        <v>408.065</v>
      </c>
      <c r="L59" s="193">
        <v>453.26</v>
      </c>
      <c r="M59" s="193">
        <v>498.45500000000004</v>
      </c>
      <c r="N59" s="193">
        <v>537.755</v>
      </c>
    </row>
    <row r="60" spans="1:21" ht="24.95" customHeight="1">
      <c r="A60" s="790"/>
      <c r="B60" s="23" t="s">
        <v>130</v>
      </c>
      <c r="C60" s="828"/>
      <c r="D60" s="29"/>
      <c r="E60" s="29">
        <f t="shared" si="4"/>
        <v>7</v>
      </c>
      <c r="F60" s="29">
        <f t="shared" si="4"/>
        <v>7</v>
      </c>
      <c r="G60" s="29">
        <f t="shared" si="4"/>
        <v>7</v>
      </c>
      <c r="H60" s="37"/>
      <c r="I60" s="1" t="s">
        <v>755</v>
      </c>
      <c r="J60" s="1">
        <v>0</v>
      </c>
      <c r="K60" s="193">
        <v>325.53500000000003</v>
      </c>
      <c r="L60" s="193">
        <v>346.82249999999999</v>
      </c>
      <c r="M60" s="193">
        <v>364.18</v>
      </c>
      <c r="N60" s="193">
        <v>377.60750000000002</v>
      </c>
    </row>
    <row r="61" spans="1:21" ht="24.95" customHeight="1">
      <c r="A61" s="788" t="s">
        <v>702</v>
      </c>
      <c r="B61" s="23" t="s">
        <v>129</v>
      </c>
      <c r="C61" s="827">
        <f>1/143</f>
        <v>6.993006993006993E-3</v>
      </c>
      <c r="D61" s="29"/>
      <c r="E61" s="29">
        <f t="shared" ref="E61:G62" si="5">ROUND($C$61*E53,0)</f>
        <v>4</v>
      </c>
      <c r="F61" s="29">
        <f t="shared" si="5"/>
        <v>4</v>
      </c>
      <c r="G61" s="29">
        <f t="shared" si="5"/>
        <v>4</v>
      </c>
      <c r="H61" s="37"/>
    </row>
    <row r="62" spans="1:21" ht="24.95" customHeight="1">
      <c r="A62" s="790"/>
      <c r="B62" s="23" t="s">
        <v>130</v>
      </c>
      <c r="C62" s="828"/>
      <c r="D62" s="29"/>
      <c r="E62" s="29">
        <f t="shared" si="5"/>
        <v>3</v>
      </c>
      <c r="F62" s="29">
        <f t="shared" si="5"/>
        <v>3</v>
      </c>
      <c r="G62" s="29">
        <f t="shared" si="5"/>
        <v>3</v>
      </c>
      <c r="H62" s="37"/>
      <c r="I62" s="1" t="s">
        <v>136</v>
      </c>
      <c r="J62" s="1" t="s">
        <v>757</v>
      </c>
      <c r="K62" s="1" t="s">
        <v>716</v>
      </c>
      <c r="L62" s="1" t="s">
        <v>717</v>
      </c>
      <c r="M62" s="1" t="s">
        <v>718</v>
      </c>
      <c r="N62" s="1" t="s">
        <v>719</v>
      </c>
    </row>
    <row r="63" spans="1:21" ht="24.95" customHeight="1">
      <c r="A63" s="788" t="s">
        <v>703</v>
      </c>
      <c r="B63" s="23" t="s">
        <v>129</v>
      </c>
      <c r="C63" s="827">
        <v>0</v>
      </c>
      <c r="D63" s="29"/>
      <c r="E63" s="29">
        <f t="shared" ref="E63:G64" si="6">ROUND($C$63*E53,0)</f>
        <v>0</v>
      </c>
      <c r="F63" s="29">
        <f t="shared" si="6"/>
        <v>0</v>
      </c>
      <c r="G63" s="29">
        <f t="shared" si="6"/>
        <v>0</v>
      </c>
      <c r="H63" s="37"/>
      <c r="I63" s="1" t="s">
        <v>751</v>
      </c>
      <c r="J63" s="1">
        <v>0</v>
      </c>
      <c r="K63" s="193">
        <f>K58*0.5</f>
        <v>214.84</v>
      </c>
      <c r="L63" s="193">
        <f>L58*0.5</f>
        <v>216.15</v>
      </c>
      <c r="M63" s="193">
        <f>M58*0.5</f>
        <v>219.42500000000001</v>
      </c>
      <c r="N63" s="193">
        <f>N58*0.5</f>
        <v>222.04500000000002</v>
      </c>
    </row>
    <row r="64" spans="1:21" ht="24.95" customHeight="1">
      <c r="A64" s="790"/>
      <c r="B64" s="23" t="s">
        <v>130</v>
      </c>
      <c r="C64" s="828"/>
      <c r="D64" s="29"/>
      <c r="E64" s="29">
        <f t="shared" si="6"/>
        <v>0</v>
      </c>
      <c r="F64" s="29">
        <f t="shared" si="6"/>
        <v>0</v>
      </c>
      <c r="G64" s="29">
        <f t="shared" si="6"/>
        <v>0</v>
      </c>
      <c r="H64" s="37"/>
      <c r="I64" s="1" t="s">
        <v>753</v>
      </c>
      <c r="J64" s="1">
        <v>0</v>
      </c>
      <c r="K64" s="193">
        <f t="shared" ref="K64:N65" si="7">K59*0.5</f>
        <v>204.0325</v>
      </c>
      <c r="L64" s="193">
        <f t="shared" si="7"/>
        <v>226.63</v>
      </c>
      <c r="M64" s="193">
        <f t="shared" si="7"/>
        <v>249.22750000000002</v>
      </c>
      <c r="N64" s="193">
        <f t="shared" si="7"/>
        <v>268.8775</v>
      </c>
    </row>
    <row r="65" spans="1:15" ht="24.95" customHeight="1">
      <c r="A65" s="788" t="s">
        <v>704</v>
      </c>
      <c r="B65" s="23" t="s">
        <v>129</v>
      </c>
      <c r="C65" s="827">
        <f>1/143</f>
        <v>6.993006993006993E-3</v>
      </c>
      <c r="D65" s="29"/>
      <c r="E65" s="29">
        <f t="shared" ref="E65:G66" si="8">ROUND($C$65*E53,0)</f>
        <v>4</v>
      </c>
      <c r="F65" s="29">
        <f t="shared" si="8"/>
        <v>4</v>
      </c>
      <c r="G65" s="29">
        <f t="shared" si="8"/>
        <v>4</v>
      </c>
      <c r="H65" s="37"/>
      <c r="I65" s="1" t="s">
        <v>755</v>
      </c>
      <c r="J65" s="1">
        <v>0</v>
      </c>
      <c r="K65" s="193">
        <f t="shared" si="7"/>
        <v>162.76750000000001</v>
      </c>
      <c r="L65" s="193">
        <f t="shared" si="7"/>
        <v>173.41125</v>
      </c>
      <c r="M65" s="193">
        <f t="shared" si="7"/>
        <v>182.09</v>
      </c>
      <c r="N65" s="193">
        <f t="shared" si="7"/>
        <v>188.80375000000001</v>
      </c>
    </row>
    <row r="66" spans="1:15" ht="24.95" customHeight="1">
      <c r="A66" s="790"/>
      <c r="B66" s="23" t="s">
        <v>130</v>
      </c>
      <c r="C66" s="828"/>
      <c r="D66" s="29"/>
      <c r="E66" s="29">
        <f t="shared" si="8"/>
        <v>3</v>
      </c>
      <c r="F66" s="29">
        <f t="shared" si="8"/>
        <v>3</v>
      </c>
      <c r="G66" s="29">
        <f t="shared" si="8"/>
        <v>3</v>
      </c>
      <c r="H66" s="37"/>
    </row>
    <row r="67" spans="1:15" ht="24.95" customHeight="1">
      <c r="A67" s="788" t="s">
        <v>705</v>
      </c>
      <c r="B67" s="23" t="s">
        <v>129</v>
      </c>
      <c r="C67" s="827">
        <f>3/143</f>
        <v>2.097902097902098E-2</v>
      </c>
      <c r="D67" s="29"/>
      <c r="E67" s="29">
        <f t="shared" ref="E67:G68" si="9">ROUND($C$67*E53,0)</f>
        <v>12</v>
      </c>
      <c r="F67" s="29">
        <f t="shared" si="9"/>
        <v>12</v>
      </c>
      <c r="G67" s="29">
        <f t="shared" si="9"/>
        <v>13</v>
      </c>
      <c r="H67" s="37"/>
      <c r="I67" s="1" t="s">
        <v>137</v>
      </c>
      <c r="J67" s="1" t="s">
        <v>757</v>
      </c>
      <c r="K67" s="1" t="s">
        <v>716</v>
      </c>
      <c r="L67" s="1" t="s">
        <v>717</v>
      </c>
      <c r="M67" s="1" t="s">
        <v>718</v>
      </c>
      <c r="N67" s="1" t="s">
        <v>719</v>
      </c>
    </row>
    <row r="68" spans="1:15" ht="24.95" customHeight="1">
      <c r="A68" s="790"/>
      <c r="B68" s="23" t="s">
        <v>130</v>
      </c>
      <c r="C68" s="828"/>
      <c r="D68" s="29"/>
      <c r="E68" s="29">
        <f t="shared" si="9"/>
        <v>10</v>
      </c>
      <c r="F68" s="29">
        <f t="shared" si="9"/>
        <v>10</v>
      </c>
      <c r="G68" s="29">
        <f t="shared" si="9"/>
        <v>10</v>
      </c>
      <c r="H68" s="37"/>
      <c r="I68" s="1" t="s">
        <v>751</v>
      </c>
      <c r="J68" s="1">
        <v>0</v>
      </c>
      <c r="K68" s="193">
        <f t="shared" ref="K68:N70" si="10">K58*0.15</f>
        <v>64.451999999999998</v>
      </c>
      <c r="L68" s="193">
        <f t="shared" si="10"/>
        <v>64.844999999999999</v>
      </c>
      <c r="M68" s="193">
        <f t="shared" si="10"/>
        <v>65.827500000000001</v>
      </c>
      <c r="N68" s="193">
        <f t="shared" si="10"/>
        <v>66.613500000000002</v>
      </c>
      <c r="O68" s="37"/>
    </row>
    <row r="69" spans="1:15" ht="24.95" customHeight="1">
      <c r="A69" s="788" t="s">
        <v>706</v>
      </c>
      <c r="B69" s="23" t="s">
        <v>129</v>
      </c>
      <c r="C69" s="827">
        <f>17/143</f>
        <v>0.11888111888111888</v>
      </c>
      <c r="D69" s="29"/>
      <c r="E69" s="29">
        <f t="shared" ref="E69:G70" si="11">ROUND($C$69*E53,0)</f>
        <v>69</v>
      </c>
      <c r="F69" s="29">
        <f t="shared" si="11"/>
        <v>70</v>
      </c>
      <c r="G69" s="29">
        <f t="shared" si="11"/>
        <v>71</v>
      </c>
      <c r="H69" s="37"/>
      <c r="I69" s="1" t="s">
        <v>753</v>
      </c>
      <c r="J69" s="1">
        <v>0</v>
      </c>
      <c r="K69" s="193">
        <f t="shared" si="10"/>
        <v>61.20975</v>
      </c>
      <c r="L69" s="193">
        <f t="shared" si="10"/>
        <v>67.98899999999999</v>
      </c>
      <c r="M69" s="193">
        <f t="shared" si="10"/>
        <v>74.768250000000009</v>
      </c>
      <c r="N69" s="193">
        <f t="shared" si="10"/>
        <v>80.663249999999991</v>
      </c>
    </row>
    <row r="70" spans="1:15" ht="24.95" customHeight="1">
      <c r="A70" s="790"/>
      <c r="B70" s="23" t="s">
        <v>130</v>
      </c>
      <c r="C70" s="828"/>
      <c r="D70" s="29"/>
      <c r="E70" s="29">
        <f t="shared" si="11"/>
        <v>56</v>
      </c>
      <c r="F70" s="29">
        <f t="shared" si="11"/>
        <v>57</v>
      </c>
      <c r="G70" s="29">
        <f t="shared" si="11"/>
        <v>58</v>
      </c>
      <c r="H70" s="37"/>
      <c r="I70" s="1" t="s">
        <v>755</v>
      </c>
      <c r="J70" s="1">
        <v>0</v>
      </c>
      <c r="K70" s="193">
        <f t="shared" si="10"/>
        <v>48.830249999999999</v>
      </c>
      <c r="L70" s="193">
        <f t="shared" si="10"/>
        <v>52.023374999999994</v>
      </c>
      <c r="M70" s="193">
        <f t="shared" si="10"/>
        <v>54.627000000000002</v>
      </c>
      <c r="N70" s="193">
        <f t="shared" si="10"/>
        <v>56.641125000000002</v>
      </c>
      <c r="O70" s="37"/>
    </row>
    <row r="71" spans="1:15" ht="24.95" customHeight="1">
      <c r="A71" s="788" t="s">
        <v>707</v>
      </c>
      <c r="B71" s="23" t="s">
        <v>129</v>
      </c>
      <c r="C71" s="827">
        <f>9/143</f>
        <v>6.2937062937062943E-2</v>
      </c>
      <c r="D71" s="29"/>
      <c r="E71" s="29">
        <f t="shared" ref="E71:G72" si="12">ROUND($C$71*E53,0)</f>
        <v>37</v>
      </c>
      <c r="F71" s="29">
        <f t="shared" si="12"/>
        <v>37</v>
      </c>
      <c r="G71" s="29">
        <f t="shared" si="12"/>
        <v>38</v>
      </c>
      <c r="H71" s="37"/>
    </row>
    <row r="72" spans="1:15" ht="24.95" customHeight="1">
      <c r="A72" s="790"/>
      <c r="B72" s="23" t="s">
        <v>130</v>
      </c>
      <c r="C72" s="828"/>
      <c r="D72" s="29"/>
      <c r="E72" s="29">
        <f t="shared" si="12"/>
        <v>30</v>
      </c>
      <c r="F72" s="29">
        <f t="shared" si="12"/>
        <v>30</v>
      </c>
      <c r="G72" s="29">
        <f t="shared" si="12"/>
        <v>31</v>
      </c>
      <c r="H72" s="37"/>
    </row>
    <row r="73" spans="1:15" ht="24.95" customHeight="1">
      <c r="A73" s="788" t="s">
        <v>708</v>
      </c>
      <c r="B73" s="23" t="s">
        <v>129</v>
      </c>
      <c r="C73" s="827">
        <f>3/143</f>
        <v>2.097902097902098E-2</v>
      </c>
      <c r="D73" s="29"/>
      <c r="E73" s="29">
        <f t="shared" ref="E73:G74" si="13">ROUND($C$73*E53,0)</f>
        <v>12</v>
      </c>
      <c r="F73" s="29">
        <f t="shared" si="13"/>
        <v>12</v>
      </c>
      <c r="G73" s="29">
        <f t="shared" si="13"/>
        <v>13</v>
      </c>
      <c r="H73" s="37"/>
    </row>
    <row r="74" spans="1:15" ht="24.95" customHeight="1">
      <c r="A74" s="790"/>
      <c r="B74" s="23" t="s">
        <v>130</v>
      </c>
      <c r="C74" s="828"/>
      <c r="D74" s="29"/>
      <c r="E74" s="29">
        <f t="shared" si="13"/>
        <v>10</v>
      </c>
      <c r="F74" s="29">
        <f t="shared" si="13"/>
        <v>10</v>
      </c>
      <c r="G74" s="29">
        <f t="shared" si="13"/>
        <v>10</v>
      </c>
      <c r="H74" s="37"/>
    </row>
    <row r="75" spans="1:15" ht="24.95" customHeight="1">
      <c r="A75" s="788" t="s">
        <v>709</v>
      </c>
      <c r="B75" s="23" t="s">
        <v>129</v>
      </c>
      <c r="C75" s="827">
        <f>4/143</f>
        <v>2.7972027972027972E-2</v>
      </c>
      <c r="D75" s="29"/>
      <c r="E75" s="29">
        <f t="shared" ref="E75:G76" si="14">ROUND($C$75*E53,0)</f>
        <v>16</v>
      </c>
      <c r="F75" s="29">
        <f t="shared" si="14"/>
        <v>17</v>
      </c>
      <c r="G75" s="29">
        <f t="shared" si="14"/>
        <v>17</v>
      </c>
      <c r="H75" s="37"/>
    </row>
    <row r="76" spans="1:15" ht="24.95" customHeight="1">
      <c r="A76" s="790"/>
      <c r="B76" s="23" t="s">
        <v>130</v>
      </c>
      <c r="C76" s="828"/>
      <c r="D76" s="29"/>
      <c r="E76" s="29">
        <f t="shared" si="14"/>
        <v>13</v>
      </c>
      <c r="F76" s="29">
        <f t="shared" si="14"/>
        <v>13</v>
      </c>
      <c r="G76" s="29">
        <f t="shared" si="14"/>
        <v>14</v>
      </c>
      <c r="H76" s="37"/>
    </row>
    <row r="77" spans="1:15" ht="24.95" customHeight="1">
      <c r="A77" s="788" t="s">
        <v>710</v>
      </c>
      <c r="B77" s="23" t="s">
        <v>129</v>
      </c>
      <c r="C77" s="827">
        <f>2/143</f>
        <v>1.3986013986013986E-2</v>
      </c>
      <c r="D77" s="29"/>
      <c r="E77" s="29">
        <f t="shared" ref="E77:G78" si="15">ROUND($C$77*E53,0)</f>
        <v>8</v>
      </c>
      <c r="F77" s="29">
        <f t="shared" si="15"/>
        <v>8</v>
      </c>
      <c r="G77" s="29">
        <f t="shared" si="15"/>
        <v>8</v>
      </c>
      <c r="H77" s="37"/>
    </row>
    <row r="78" spans="1:15" ht="24.95" customHeight="1">
      <c r="A78" s="790"/>
      <c r="B78" s="23" t="s">
        <v>130</v>
      </c>
      <c r="C78" s="828"/>
      <c r="D78" s="29"/>
      <c r="E78" s="29">
        <f t="shared" si="15"/>
        <v>7</v>
      </c>
      <c r="F78" s="29">
        <f t="shared" si="15"/>
        <v>7</v>
      </c>
      <c r="G78" s="29">
        <f t="shared" si="15"/>
        <v>7</v>
      </c>
      <c r="H78" s="37"/>
    </row>
    <row r="79" spans="1:15" ht="24.95" customHeight="1">
      <c r="A79" s="788" t="s">
        <v>711</v>
      </c>
      <c r="B79" s="23" t="s">
        <v>129</v>
      </c>
      <c r="C79" s="827">
        <v>0</v>
      </c>
      <c r="D79" s="29"/>
      <c r="E79" s="29">
        <f t="shared" ref="E79:G80" si="16">ROUND($C$79*E53,0)</f>
        <v>0</v>
      </c>
      <c r="F79" s="29">
        <f t="shared" si="16"/>
        <v>0</v>
      </c>
      <c r="G79" s="29">
        <f t="shared" si="16"/>
        <v>0</v>
      </c>
      <c r="H79" s="37"/>
    </row>
    <row r="80" spans="1:15" ht="24.95" customHeight="1">
      <c r="A80" s="790"/>
      <c r="B80" s="23" t="s">
        <v>130</v>
      </c>
      <c r="C80" s="828"/>
      <c r="D80" s="29"/>
      <c r="E80" s="29">
        <f t="shared" si="16"/>
        <v>0</v>
      </c>
      <c r="F80" s="29">
        <f t="shared" si="16"/>
        <v>0</v>
      </c>
      <c r="G80" s="29">
        <f t="shared" si="16"/>
        <v>0</v>
      </c>
      <c r="H80" s="37"/>
    </row>
    <row r="81" spans="1:15" ht="24.95" customHeight="1">
      <c r="A81" s="788" t="s">
        <v>712</v>
      </c>
      <c r="B81" s="23" t="s">
        <v>129</v>
      </c>
      <c r="C81" s="827">
        <f>43/143</f>
        <v>0.30069930069930068</v>
      </c>
      <c r="D81" s="29"/>
      <c r="E81" s="29">
        <f>ROUND($C$81*E53,0)-2</f>
        <v>172</v>
      </c>
      <c r="F81" s="29">
        <f>ROUND($C$81*F53,0)</f>
        <v>178</v>
      </c>
      <c r="G81" s="29">
        <f>ROUND($C$81*G53,0)-3</f>
        <v>177</v>
      </c>
      <c r="H81" s="37"/>
    </row>
    <row r="82" spans="1:15" ht="24.95" customHeight="1">
      <c r="A82" s="790"/>
      <c r="B82" s="23" t="s">
        <v>130</v>
      </c>
      <c r="C82" s="828"/>
      <c r="D82" s="29"/>
      <c r="E82" s="29">
        <f>ROUND($C$81*E54,0)-1</f>
        <v>140</v>
      </c>
      <c r="F82" s="29">
        <f>ROUND($C$81*F54,0)+1</f>
        <v>145</v>
      </c>
      <c r="G82" s="29">
        <f>ROUND($C$81*G54,0)</f>
        <v>146</v>
      </c>
      <c r="H82" s="37"/>
      <c r="I82" s="37"/>
      <c r="J82" s="37"/>
      <c r="K82" s="37"/>
      <c r="L82" s="53"/>
      <c r="M82" s="53"/>
      <c r="N82" s="53"/>
      <c r="O82" s="37"/>
    </row>
    <row r="83" spans="1:15" ht="24.95" customHeight="1">
      <c r="A83" s="788" t="s">
        <v>713</v>
      </c>
      <c r="B83" s="23" t="s">
        <v>129</v>
      </c>
      <c r="C83" s="827">
        <f>3/143</f>
        <v>2.097902097902098E-2</v>
      </c>
      <c r="D83" s="29"/>
      <c r="E83" s="29">
        <f t="shared" ref="E83:G84" si="17">ROUND($C$83*E53,0)</f>
        <v>12</v>
      </c>
      <c r="F83" s="29">
        <f t="shared" si="17"/>
        <v>12</v>
      </c>
      <c r="G83" s="29">
        <f t="shared" si="17"/>
        <v>13</v>
      </c>
      <c r="H83" s="37"/>
    </row>
    <row r="84" spans="1:15" ht="24.95" customHeight="1">
      <c r="A84" s="790"/>
      <c r="B84" s="23" t="s">
        <v>130</v>
      </c>
      <c r="C84" s="828"/>
      <c r="D84" s="29"/>
      <c r="E84" s="29">
        <f t="shared" si="17"/>
        <v>10</v>
      </c>
      <c r="F84" s="29">
        <f t="shared" si="17"/>
        <v>10</v>
      </c>
      <c r="G84" s="29">
        <f t="shared" si="17"/>
        <v>10</v>
      </c>
      <c r="H84" s="37"/>
      <c r="I84" s="37"/>
      <c r="J84" s="37"/>
      <c r="K84" s="37"/>
      <c r="L84" s="53"/>
      <c r="M84" s="53"/>
      <c r="N84" s="53"/>
      <c r="O84" s="37"/>
    </row>
    <row r="85" spans="1:15" ht="24.95" customHeight="1"/>
    <row r="86" spans="1:15" ht="24.95" customHeight="1"/>
    <row r="87" spans="1:15" ht="24.95" customHeight="1"/>
    <row r="88" spans="1:15" ht="24.95" customHeight="1"/>
    <row r="89" spans="1:15" ht="24.95" customHeight="1"/>
    <row r="90" spans="1:15" ht="24.95" customHeight="1"/>
    <row r="91" spans="1:15" ht="24.95" customHeight="1"/>
    <row r="92" spans="1:15" ht="24.95" customHeight="1"/>
    <row r="93" spans="1:15" ht="24.95" customHeight="1"/>
    <row r="94" spans="1:15" ht="24.95" customHeight="1"/>
    <row r="95" spans="1:15" ht="24.95" customHeight="1"/>
    <row r="96" spans="1:15" ht="24.95" customHeight="1"/>
    <row r="97" ht="24.95" customHeight="1"/>
    <row r="98" ht="24.95" customHeight="1"/>
    <row r="99" ht="24.95" customHeight="1"/>
    <row r="100" ht="24.95" customHeight="1"/>
    <row r="101" ht="24.95" customHeight="1"/>
    <row r="102" ht="24.95" customHeight="1"/>
    <row r="103" ht="24.95" customHeight="1"/>
    <row r="104" ht="24.95" customHeight="1"/>
    <row r="105" ht="24.95" customHeight="1"/>
    <row r="106" ht="24.95" customHeight="1"/>
    <row r="107" ht="24.95" customHeight="1"/>
    <row r="108" ht="24.95" customHeight="1"/>
    <row r="109" ht="24.95" customHeight="1"/>
    <row r="110" ht="24.95" customHeight="1"/>
    <row r="111" ht="24.95" customHeight="1"/>
    <row r="112" ht="24.95" customHeight="1"/>
    <row r="113" ht="24.95" customHeight="1"/>
    <row r="114" ht="24.95" customHeight="1"/>
    <row r="115" ht="24.95" customHeight="1"/>
    <row r="116" ht="24.95" customHeight="1"/>
    <row r="117" ht="24.95" customHeight="1"/>
    <row r="118" ht="24.95" customHeight="1"/>
    <row r="119" ht="24.95" customHeight="1"/>
    <row r="120" ht="24.95" customHeight="1"/>
    <row r="121" ht="24.95" customHeight="1"/>
    <row r="122" ht="24.95" customHeight="1"/>
    <row r="123" ht="24.95" customHeight="1"/>
    <row r="124" ht="24.95" customHeight="1"/>
    <row r="125" ht="24.95" customHeight="1"/>
    <row r="126" ht="24.95" customHeight="1"/>
    <row r="127" ht="24.95" customHeight="1"/>
    <row r="128" ht="24.95" customHeight="1"/>
    <row r="129" ht="24.95" customHeight="1"/>
    <row r="130" ht="24.95" customHeight="1"/>
    <row r="131" ht="24.95" customHeight="1"/>
    <row r="132" ht="24.95" customHeight="1"/>
    <row r="133" ht="24.95" customHeight="1"/>
    <row r="134" ht="24.95" customHeight="1"/>
    <row r="135" ht="24.95" customHeight="1"/>
    <row r="136" ht="24.95" customHeight="1"/>
    <row r="137" ht="24.95" customHeight="1"/>
    <row r="138" ht="24.95" customHeight="1"/>
    <row r="139" ht="24.95" customHeight="1"/>
    <row r="140" ht="24.95" customHeight="1"/>
    <row r="141" ht="24.95" customHeight="1"/>
    <row r="142" ht="24.95" customHeight="1"/>
    <row r="143" ht="24.95" customHeight="1"/>
    <row r="144" ht="24.95" customHeight="1"/>
    <row r="145" ht="24.95" customHeight="1"/>
    <row r="146" ht="24.95" customHeight="1"/>
    <row r="147" ht="24.95" customHeight="1"/>
    <row r="148" ht="24.95" customHeight="1"/>
    <row r="149" ht="24.95" customHeight="1"/>
    <row r="150" ht="24.95" customHeight="1"/>
    <row r="151" ht="24.95" customHeight="1"/>
    <row r="152" ht="24.95" customHeight="1"/>
    <row r="153" ht="24.95" customHeight="1"/>
    <row r="154" ht="24.95" customHeight="1"/>
    <row r="155" ht="24.95" customHeight="1"/>
    <row r="156" ht="24.95" customHeight="1"/>
    <row r="157" ht="24.95" customHeight="1"/>
    <row r="158" ht="24.95" customHeight="1"/>
    <row r="159" ht="24.95" customHeight="1"/>
    <row r="160" ht="24.95" customHeight="1"/>
    <row r="161" ht="24.95" customHeight="1"/>
    <row r="162" ht="24.95" customHeight="1"/>
    <row r="163" ht="24.95" customHeight="1"/>
    <row r="164" ht="24.95" customHeight="1"/>
    <row r="165" ht="24.95" customHeight="1"/>
    <row r="166" ht="24.95" customHeight="1"/>
    <row r="167" ht="24.95" customHeight="1"/>
    <row r="168" ht="24.95" customHeight="1"/>
    <row r="169" ht="24.95" customHeight="1"/>
    <row r="170" ht="24.95" customHeight="1"/>
    <row r="171" ht="24.95" customHeight="1"/>
    <row r="172" ht="24.95" customHeight="1"/>
    <row r="173" ht="24.95" customHeight="1"/>
    <row r="174" ht="24.95" customHeight="1"/>
    <row r="175" ht="24.95" customHeight="1"/>
    <row r="176" ht="24.95" customHeight="1"/>
    <row r="177" ht="24.95" customHeight="1"/>
    <row r="178" ht="24.95" customHeight="1"/>
    <row r="179" ht="24.95" customHeight="1"/>
    <row r="180" ht="24.95" customHeight="1"/>
    <row r="181" ht="24.95" customHeight="1"/>
    <row r="182" ht="24.95" customHeight="1"/>
    <row r="183" ht="24.95" customHeight="1"/>
    <row r="184" ht="24.95" customHeight="1"/>
    <row r="185" ht="24.95" customHeight="1"/>
    <row r="186" ht="24.95" customHeight="1"/>
    <row r="187" ht="24.95" customHeight="1"/>
    <row r="188" ht="24.95" customHeight="1"/>
    <row r="189" ht="24.95" customHeight="1"/>
    <row r="190" ht="24.95" customHeight="1"/>
    <row r="191" ht="24.95" customHeight="1"/>
    <row r="192" ht="24.95" customHeight="1"/>
    <row r="193" ht="24.95" customHeight="1"/>
    <row r="194" ht="24.95" customHeight="1"/>
    <row r="195" ht="24.95" customHeight="1"/>
    <row r="196" ht="24.95" customHeight="1"/>
    <row r="197" ht="24.95" customHeight="1"/>
    <row r="198" ht="24.95" customHeight="1"/>
    <row r="199" ht="24.95" customHeight="1"/>
    <row r="200" ht="24.95" customHeight="1"/>
    <row r="201" ht="24.95" customHeight="1"/>
    <row r="202" ht="24.95" customHeight="1"/>
    <row r="203" ht="24.95" customHeight="1"/>
    <row r="204" ht="24.95" customHeight="1"/>
    <row r="205" ht="24.95" customHeight="1"/>
    <row r="206" ht="24.95" customHeight="1"/>
    <row r="207" ht="24.95" customHeight="1"/>
    <row r="208" ht="24.95" customHeight="1"/>
    <row r="209" ht="24.95" customHeight="1"/>
    <row r="210" ht="24.95" customHeight="1"/>
    <row r="211" ht="24.95" customHeight="1"/>
    <row r="212" ht="24.95" customHeight="1"/>
    <row r="213" ht="24.95" customHeight="1"/>
    <row r="214" ht="24.95" customHeight="1"/>
    <row r="215" ht="24.95" customHeight="1"/>
    <row r="216" ht="24.95" customHeight="1"/>
    <row r="217" ht="24.95" customHeight="1"/>
    <row r="218" ht="24.95" customHeight="1"/>
    <row r="219" ht="24.95" customHeight="1"/>
    <row r="220" ht="24.95" customHeight="1"/>
    <row r="221" ht="24.95" customHeight="1"/>
  </sheetData>
  <mergeCells count="84">
    <mergeCell ref="C71:C72"/>
    <mergeCell ref="A18:A20"/>
    <mergeCell ref="C67:C68"/>
    <mergeCell ref="A67:A68"/>
    <mergeCell ref="C65:C66"/>
    <mergeCell ref="A65:A66"/>
    <mergeCell ref="C63:C64"/>
    <mergeCell ref="A63:A64"/>
    <mergeCell ref="A52:B52"/>
    <mergeCell ref="A53:A54"/>
    <mergeCell ref="C53:C54"/>
    <mergeCell ref="A55:A56"/>
    <mergeCell ref="C55:C56"/>
    <mergeCell ref="C69:C70"/>
    <mergeCell ref="A71:A72"/>
    <mergeCell ref="A6:A8"/>
    <mergeCell ref="A57:A58"/>
    <mergeCell ref="C57:C58"/>
    <mergeCell ref="A61:A62"/>
    <mergeCell ref="C61:C62"/>
    <mergeCell ref="A21:A23"/>
    <mergeCell ref="A24:A26"/>
    <mergeCell ref="A27:A29"/>
    <mergeCell ref="A2:B2"/>
    <mergeCell ref="A59:A60"/>
    <mergeCell ref="C59:C60"/>
    <mergeCell ref="H24:H26"/>
    <mergeCell ref="H2:I2"/>
    <mergeCell ref="H3:H5"/>
    <mergeCell ref="A48:A50"/>
    <mergeCell ref="H48:H50"/>
    <mergeCell ref="A39:A41"/>
    <mergeCell ref="H39:H41"/>
    <mergeCell ref="A30:A32"/>
    <mergeCell ref="H30:H32"/>
    <mergeCell ref="A15:A17"/>
    <mergeCell ref="A3:A5"/>
    <mergeCell ref="A9:A11"/>
    <mergeCell ref="A12:A14"/>
    <mergeCell ref="H12:H14"/>
    <mergeCell ref="H15:H17"/>
    <mergeCell ref="H18:H20"/>
    <mergeCell ref="H21:H23"/>
    <mergeCell ref="O2:P2"/>
    <mergeCell ref="O3:O5"/>
    <mergeCell ref="O6:O8"/>
    <mergeCell ref="O9:O11"/>
    <mergeCell ref="O12:O14"/>
    <mergeCell ref="H6:H8"/>
    <mergeCell ref="H9:H11"/>
    <mergeCell ref="O15:O17"/>
    <mergeCell ref="O18:O20"/>
    <mergeCell ref="O21:O23"/>
    <mergeCell ref="H27:H29"/>
    <mergeCell ref="O27:O29"/>
    <mergeCell ref="A33:A35"/>
    <mergeCell ref="H33:H35"/>
    <mergeCell ref="O33:O35"/>
    <mergeCell ref="O24:O26"/>
    <mergeCell ref="O30:O32"/>
    <mergeCell ref="A73:A74"/>
    <mergeCell ref="C73:C74"/>
    <mergeCell ref="O39:O41"/>
    <mergeCell ref="A36:A38"/>
    <mergeCell ref="H36:H38"/>
    <mergeCell ref="O36:O38"/>
    <mergeCell ref="O48:O50"/>
    <mergeCell ref="A45:A47"/>
    <mergeCell ref="H45:H47"/>
    <mergeCell ref="O45:O47"/>
    <mergeCell ref="A42:A44"/>
    <mergeCell ref="H42:H44"/>
    <mergeCell ref="O42:O44"/>
    <mergeCell ref="A69:A70"/>
    <mergeCell ref="A81:A82"/>
    <mergeCell ref="C81:C82"/>
    <mergeCell ref="A83:A84"/>
    <mergeCell ref="C83:C84"/>
    <mergeCell ref="A75:A76"/>
    <mergeCell ref="C75:C76"/>
    <mergeCell ref="A77:A78"/>
    <mergeCell ref="C77:C78"/>
    <mergeCell ref="A79:A80"/>
    <mergeCell ref="C79:C80"/>
  </mergeCells>
  <phoneticPr fontId="3" type="noConversion"/>
  <pageMargins left="0.59055118110236227" right="0.51181102362204722" top="0.59055118110236227" bottom="0.98425196850393704" header="0.51181102362204722" footer="0.51181102362204722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>
  <sheetPr enableFormatConditionsCalculation="0">
    <tabColor theme="1"/>
  </sheetPr>
  <dimension ref="A1:G28"/>
  <sheetViews>
    <sheetView workbookViewId="0"/>
  </sheetViews>
  <sheetFormatPr defaultRowHeight="11.25"/>
  <cols>
    <col min="1" max="7" width="12.5546875" style="1" customWidth="1"/>
    <col min="8" max="16384" width="8.88671875" style="1"/>
  </cols>
  <sheetData>
    <row r="1" spans="1:7" ht="24.95" customHeight="1">
      <c r="A1" s="92" t="s">
        <v>557</v>
      </c>
    </row>
    <row r="2" spans="1:7" ht="19.5" customHeight="1">
      <c r="A2" s="33" t="s">
        <v>758</v>
      </c>
    </row>
    <row r="3" spans="1:7" ht="24" customHeight="1">
      <c r="A3" s="24" t="s">
        <v>57</v>
      </c>
      <c r="B3" s="24" t="s">
        <v>760</v>
      </c>
      <c r="C3" s="24" t="s">
        <v>383</v>
      </c>
      <c r="D3" s="24" t="s">
        <v>388</v>
      </c>
      <c r="E3" s="24" t="s">
        <v>759</v>
      </c>
      <c r="F3" s="24" t="s">
        <v>714</v>
      </c>
      <c r="G3" s="24" t="s">
        <v>127</v>
      </c>
    </row>
    <row r="4" spans="1:7" ht="24" customHeight="1">
      <c r="A4" s="24" t="s">
        <v>761</v>
      </c>
      <c r="B4" s="125">
        <v>6608.71</v>
      </c>
      <c r="C4" s="125">
        <v>4973.0645161290322</v>
      </c>
      <c r="D4" s="125">
        <v>5511.322580645161</v>
      </c>
      <c r="E4" s="125">
        <v>4332.6129032258068</v>
      </c>
      <c r="F4" s="125">
        <v>4053.0645161290322</v>
      </c>
      <c r="G4" s="24"/>
    </row>
    <row r="5" spans="1:7" ht="24" customHeight="1">
      <c r="A5" s="23" t="s">
        <v>762</v>
      </c>
      <c r="B5" s="29">
        <v>6682.1790000000001</v>
      </c>
      <c r="C5" s="29">
        <v>5308.7857142857147</v>
      </c>
      <c r="D5" s="29">
        <v>4491.0714285714284</v>
      </c>
      <c r="E5" s="29">
        <v>4145.5357142857147</v>
      </c>
      <c r="F5" s="29">
        <v>3850.8387096774195</v>
      </c>
      <c r="G5" s="29"/>
    </row>
    <row r="6" spans="1:7" ht="24" customHeight="1">
      <c r="A6" s="23" t="s">
        <v>763</v>
      </c>
      <c r="B6" s="29">
        <v>6239.1940000000004</v>
      </c>
      <c r="C6" s="29">
        <v>6260</v>
      </c>
      <c r="D6" s="29">
        <v>4444.2258064516127</v>
      </c>
      <c r="E6" s="29">
        <v>4131.6451612903229</v>
      </c>
      <c r="F6" s="29">
        <v>4210.4516129032254</v>
      </c>
      <c r="G6" s="23"/>
    </row>
    <row r="7" spans="1:7" ht="24" customHeight="1">
      <c r="A7" s="23" t="s">
        <v>764</v>
      </c>
      <c r="B7" s="29">
        <v>6522.6</v>
      </c>
      <c r="C7" s="29">
        <v>4750.833333333333</v>
      </c>
      <c r="D7" s="29">
        <v>4462.9333333333334</v>
      </c>
      <c r="E7" s="29">
        <v>4130.7</v>
      </c>
      <c r="F7" s="29">
        <v>3864.3548387096776</v>
      </c>
      <c r="G7" s="23"/>
    </row>
    <row r="8" spans="1:7" ht="24" customHeight="1">
      <c r="A8" s="23" t="s">
        <v>765</v>
      </c>
      <c r="B8" s="29">
        <v>6543.5810000000001</v>
      </c>
      <c r="C8" s="29">
        <v>5623.1612903225805</v>
      </c>
      <c r="D8" s="29">
        <v>5103.0322580645161</v>
      </c>
      <c r="E8" s="29">
        <v>4660.0645161290322</v>
      </c>
      <c r="F8" s="29">
        <v>4432.5483870967746</v>
      </c>
      <c r="G8" s="23"/>
    </row>
    <row r="9" spans="1:7" ht="24" customHeight="1">
      <c r="A9" s="23" t="s">
        <v>766</v>
      </c>
      <c r="B9" s="29">
        <v>6704.8329999999996</v>
      </c>
      <c r="C9" s="29">
        <v>5783</v>
      </c>
      <c r="D9" s="29">
        <v>4339.8666666666668</v>
      </c>
      <c r="E9" s="29">
        <v>4491</v>
      </c>
      <c r="F9" s="29">
        <v>4410.5161290322585</v>
      </c>
      <c r="G9" s="23"/>
    </row>
    <row r="10" spans="1:7" ht="24" customHeight="1">
      <c r="A10" s="23" t="s">
        <v>767</v>
      </c>
      <c r="B10" s="29">
        <v>7110.2579999999998</v>
      </c>
      <c r="C10" s="29">
        <v>6374.1290322580644</v>
      </c>
      <c r="D10" s="29">
        <v>5061.3548387096771</v>
      </c>
      <c r="E10" s="29">
        <v>5382</v>
      </c>
      <c r="F10" s="29">
        <v>5329</v>
      </c>
      <c r="G10" s="23"/>
    </row>
    <row r="11" spans="1:7" ht="24" customHeight="1">
      <c r="A11" s="23" t="s">
        <v>768</v>
      </c>
      <c r="B11" s="29">
        <v>6396.1289999999999</v>
      </c>
      <c r="C11" s="29">
        <v>6748.3548387096771</v>
      </c>
      <c r="D11" s="29">
        <v>5242.9354838709678</v>
      </c>
      <c r="E11" s="29">
        <v>5305.8709677419356</v>
      </c>
      <c r="F11" s="29">
        <v>5657.1935483870966</v>
      </c>
      <c r="G11" s="23"/>
    </row>
    <row r="12" spans="1:7" ht="24" customHeight="1">
      <c r="A12" s="23" t="s">
        <v>769</v>
      </c>
      <c r="B12" s="29">
        <v>7165.2</v>
      </c>
      <c r="C12" s="29">
        <v>5833.2333333333336</v>
      </c>
      <c r="D12" s="29">
        <v>4710.8666666666668</v>
      </c>
      <c r="E12" s="29">
        <v>4988.4333333333334</v>
      </c>
      <c r="F12" s="29">
        <v>4924.4838709677415</v>
      </c>
      <c r="G12" s="23"/>
    </row>
    <row r="13" spans="1:7" ht="24" customHeight="1">
      <c r="A13" s="23" t="s">
        <v>770</v>
      </c>
      <c r="B13" s="29">
        <v>6495.4840000000004</v>
      </c>
      <c r="C13" s="29">
        <v>5852.5161290322585</v>
      </c>
      <c r="D13" s="29">
        <v>4520.0322580645161</v>
      </c>
      <c r="E13" s="29">
        <v>4468.2903225806449</v>
      </c>
      <c r="F13" s="29">
        <v>4347.5806451612907</v>
      </c>
      <c r="G13" s="23"/>
    </row>
    <row r="14" spans="1:7" ht="24" customHeight="1">
      <c r="A14" s="23" t="s">
        <v>771</v>
      </c>
      <c r="B14" s="29">
        <v>5293.4669999999996</v>
      </c>
      <c r="C14" s="29">
        <v>5442.833333333333</v>
      </c>
      <c r="D14" s="29">
        <v>4398.2666666666664</v>
      </c>
      <c r="E14" s="29">
        <v>4283.7</v>
      </c>
      <c r="F14" s="29">
        <v>3851.7741935483873</v>
      </c>
      <c r="G14" s="23"/>
    </row>
    <row r="15" spans="1:7" ht="24" customHeight="1">
      <c r="A15" s="23" t="s">
        <v>772</v>
      </c>
      <c r="B15" s="29">
        <v>4294.8710000000001</v>
      </c>
      <c r="C15" s="29">
        <v>4903.8064516129034</v>
      </c>
      <c r="D15" s="29">
        <v>4104.1935483870966</v>
      </c>
      <c r="E15" s="29">
        <v>4088.0322580645161</v>
      </c>
      <c r="F15" s="29">
        <v>3998.3870967741937</v>
      </c>
      <c r="G15" s="23"/>
    </row>
    <row r="16" spans="1:7" ht="24" customHeight="1">
      <c r="A16" s="23" t="s">
        <v>773</v>
      </c>
      <c r="B16" s="29">
        <f>AVERAGE(B4:B15)</f>
        <v>6338.0421666666662</v>
      </c>
      <c r="C16" s="29">
        <f>AVERAGE(C4:C15)</f>
        <v>5654.4764976958513</v>
      </c>
      <c r="D16" s="29">
        <f>AVERAGE(D4:D15)</f>
        <v>4699.1751280081926</v>
      </c>
      <c r="E16" s="29">
        <f>AVERAGE(E4:E15)</f>
        <v>4533.9904313876086</v>
      </c>
      <c r="F16" s="29">
        <f>AVERAGE(F4:F15)</f>
        <v>4410.8494623655915</v>
      </c>
      <c r="G16" s="23"/>
    </row>
    <row r="17" spans="1:7" ht="24" customHeight="1">
      <c r="A17" s="23" t="s">
        <v>774</v>
      </c>
      <c r="B17" s="29">
        <f>MAX(B4:B15)</f>
        <v>7165.2</v>
      </c>
      <c r="C17" s="29">
        <f>MAX(C4:C15)</f>
        <v>6748.3548387096771</v>
      </c>
      <c r="D17" s="29">
        <f>MAX(D4:D15)</f>
        <v>5511.322580645161</v>
      </c>
      <c r="E17" s="29">
        <f>MAX(E4:E15)</f>
        <v>5382</v>
      </c>
      <c r="F17" s="195">
        <f>MAX(F4:F15)</f>
        <v>5657.1935483870966</v>
      </c>
      <c r="G17" s="23"/>
    </row>
    <row r="18" spans="1:7" ht="24" customHeight="1">
      <c r="A18" s="23" t="s">
        <v>775</v>
      </c>
      <c r="B18" s="29">
        <f>MIN(B4:B15)</f>
        <v>4294.8710000000001</v>
      </c>
      <c r="C18" s="29">
        <f>MIN(C4:C15)</f>
        <v>4750.833333333333</v>
      </c>
      <c r="D18" s="29">
        <f>MIN(D4:D15)</f>
        <v>4104.1935483870966</v>
      </c>
      <c r="E18" s="29">
        <f>MIN(E4:E15)</f>
        <v>4088.0322580645161</v>
      </c>
      <c r="F18" s="29">
        <f>MIN(F4:F15)</f>
        <v>3850.8387096774195</v>
      </c>
      <c r="G18" s="23"/>
    </row>
    <row r="19" spans="1:7" ht="19.5" customHeight="1">
      <c r="A19" s="37"/>
      <c r="B19" s="53"/>
      <c r="C19" s="53"/>
      <c r="D19" s="53"/>
      <c r="E19" s="53"/>
      <c r="F19" s="53"/>
      <c r="G19" s="37"/>
    </row>
    <row r="20" spans="1:7" ht="24.95" customHeight="1"/>
    <row r="21" spans="1:7" ht="24.95" customHeight="1"/>
    <row r="22" spans="1:7" ht="24.95" customHeight="1"/>
    <row r="23" spans="1:7" ht="24.95" customHeight="1"/>
    <row r="24" spans="1:7" ht="24.95" customHeight="1"/>
    <row r="25" spans="1:7" ht="24.95" customHeight="1"/>
    <row r="26" spans="1:7" ht="24.95" customHeight="1"/>
    <row r="27" spans="1:7" ht="24.95" customHeight="1"/>
    <row r="28" spans="1:7" ht="24.95" customHeight="1"/>
  </sheetData>
  <phoneticPr fontId="3" type="noConversion"/>
  <printOptions horizontalCentered="1"/>
  <pageMargins left="0.59055118110236227" right="0.59055118110236227" top="0.70866141732283472" bottom="0.98425196850393704" header="0.51181102362204722" footer="0.51181102362204722"/>
  <pageSetup paperSize="9" scale="8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>
  <sheetPr enableFormatConditionsCalculation="0">
    <tabColor indexed="10"/>
  </sheetPr>
  <dimension ref="A1:AF496"/>
  <sheetViews>
    <sheetView workbookViewId="0"/>
  </sheetViews>
  <sheetFormatPr defaultRowHeight="11.25"/>
  <cols>
    <col min="1" max="9" width="9.44140625" style="1" customWidth="1"/>
    <col min="10" max="16" width="12.21875" style="1" customWidth="1"/>
    <col min="17" max="17" width="7.6640625" style="1" customWidth="1"/>
    <col min="18" max="18" width="8.88671875" style="1"/>
    <col min="19" max="26" width="7.5546875" style="1" customWidth="1"/>
    <col min="27" max="16384" width="8.88671875" style="1"/>
  </cols>
  <sheetData>
    <row r="1" spans="1:32" ht="19.5" customHeight="1">
      <c r="A1" s="61" t="s">
        <v>514</v>
      </c>
      <c r="J1" s="61" t="s">
        <v>515</v>
      </c>
      <c r="Q1" s="61" t="s">
        <v>533</v>
      </c>
    </row>
    <row r="2" spans="1:32" ht="19.5" customHeight="1">
      <c r="A2" s="661" t="s">
        <v>0</v>
      </c>
      <c r="B2" s="661"/>
      <c r="C2" s="661" t="s">
        <v>388</v>
      </c>
      <c r="D2" s="661"/>
      <c r="E2" s="661" t="s">
        <v>513</v>
      </c>
      <c r="F2" s="661"/>
      <c r="G2" s="661"/>
      <c r="H2" s="661"/>
      <c r="I2" s="661" t="s">
        <v>74</v>
      </c>
      <c r="J2" s="661" t="s">
        <v>0</v>
      </c>
      <c r="K2" s="661"/>
      <c r="L2" s="661" t="s">
        <v>513</v>
      </c>
      <c r="M2" s="661"/>
      <c r="N2" s="661"/>
      <c r="O2" s="661"/>
      <c r="P2" s="661" t="s">
        <v>74</v>
      </c>
      <c r="Q2" s="844" t="s">
        <v>55</v>
      </c>
      <c r="R2" s="845"/>
      <c r="S2" s="661" t="s">
        <v>513</v>
      </c>
      <c r="T2" s="661"/>
      <c r="U2" s="661"/>
      <c r="V2" s="661"/>
      <c r="W2" s="661" t="s">
        <v>521</v>
      </c>
      <c r="X2" s="661"/>
      <c r="Y2" s="661"/>
      <c r="Z2" s="661"/>
    </row>
    <row r="3" spans="1:32" ht="19.5" customHeight="1">
      <c r="A3" s="661"/>
      <c r="B3" s="661"/>
      <c r="C3" s="2" t="s">
        <v>442</v>
      </c>
      <c r="D3" s="2" t="s">
        <v>512</v>
      </c>
      <c r="E3" s="2" t="s">
        <v>114</v>
      </c>
      <c r="F3" s="2" t="s">
        <v>115</v>
      </c>
      <c r="G3" s="2" t="s">
        <v>116</v>
      </c>
      <c r="H3" s="2" t="s">
        <v>117</v>
      </c>
      <c r="I3" s="661"/>
      <c r="J3" s="661"/>
      <c r="K3" s="661"/>
      <c r="L3" s="2" t="s">
        <v>114</v>
      </c>
      <c r="M3" s="2" t="s">
        <v>115</v>
      </c>
      <c r="N3" s="2" t="s">
        <v>116</v>
      </c>
      <c r="O3" s="2" t="s">
        <v>117</v>
      </c>
      <c r="P3" s="661"/>
      <c r="Q3" s="846"/>
      <c r="R3" s="847"/>
      <c r="S3" s="84" t="s">
        <v>114</v>
      </c>
      <c r="T3" s="84" t="s">
        <v>115</v>
      </c>
      <c r="U3" s="84" t="s">
        <v>116</v>
      </c>
      <c r="V3" s="84" t="s">
        <v>117</v>
      </c>
      <c r="W3" s="84" t="s">
        <v>114</v>
      </c>
      <c r="X3" s="84" t="s">
        <v>115</v>
      </c>
      <c r="Y3" s="84" t="s">
        <v>116</v>
      </c>
      <c r="Z3" s="84" t="s">
        <v>117</v>
      </c>
    </row>
    <row r="4" spans="1:32" ht="19.5" customHeight="1">
      <c r="A4" s="661" t="s">
        <v>511</v>
      </c>
      <c r="B4" s="661"/>
      <c r="C4" s="5">
        <f>C5+C26+C42+C60+C76+C85</f>
        <v>31842</v>
      </c>
      <c r="D4" s="54">
        <v>1</v>
      </c>
      <c r="E4" s="5">
        <f>E5+E26+E42+E60+E76+E85</f>
        <v>130469</v>
      </c>
      <c r="F4" s="5">
        <f>F5+F26+F42+F60+F76+F85</f>
        <v>133200</v>
      </c>
      <c r="G4" s="5">
        <f>G5+G26+G42+G60+G76+G85</f>
        <v>136220</v>
      </c>
      <c r="H4" s="5">
        <f>H5+H26+H42+H60+H76+H85</f>
        <v>138560</v>
      </c>
      <c r="I4" s="2"/>
      <c r="J4" s="661" t="s">
        <v>394</v>
      </c>
      <c r="K4" s="661"/>
      <c r="L4" s="11">
        <f>L5+L24+L40</f>
        <v>78374</v>
      </c>
      <c r="M4" s="11">
        <f>M5+M24+M40</f>
        <v>80014</v>
      </c>
      <c r="N4" s="11">
        <f>N5+N24+N40</f>
        <v>81824</v>
      </c>
      <c r="O4" s="11">
        <f>O5+O24+O40</f>
        <v>83230</v>
      </c>
      <c r="P4" s="2"/>
      <c r="Q4" s="770" t="s">
        <v>526</v>
      </c>
      <c r="R4" s="2" t="s">
        <v>51</v>
      </c>
      <c r="S4" s="11">
        <f t="shared" ref="S4:Z4" si="0">SUM(S5:S7)</f>
        <v>78374</v>
      </c>
      <c r="T4" s="11">
        <f t="shared" si="0"/>
        <v>80014</v>
      </c>
      <c r="U4" s="11">
        <f t="shared" si="0"/>
        <v>81824</v>
      </c>
      <c r="V4" s="11">
        <f t="shared" si="0"/>
        <v>83230</v>
      </c>
      <c r="W4" s="11">
        <f t="shared" si="0"/>
        <v>62699</v>
      </c>
      <c r="X4" s="11">
        <f t="shared" si="0"/>
        <v>68011</v>
      </c>
      <c r="Y4" s="11">
        <f t="shared" si="0"/>
        <v>73642</v>
      </c>
      <c r="Z4" s="11">
        <f t="shared" si="0"/>
        <v>79069</v>
      </c>
    </row>
    <row r="5" spans="1:32" ht="19.5" customHeight="1">
      <c r="A5" s="661" t="s">
        <v>420</v>
      </c>
      <c r="B5" s="2" t="s">
        <v>51</v>
      </c>
      <c r="C5" s="5">
        <f>SUM(C6:C25)</f>
        <v>9570</v>
      </c>
      <c r="D5" s="38">
        <f>C5/$C$4</f>
        <v>0.30054644808743169</v>
      </c>
      <c r="E5" s="5">
        <f>'행정구역별 장래인구'!D4</f>
        <v>39154</v>
      </c>
      <c r="F5" s="5">
        <f>'행정구역별 장래인구'!E4</f>
        <v>39973</v>
      </c>
      <c r="G5" s="5">
        <f>'행정구역별 장래인구'!F4</f>
        <v>40879</v>
      </c>
      <c r="H5" s="5">
        <f>'행정구역별 장래인구'!G4</f>
        <v>41581</v>
      </c>
      <c r="I5" s="2"/>
      <c r="J5" s="661" t="s">
        <v>420</v>
      </c>
      <c r="K5" s="2" t="s">
        <v>51</v>
      </c>
      <c r="L5" s="11">
        <f>SUM(L6:L23)</f>
        <v>36730</v>
      </c>
      <c r="M5" s="11">
        <f>SUM(M6:M23)</f>
        <v>37497</v>
      </c>
      <c r="N5" s="11">
        <f>SUM(N6:N23)</f>
        <v>38344</v>
      </c>
      <c r="O5" s="11">
        <f>SUM(O6:O23)</f>
        <v>39004</v>
      </c>
      <c r="P5" s="2"/>
      <c r="Q5" s="661"/>
      <c r="R5" s="2" t="s">
        <v>518</v>
      </c>
      <c r="S5" s="11">
        <f>L5</f>
        <v>36730</v>
      </c>
      <c r="T5" s="11">
        <f>M5</f>
        <v>37497</v>
      </c>
      <c r="U5" s="11">
        <f>N5</f>
        <v>38344</v>
      </c>
      <c r="V5" s="11">
        <f>O5</f>
        <v>39004</v>
      </c>
      <c r="W5" s="5">
        <f>ROUND(S5*0.8,0)</f>
        <v>29384</v>
      </c>
      <c r="X5" s="5">
        <f>ROUND(T5*0.85,0)</f>
        <v>31872</v>
      </c>
      <c r="Y5" s="5">
        <f>ROUND(U5*0.9,0)</f>
        <v>34510</v>
      </c>
      <c r="Z5" s="5">
        <f>ROUND(V5*0.95,0)</f>
        <v>37054</v>
      </c>
    </row>
    <row r="6" spans="1:32" ht="19.5" customHeight="1">
      <c r="A6" s="661"/>
      <c r="B6" s="2" t="s">
        <v>421</v>
      </c>
      <c r="C6" s="5">
        <v>1595</v>
      </c>
      <c r="D6" s="38">
        <f t="shared" ref="D6:D25" si="1">C6/$C$5</f>
        <v>0.16666666666666666</v>
      </c>
      <c r="E6" s="5">
        <f t="shared" ref="E6:E25" si="2">ROUND($E$5*D6,0)</f>
        <v>6526</v>
      </c>
      <c r="F6" s="5">
        <f>ROUND($F$5*D6,0)-1</f>
        <v>6661</v>
      </c>
      <c r="G6" s="5">
        <f>ROUND($G$5*D6,0)-2</f>
        <v>6811</v>
      </c>
      <c r="H6" s="5">
        <f>ROUND($H$5*D6,0)-1</f>
        <v>6929</v>
      </c>
      <c r="I6" s="2"/>
      <c r="J6" s="661"/>
      <c r="K6" s="2" t="s">
        <v>421</v>
      </c>
      <c r="L6" s="11">
        <f t="shared" ref="L6:L22" si="3">E6</f>
        <v>6526</v>
      </c>
      <c r="M6" s="11">
        <f t="shared" ref="M6:M22" si="4">F6</f>
        <v>6661</v>
      </c>
      <c r="N6" s="11">
        <f t="shared" ref="N6:N22" si="5">G6</f>
        <v>6811</v>
      </c>
      <c r="O6" s="11">
        <f t="shared" ref="O6:O22" si="6">H6</f>
        <v>6929</v>
      </c>
      <c r="P6" s="2"/>
      <c r="Q6" s="661"/>
      <c r="R6" s="2" t="s">
        <v>519</v>
      </c>
      <c r="S6" s="11">
        <f>L40</f>
        <v>24879</v>
      </c>
      <c r="T6" s="11">
        <f>M40</f>
        <v>25399</v>
      </c>
      <c r="U6" s="11">
        <f>N40</f>
        <v>25977</v>
      </c>
      <c r="V6" s="11">
        <f>O40</f>
        <v>26423</v>
      </c>
      <c r="W6" s="5">
        <f>ROUND(S6*0.8,0)</f>
        <v>19903</v>
      </c>
      <c r="X6" s="5">
        <f>ROUND(T6*0.85,0)</f>
        <v>21589</v>
      </c>
      <c r="Y6" s="5">
        <f>ROUND(U6*0.9,0)</f>
        <v>23379</v>
      </c>
      <c r="Z6" s="5">
        <f>ROUND(V6*0.95,0)</f>
        <v>25102</v>
      </c>
    </row>
    <row r="7" spans="1:32" ht="19.5" customHeight="1">
      <c r="A7" s="661"/>
      <c r="B7" s="2" t="s">
        <v>422</v>
      </c>
      <c r="C7" s="5">
        <v>546</v>
      </c>
      <c r="D7" s="38">
        <f t="shared" si="1"/>
        <v>5.7053291536050155E-2</v>
      </c>
      <c r="E7" s="5">
        <f t="shared" si="2"/>
        <v>2234</v>
      </c>
      <c r="F7" s="5">
        <f t="shared" ref="F7:F25" si="7">ROUND($F$5*D7,0)</f>
        <v>2281</v>
      </c>
      <c r="G7" s="5">
        <f t="shared" ref="G7:G25" si="8">ROUND($G$5*D7,0)</f>
        <v>2332</v>
      </c>
      <c r="H7" s="5">
        <f t="shared" ref="H7:H25" si="9">ROUND($H$5*D7,0)</f>
        <v>2372</v>
      </c>
      <c r="I7" s="2"/>
      <c r="J7" s="661"/>
      <c r="K7" s="2" t="s">
        <v>422</v>
      </c>
      <c r="L7" s="11">
        <f t="shared" si="3"/>
        <v>2234</v>
      </c>
      <c r="M7" s="11">
        <f t="shared" si="4"/>
        <v>2281</v>
      </c>
      <c r="N7" s="11">
        <f t="shared" si="5"/>
        <v>2332</v>
      </c>
      <c r="O7" s="11">
        <f t="shared" si="6"/>
        <v>2372</v>
      </c>
      <c r="P7" s="2"/>
      <c r="Q7" s="661"/>
      <c r="R7" s="2" t="s">
        <v>520</v>
      </c>
      <c r="S7" s="11">
        <f>L24</f>
        <v>16765</v>
      </c>
      <c r="T7" s="11">
        <f>M24</f>
        <v>17118</v>
      </c>
      <c r="U7" s="11">
        <f>N24</f>
        <v>17503</v>
      </c>
      <c r="V7" s="11">
        <f>O24</f>
        <v>17803</v>
      </c>
      <c r="W7" s="5">
        <f>ROUND(S7*0.8,0)</f>
        <v>13412</v>
      </c>
      <c r="X7" s="5">
        <f>ROUND(T7*0.85,0)</f>
        <v>14550</v>
      </c>
      <c r="Y7" s="5">
        <f>ROUND(U7*0.9,0)</f>
        <v>15753</v>
      </c>
      <c r="Z7" s="5">
        <f>ROUND(V7*0.95,0)</f>
        <v>16913</v>
      </c>
    </row>
    <row r="8" spans="1:32" ht="19.5" customHeight="1">
      <c r="A8" s="661"/>
      <c r="B8" s="2" t="s">
        <v>423</v>
      </c>
      <c r="C8" s="5">
        <v>661</v>
      </c>
      <c r="D8" s="38">
        <f t="shared" si="1"/>
        <v>6.907001044932079E-2</v>
      </c>
      <c r="E8" s="5">
        <f t="shared" si="2"/>
        <v>2704</v>
      </c>
      <c r="F8" s="5">
        <f t="shared" si="7"/>
        <v>2761</v>
      </c>
      <c r="G8" s="5">
        <f t="shared" si="8"/>
        <v>2824</v>
      </c>
      <c r="H8" s="5">
        <f t="shared" si="9"/>
        <v>2872</v>
      </c>
      <c r="I8" s="2"/>
      <c r="J8" s="661"/>
      <c r="K8" s="2" t="s">
        <v>423</v>
      </c>
      <c r="L8" s="11">
        <f t="shared" si="3"/>
        <v>2704</v>
      </c>
      <c r="M8" s="11">
        <f t="shared" si="4"/>
        <v>2761</v>
      </c>
      <c r="N8" s="11">
        <f t="shared" si="5"/>
        <v>2824</v>
      </c>
      <c r="O8" s="11">
        <f t="shared" si="6"/>
        <v>2872</v>
      </c>
      <c r="P8" s="2"/>
      <c r="Q8" s="838" t="s">
        <v>527</v>
      </c>
      <c r="R8" s="2" t="s">
        <v>51</v>
      </c>
      <c r="S8" s="11">
        <f t="shared" ref="S8:Z8" si="10">SUM(S9:S12)</f>
        <v>30778</v>
      </c>
      <c r="T8" s="11">
        <f t="shared" si="10"/>
        <v>31421</v>
      </c>
      <c r="U8" s="11">
        <f t="shared" si="10"/>
        <v>32135</v>
      </c>
      <c r="V8" s="11">
        <f t="shared" si="10"/>
        <v>32686</v>
      </c>
      <c r="W8" s="11">
        <f t="shared" si="10"/>
        <v>24622</v>
      </c>
      <c r="X8" s="11">
        <f t="shared" si="10"/>
        <v>26708</v>
      </c>
      <c r="Y8" s="11">
        <f t="shared" si="10"/>
        <v>28922</v>
      </c>
      <c r="Z8" s="11">
        <f t="shared" si="10"/>
        <v>31052</v>
      </c>
    </row>
    <row r="9" spans="1:32" ht="19.5" customHeight="1">
      <c r="A9" s="661"/>
      <c r="B9" s="2" t="s">
        <v>424</v>
      </c>
      <c r="C9" s="5">
        <v>1071</v>
      </c>
      <c r="D9" s="38">
        <f t="shared" si="1"/>
        <v>0.11191222570532916</v>
      </c>
      <c r="E9" s="5">
        <f t="shared" si="2"/>
        <v>4382</v>
      </c>
      <c r="F9" s="5">
        <f t="shared" si="7"/>
        <v>4473</v>
      </c>
      <c r="G9" s="5">
        <f t="shared" si="8"/>
        <v>4575</v>
      </c>
      <c r="H9" s="5">
        <f t="shared" si="9"/>
        <v>4653</v>
      </c>
      <c r="I9" s="2"/>
      <c r="J9" s="661"/>
      <c r="K9" s="2" t="s">
        <v>424</v>
      </c>
      <c r="L9" s="11">
        <f t="shared" si="3"/>
        <v>4382</v>
      </c>
      <c r="M9" s="11">
        <f t="shared" si="4"/>
        <v>4473</v>
      </c>
      <c r="N9" s="11">
        <f t="shared" si="5"/>
        <v>4575</v>
      </c>
      <c r="O9" s="11">
        <f t="shared" si="6"/>
        <v>4653</v>
      </c>
      <c r="P9" s="2"/>
      <c r="Q9" s="839"/>
      <c r="R9" s="2" t="s">
        <v>522</v>
      </c>
      <c r="S9" s="11">
        <f>L58+L84-S12</f>
        <v>21696</v>
      </c>
      <c r="T9" s="11">
        <f>M58+M84-T12</f>
        <v>22148</v>
      </c>
      <c r="U9" s="11">
        <f>N58+N84-U12</f>
        <v>22654</v>
      </c>
      <c r="V9" s="11">
        <f>O58+O84-V12</f>
        <v>23041</v>
      </c>
      <c r="W9" s="5">
        <f>ROUND(S9*0.8,0)</f>
        <v>17357</v>
      </c>
      <c r="X9" s="5">
        <f>ROUND(T9*0.85,0)</f>
        <v>18826</v>
      </c>
      <c r="Y9" s="5">
        <f>ROUND(U9*0.9,0)</f>
        <v>20389</v>
      </c>
      <c r="Z9" s="5">
        <f>ROUND(V9*0.95,0)</f>
        <v>21889</v>
      </c>
    </row>
    <row r="10" spans="1:32" ht="19.5" customHeight="1">
      <c r="A10" s="661"/>
      <c r="B10" s="2" t="s">
        <v>425</v>
      </c>
      <c r="C10" s="5">
        <v>501</v>
      </c>
      <c r="D10" s="38">
        <f t="shared" si="1"/>
        <v>5.2351097178683387E-2</v>
      </c>
      <c r="E10" s="5">
        <f t="shared" si="2"/>
        <v>2050</v>
      </c>
      <c r="F10" s="5">
        <f t="shared" si="7"/>
        <v>2093</v>
      </c>
      <c r="G10" s="5">
        <f t="shared" si="8"/>
        <v>2140</v>
      </c>
      <c r="H10" s="5">
        <f t="shared" si="9"/>
        <v>2177</v>
      </c>
      <c r="I10" s="2"/>
      <c r="J10" s="661"/>
      <c r="K10" s="2" t="s">
        <v>425</v>
      </c>
      <c r="L10" s="11">
        <f t="shared" si="3"/>
        <v>2050</v>
      </c>
      <c r="M10" s="11">
        <f t="shared" si="4"/>
        <v>2093</v>
      </c>
      <c r="N10" s="11">
        <f t="shared" si="5"/>
        <v>2140</v>
      </c>
      <c r="O10" s="11">
        <f t="shared" si="6"/>
        <v>2177</v>
      </c>
      <c r="P10" s="2"/>
      <c r="Q10" s="839"/>
      <c r="R10" s="2" t="s">
        <v>523</v>
      </c>
      <c r="S10" s="11">
        <f>L79+L80+L81</f>
        <v>2588</v>
      </c>
      <c r="T10" s="11">
        <f>M79+M80+M81</f>
        <v>2642</v>
      </c>
      <c r="U10" s="11">
        <f>N79+N80+N81</f>
        <v>2702</v>
      </c>
      <c r="V10" s="11">
        <f>O79+O80+O81</f>
        <v>2748</v>
      </c>
      <c r="W10" s="5">
        <f>ROUND(S10*0.8,0)</f>
        <v>2070</v>
      </c>
      <c r="X10" s="5">
        <f>ROUND(T10*0.85,0)</f>
        <v>2246</v>
      </c>
      <c r="Y10" s="5">
        <f>ROUND(U10*0.9,0)</f>
        <v>2432</v>
      </c>
      <c r="Z10" s="5">
        <f>ROUND(V10*0.95,0)</f>
        <v>2611</v>
      </c>
    </row>
    <row r="11" spans="1:32" ht="19.5" customHeight="1">
      <c r="A11" s="661"/>
      <c r="B11" s="2" t="s">
        <v>426</v>
      </c>
      <c r="C11" s="5">
        <v>619</v>
      </c>
      <c r="D11" s="38">
        <f t="shared" si="1"/>
        <v>6.4681295715778478E-2</v>
      </c>
      <c r="E11" s="5">
        <f t="shared" si="2"/>
        <v>2533</v>
      </c>
      <c r="F11" s="5">
        <f t="shared" si="7"/>
        <v>2586</v>
      </c>
      <c r="G11" s="5">
        <f t="shared" si="8"/>
        <v>2644</v>
      </c>
      <c r="H11" s="5">
        <f t="shared" si="9"/>
        <v>2690</v>
      </c>
      <c r="I11" s="2"/>
      <c r="J11" s="661"/>
      <c r="K11" s="2" t="s">
        <v>426</v>
      </c>
      <c r="L11" s="11">
        <f t="shared" si="3"/>
        <v>2533</v>
      </c>
      <c r="M11" s="11">
        <f t="shared" si="4"/>
        <v>2586</v>
      </c>
      <c r="N11" s="11">
        <f t="shared" si="5"/>
        <v>2644</v>
      </c>
      <c r="O11" s="11">
        <f t="shared" si="6"/>
        <v>2690</v>
      </c>
      <c r="P11" s="2"/>
      <c r="Q11" s="839"/>
      <c r="R11" s="2" t="s">
        <v>524</v>
      </c>
      <c r="S11" s="11">
        <f>L75+L76+L77+L78+L82+L83</f>
        <v>4445</v>
      </c>
      <c r="T11" s="11">
        <f>M75+M76+M77+M78+M82+M83</f>
        <v>4539</v>
      </c>
      <c r="U11" s="11">
        <f>N75+N76+N77+N78+N82+N83</f>
        <v>4640</v>
      </c>
      <c r="V11" s="11">
        <f>O75+O76+O77+O78+O82+O83</f>
        <v>4721</v>
      </c>
      <c r="W11" s="5">
        <f>ROUND(S11*0.8,0)</f>
        <v>3556</v>
      </c>
      <c r="X11" s="5">
        <f>ROUND(T11*0.85,0)</f>
        <v>3858</v>
      </c>
      <c r="Y11" s="5">
        <f>ROUND(U11*0.9,0)</f>
        <v>4176</v>
      </c>
      <c r="Z11" s="5">
        <f>ROUND(V11*0.95,0)</f>
        <v>4485</v>
      </c>
      <c r="AC11" s="14">
        <f>W33+W65+W97</f>
        <v>63360</v>
      </c>
      <c r="AD11" s="14">
        <f>X33+X65+X97</f>
        <v>66832</v>
      </c>
      <c r="AE11" s="14">
        <f>Y33+Y65+Y97</f>
        <v>70184</v>
      </c>
      <c r="AF11" s="14">
        <f>Z33+Z65+Z97</f>
        <v>73112</v>
      </c>
    </row>
    <row r="12" spans="1:32" ht="19.5" customHeight="1">
      <c r="A12" s="661"/>
      <c r="B12" s="2" t="s">
        <v>427</v>
      </c>
      <c r="C12" s="5">
        <v>456</v>
      </c>
      <c r="D12" s="38">
        <f t="shared" si="1"/>
        <v>4.7648902821316612E-2</v>
      </c>
      <c r="E12" s="5">
        <f t="shared" si="2"/>
        <v>1866</v>
      </c>
      <c r="F12" s="5">
        <f t="shared" si="7"/>
        <v>1905</v>
      </c>
      <c r="G12" s="5">
        <f t="shared" si="8"/>
        <v>1948</v>
      </c>
      <c r="H12" s="5">
        <f t="shared" si="9"/>
        <v>1981</v>
      </c>
      <c r="I12" s="2"/>
      <c r="J12" s="661"/>
      <c r="K12" s="2" t="s">
        <v>427</v>
      </c>
      <c r="L12" s="11">
        <f t="shared" si="3"/>
        <v>1866</v>
      </c>
      <c r="M12" s="11">
        <f t="shared" si="4"/>
        <v>1905</v>
      </c>
      <c r="N12" s="11">
        <f t="shared" si="5"/>
        <v>1948</v>
      </c>
      <c r="O12" s="11">
        <f t="shared" si="6"/>
        <v>1981</v>
      </c>
      <c r="P12" s="2"/>
      <c r="Q12" s="840"/>
      <c r="R12" s="2" t="s">
        <v>648</v>
      </c>
      <c r="S12" s="11">
        <f>L65+L66</f>
        <v>2049</v>
      </c>
      <c r="T12" s="11">
        <f>M65+M66</f>
        <v>2092</v>
      </c>
      <c r="U12" s="11">
        <f>N65+N66</f>
        <v>2139</v>
      </c>
      <c r="V12" s="11">
        <f>O65+O66</f>
        <v>2176</v>
      </c>
      <c r="W12" s="5">
        <f>ROUND(S12*0.8,0)</f>
        <v>1639</v>
      </c>
      <c r="X12" s="5">
        <f>ROUND(T12*0.85,0)</f>
        <v>1778</v>
      </c>
      <c r="Y12" s="5">
        <f>ROUND(U12*0.9,0)</f>
        <v>1925</v>
      </c>
      <c r="Z12" s="5">
        <f>ROUND(V12*0.95,0)</f>
        <v>2067</v>
      </c>
    </row>
    <row r="13" spans="1:32" ht="19.5" customHeight="1">
      <c r="A13" s="661"/>
      <c r="B13" s="2" t="s">
        <v>428</v>
      </c>
      <c r="C13" s="5">
        <v>376</v>
      </c>
      <c r="D13" s="38">
        <f t="shared" si="1"/>
        <v>3.928944618599791E-2</v>
      </c>
      <c r="E13" s="5">
        <f t="shared" si="2"/>
        <v>1538</v>
      </c>
      <c r="F13" s="5">
        <f t="shared" si="7"/>
        <v>1571</v>
      </c>
      <c r="G13" s="5">
        <f t="shared" si="8"/>
        <v>1606</v>
      </c>
      <c r="H13" s="5">
        <f t="shared" si="9"/>
        <v>1634</v>
      </c>
      <c r="I13" s="2"/>
      <c r="J13" s="661"/>
      <c r="K13" s="2" t="s">
        <v>428</v>
      </c>
      <c r="L13" s="11">
        <f t="shared" si="3"/>
        <v>1538</v>
      </c>
      <c r="M13" s="11">
        <f t="shared" si="4"/>
        <v>1571</v>
      </c>
      <c r="N13" s="11">
        <f t="shared" si="5"/>
        <v>1606</v>
      </c>
      <c r="O13" s="11">
        <f t="shared" si="6"/>
        <v>1634</v>
      </c>
      <c r="P13" s="2"/>
      <c r="Q13" s="661" t="s">
        <v>525</v>
      </c>
      <c r="R13" s="2" t="s">
        <v>51</v>
      </c>
      <c r="S13" s="11">
        <f t="shared" ref="S13:Z13" si="11">SUM(S14:S15)</f>
        <v>15364</v>
      </c>
      <c r="T13" s="11">
        <f t="shared" si="11"/>
        <v>15689</v>
      </c>
      <c r="U13" s="11">
        <f t="shared" si="11"/>
        <v>16046</v>
      </c>
      <c r="V13" s="11">
        <f t="shared" si="11"/>
        <v>16317</v>
      </c>
      <c r="W13" s="11">
        <f t="shared" si="11"/>
        <v>12291</v>
      </c>
      <c r="X13" s="11">
        <f t="shared" si="11"/>
        <v>13336</v>
      </c>
      <c r="Y13" s="11">
        <f t="shared" si="11"/>
        <v>14441</v>
      </c>
      <c r="Z13" s="11">
        <f t="shared" si="11"/>
        <v>15501</v>
      </c>
    </row>
    <row r="14" spans="1:32" ht="19.5" customHeight="1">
      <c r="A14" s="661"/>
      <c r="B14" s="2" t="s">
        <v>429</v>
      </c>
      <c r="C14" s="5">
        <v>495</v>
      </c>
      <c r="D14" s="38">
        <f t="shared" si="1"/>
        <v>5.1724137931034482E-2</v>
      </c>
      <c r="E14" s="5">
        <f t="shared" si="2"/>
        <v>2025</v>
      </c>
      <c r="F14" s="5">
        <f t="shared" si="7"/>
        <v>2068</v>
      </c>
      <c r="G14" s="5">
        <f t="shared" si="8"/>
        <v>2114</v>
      </c>
      <c r="H14" s="5">
        <f t="shared" si="9"/>
        <v>2151</v>
      </c>
      <c r="I14" s="2"/>
      <c r="J14" s="661"/>
      <c r="K14" s="2" t="s">
        <v>429</v>
      </c>
      <c r="L14" s="11">
        <f t="shared" si="3"/>
        <v>2025</v>
      </c>
      <c r="M14" s="11">
        <f t="shared" si="4"/>
        <v>2068</v>
      </c>
      <c r="N14" s="11">
        <f t="shared" si="5"/>
        <v>2114</v>
      </c>
      <c r="O14" s="11">
        <f t="shared" si="6"/>
        <v>2151</v>
      </c>
      <c r="P14" s="2"/>
      <c r="Q14" s="661"/>
      <c r="R14" s="2" t="s">
        <v>528</v>
      </c>
      <c r="S14" s="11">
        <f>L99+L100+L101+L97+L98</f>
        <v>6740</v>
      </c>
      <c r="T14" s="11">
        <f>M99+M100+M101+M97+M98</f>
        <v>6881</v>
      </c>
      <c r="U14" s="11">
        <f>N99+N100+N101+N97+N98</f>
        <v>7037</v>
      </c>
      <c r="V14" s="11">
        <f>O99+O100+O101+O97+O98</f>
        <v>7158</v>
      </c>
      <c r="W14" s="5">
        <f>ROUND(S14*0.8,0)</f>
        <v>5392</v>
      </c>
      <c r="X14" s="5">
        <f>ROUND(T14*0.85,0)</f>
        <v>5849</v>
      </c>
      <c r="Y14" s="5">
        <f>ROUND(U14*0.9,0)</f>
        <v>6333</v>
      </c>
      <c r="Z14" s="5">
        <f>ROUND(V14*0.95,0)</f>
        <v>6800</v>
      </c>
    </row>
    <row r="15" spans="1:32" ht="19.5" customHeight="1">
      <c r="A15" s="661"/>
      <c r="B15" s="2" t="s">
        <v>430</v>
      </c>
      <c r="C15" s="5">
        <v>129</v>
      </c>
      <c r="D15" s="38">
        <f t="shared" si="1"/>
        <v>1.3479623824451411E-2</v>
      </c>
      <c r="E15" s="5">
        <f t="shared" si="2"/>
        <v>528</v>
      </c>
      <c r="F15" s="5">
        <f t="shared" si="7"/>
        <v>539</v>
      </c>
      <c r="G15" s="5">
        <f t="shared" si="8"/>
        <v>551</v>
      </c>
      <c r="H15" s="5">
        <f t="shared" si="9"/>
        <v>560</v>
      </c>
      <c r="I15" s="2"/>
      <c r="J15" s="661"/>
      <c r="K15" s="2" t="s">
        <v>430</v>
      </c>
      <c r="L15" s="11">
        <f t="shared" si="3"/>
        <v>528</v>
      </c>
      <c r="M15" s="11">
        <f t="shared" si="4"/>
        <v>539</v>
      </c>
      <c r="N15" s="11">
        <f t="shared" si="5"/>
        <v>551</v>
      </c>
      <c r="O15" s="11">
        <f t="shared" si="6"/>
        <v>560</v>
      </c>
      <c r="P15" s="2"/>
      <c r="Q15" s="661"/>
      <c r="R15" s="2" t="s">
        <v>529</v>
      </c>
      <c r="S15" s="11">
        <f>L93+L94+L95+L96</f>
        <v>8624</v>
      </c>
      <c r="T15" s="11">
        <f>M93+M94+M95+M96</f>
        <v>8808</v>
      </c>
      <c r="U15" s="11">
        <f>N93+N94+N95+N96</f>
        <v>9009</v>
      </c>
      <c r="V15" s="11">
        <f>O93+O94+O95+O96</f>
        <v>9159</v>
      </c>
      <c r="W15" s="5">
        <f>ROUND(S15*0.8,0)</f>
        <v>6899</v>
      </c>
      <c r="X15" s="5">
        <f>ROUND(T15*0.85,0)</f>
        <v>7487</v>
      </c>
      <c r="Y15" s="5">
        <f>ROUND(U15*0.9,0)</f>
        <v>8108</v>
      </c>
      <c r="Z15" s="5">
        <f>ROUND(V15*0.95,0)</f>
        <v>8701</v>
      </c>
    </row>
    <row r="16" spans="1:32" ht="19.5" customHeight="1">
      <c r="A16" s="661"/>
      <c r="B16" s="2" t="s">
        <v>431</v>
      </c>
      <c r="C16" s="5">
        <v>237</v>
      </c>
      <c r="D16" s="38">
        <f t="shared" si="1"/>
        <v>2.4764890282131663E-2</v>
      </c>
      <c r="E16" s="5">
        <f t="shared" si="2"/>
        <v>970</v>
      </c>
      <c r="F16" s="5">
        <f t="shared" si="7"/>
        <v>990</v>
      </c>
      <c r="G16" s="5">
        <f t="shared" si="8"/>
        <v>1012</v>
      </c>
      <c r="H16" s="5">
        <f t="shared" si="9"/>
        <v>1030</v>
      </c>
      <c r="I16" s="2"/>
      <c r="J16" s="661"/>
      <c r="K16" s="2" t="s">
        <v>431</v>
      </c>
      <c r="L16" s="11">
        <f t="shared" si="3"/>
        <v>970</v>
      </c>
      <c r="M16" s="11">
        <f t="shared" si="4"/>
        <v>990</v>
      </c>
      <c r="N16" s="11">
        <f t="shared" si="5"/>
        <v>1012</v>
      </c>
      <c r="O16" s="11">
        <f t="shared" si="6"/>
        <v>1030</v>
      </c>
      <c r="P16" s="2"/>
      <c r="Q16" s="2" t="s">
        <v>530</v>
      </c>
      <c r="R16" s="2" t="s">
        <v>531</v>
      </c>
      <c r="S16" s="11">
        <f>L108</f>
        <v>5953</v>
      </c>
      <c r="T16" s="11">
        <f>M108</f>
        <v>6078</v>
      </c>
      <c r="U16" s="11">
        <f>N108</f>
        <v>6216</v>
      </c>
      <c r="V16" s="11">
        <f>O108</f>
        <v>6323</v>
      </c>
      <c r="W16" s="5">
        <f>ROUND(S16*0.8,0)</f>
        <v>4762</v>
      </c>
      <c r="X16" s="5">
        <f>ROUND(T16*0.85,0)</f>
        <v>5166</v>
      </c>
      <c r="Y16" s="5">
        <f>ROUND(U16*0.9,0)</f>
        <v>5594</v>
      </c>
      <c r="Z16" s="5">
        <f>ROUND(V16*0.95,0)</f>
        <v>6007</v>
      </c>
    </row>
    <row r="17" spans="1:32" ht="19.5" customHeight="1">
      <c r="A17" s="661"/>
      <c r="B17" s="2" t="s">
        <v>432</v>
      </c>
      <c r="C17" s="5">
        <v>186</v>
      </c>
      <c r="D17" s="38">
        <f t="shared" si="1"/>
        <v>1.9435736677115987E-2</v>
      </c>
      <c r="E17" s="5">
        <f t="shared" si="2"/>
        <v>761</v>
      </c>
      <c r="F17" s="5">
        <f t="shared" si="7"/>
        <v>777</v>
      </c>
      <c r="G17" s="5">
        <f t="shared" si="8"/>
        <v>795</v>
      </c>
      <c r="H17" s="5">
        <f t="shared" si="9"/>
        <v>808</v>
      </c>
      <c r="I17" s="2"/>
      <c r="J17" s="661"/>
      <c r="K17" s="2" t="s">
        <v>432</v>
      </c>
      <c r="L17" s="11">
        <f t="shared" si="3"/>
        <v>761</v>
      </c>
      <c r="M17" s="11">
        <f t="shared" si="4"/>
        <v>777</v>
      </c>
      <c r="N17" s="11">
        <f t="shared" si="5"/>
        <v>795</v>
      </c>
      <c r="O17" s="11">
        <f t="shared" si="6"/>
        <v>808</v>
      </c>
      <c r="P17" s="2"/>
      <c r="Q17" s="661" t="s">
        <v>51</v>
      </c>
      <c r="R17" s="661"/>
      <c r="S17" s="11">
        <f t="shared" ref="S17:Z17" si="12">S4+S8+S13+S16</f>
        <v>130469</v>
      </c>
      <c r="T17" s="11">
        <f t="shared" si="12"/>
        <v>133202</v>
      </c>
      <c r="U17" s="11">
        <f t="shared" si="12"/>
        <v>136221</v>
      </c>
      <c r="V17" s="11">
        <f t="shared" si="12"/>
        <v>138556</v>
      </c>
      <c r="W17" s="11">
        <f t="shared" si="12"/>
        <v>104374</v>
      </c>
      <c r="X17" s="11">
        <f t="shared" si="12"/>
        <v>113221</v>
      </c>
      <c r="Y17" s="11">
        <f t="shared" si="12"/>
        <v>122599</v>
      </c>
      <c r="Z17" s="11">
        <f t="shared" si="12"/>
        <v>131629</v>
      </c>
    </row>
    <row r="18" spans="1:32" ht="19.5" customHeight="1">
      <c r="A18" s="661"/>
      <c r="B18" s="2" t="s">
        <v>433</v>
      </c>
      <c r="C18" s="5">
        <v>916</v>
      </c>
      <c r="D18" s="38">
        <f t="shared" si="1"/>
        <v>9.571577847439916E-2</v>
      </c>
      <c r="E18" s="5">
        <f t="shared" si="2"/>
        <v>3748</v>
      </c>
      <c r="F18" s="5">
        <f t="shared" si="7"/>
        <v>3826</v>
      </c>
      <c r="G18" s="5">
        <f t="shared" si="8"/>
        <v>3913</v>
      </c>
      <c r="H18" s="5">
        <f t="shared" si="9"/>
        <v>3980</v>
      </c>
      <c r="I18" s="2"/>
      <c r="J18" s="661"/>
      <c r="K18" s="2" t="s">
        <v>433</v>
      </c>
      <c r="L18" s="11">
        <f t="shared" si="3"/>
        <v>3748</v>
      </c>
      <c r="M18" s="11">
        <f t="shared" si="4"/>
        <v>3826</v>
      </c>
      <c r="N18" s="11">
        <f t="shared" si="5"/>
        <v>3913</v>
      </c>
      <c r="O18" s="11">
        <f t="shared" si="6"/>
        <v>3980</v>
      </c>
      <c r="P18" s="2"/>
      <c r="Q18" s="844" t="s">
        <v>55</v>
      </c>
      <c r="R18" s="845"/>
      <c r="S18" s="661" t="s">
        <v>532</v>
      </c>
      <c r="T18" s="661"/>
      <c r="U18" s="661"/>
      <c r="V18" s="661"/>
      <c r="W18" s="661" t="s">
        <v>536</v>
      </c>
      <c r="X18" s="661"/>
      <c r="Y18" s="661"/>
      <c r="Z18" s="661"/>
    </row>
    <row r="19" spans="1:32" ht="19.5" customHeight="1">
      <c r="A19" s="661"/>
      <c r="B19" s="2" t="s">
        <v>434</v>
      </c>
      <c r="C19" s="5">
        <v>193</v>
      </c>
      <c r="D19" s="38">
        <f t="shared" si="1"/>
        <v>2.0167189132706376E-2</v>
      </c>
      <c r="E19" s="5">
        <f t="shared" si="2"/>
        <v>790</v>
      </c>
      <c r="F19" s="5">
        <f t="shared" si="7"/>
        <v>806</v>
      </c>
      <c r="G19" s="5">
        <f t="shared" si="8"/>
        <v>824</v>
      </c>
      <c r="H19" s="5">
        <f t="shared" si="9"/>
        <v>839</v>
      </c>
      <c r="I19" s="2"/>
      <c r="J19" s="661"/>
      <c r="K19" s="2" t="s">
        <v>434</v>
      </c>
      <c r="L19" s="11">
        <f t="shared" si="3"/>
        <v>790</v>
      </c>
      <c r="M19" s="11">
        <f t="shared" si="4"/>
        <v>806</v>
      </c>
      <c r="N19" s="11">
        <f t="shared" si="5"/>
        <v>824</v>
      </c>
      <c r="O19" s="11">
        <f t="shared" si="6"/>
        <v>839</v>
      </c>
      <c r="P19" s="2"/>
      <c r="Q19" s="846"/>
      <c r="R19" s="847"/>
      <c r="S19" s="2" t="s">
        <v>114</v>
      </c>
      <c r="T19" s="2" t="s">
        <v>115</v>
      </c>
      <c r="U19" s="2" t="s">
        <v>116</v>
      </c>
      <c r="V19" s="2" t="s">
        <v>117</v>
      </c>
      <c r="W19" s="2" t="s">
        <v>114</v>
      </c>
      <c r="X19" s="2" t="s">
        <v>115</v>
      </c>
      <c r="Y19" s="2" t="s">
        <v>116</v>
      </c>
      <c r="Z19" s="2" t="s">
        <v>117</v>
      </c>
    </row>
    <row r="20" spans="1:32" ht="19.5" customHeight="1">
      <c r="A20" s="661"/>
      <c r="B20" s="2" t="s">
        <v>435</v>
      </c>
      <c r="C20" s="5">
        <v>272</v>
      </c>
      <c r="D20" s="38">
        <f t="shared" si="1"/>
        <v>2.8422152560083593E-2</v>
      </c>
      <c r="E20" s="5">
        <f t="shared" si="2"/>
        <v>1113</v>
      </c>
      <c r="F20" s="5">
        <f t="shared" si="7"/>
        <v>1136</v>
      </c>
      <c r="G20" s="5">
        <f t="shared" si="8"/>
        <v>1162</v>
      </c>
      <c r="H20" s="5">
        <f t="shared" si="9"/>
        <v>1182</v>
      </c>
      <c r="I20" s="2"/>
      <c r="J20" s="661"/>
      <c r="K20" s="2" t="s">
        <v>435</v>
      </c>
      <c r="L20" s="11">
        <f t="shared" si="3"/>
        <v>1113</v>
      </c>
      <c r="M20" s="11">
        <f t="shared" si="4"/>
        <v>1136</v>
      </c>
      <c r="N20" s="11">
        <f t="shared" si="5"/>
        <v>1162</v>
      </c>
      <c r="O20" s="11">
        <f t="shared" si="6"/>
        <v>1182</v>
      </c>
      <c r="P20" s="2"/>
      <c r="Q20" s="770" t="s">
        <v>526</v>
      </c>
      <c r="R20" s="2" t="s">
        <v>51</v>
      </c>
      <c r="S20" s="2"/>
      <c r="T20" s="2"/>
      <c r="U20" s="2"/>
      <c r="V20" s="2"/>
      <c r="W20" s="5">
        <f>SUM(W21:W23)</f>
        <v>37993</v>
      </c>
      <c r="X20" s="5">
        <f>SUM(X21:X23)</f>
        <v>39865</v>
      </c>
      <c r="Y20" s="5">
        <f>SUM(Y21:Y23)</f>
        <v>41566</v>
      </c>
      <c r="Z20" s="5">
        <f>SUM(Z21:Z23)</f>
        <v>43065</v>
      </c>
    </row>
    <row r="21" spans="1:32" ht="19.5" customHeight="1">
      <c r="A21" s="661"/>
      <c r="B21" s="2" t="s">
        <v>436</v>
      </c>
      <c r="C21" s="5">
        <v>283</v>
      </c>
      <c r="D21" s="38">
        <f t="shared" si="1"/>
        <v>2.9571577847439915E-2</v>
      </c>
      <c r="E21" s="5">
        <f t="shared" si="2"/>
        <v>1158</v>
      </c>
      <c r="F21" s="5">
        <f t="shared" si="7"/>
        <v>1182</v>
      </c>
      <c r="G21" s="5">
        <f t="shared" si="8"/>
        <v>1209</v>
      </c>
      <c r="H21" s="5">
        <f t="shared" si="9"/>
        <v>1230</v>
      </c>
      <c r="I21" s="2"/>
      <c r="J21" s="661"/>
      <c r="K21" s="2" t="s">
        <v>436</v>
      </c>
      <c r="L21" s="11">
        <f t="shared" si="3"/>
        <v>1158</v>
      </c>
      <c r="M21" s="11">
        <f t="shared" si="4"/>
        <v>1182</v>
      </c>
      <c r="N21" s="11">
        <f t="shared" si="5"/>
        <v>1209</v>
      </c>
      <c r="O21" s="11">
        <f t="shared" si="6"/>
        <v>1230</v>
      </c>
      <c r="P21" s="2"/>
      <c r="Q21" s="661"/>
      <c r="R21" s="2" t="s">
        <v>518</v>
      </c>
      <c r="S21" s="2">
        <v>622</v>
      </c>
      <c r="T21" s="2">
        <v>599</v>
      </c>
      <c r="U21" s="2">
        <v>573</v>
      </c>
      <c r="V21" s="2">
        <v>550</v>
      </c>
      <c r="W21" s="5">
        <f t="shared" ref="W21:Z23" si="13">ROUND(W5*S21/1000,0)</f>
        <v>18277</v>
      </c>
      <c r="X21" s="5">
        <f t="shared" si="13"/>
        <v>19091</v>
      </c>
      <c r="Y21" s="5">
        <f t="shared" si="13"/>
        <v>19774</v>
      </c>
      <c r="Z21" s="5">
        <f t="shared" si="13"/>
        <v>20380</v>
      </c>
      <c r="AC21" s="14">
        <f>W21+W54+W86</f>
        <v>18657</v>
      </c>
      <c r="AD21" s="14">
        <f>X21+X54+X86</f>
        <v>19554</v>
      </c>
      <c r="AE21" s="14">
        <f>Y21+Y54+Y86</f>
        <v>20217</v>
      </c>
      <c r="AF21" s="14">
        <f>Z21+Z54+Z86</f>
        <v>20805</v>
      </c>
    </row>
    <row r="22" spans="1:32" ht="19.5" customHeight="1">
      <c r="A22" s="661"/>
      <c r="B22" s="2" t="s">
        <v>437</v>
      </c>
      <c r="C22" s="5">
        <v>207</v>
      </c>
      <c r="D22" s="38">
        <f t="shared" si="1"/>
        <v>2.1630094043887146E-2</v>
      </c>
      <c r="E22" s="5">
        <f t="shared" si="2"/>
        <v>847</v>
      </c>
      <c r="F22" s="5">
        <f t="shared" si="7"/>
        <v>865</v>
      </c>
      <c r="G22" s="5">
        <f t="shared" si="8"/>
        <v>884</v>
      </c>
      <c r="H22" s="5">
        <f t="shared" si="9"/>
        <v>899</v>
      </c>
      <c r="I22" s="2"/>
      <c r="J22" s="661"/>
      <c r="K22" s="2" t="s">
        <v>437</v>
      </c>
      <c r="L22" s="11">
        <f t="shared" si="3"/>
        <v>847</v>
      </c>
      <c r="M22" s="11">
        <f t="shared" si="4"/>
        <v>865</v>
      </c>
      <c r="N22" s="11">
        <f t="shared" si="5"/>
        <v>884</v>
      </c>
      <c r="O22" s="11">
        <f t="shared" si="6"/>
        <v>899</v>
      </c>
      <c r="P22" s="2"/>
      <c r="Q22" s="661"/>
      <c r="R22" s="2" t="s">
        <v>519</v>
      </c>
      <c r="S22" s="2">
        <v>622</v>
      </c>
      <c r="T22" s="2">
        <v>599</v>
      </c>
      <c r="U22" s="2">
        <v>573</v>
      </c>
      <c r="V22" s="2">
        <v>550</v>
      </c>
      <c r="W22" s="5">
        <f t="shared" si="13"/>
        <v>12380</v>
      </c>
      <c r="X22" s="5">
        <f t="shared" si="13"/>
        <v>12932</v>
      </c>
      <c r="Y22" s="5">
        <f t="shared" si="13"/>
        <v>13396</v>
      </c>
      <c r="Z22" s="5">
        <f t="shared" si="13"/>
        <v>13806</v>
      </c>
      <c r="AC22" s="14">
        <f>W142+W174</f>
        <v>0</v>
      </c>
      <c r="AD22" s="14">
        <f>X142+X174</f>
        <v>15</v>
      </c>
      <c r="AE22" s="14">
        <f>Y142+Y174</f>
        <v>15</v>
      </c>
      <c r="AF22" s="14">
        <f>Z142+Z174</f>
        <v>16</v>
      </c>
    </row>
    <row r="23" spans="1:32" ht="19.5" customHeight="1">
      <c r="A23" s="661"/>
      <c r="B23" s="2" t="s">
        <v>438</v>
      </c>
      <c r="C23" s="5">
        <v>285</v>
      </c>
      <c r="D23" s="38">
        <f t="shared" si="1"/>
        <v>2.9780564263322883E-2</v>
      </c>
      <c r="E23" s="5">
        <f t="shared" si="2"/>
        <v>1166</v>
      </c>
      <c r="F23" s="5">
        <f t="shared" si="7"/>
        <v>1190</v>
      </c>
      <c r="G23" s="5">
        <f t="shared" si="8"/>
        <v>1217</v>
      </c>
      <c r="H23" s="5">
        <f t="shared" si="9"/>
        <v>1238</v>
      </c>
      <c r="I23" s="2"/>
      <c r="J23" s="661"/>
      <c r="K23" s="2" t="s">
        <v>440</v>
      </c>
      <c r="L23" s="11">
        <f>E25</f>
        <v>957</v>
      </c>
      <c r="M23" s="11">
        <f>F25</f>
        <v>977</v>
      </c>
      <c r="N23" s="11">
        <f>G25</f>
        <v>1000</v>
      </c>
      <c r="O23" s="11">
        <f>H25</f>
        <v>1017</v>
      </c>
      <c r="P23" s="2"/>
      <c r="Q23" s="661"/>
      <c r="R23" s="2" t="s">
        <v>520</v>
      </c>
      <c r="S23" s="2">
        <v>547</v>
      </c>
      <c r="T23" s="2">
        <v>539</v>
      </c>
      <c r="U23" s="2">
        <v>533</v>
      </c>
      <c r="V23" s="2">
        <v>525</v>
      </c>
      <c r="W23" s="5">
        <f t="shared" si="13"/>
        <v>7336</v>
      </c>
      <c r="X23" s="5">
        <f t="shared" si="13"/>
        <v>7842</v>
      </c>
      <c r="Y23" s="5">
        <f t="shared" si="13"/>
        <v>8396</v>
      </c>
      <c r="Z23" s="5">
        <f t="shared" si="13"/>
        <v>8879</v>
      </c>
      <c r="AC23" s="14" t="e">
        <f>W207</f>
        <v>#REF!</v>
      </c>
      <c r="AD23" s="14" t="e">
        <f>X207</f>
        <v>#REF!</v>
      </c>
      <c r="AE23" s="14" t="e">
        <f>Y207</f>
        <v>#REF!</v>
      </c>
      <c r="AF23" s="14" t="e">
        <f>Z207</f>
        <v>#REF!</v>
      </c>
    </row>
    <row r="24" spans="1:32" ht="19.5" customHeight="1">
      <c r="A24" s="661"/>
      <c r="B24" s="2" t="s">
        <v>439</v>
      </c>
      <c r="C24" s="5">
        <v>308</v>
      </c>
      <c r="D24" s="38">
        <f t="shared" si="1"/>
        <v>3.2183908045977011E-2</v>
      </c>
      <c r="E24" s="5">
        <f t="shared" si="2"/>
        <v>1260</v>
      </c>
      <c r="F24" s="5">
        <f t="shared" si="7"/>
        <v>1286</v>
      </c>
      <c r="G24" s="5">
        <f t="shared" si="8"/>
        <v>1316</v>
      </c>
      <c r="H24" s="5">
        <f t="shared" si="9"/>
        <v>1338</v>
      </c>
      <c r="I24" s="2"/>
      <c r="J24" s="841" t="s">
        <v>441</v>
      </c>
      <c r="K24" s="2" t="s">
        <v>51</v>
      </c>
      <c r="L24" s="11">
        <f>SUM(L25:L39)</f>
        <v>16765</v>
      </c>
      <c r="M24" s="11">
        <f>SUM(M25:M39)</f>
        <v>17118</v>
      </c>
      <c r="N24" s="11">
        <f>SUM(N25:N39)</f>
        <v>17503</v>
      </c>
      <c r="O24" s="11">
        <f>SUM(O25:O39)</f>
        <v>17803</v>
      </c>
      <c r="P24" s="2"/>
      <c r="Q24" s="838" t="s">
        <v>527</v>
      </c>
      <c r="R24" s="2" t="s">
        <v>51</v>
      </c>
      <c r="S24" s="2"/>
      <c r="T24" s="2"/>
      <c r="U24" s="2"/>
      <c r="V24" s="2"/>
      <c r="W24" s="5">
        <f>SUM(W25:W28)</f>
        <v>13468</v>
      </c>
      <c r="X24" s="5">
        <f>SUM(X25:X28)</f>
        <v>14395</v>
      </c>
      <c r="Y24" s="5">
        <f>SUM(Y25:Y28)</f>
        <v>15415</v>
      </c>
      <c r="Z24" s="5">
        <f>SUM(Z25:Z28)</f>
        <v>16303</v>
      </c>
      <c r="AC24" s="14" t="e">
        <f>SUM(AC21:AC23)</f>
        <v>#REF!</v>
      </c>
      <c r="AD24" s="14" t="e">
        <f>SUM(AD21:AD23)</f>
        <v>#REF!</v>
      </c>
      <c r="AE24" s="14" t="e">
        <f>SUM(AE21:AE23)</f>
        <v>#REF!</v>
      </c>
      <c r="AF24" s="14" t="e">
        <f>SUM(AF21:AF23)</f>
        <v>#REF!</v>
      </c>
    </row>
    <row r="25" spans="1:32" ht="19.5" customHeight="1">
      <c r="A25" s="661"/>
      <c r="B25" s="2" t="s">
        <v>440</v>
      </c>
      <c r="C25" s="5">
        <v>234</v>
      </c>
      <c r="D25" s="38">
        <f t="shared" si="1"/>
        <v>2.4451410658307211E-2</v>
      </c>
      <c r="E25" s="5">
        <f t="shared" si="2"/>
        <v>957</v>
      </c>
      <c r="F25" s="5">
        <f t="shared" si="7"/>
        <v>977</v>
      </c>
      <c r="G25" s="5">
        <f t="shared" si="8"/>
        <v>1000</v>
      </c>
      <c r="H25" s="5">
        <f t="shared" si="9"/>
        <v>1017</v>
      </c>
      <c r="I25" s="2"/>
      <c r="J25" s="842"/>
      <c r="K25" s="2" t="s">
        <v>443</v>
      </c>
      <c r="L25" s="11">
        <f t="shared" ref="L25:L39" si="14">E27</f>
        <v>3749</v>
      </c>
      <c r="M25" s="11">
        <f t="shared" ref="M25:M39" si="15">F27</f>
        <v>3828</v>
      </c>
      <c r="N25" s="11">
        <f t="shared" ref="N25:N39" si="16">G27</f>
        <v>3914</v>
      </c>
      <c r="O25" s="11">
        <f t="shared" ref="O25:O39" si="17">H27</f>
        <v>3981</v>
      </c>
      <c r="P25" s="2"/>
      <c r="Q25" s="839"/>
      <c r="R25" s="2" t="s">
        <v>522</v>
      </c>
      <c r="S25" s="2">
        <v>547</v>
      </c>
      <c r="T25" s="2">
        <v>539</v>
      </c>
      <c r="U25" s="2">
        <v>533</v>
      </c>
      <c r="V25" s="2">
        <v>525</v>
      </c>
      <c r="W25" s="5">
        <f t="shared" ref="W25:Z28" si="18">ROUND(W9*S25/1000,0)</f>
        <v>9494</v>
      </c>
      <c r="X25" s="5">
        <f t="shared" si="18"/>
        <v>10147</v>
      </c>
      <c r="Y25" s="5">
        <f t="shared" si="18"/>
        <v>10867</v>
      </c>
      <c r="Z25" s="5">
        <f t="shared" si="18"/>
        <v>11492</v>
      </c>
    </row>
    <row r="26" spans="1:32" ht="19.5" customHeight="1">
      <c r="A26" s="841" t="s">
        <v>441</v>
      </c>
      <c r="B26" s="2" t="s">
        <v>51</v>
      </c>
      <c r="C26" s="5">
        <f>SUM(C27:C41)</f>
        <v>4051</v>
      </c>
      <c r="D26" s="38">
        <f>C26/$C$4</f>
        <v>0.12722190817159726</v>
      </c>
      <c r="E26" s="5">
        <f>'행정구역별 장래인구'!D5</f>
        <v>16765</v>
      </c>
      <c r="F26" s="5">
        <f>'행정구역별 장래인구'!E5</f>
        <v>17116</v>
      </c>
      <c r="G26" s="5">
        <f>'행정구역별 장래인구'!F5</f>
        <v>17504</v>
      </c>
      <c r="H26" s="5">
        <f>'행정구역별 장래인구'!G5</f>
        <v>17805</v>
      </c>
      <c r="I26" s="2"/>
      <c r="J26" s="842"/>
      <c r="K26" s="2" t="s">
        <v>444</v>
      </c>
      <c r="L26" s="11">
        <f t="shared" si="14"/>
        <v>1759</v>
      </c>
      <c r="M26" s="11">
        <f t="shared" si="15"/>
        <v>1796</v>
      </c>
      <c r="N26" s="11">
        <f t="shared" si="16"/>
        <v>1836</v>
      </c>
      <c r="O26" s="11">
        <f t="shared" si="17"/>
        <v>1868</v>
      </c>
      <c r="P26" s="2"/>
      <c r="Q26" s="839"/>
      <c r="R26" s="2" t="s">
        <v>523</v>
      </c>
      <c r="S26" s="2">
        <v>547</v>
      </c>
      <c r="T26" s="2">
        <v>539</v>
      </c>
      <c r="U26" s="2">
        <v>533</v>
      </c>
      <c r="V26" s="2">
        <v>525</v>
      </c>
      <c r="W26" s="5">
        <f t="shared" si="18"/>
        <v>1132</v>
      </c>
      <c r="X26" s="5">
        <f t="shared" si="18"/>
        <v>1211</v>
      </c>
      <c r="Y26" s="5">
        <f t="shared" si="18"/>
        <v>1296</v>
      </c>
      <c r="Z26" s="5">
        <f t="shared" si="18"/>
        <v>1371</v>
      </c>
    </row>
    <row r="27" spans="1:32" ht="19.5" customHeight="1">
      <c r="A27" s="842"/>
      <c r="B27" s="2" t="s">
        <v>443</v>
      </c>
      <c r="C27" s="5">
        <v>906</v>
      </c>
      <c r="D27" s="38">
        <f t="shared" ref="D27:D41" si="19">C27/$C$26</f>
        <v>0.22364848185633177</v>
      </c>
      <c r="E27" s="5">
        <f t="shared" ref="E27:E41" si="20">ROUND($E$26*D27,0)</f>
        <v>3749</v>
      </c>
      <c r="F27" s="5">
        <f t="shared" ref="F27:F41" si="21">ROUND($F$26*D27,0)</f>
        <v>3828</v>
      </c>
      <c r="G27" s="5">
        <f>ROUND($G$26*D27,0)-1</f>
        <v>3914</v>
      </c>
      <c r="H27" s="5">
        <f>ROUND($H$26*D27,0)-1</f>
        <v>3981</v>
      </c>
      <c r="I27" s="2"/>
      <c r="J27" s="842"/>
      <c r="K27" s="2" t="s">
        <v>445</v>
      </c>
      <c r="L27" s="11">
        <f t="shared" si="14"/>
        <v>1995</v>
      </c>
      <c r="M27" s="11">
        <f t="shared" si="15"/>
        <v>2037</v>
      </c>
      <c r="N27" s="11">
        <f t="shared" si="16"/>
        <v>2083</v>
      </c>
      <c r="O27" s="11">
        <f t="shared" si="17"/>
        <v>2118</v>
      </c>
      <c r="P27" s="2"/>
      <c r="Q27" s="839"/>
      <c r="R27" s="2" t="s">
        <v>524</v>
      </c>
      <c r="S27" s="2">
        <v>547</v>
      </c>
      <c r="T27" s="2">
        <v>539</v>
      </c>
      <c r="U27" s="2">
        <v>533</v>
      </c>
      <c r="V27" s="2">
        <v>525</v>
      </c>
      <c r="W27" s="5">
        <f t="shared" si="18"/>
        <v>1945</v>
      </c>
      <c r="X27" s="5">
        <f t="shared" si="18"/>
        <v>2079</v>
      </c>
      <c r="Y27" s="5">
        <f t="shared" si="18"/>
        <v>2226</v>
      </c>
      <c r="Z27" s="5">
        <f t="shared" si="18"/>
        <v>2355</v>
      </c>
    </row>
    <row r="28" spans="1:32" ht="19.5" customHeight="1">
      <c r="A28" s="842"/>
      <c r="B28" s="2" t="s">
        <v>444</v>
      </c>
      <c r="C28" s="5">
        <v>425</v>
      </c>
      <c r="D28" s="38">
        <f t="shared" si="19"/>
        <v>0.10491236731671193</v>
      </c>
      <c r="E28" s="5">
        <f t="shared" si="20"/>
        <v>1759</v>
      </c>
      <c r="F28" s="5">
        <f t="shared" si="21"/>
        <v>1796</v>
      </c>
      <c r="G28" s="5">
        <f t="shared" ref="G28:G41" si="22">ROUND($G$26*D28,0)</f>
        <v>1836</v>
      </c>
      <c r="H28" s="5">
        <f t="shared" ref="H28:H41" si="23">ROUND($H$26*D28,0)</f>
        <v>1868</v>
      </c>
      <c r="I28" s="2"/>
      <c r="J28" s="842"/>
      <c r="K28" s="2" t="s">
        <v>446</v>
      </c>
      <c r="L28" s="11">
        <f t="shared" si="14"/>
        <v>1535</v>
      </c>
      <c r="M28" s="11">
        <f t="shared" si="15"/>
        <v>1568</v>
      </c>
      <c r="N28" s="11">
        <f t="shared" si="16"/>
        <v>1603</v>
      </c>
      <c r="O28" s="11">
        <f t="shared" si="17"/>
        <v>1631</v>
      </c>
      <c r="P28" s="2"/>
      <c r="Q28" s="840"/>
      <c r="R28" s="2" t="s">
        <v>648</v>
      </c>
      <c r="S28" s="2">
        <v>547</v>
      </c>
      <c r="T28" s="2">
        <v>539</v>
      </c>
      <c r="U28" s="2">
        <v>533</v>
      </c>
      <c r="V28" s="2">
        <v>525</v>
      </c>
      <c r="W28" s="5">
        <f t="shared" si="18"/>
        <v>897</v>
      </c>
      <c r="X28" s="5">
        <f t="shared" si="18"/>
        <v>958</v>
      </c>
      <c r="Y28" s="5">
        <f t="shared" si="18"/>
        <v>1026</v>
      </c>
      <c r="Z28" s="5">
        <f t="shared" si="18"/>
        <v>1085</v>
      </c>
    </row>
    <row r="29" spans="1:32" ht="19.5" customHeight="1">
      <c r="A29" s="842"/>
      <c r="B29" s="2" t="s">
        <v>445</v>
      </c>
      <c r="C29" s="5">
        <v>482</v>
      </c>
      <c r="D29" s="38">
        <f t="shared" si="19"/>
        <v>0.11898296716860035</v>
      </c>
      <c r="E29" s="5">
        <f t="shared" si="20"/>
        <v>1995</v>
      </c>
      <c r="F29" s="5">
        <f t="shared" si="21"/>
        <v>2037</v>
      </c>
      <c r="G29" s="5">
        <f t="shared" si="22"/>
        <v>2083</v>
      </c>
      <c r="H29" s="5">
        <f t="shared" si="23"/>
        <v>2118</v>
      </c>
      <c r="I29" s="2"/>
      <c r="J29" s="842"/>
      <c r="K29" s="2" t="s">
        <v>447</v>
      </c>
      <c r="L29" s="11">
        <f t="shared" si="14"/>
        <v>790</v>
      </c>
      <c r="M29" s="11">
        <f t="shared" si="15"/>
        <v>807</v>
      </c>
      <c r="N29" s="11">
        <f t="shared" si="16"/>
        <v>825</v>
      </c>
      <c r="O29" s="11">
        <f t="shared" si="17"/>
        <v>839</v>
      </c>
      <c r="P29" s="2"/>
      <c r="Q29" s="661" t="s">
        <v>525</v>
      </c>
      <c r="R29" s="2" t="s">
        <v>51</v>
      </c>
      <c r="S29" s="2"/>
      <c r="T29" s="2"/>
      <c r="U29" s="2"/>
      <c r="V29" s="2"/>
      <c r="W29" s="5">
        <f>SUM(W30:W31)</f>
        <v>6723</v>
      </c>
      <c r="X29" s="5">
        <f>SUM(X30:X31)</f>
        <v>7188</v>
      </c>
      <c r="Y29" s="5">
        <f>SUM(Y30:Y31)</f>
        <v>7697</v>
      </c>
      <c r="Z29" s="5">
        <f>SUM(Z30:Z31)</f>
        <v>8138</v>
      </c>
    </row>
    <row r="30" spans="1:32" ht="19.5" customHeight="1">
      <c r="A30" s="842"/>
      <c r="B30" s="2" t="s">
        <v>446</v>
      </c>
      <c r="C30" s="5">
        <v>371</v>
      </c>
      <c r="D30" s="38">
        <f t="shared" si="19"/>
        <v>9.1582325351764998E-2</v>
      </c>
      <c r="E30" s="5">
        <f t="shared" si="20"/>
        <v>1535</v>
      </c>
      <c r="F30" s="5">
        <f t="shared" si="21"/>
        <v>1568</v>
      </c>
      <c r="G30" s="5">
        <f t="shared" si="22"/>
        <v>1603</v>
      </c>
      <c r="H30" s="5">
        <f t="shared" si="23"/>
        <v>1631</v>
      </c>
      <c r="I30" s="2"/>
      <c r="J30" s="842"/>
      <c r="K30" s="2" t="s">
        <v>448</v>
      </c>
      <c r="L30" s="11">
        <f t="shared" si="14"/>
        <v>1879</v>
      </c>
      <c r="M30" s="11">
        <f t="shared" si="15"/>
        <v>1918</v>
      </c>
      <c r="N30" s="11">
        <f t="shared" si="16"/>
        <v>1962</v>
      </c>
      <c r="O30" s="11">
        <f t="shared" si="17"/>
        <v>1995</v>
      </c>
      <c r="P30" s="2"/>
      <c r="Q30" s="661"/>
      <c r="R30" s="2" t="s">
        <v>528</v>
      </c>
      <c r="S30" s="2">
        <v>547</v>
      </c>
      <c r="T30" s="2">
        <v>539</v>
      </c>
      <c r="U30" s="2">
        <v>533</v>
      </c>
      <c r="V30" s="2">
        <v>525</v>
      </c>
      <c r="W30" s="5">
        <f t="shared" ref="W30:Z32" si="24">ROUND(W14*S30/1000,0)</f>
        <v>2949</v>
      </c>
      <c r="X30" s="5">
        <f t="shared" si="24"/>
        <v>3153</v>
      </c>
      <c r="Y30" s="5">
        <f t="shared" si="24"/>
        <v>3375</v>
      </c>
      <c r="Z30" s="5">
        <f t="shared" si="24"/>
        <v>3570</v>
      </c>
    </row>
    <row r="31" spans="1:32" ht="19.5" customHeight="1">
      <c r="A31" s="842"/>
      <c r="B31" s="2" t="s">
        <v>447</v>
      </c>
      <c r="C31" s="5">
        <v>191</v>
      </c>
      <c r="D31" s="38">
        <f t="shared" si="19"/>
        <v>4.714885213527524E-2</v>
      </c>
      <c r="E31" s="5">
        <f t="shared" si="20"/>
        <v>790</v>
      </c>
      <c r="F31" s="5">
        <f t="shared" si="21"/>
        <v>807</v>
      </c>
      <c r="G31" s="5">
        <f t="shared" si="22"/>
        <v>825</v>
      </c>
      <c r="H31" s="5">
        <f t="shared" si="23"/>
        <v>839</v>
      </c>
      <c r="I31" s="2"/>
      <c r="J31" s="842"/>
      <c r="K31" s="2" t="s">
        <v>449</v>
      </c>
      <c r="L31" s="11">
        <f t="shared" si="14"/>
        <v>1610</v>
      </c>
      <c r="M31" s="11">
        <f t="shared" si="15"/>
        <v>1644</v>
      </c>
      <c r="N31" s="11">
        <f t="shared" si="16"/>
        <v>1681</v>
      </c>
      <c r="O31" s="11">
        <f t="shared" si="17"/>
        <v>1710</v>
      </c>
      <c r="P31" s="2"/>
      <c r="Q31" s="661"/>
      <c r="R31" s="2" t="s">
        <v>529</v>
      </c>
      <c r="S31" s="2">
        <v>547</v>
      </c>
      <c r="T31" s="2">
        <v>539</v>
      </c>
      <c r="U31" s="2">
        <v>533</v>
      </c>
      <c r="V31" s="2">
        <v>525</v>
      </c>
      <c r="W31" s="5">
        <f t="shared" si="24"/>
        <v>3774</v>
      </c>
      <c r="X31" s="5">
        <f t="shared" si="24"/>
        <v>4035</v>
      </c>
      <c r="Y31" s="5">
        <f t="shared" si="24"/>
        <v>4322</v>
      </c>
      <c r="Z31" s="5">
        <f t="shared" si="24"/>
        <v>4568</v>
      </c>
    </row>
    <row r="32" spans="1:32" ht="19.5" customHeight="1">
      <c r="A32" s="842"/>
      <c r="B32" s="2" t="s">
        <v>448</v>
      </c>
      <c r="C32" s="5">
        <v>454</v>
      </c>
      <c r="D32" s="38">
        <f t="shared" si="19"/>
        <v>0.11207109355714638</v>
      </c>
      <c r="E32" s="5">
        <f t="shared" si="20"/>
        <v>1879</v>
      </c>
      <c r="F32" s="5">
        <f t="shared" si="21"/>
        <v>1918</v>
      </c>
      <c r="G32" s="5">
        <f t="shared" si="22"/>
        <v>1962</v>
      </c>
      <c r="H32" s="5">
        <f t="shared" si="23"/>
        <v>1995</v>
      </c>
      <c r="I32" s="2"/>
      <c r="J32" s="842"/>
      <c r="K32" s="2" t="s">
        <v>450</v>
      </c>
      <c r="L32" s="11">
        <f t="shared" si="14"/>
        <v>443</v>
      </c>
      <c r="M32" s="11">
        <f t="shared" si="15"/>
        <v>452</v>
      </c>
      <c r="N32" s="11">
        <f t="shared" si="16"/>
        <v>462</v>
      </c>
      <c r="O32" s="11">
        <f t="shared" si="17"/>
        <v>470</v>
      </c>
      <c r="P32" s="2"/>
      <c r="Q32" s="2" t="s">
        <v>530</v>
      </c>
      <c r="R32" s="2" t="s">
        <v>531</v>
      </c>
      <c r="S32" s="2">
        <v>547</v>
      </c>
      <c r="T32" s="2">
        <v>539</v>
      </c>
      <c r="U32" s="2">
        <v>533</v>
      </c>
      <c r="V32" s="2">
        <v>525</v>
      </c>
      <c r="W32" s="5">
        <f t="shared" si="24"/>
        <v>2605</v>
      </c>
      <c r="X32" s="5">
        <f t="shared" si="24"/>
        <v>2784</v>
      </c>
      <c r="Y32" s="5">
        <f t="shared" si="24"/>
        <v>2982</v>
      </c>
      <c r="Z32" s="5">
        <f t="shared" si="24"/>
        <v>3154</v>
      </c>
    </row>
    <row r="33" spans="1:28" ht="19.5" customHeight="1">
      <c r="A33" s="842"/>
      <c r="B33" s="2" t="s">
        <v>449</v>
      </c>
      <c r="C33" s="5">
        <v>389</v>
      </c>
      <c r="D33" s="38">
        <f t="shared" si="19"/>
        <v>9.602567267341397E-2</v>
      </c>
      <c r="E33" s="5">
        <f t="shared" si="20"/>
        <v>1610</v>
      </c>
      <c r="F33" s="5">
        <f t="shared" si="21"/>
        <v>1644</v>
      </c>
      <c r="G33" s="5">
        <f t="shared" si="22"/>
        <v>1681</v>
      </c>
      <c r="H33" s="5">
        <f t="shared" si="23"/>
        <v>1710</v>
      </c>
      <c r="I33" s="2"/>
      <c r="J33" s="842"/>
      <c r="K33" s="2" t="s">
        <v>451</v>
      </c>
      <c r="L33" s="11">
        <f t="shared" si="14"/>
        <v>488</v>
      </c>
      <c r="M33" s="11">
        <f t="shared" si="15"/>
        <v>499</v>
      </c>
      <c r="N33" s="11">
        <f t="shared" si="16"/>
        <v>510</v>
      </c>
      <c r="O33" s="11">
        <f t="shared" si="17"/>
        <v>519</v>
      </c>
      <c r="P33" s="2"/>
      <c r="Q33" s="661" t="s">
        <v>51</v>
      </c>
      <c r="R33" s="661"/>
      <c r="S33" s="2"/>
      <c r="T33" s="2"/>
      <c r="U33" s="2"/>
      <c r="V33" s="2"/>
      <c r="W33" s="5">
        <f>W20+W24+W29+W32</f>
        <v>60789</v>
      </c>
      <c r="X33" s="5">
        <f>X20+X24+X29+X32</f>
        <v>64232</v>
      </c>
      <c r="Y33" s="5">
        <f>Y20+Y24+Y29+Y32</f>
        <v>67660</v>
      </c>
      <c r="Z33" s="5">
        <f>Z20+Z24+Z29+Z32</f>
        <v>70660</v>
      </c>
    </row>
    <row r="34" spans="1:28" ht="19.5" customHeight="1">
      <c r="A34" s="842"/>
      <c r="B34" s="2" t="s">
        <v>450</v>
      </c>
      <c r="C34" s="5">
        <v>107</v>
      </c>
      <c r="D34" s="38">
        <f t="shared" si="19"/>
        <v>2.6413231300913356E-2</v>
      </c>
      <c r="E34" s="5">
        <f t="shared" si="20"/>
        <v>443</v>
      </c>
      <c r="F34" s="5">
        <f t="shared" si="21"/>
        <v>452</v>
      </c>
      <c r="G34" s="5">
        <f t="shared" si="22"/>
        <v>462</v>
      </c>
      <c r="H34" s="5">
        <f t="shared" si="23"/>
        <v>470</v>
      </c>
      <c r="I34" s="2"/>
      <c r="J34" s="842"/>
      <c r="K34" s="2" t="s">
        <v>452</v>
      </c>
      <c r="L34" s="11">
        <f t="shared" si="14"/>
        <v>600</v>
      </c>
      <c r="M34" s="11">
        <f t="shared" si="15"/>
        <v>613</v>
      </c>
      <c r="N34" s="11">
        <f t="shared" si="16"/>
        <v>627</v>
      </c>
      <c r="O34" s="11">
        <f t="shared" si="17"/>
        <v>637</v>
      </c>
      <c r="P34" s="2"/>
      <c r="AB34" s="14"/>
    </row>
    <row r="35" spans="1:28" ht="19.5" customHeight="1">
      <c r="A35" s="842"/>
      <c r="B35" s="2" t="s">
        <v>451</v>
      </c>
      <c r="C35" s="5">
        <v>118</v>
      </c>
      <c r="D35" s="38">
        <f t="shared" si="19"/>
        <v>2.9128610219698838E-2</v>
      </c>
      <c r="E35" s="5">
        <f t="shared" si="20"/>
        <v>488</v>
      </c>
      <c r="F35" s="5">
        <f t="shared" si="21"/>
        <v>499</v>
      </c>
      <c r="G35" s="5">
        <f t="shared" si="22"/>
        <v>510</v>
      </c>
      <c r="H35" s="5">
        <f t="shared" si="23"/>
        <v>519</v>
      </c>
      <c r="I35" s="2"/>
      <c r="J35" s="842"/>
      <c r="K35" s="2" t="s">
        <v>453</v>
      </c>
      <c r="L35" s="11">
        <f t="shared" si="14"/>
        <v>385</v>
      </c>
      <c r="M35" s="11">
        <f t="shared" si="15"/>
        <v>393</v>
      </c>
      <c r="N35" s="11">
        <f t="shared" si="16"/>
        <v>402</v>
      </c>
      <c r="O35" s="11">
        <f t="shared" si="17"/>
        <v>409</v>
      </c>
      <c r="P35" s="2"/>
      <c r="Q35" s="61" t="s">
        <v>534</v>
      </c>
    </row>
    <row r="36" spans="1:28" ht="19.5" customHeight="1">
      <c r="A36" s="842"/>
      <c r="B36" s="2" t="s">
        <v>452</v>
      </c>
      <c r="C36" s="5">
        <v>145</v>
      </c>
      <c r="D36" s="38">
        <f t="shared" si="19"/>
        <v>3.5793631202172306E-2</v>
      </c>
      <c r="E36" s="5">
        <f t="shared" si="20"/>
        <v>600</v>
      </c>
      <c r="F36" s="5">
        <f t="shared" si="21"/>
        <v>613</v>
      </c>
      <c r="G36" s="5">
        <f t="shared" si="22"/>
        <v>627</v>
      </c>
      <c r="H36" s="5">
        <f t="shared" si="23"/>
        <v>637</v>
      </c>
      <c r="I36" s="2"/>
      <c r="J36" s="842"/>
      <c r="K36" s="2" t="s">
        <v>454</v>
      </c>
      <c r="L36" s="11">
        <f t="shared" si="14"/>
        <v>207</v>
      </c>
      <c r="M36" s="11">
        <f t="shared" si="15"/>
        <v>211</v>
      </c>
      <c r="N36" s="11">
        <f t="shared" si="16"/>
        <v>216</v>
      </c>
      <c r="O36" s="11">
        <f t="shared" si="17"/>
        <v>220</v>
      </c>
      <c r="P36" s="2"/>
      <c r="Q36" s="844" t="s">
        <v>55</v>
      </c>
      <c r="R36" s="845"/>
      <c r="S36" s="661" t="s">
        <v>513</v>
      </c>
      <c r="T36" s="661"/>
      <c r="U36" s="661"/>
      <c r="V36" s="661"/>
      <c r="W36" s="661" t="s">
        <v>521</v>
      </c>
      <c r="X36" s="661"/>
      <c r="Y36" s="661"/>
      <c r="Z36" s="661"/>
    </row>
    <row r="37" spans="1:28" ht="19.5" customHeight="1">
      <c r="A37" s="842"/>
      <c r="B37" s="2" t="s">
        <v>453</v>
      </c>
      <c r="C37" s="5">
        <v>93</v>
      </c>
      <c r="D37" s="38">
        <f t="shared" si="19"/>
        <v>2.2957294495186374E-2</v>
      </c>
      <c r="E37" s="5">
        <f t="shared" si="20"/>
        <v>385</v>
      </c>
      <c r="F37" s="5">
        <f t="shared" si="21"/>
        <v>393</v>
      </c>
      <c r="G37" s="5">
        <f t="shared" si="22"/>
        <v>402</v>
      </c>
      <c r="H37" s="5">
        <f t="shared" si="23"/>
        <v>409</v>
      </c>
      <c r="I37" s="2"/>
      <c r="J37" s="842"/>
      <c r="K37" s="2" t="s">
        <v>455</v>
      </c>
      <c r="L37" s="11">
        <f t="shared" si="14"/>
        <v>534</v>
      </c>
      <c r="M37" s="11">
        <f t="shared" si="15"/>
        <v>545</v>
      </c>
      <c r="N37" s="11">
        <f t="shared" si="16"/>
        <v>557</v>
      </c>
      <c r="O37" s="11">
        <f t="shared" si="17"/>
        <v>567</v>
      </c>
      <c r="P37" s="2"/>
      <c r="Q37" s="846"/>
      <c r="R37" s="847"/>
      <c r="S37" s="84" t="s">
        <v>114</v>
      </c>
      <c r="T37" s="84" t="s">
        <v>115</v>
      </c>
      <c r="U37" s="84" t="s">
        <v>116</v>
      </c>
      <c r="V37" s="84" t="s">
        <v>117</v>
      </c>
      <c r="W37" s="84" t="s">
        <v>114</v>
      </c>
      <c r="X37" s="84" t="s">
        <v>115</v>
      </c>
      <c r="Y37" s="84" t="s">
        <v>116</v>
      </c>
      <c r="Z37" s="84" t="s">
        <v>117</v>
      </c>
    </row>
    <row r="38" spans="1:28" ht="19.5" customHeight="1">
      <c r="A38" s="842"/>
      <c r="B38" s="2" t="s">
        <v>454</v>
      </c>
      <c r="C38" s="5">
        <v>50</v>
      </c>
      <c r="D38" s="38">
        <f t="shared" si="19"/>
        <v>1.2342631449024932E-2</v>
      </c>
      <c r="E38" s="5">
        <f t="shared" si="20"/>
        <v>207</v>
      </c>
      <c r="F38" s="5">
        <f t="shared" si="21"/>
        <v>211</v>
      </c>
      <c r="G38" s="5">
        <f t="shared" si="22"/>
        <v>216</v>
      </c>
      <c r="H38" s="5">
        <f t="shared" si="23"/>
        <v>220</v>
      </c>
      <c r="I38" s="2"/>
      <c r="J38" s="842"/>
      <c r="K38" s="2" t="s">
        <v>456</v>
      </c>
      <c r="L38" s="11">
        <f t="shared" si="14"/>
        <v>348</v>
      </c>
      <c r="M38" s="11">
        <f t="shared" si="15"/>
        <v>355</v>
      </c>
      <c r="N38" s="11">
        <f t="shared" si="16"/>
        <v>363</v>
      </c>
      <c r="O38" s="11">
        <f t="shared" si="17"/>
        <v>369</v>
      </c>
      <c r="P38" s="2"/>
      <c r="Q38" s="770" t="s">
        <v>526</v>
      </c>
      <c r="R38" s="2" t="s">
        <v>51</v>
      </c>
      <c r="S38" s="11">
        <f t="shared" ref="S38:Z38" si="25">SUM(S39:S41)</f>
        <v>2482</v>
      </c>
      <c r="T38" s="11">
        <f t="shared" si="25"/>
        <v>2482</v>
      </c>
      <c r="U38" s="11">
        <f t="shared" si="25"/>
        <v>2482</v>
      </c>
      <c r="V38" s="11">
        <f t="shared" si="25"/>
        <v>2482</v>
      </c>
      <c r="W38" s="11">
        <f t="shared" si="25"/>
        <v>2482</v>
      </c>
      <c r="X38" s="11">
        <f t="shared" si="25"/>
        <v>2482</v>
      </c>
      <c r="Y38" s="11">
        <f t="shared" si="25"/>
        <v>2482</v>
      </c>
      <c r="Z38" s="11">
        <f t="shared" si="25"/>
        <v>2482</v>
      </c>
    </row>
    <row r="39" spans="1:28" ht="19.5" customHeight="1">
      <c r="A39" s="842"/>
      <c r="B39" s="2" t="s">
        <v>455</v>
      </c>
      <c r="C39" s="5">
        <v>129</v>
      </c>
      <c r="D39" s="38">
        <f t="shared" si="19"/>
        <v>3.1843989138484324E-2</v>
      </c>
      <c r="E39" s="5">
        <f t="shared" si="20"/>
        <v>534</v>
      </c>
      <c r="F39" s="5">
        <f t="shared" si="21"/>
        <v>545</v>
      </c>
      <c r="G39" s="5">
        <f t="shared" si="22"/>
        <v>557</v>
      </c>
      <c r="H39" s="5">
        <f t="shared" si="23"/>
        <v>567</v>
      </c>
      <c r="I39" s="2"/>
      <c r="J39" s="842"/>
      <c r="K39" s="84" t="s">
        <v>457</v>
      </c>
      <c r="L39" s="108">
        <f t="shared" si="14"/>
        <v>443</v>
      </c>
      <c r="M39" s="108">
        <f t="shared" si="15"/>
        <v>452</v>
      </c>
      <c r="N39" s="108">
        <f t="shared" si="16"/>
        <v>462</v>
      </c>
      <c r="O39" s="108">
        <f t="shared" si="17"/>
        <v>470</v>
      </c>
      <c r="P39" s="84"/>
      <c r="Q39" s="661"/>
      <c r="R39" s="2" t="s">
        <v>518</v>
      </c>
      <c r="S39" s="11">
        <v>450</v>
      </c>
      <c r="T39" s="11">
        <v>450</v>
      </c>
      <c r="U39" s="11">
        <v>450</v>
      </c>
      <c r="V39" s="11">
        <v>450</v>
      </c>
      <c r="W39" s="11">
        <v>450</v>
      </c>
      <c r="X39" s="11">
        <v>450</v>
      </c>
      <c r="Y39" s="11">
        <v>450</v>
      </c>
      <c r="Z39" s="11">
        <v>450</v>
      </c>
    </row>
    <row r="40" spans="1:28" ht="19.5" customHeight="1">
      <c r="A40" s="842"/>
      <c r="B40" s="2" t="s">
        <v>456</v>
      </c>
      <c r="C40" s="5">
        <v>84</v>
      </c>
      <c r="D40" s="38">
        <f t="shared" si="19"/>
        <v>2.0735620834361885E-2</v>
      </c>
      <c r="E40" s="5">
        <f t="shared" si="20"/>
        <v>348</v>
      </c>
      <c r="F40" s="5">
        <f t="shared" si="21"/>
        <v>355</v>
      </c>
      <c r="G40" s="5">
        <f t="shared" si="22"/>
        <v>363</v>
      </c>
      <c r="H40" s="5">
        <f t="shared" si="23"/>
        <v>369</v>
      </c>
      <c r="I40" s="2"/>
      <c r="J40" s="841" t="s">
        <v>184</v>
      </c>
      <c r="K40" s="2" t="s">
        <v>51</v>
      </c>
      <c r="L40" s="11">
        <f>SUM(L41:L52)</f>
        <v>24879</v>
      </c>
      <c r="M40" s="11">
        <f>SUM(M41:M52)</f>
        <v>25399</v>
      </c>
      <c r="N40" s="11">
        <f>SUM(N41:N52)</f>
        <v>25977</v>
      </c>
      <c r="O40" s="11">
        <f>SUM(O41:O52)</f>
        <v>26423</v>
      </c>
      <c r="P40" s="2"/>
      <c r="Q40" s="661"/>
      <c r="R40" s="2" t="s">
        <v>519</v>
      </c>
      <c r="S40" s="11">
        <v>1512</v>
      </c>
      <c r="T40" s="11">
        <v>1512</v>
      </c>
      <c r="U40" s="11">
        <v>1512</v>
      </c>
      <c r="V40" s="11">
        <v>1512</v>
      </c>
      <c r="W40" s="11">
        <v>1512</v>
      </c>
      <c r="X40" s="11">
        <v>1512</v>
      </c>
      <c r="Y40" s="11">
        <v>1512</v>
      </c>
      <c r="Z40" s="11">
        <v>1512</v>
      </c>
    </row>
    <row r="41" spans="1:28" ht="19.5" customHeight="1">
      <c r="A41" s="842"/>
      <c r="B41" s="2" t="s">
        <v>457</v>
      </c>
      <c r="C41" s="5">
        <v>107</v>
      </c>
      <c r="D41" s="38">
        <f t="shared" si="19"/>
        <v>2.6413231300913356E-2</v>
      </c>
      <c r="E41" s="5">
        <f t="shared" si="20"/>
        <v>443</v>
      </c>
      <c r="F41" s="5">
        <f t="shared" si="21"/>
        <v>452</v>
      </c>
      <c r="G41" s="5">
        <f t="shared" si="22"/>
        <v>462</v>
      </c>
      <c r="H41" s="5">
        <f t="shared" si="23"/>
        <v>470</v>
      </c>
      <c r="I41" s="2"/>
      <c r="J41" s="842"/>
      <c r="K41" s="2" t="s">
        <v>459</v>
      </c>
      <c r="L41" s="11">
        <f t="shared" ref="L41:L49" si="26">E43</f>
        <v>4024</v>
      </c>
      <c r="M41" s="11">
        <f t="shared" ref="M41:M49" si="27">F43</f>
        <v>4109</v>
      </c>
      <c r="N41" s="11">
        <f t="shared" ref="N41:N49" si="28">G43</f>
        <v>4203</v>
      </c>
      <c r="O41" s="11">
        <f t="shared" ref="O41:O49" si="29">H43</f>
        <v>4274</v>
      </c>
      <c r="P41" s="2"/>
      <c r="Q41" s="661"/>
      <c r="R41" s="2" t="s">
        <v>520</v>
      </c>
      <c r="S41" s="11">
        <v>520</v>
      </c>
      <c r="T41" s="11">
        <v>520</v>
      </c>
      <c r="U41" s="11">
        <v>520</v>
      </c>
      <c r="V41" s="11">
        <v>520</v>
      </c>
      <c r="W41" s="11">
        <v>520</v>
      </c>
      <c r="X41" s="11">
        <v>520</v>
      </c>
      <c r="Y41" s="11">
        <v>520</v>
      </c>
      <c r="Z41" s="11">
        <v>520</v>
      </c>
    </row>
    <row r="42" spans="1:28" ht="19.5" customHeight="1">
      <c r="A42" s="93" t="s">
        <v>458</v>
      </c>
      <c r="B42" s="2" t="s">
        <v>51</v>
      </c>
      <c r="C42" s="5">
        <f>SUM(C43:C59)</f>
        <v>8184</v>
      </c>
      <c r="D42" s="38">
        <f>C42/$C$4</f>
        <v>0.25701903146787264</v>
      </c>
      <c r="E42" s="5">
        <f>'행정구역별 장래인구'!D6+'행정구역별 장래인구'!D7+'행정구역별 장래인구'!D8</f>
        <v>33374</v>
      </c>
      <c r="F42" s="5">
        <f>'행정구역별 장래인구'!E6+'행정구역별 장래인구'!E7+'행정구역별 장래인구'!E8</f>
        <v>34072</v>
      </c>
      <c r="G42" s="5">
        <f>'행정구역별 장래인구'!F6+'행정구역별 장래인구'!F7+'행정구역별 장래인구'!F8</f>
        <v>34845</v>
      </c>
      <c r="H42" s="5">
        <f>'행정구역별 장래인구'!G6+'행정구역별 장래인구'!G7+'행정구역별 장래인구'!G8</f>
        <v>35444</v>
      </c>
      <c r="I42" s="2"/>
      <c r="J42" s="842"/>
      <c r="K42" s="2" t="s">
        <v>460</v>
      </c>
      <c r="L42" s="11">
        <f t="shared" si="26"/>
        <v>1550</v>
      </c>
      <c r="M42" s="11">
        <f t="shared" si="27"/>
        <v>1582</v>
      </c>
      <c r="N42" s="11">
        <f t="shared" si="28"/>
        <v>1618</v>
      </c>
      <c r="O42" s="11">
        <f t="shared" si="29"/>
        <v>1646</v>
      </c>
      <c r="P42" s="2"/>
      <c r="Q42" s="838" t="s">
        <v>527</v>
      </c>
      <c r="R42" s="2" t="s">
        <v>51</v>
      </c>
      <c r="S42" s="11">
        <f t="shared" ref="S42:Z42" si="30">SUM(S43:S45)</f>
        <v>1315</v>
      </c>
      <c r="T42" s="11">
        <f t="shared" si="30"/>
        <v>1315</v>
      </c>
      <c r="U42" s="11">
        <f t="shared" si="30"/>
        <v>1315</v>
      </c>
      <c r="V42" s="11">
        <f t="shared" si="30"/>
        <v>1315</v>
      </c>
      <c r="W42" s="11">
        <f t="shared" si="30"/>
        <v>1315</v>
      </c>
      <c r="X42" s="11">
        <f t="shared" si="30"/>
        <v>1315</v>
      </c>
      <c r="Y42" s="11">
        <f t="shared" si="30"/>
        <v>1315</v>
      </c>
      <c r="Z42" s="11">
        <f t="shared" si="30"/>
        <v>1315</v>
      </c>
    </row>
    <row r="43" spans="1:28" ht="19.5" customHeight="1">
      <c r="A43" s="842" t="s">
        <v>66</v>
      </c>
      <c r="B43" s="2" t="s">
        <v>459</v>
      </c>
      <c r="C43" s="5">
        <v>987</v>
      </c>
      <c r="D43" s="38">
        <f t="shared" ref="D43:D59" si="31">C43/$C$42</f>
        <v>0.12060117302052786</v>
      </c>
      <c r="E43" s="5">
        <f>ROUND($E$42*D43,0)-1</f>
        <v>4024</v>
      </c>
      <c r="F43" s="5">
        <f t="shared" ref="F43:F59" si="32">ROUND($F$42*D43,0)</f>
        <v>4109</v>
      </c>
      <c r="G43" s="5">
        <f>ROUND($G$42*D43,0)+1</f>
        <v>4203</v>
      </c>
      <c r="H43" s="5">
        <f>ROUND($H$42*D43,0)-1</f>
        <v>4274</v>
      </c>
      <c r="I43" s="2"/>
      <c r="J43" s="842" t="s">
        <v>184</v>
      </c>
      <c r="K43" s="2" t="s">
        <v>461</v>
      </c>
      <c r="L43" s="11">
        <f t="shared" si="26"/>
        <v>4926</v>
      </c>
      <c r="M43" s="11">
        <f t="shared" si="27"/>
        <v>5029</v>
      </c>
      <c r="N43" s="11">
        <f t="shared" si="28"/>
        <v>5143</v>
      </c>
      <c r="O43" s="11">
        <f t="shared" si="29"/>
        <v>5232</v>
      </c>
      <c r="P43" s="2"/>
      <c r="Q43" s="653"/>
      <c r="R43" s="2" t="s">
        <v>522</v>
      </c>
      <c r="S43" s="11">
        <v>285</v>
      </c>
      <c r="T43" s="11">
        <v>285</v>
      </c>
      <c r="U43" s="11">
        <v>285</v>
      </c>
      <c r="V43" s="11">
        <v>285</v>
      </c>
      <c r="W43" s="11">
        <v>285</v>
      </c>
      <c r="X43" s="11">
        <v>285</v>
      </c>
      <c r="Y43" s="11">
        <v>285</v>
      </c>
      <c r="Z43" s="11">
        <v>285</v>
      </c>
    </row>
    <row r="44" spans="1:28" ht="19.5" customHeight="1">
      <c r="A44" s="842"/>
      <c r="B44" s="2" t="s">
        <v>460</v>
      </c>
      <c r="C44" s="5">
        <v>380</v>
      </c>
      <c r="D44" s="38">
        <f t="shared" si="31"/>
        <v>4.643206256109482E-2</v>
      </c>
      <c r="E44" s="5">
        <f t="shared" ref="E44:E59" si="33">ROUND($E$42*D44,0)</f>
        <v>1550</v>
      </c>
      <c r="F44" s="5">
        <f t="shared" si="32"/>
        <v>1582</v>
      </c>
      <c r="G44" s="5">
        <f t="shared" ref="G44:G59" si="34">ROUND($G$42*D44,0)</f>
        <v>1618</v>
      </c>
      <c r="H44" s="5">
        <f t="shared" ref="H44:H59" si="35">ROUND($H$42*D44,0)</f>
        <v>1646</v>
      </c>
      <c r="I44" s="2"/>
      <c r="J44" s="842"/>
      <c r="K44" s="2" t="s">
        <v>462</v>
      </c>
      <c r="L44" s="11">
        <f t="shared" si="26"/>
        <v>1647</v>
      </c>
      <c r="M44" s="11">
        <f t="shared" si="27"/>
        <v>1682</v>
      </c>
      <c r="N44" s="11">
        <f t="shared" si="28"/>
        <v>1720</v>
      </c>
      <c r="O44" s="11">
        <f t="shared" si="29"/>
        <v>1750</v>
      </c>
      <c r="P44" s="2"/>
      <c r="Q44" s="653"/>
      <c r="R44" s="2" t="s">
        <v>523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</row>
    <row r="45" spans="1:28" ht="19.5" customHeight="1">
      <c r="A45" s="842"/>
      <c r="B45" s="2" t="s">
        <v>461</v>
      </c>
      <c r="C45" s="5">
        <v>1208</v>
      </c>
      <c r="D45" s="38">
        <f t="shared" si="31"/>
        <v>0.14760508308895406</v>
      </c>
      <c r="E45" s="5">
        <f t="shared" si="33"/>
        <v>4926</v>
      </c>
      <c r="F45" s="5">
        <f t="shared" si="32"/>
        <v>5029</v>
      </c>
      <c r="G45" s="5">
        <f t="shared" si="34"/>
        <v>5143</v>
      </c>
      <c r="H45" s="5">
        <f t="shared" si="35"/>
        <v>5232</v>
      </c>
      <c r="I45" s="2"/>
      <c r="J45" s="842"/>
      <c r="K45" s="2" t="s">
        <v>463</v>
      </c>
      <c r="L45" s="11">
        <f t="shared" si="26"/>
        <v>1403</v>
      </c>
      <c r="M45" s="11">
        <f t="shared" si="27"/>
        <v>1432</v>
      </c>
      <c r="N45" s="11">
        <f t="shared" si="28"/>
        <v>1465</v>
      </c>
      <c r="O45" s="11">
        <f t="shared" si="29"/>
        <v>1490</v>
      </c>
      <c r="P45" s="2"/>
      <c r="Q45" s="654"/>
      <c r="R45" s="2" t="s">
        <v>524</v>
      </c>
      <c r="S45" s="11">
        <v>1030</v>
      </c>
      <c r="T45" s="11">
        <v>1030</v>
      </c>
      <c r="U45" s="11">
        <v>1030</v>
      </c>
      <c r="V45" s="11">
        <v>1030</v>
      </c>
      <c r="W45" s="11">
        <v>1030</v>
      </c>
      <c r="X45" s="11">
        <v>1030</v>
      </c>
      <c r="Y45" s="11">
        <v>1030</v>
      </c>
      <c r="Z45" s="11">
        <v>1030</v>
      </c>
    </row>
    <row r="46" spans="1:28" ht="19.5" customHeight="1">
      <c r="A46" s="842"/>
      <c r="B46" s="2" t="s">
        <v>462</v>
      </c>
      <c r="C46" s="5">
        <v>404</v>
      </c>
      <c r="D46" s="38">
        <f t="shared" si="31"/>
        <v>4.9364613880742911E-2</v>
      </c>
      <c r="E46" s="5">
        <f t="shared" si="33"/>
        <v>1647</v>
      </c>
      <c r="F46" s="5">
        <f t="shared" si="32"/>
        <v>1682</v>
      </c>
      <c r="G46" s="5">
        <f t="shared" si="34"/>
        <v>1720</v>
      </c>
      <c r="H46" s="5">
        <f t="shared" si="35"/>
        <v>1750</v>
      </c>
      <c r="I46" s="2"/>
      <c r="J46" s="842"/>
      <c r="K46" s="2" t="s">
        <v>464</v>
      </c>
      <c r="L46" s="11">
        <f t="shared" si="26"/>
        <v>3218</v>
      </c>
      <c r="M46" s="11">
        <f t="shared" si="27"/>
        <v>3285</v>
      </c>
      <c r="N46" s="11">
        <f t="shared" si="28"/>
        <v>3359</v>
      </c>
      <c r="O46" s="11">
        <f t="shared" si="29"/>
        <v>3417</v>
      </c>
      <c r="P46" s="2"/>
      <c r="Q46" s="661" t="s">
        <v>525</v>
      </c>
      <c r="R46" s="2" t="s">
        <v>51</v>
      </c>
      <c r="S46" s="11">
        <f t="shared" ref="S46:Z46" si="36">SUM(S47:S48)</f>
        <v>141</v>
      </c>
      <c r="T46" s="11">
        <f t="shared" si="36"/>
        <v>141</v>
      </c>
      <c r="U46" s="11">
        <f t="shared" si="36"/>
        <v>141</v>
      </c>
      <c r="V46" s="11">
        <f t="shared" si="36"/>
        <v>141</v>
      </c>
      <c r="W46" s="11">
        <f t="shared" si="36"/>
        <v>141</v>
      </c>
      <c r="X46" s="11">
        <f t="shared" si="36"/>
        <v>141</v>
      </c>
      <c r="Y46" s="11">
        <f t="shared" si="36"/>
        <v>141</v>
      </c>
      <c r="Z46" s="11">
        <f t="shared" si="36"/>
        <v>141</v>
      </c>
    </row>
    <row r="47" spans="1:28" ht="19.5" customHeight="1">
      <c r="A47" s="842"/>
      <c r="B47" s="2" t="s">
        <v>463</v>
      </c>
      <c r="C47" s="5">
        <v>344</v>
      </c>
      <c r="D47" s="38">
        <f t="shared" si="31"/>
        <v>4.2033235581622676E-2</v>
      </c>
      <c r="E47" s="5">
        <f t="shared" si="33"/>
        <v>1403</v>
      </c>
      <c r="F47" s="5">
        <f t="shared" si="32"/>
        <v>1432</v>
      </c>
      <c r="G47" s="5">
        <f t="shared" si="34"/>
        <v>1465</v>
      </c>
      <c r="H47" s="5">
        <f t="shared" si="35"/>
        <v>1490</v>
      </c>
      <c r="I47" s="2"/>
      <c r="J47" s="842"/>
      <c r="K47" s="2" t="s">
        <v>465</v>
      </c>
      <c r="L47" s="11">
        <f t="shared" si="26"/>
        <v>3523</v>
      </c>
      <c r="M47" s="11">
        <f t="shared" si="27"/>
        <v>3597</v>
      </c>
      <c r="N47" s="11">
        <f t="shared" si="28"/>
        <v>3679</v>
      </c>
      <c r="O47" s="11">
        <f t="shared" si="29"/>
        <v>3742</v>
      </c>
      <c r="P47" s="2"/>
      <c r="Q47" s="661"/>
      <c r="R47" s="2" t="s">
        <v>528</v>
      </c>
      <c r="S47" s="11">
        <v>141</v>
      </c>
      <c r="T47" s="11">
        <v>141</v>
      </c>
      <c r="U47" s="11">
        <v>141</v>
      </c>
      <c r="V47" s="11">
        <v>141</v>
      </c>
      <c r="W47" s="11">
        <v>141</v>
      </c>
      <c r="X47" s="11">
        <v>141</v>
      </c>
      <c r="Y47" s="11">
        <v>141</v>
      </c>
      <c r="Z47" s="11">
        <v>141</v>
      </c>
    </row>
    <row r="48" spans="1:28" ht="19.5" customHeight="1">
      <c r="A48" s="842"/>
      <c r="B48" s="2" t="s">
        <v>464</v>
      </c>
      <c r="C48" s="5">
        <v>789</v>
      </c>
      <c r="D48" s="38">
        <f t="shared" si="31"/>
        <v>9.6407624633431083E-2</v>
      </c>
      <c r="E48" s="5">
        <f t="shared" si="33"/>
        <v>3218</v>
      </c>
      <c r="F48" s="5">
        <f t="shared" si="32"/>
        <v>3285</v>
      </c>
      <c r="G48" s="5">
        <f t="shared" si="34"/>
        <v>3359</v>
      </c>
      <c r="H48" s="5">
        <f t="shared" si="35"/>
        <v>3417</v>
      </c>
      <c r="I48" s="2"/>
      <c r="J48" s="842"/>
      <c r="K48" s="2" t="s">
        <v>466</v>
      </c>
      <c r="L48" s="11">
        <f t="shared" si="26"/>
        <v>730</v>
      </c>
      <c r="M48" s="11">
        <f t="shared" si="27"/>
        <v>745</v>
      </c>
      <c r="N48" s="11">
        <f t="shared" si="28"/>
        <v>762</v>
      </c>
      <c r="O48" s="11">
        <f t="shared" si="29"/>
        <v>775</v>
      </c>
      <c r="P48" s="2"/>
      <c r="Q48" s="661"/>
      <c r="R48" s="2" t="s">
        <v>529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</row>
    <row r="49" spans="1:26" ht="19.5" customHeight="1">
      <c r="A49" s="842"/>
      <c r="B49" s="2" t="s">
        <v>465</v>
      </c>
      <c r="C49" s="5">
        <v>864</v>
      </c>
      <c r="D49" s="38">
        <f t="shared" si="31"/>
        <v>0.10557184750733138</v>
      </c>
      <c r="E49" s="5">
        <f t="shared" si="33"/>
        <v>3523</v>
      </c>
      <c r="F49" s="5">
        <f t="shared" si="32"/>
        <v>3597</v>
      </c>
      <c r="G49" s="5">
        <f t="shared" si="34"/>
        <v>3679</v>
      </c>
      <c r="H49" s="5">
        <f t="shared" si="35"/>
        <v>3742</v>
      </c>
      <c r="I49" s="2"/>
      <c r="J49" s="842"/>
      <c r="K49" s="2" t="s">
        <v>467</v>
      </c>
      <c r="L49" s="11">
        <f t="shared" si="26"/>
        <v>1293</v>
      </c>
      <c r="M49" s="11">
        <f t="shared" si="27"/>
        <v>1320</v>
      </c>
      <c r="N49" s="11">
        <f t="shared" si="28"/>
        <v>1350</v>
      </c>
      <c r="O49" s="11">
        <f t="shared" si="29"/>
        <v>1373</v>
      </c>
      <c r="P49" s="2"/>
      <c r="Q49" s="2" t="s">
        <v>530</v>
      </c>
      <c r="R49" s="2" t="s">
        <v>531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</row>
    <row r="50" spans="1:26" ht="19.5" customHeight="1">
      <c r="A50" s="842"/>
      <c r="B50" s="2" t="s">
        <v>466</v>
      </c>
      <c r="C50" s="5">
        <v>179</v>
      </c>
      <c r="D50" s="38">
        <f t="shared" si="31"/>
        <v>2.1871945259042035E-2</v>
      </c>
      <c r="E50" s="5">
        <f t="shared" si="33"/>
        <v>730</v>
      </c>
      <c r="F50" s="5">
        <f t="shared" si="32"/>
        <v>745</v>
      </c>
      <c r="G50" s="5">
        <f t="shared" si="34"/>
        <v>762</v>
      </c>
      <c r="H50" s="5">
        <f t="shared" si="35"/>
        <v>775</v>
      </c>
      <c r="I50" s="2"/>
      <c r="J50" s="842"/>
      <c r="K50" s="2" t="s">
        <v>470</v>
      </c>
      <c r="L50" s="11">
        <f t="shared" ref="L50:O52" si="37">E54</f>
        <v>881</v>
      </c>
      <c r="M50" s="11">
        <f t="shared" si="37"/>
        <v>899</v>
      </c>
      <c r="N50" s="11">
        <f t="shared" si="37"/>
        <v>920</v>
      </c>
      <c r="O50" s="11">
        <f t="shared" si="37"/>
        <v>935</v>
      </c>
      <c r="P50" s="2"/>
      <c r="Q50" s="661" t="s">
        <v>51</v>
      </c>
      <c r="R50" s="661"/>
      <c r="S50" s="11">
        <f t="shared" ref="S50:Z50" si="38">S38+S42+S46+S49</f>
        <v>3938</v>
      </c>
      <c r="T50" s="11">
        <f t="shared" si="38"/>
        <v>3938</v>
      </c>
      <c r="U50" s="11">
        <f t="shared" si="38"/>
        <v>3938</v>
      </c>
      <c r="V50" s="11">
        <f t="shared" si="38"/>
        <v>3938</v>
      </c>
      <c r="W50" s="11">
        <f t="shared" si="38"/>
        <v>3938</v>
      </c>
      <c r="X50" s="11">
        <f t="shared" si="38"/>
        <v>3938</v>
      </c>
      <c r="Y50" s="11">
        <f t="shared" si="38"/>
        <v>3938</v>
      </c>
      <c r="Z50" s="11">
        <f t="shared" si="38"/>
        <v>3938</v>
      </c>
    </row>
    <row r="51" spans="1:26" ht="19.5" customHeight="1">
      <c r="A51" s="842"/>
      <c r="B51" s="2" t="s">
        <v>467</v>
      </c>
      <c r="C51" s="5">
        <v>317</v>
      </c>
      <c r="D51" s="38">
        <f t="shared" si="31"/>
        <v>3.8734115347018573E-2</v>
      </c>
      <c r="E51" s="5">
        <f t="shared" si="33"/>
        <v>1293</v>
      </c>
      <c r="F51" s="5">
        <f t="shared" si="32"/>
        <v>1320</v>
      </c>
      <c r="G51" s="5">
        <f t="shared" si="34"/>
        <v>1350</v>
      </c>
      <c r="H51" s="5">
        <f t="shared" si="35"/>
        <v>1373</v>
      </c>
      <c r="I51" s="2"/>
      <c r="J51" s="842"/>
      <c r="K51" s="2" t="s">
        <v>471</v>
      </c>
      <c r="L51" s="11">
        <f t="shared" si="37"/>
        <v>1109</v>
      </c>
      <c r="M51" s="11">
        <f t="shared" si="37"/>
        <v>1132</v>
      </c>
      <c r="N51" s="11">
        <f t="shared" si="37"/>
        <v>1158</v>
      </c>
      <c r="O51" s="11">
        <f t="shared" si="37"/>
        <v>1178</v>
      </c>
      <c r="P51" s="2"/>
      <c r="Q51" s="844" t="s">
        <v>55</v>
      </c>
      <c r="R51" s="845"/>
      <c r="S51" s="661" t="s">
        <v>532</v>
      </c>
      <c r="T51" s="661"/>
      <c r="U51" s="661"/>
      <c r="V51" s="661"/>
      <c r="W51" s="661" t="s">
        <v>536</v>
      </c>
      <c r="X51" s="661"/>
      <c r="Y51" s="661"/>
      <c r="Z51" s="661"/>
    </row>
    <row r="52" spans="1:26" ht="19.5" customHeight="1">
      <c r="A52" s="842"/>
      <c r="B52" s="2" t="s">
        <v>468</v>
      </c>
      <c r="C52" s="5">
        <v>239</v>
      </c>
      <c r="D52" s="38">
        <f t="shared" si="31"/>
        <v>2.9203323558162266E-2</v>
      </c>
      <c r="E52" s="5">
        <f t="shared" si="33"/>
        <v>975</v>
      </c>
      <c r="F52" s="5">
        <f t="shared" si="32"/>
        <v>995</v>
      </c>
      <c r="G52" s="5">
        <f t="shared" si="34"/>
        <v>1018</v>
      </c>
      <c r="H52" s="5">
        <f t="shared" si="35"/>
        <v>1035</v>
      </c>
      <c r="I52" s="2"/>
      <c r="J52" s="843"/>
      <c r="K52" s="2" t="s">
        <v>472</v>
      </c>
      <c r="L52" s="11">
        <f t="shared" si="37"/>
        <v>575</v>
      </c>
      <c r="M52" s="11">
        <f t="shared" si="37"/>
        <v>587</v>
      </c>
      <c r="N52" s="11">
        <f t="shared" si="37"/>
        <v>600</v>
      </c>
      <c r="O52" s="11">
        <f t="shared" si="37"/>
        <v>611</v>
      </c>
      <c r="P52" s="2"/>
      <c r="Q52" s="846"/>
      <c r="R52" s="847"/>
      <c r="S52" s="2" t="s">
        <v>114</v>
      </c>
      <c r="T52" s="2" t="s">
        <v>115</v>
      </c>
      <c r="U52" s="2" t="s">
        <v>116</v>
      </c>
      <c r="V52" s="2" t="s">
        <v>117</v>
      </c>
      <c r="W52" s="2" t="s">
        <v>114</v>
      </c>
      <c r="X52" s="2" t="s">
        <v>115</v>
      </c>
      <c r="Y52" s="2" t="s">
        <v>116</v>
      </c>
      <c r="Z52" s="2" t="s">
        <v>117</v>
      </c>
    </row>
    <row r="53" spans="1:26" ht="19.5" customHeight="1">
      <c r="A53" s="842"/>
      <c r="B53" s="2" t="s">
        <v>469</v>
      </c>
      <c r="C53" s="5">
        <v>384</v>
      </c>
      <c r="D53" s="38">
        <f t="shared" si="31"/>
        <v>4.6920821114369501E-2</v>
      </c>
      <c r="E53" s="5">
        <f t="shared" si="33"/>
        <v>1566</v>
      </c>
      <c r="F53" s="5">
        <f t="shared" si="32"/>
        <v>1599</v>
      </c>
      <c r="G53" s="5">
        <f t="shared" si="34"/>
        <v>1635</v>
      </c>
      <c r="H53" s="5">
        <f t="shared" si="35"/>
        <v>1663</v>
      </c>
      <c r="I53" s="2"/>
      <c r="J53" s="85"/>
      <c r="K53" s="56"/>
      <c r="L53" s="56"/>
      <c r="M53" s="56"/>
      <c r="N53" s="56"/>
      <c r="O53" s="56"/>
      <c r="P53" s="56"/>
      <c r="Q53" s="770" t="s">
        <v>526</v>
      </c>
      <c r="R53" s="2" t="s">
        <v>51</v>
      </c>
      <c r="S53" s="2"/>
      <c r="T53" s="2"/>
      <c r="U53" s="2"/>
      <c r="V53" s="2"/>
      <c r="W53" s="5">
        <f>SUM(W54:W56)</f>
        <v>1504</v>
      </c>
      <c r="X53" s="5">
        <f>SUM(X54:X56)</f>
        <v>1456</v>
      </c>
      <c r="Y53" s="5">
        <f>SUM(Y54:Y56)</f>
        <v>1401</v>
      </c>
      <c r="Z53" s="5">
        <f>SUM(Z54:Z56)</f>
        <v>1353</v>
      </c>
    </row>
    <row r="54" spans="1:26" ht="19.5" customHeight="1">
      <c r="A54" s="842"/>
      <c r="B54" s="2" t="s">
        <v>470</v>
      </c>
      <c r="C54" s="5">
        <v>216</v>
      </c>
      <c r="D54" s="38">
        <f t="shared" si="31"/>
        <v>2.6392961876832845E-2</v>
      </c>
      <c r="E54" s="5">
        <f t="shared" si="33"/>
        <v>881</v>
      </c>
      <c r="F54" s="5">
        <f t="shared" si="32"/>
        <v>899</v>
      </c>
      <c r="G54" s="5">
        <f t="shared" si="34"/>
        <v>920</v>
      </c>
      <c r="H54" s="5">
        <f t="shared" si="35"/>
        <v>935</v>
      </c>
      <c r="I54" s="2"/>
      <c r="J54" s="61" t="s">
        <v>516</v>
      </c>
      <c r="K54" s="56"/>
      <c r="L54" s="56"/>
      <c r="M54" s="56"/>
      <c r="N54" s="56"/>
      <c r="O54" s="56"/>
      <c r="P54" s="56"/>
      <c r="Q54" s="661"/>
      <c r="R54" s="2" t="s">
        <v>518</v>
      </c>
      <c r="S54" s="2">
        <v>622</v>
      </c>
      <c r="T54" s="2">
        <v>599</v>
      </c>
      <c r="U54" s="2">
        <v>573</v>
      </c>
      <c r="V54" s="2">
        <v>550</v>
      </c>
      <c r="W54" s="5">
        <f t="shared" ref="W54:Z56" si="39">ROUND(W39*S54/1000,0)</f>
        <v>280</v>
      </c>
      <c r="X54" s="5">
        <f t="shared" si="39"/>
        <v>270</v>
      </c>
      <c r="Y54" s="5">
        <f t="shared" si="39"/>
        <v>258</v>
      </c>
      <c r="Z54" s="5">
        <f t="shared" si="39"/>
        <v>248</v>
      </c>
    </row>
    <row r="55" spans="1:26" ht="19.5" customHeight="1">
      <c r="A55" s="842"/>
      <c r="B55" s="2" t="s">
        <v>471</v>
      </c>
      <c r="C55" s="5">
        <v>272</v>
      </c>
      <c r="D55" s="38">
        <f t="shared" si="31"/>
        <v>3.3235581622678395E-2</v>
      </c>
      <c r="E55" s="5">
        <f t="shared" si="33"/>
        <v>1109</v>
      </c>
      <c r="F55" s="5">
        <f t="shared" si="32"/>
        <v>1132</v>
      </c>
      <c r="G55" s="5">
        <f t="shared" si="34"/>
        <v>1158</v>
      </c>
      <c r="H55" s="5">
        <f t="shared" si="35"/>
        <v>1178</v>
      </c>
      <c r="I55" s="2"/>
      <c r="J55" s="844" t="s">
        <v>0</v>
      </c>
      <c r="K55" s="845"/>
      <c r="L55" s="671" t="s">
        <v>513</v>
      </c>
      <c r="M55" s="659"/>
      <c r="N55" s="659"/>
      <c r="O55" s="660"/>
      <c r="P55" s="2" t="s">
        <v>74</v>
      </c>
      <c r="Q55" s="661"/>
      <c r="R55" s="2" t="s">
        <v>519</v>
      </c>
      <c r="S55" s="2">
        <v>622</v>
      </c>
      <c r="T55" s="2">
        <v>599</v>
      </c>
      <c r="U55" s="2">
        <v>573</v>
      </c>
      <c r="V55" s="2">
        <v>550</v>
      </c>
      <c r="W55" s="5">
        <f t="shared" si="39"/>
        <v>940</v>
      </c>
      <c r="X55" s="5">
        <f t="shared" si="39"/>
        <v>906</v>
      </c>
      <c r="Y55" s="5">
        <f t="shared" si="39"/>
        <v>866</v>
      </c>
      <c r="Z55" s="5">
        <f t="shared" si="39"/>
        <v>832</v>
      </c>
    </row>
    <row r="56" spans="1:26" ht="19.5" customHeight="1">
      <c r="A56" s="842"/>
      <c r="B56" s="2" t="s">
        <v>472</v>
      </c>
      <c r="C56" s="5">
        <v>141</v>
      </c>
      <c r="D56" s="38">
        <f t="shared" si="31"/>
        <v>1.722873900293255E-2</v>
      </c>
      <c r="E56" s="5">
        <f t="shared" si="33"/>
        <v>575</v>
      </c>
      <c r="F56" s="5">
        <f t="shared" si="32"/>
        <v>587</v>
      </c>
      <c r="G56" s="5">
        <f t="shared" si="34"/>
        <v>600</v>
      </c>
      <c r="H56" s="5">
        <f t="shared" si="35"/>
        <v>611</v>
      </c>
      <c r="I56" s="2"/>
      <c r="J56" s="846"/>
      <c r="K56" s="847"/>
      <c r="L56" s="2" t="s">
        <v>114</v>
      </c>
      <c r="M56" s="2" t="s">
        <v>115</v>
      </c>
      <c r="N56" s="2" t="s">
        <v>116</v>
      </c>
      <c r="O56" s="2" t="s">
        <v>117</v>
      </c>
      <c r="P56" s="2"/>
      <c r="Q56" s="661"/>
      <c r="R56" s="2" t="s">
        <v>520</v>
      </c>
      <c r="S56" s="2">
        <v>547</v>
      </c>
      <c r="T56" s="2">
        <v>539</v>
      </c>
      <c r="U56" s="2">
        <v>533</v>
      </c>
      <c r="V56" s="2">
        <v>525</v>
      </c>
      <c r="W56" s="5">
        <f t="shared" si="39"/>
        <v>284</v>
      </c>
      <c r="X56" s="5">
        <f t="shared" si="39"/>
        <v>280</v>
      </c>
      <c r="Y56" s="5">
        <f t="shared" si="39"/>
        <v>277</v>
      </c>
      <c r="Z56" s="5">
        <f t="shared" si="39"/>
        <v>273</v>
      </c>
    </row>
    <row r="57" spans="1:26" ht="19.5" customHeight="1">
      <c r="A57" s="842"/>
      <c r="B57" s="2" t="s">
        <v>473</v>
      </c>
      <c r="C57" s="5">
        <v>275</v>
      </c>
      <c r="D57" s="38">
        <f t="shared" si="31"/>
        <v>3.3602150537634407E-2</v>
      </c>
      <c r="E57" s="5">
        <f t="shared" si="33"/>
        <v>1121</v>
      </c>
      <c r="F57" s="5">
        <f t="shared" si="32"/>
        <v>1145</v>
      </c>
      <c r="G57" s="5">
        <f t="shared" si="34"/>
        <v>1171</v>
      </c>
      <c r="H57" s="5">
        <f t="shared" si="35"/>
        <v>1191</v>
      </c>
      <c r="I57" s="2"/>
      <c r="J57" s="2" t="s">
        <v>394</v>
      </c>
      <c r="K57" s="2"/>
      <c r="L57" s="11">
        <f>L58+L74+L84</f>
        <v>30778</v>
      </c>
      <c r="M57" s="11">
        <f>M58+M74+M84</f>
        <v>31421</v>
      </c>
      <c r="N57" s="11">
        <f>N58+N74+N84</f>
        <v>32135</v>
      </c>
      <c r="O57" s="11">
        <f>O58+O74+O84</f>
        <v>32686</v>
      </c>
      <c r="P57" s="2"/>
      <c r="Q57" s="770" t="s">
        <v>527</v>
      </c>
      <c r="R57" s="2" t="s">
        <v>51</v>
      </c>
      <c r="S57" s="2"/>
      <c r="T57" s="2"/>
      <c r="U57" s="2"/>
      <c r="V57" s="2"/>
      <c r="W57" s="5">
        <f>SUM(W58:W60)</f>
        <v>719</v>
      </c>
      <c r="X57" s="5">
        <f>SUM(X58:X60)</f>
        <v>709</v>
      </c>
      <c r="Y57" s="5">
        <f>SUM(Y58:Y60)</f>
        <v>701</v>
      </c>
      <c r="Z57" s="5">
        <f>SUM(Z58:Z60)</f>
        <v>691</v>
      </c>
    </row>
    <row r="58" spans="1:26" ht="19.5" customHeight="1">
      <c r="A58" s="842"/>
      <c r="B58" s="2" t="s">
        <v>474</v>
      </c>
      <c r="C58" s="5">
        <v>656</v>
      </c>
      <c r="D58" s="38">
        <f t="shared" si="31"/>
        <v>8.0156402737047897E-2</v>
      </c>
      <c r="E58" s="5">
        <f t="shared" si="33"/>
        <v>2675</v>
      </c>
      <c r="F58" s="5">
        <f t="shared" si="32"/>
        <v>2731</v>
      </c>
      <c r="G58" s="5">
        <f t="shared" si="34"/>
        <v>2793</v>
      </c>
      <c r="H58" s="5">
        <f t="shared" si="35"/>
        <v>2841</v>
      </c>
      <c r="I58" s="2"/>
      <c r="J58" s="841" t="s">
        <v>476</v>
      </c>
      <c r="K58" s="2" t="s">
        <v>51</v>
      </c>
      <c r="L58" s="11">
        <f>SUM(L59:L73)</f>
        <v>21319</v>
      </c>
      <c r="M58" s="11">
        <f>SUM(M59:M73)</f>
        <v>21764</v>
      </c>
      <c r="N58" s="11">
        <f>SUM(N59:N73)</f>
        <v>22260</v>
      </c>
      <c r="O58" s="11">
        <f>SUM(O59:O73)</f>
        <v>22641</v>
      </c>
      <c r="P58" s="2"/>
      <c r="Q58" s="661"/>
      <c r="R58" s="2" t="s">
        <v>522</v>
      </c>
      <c r="S58" s="2">
        <v>547</v>
      </c>
      <c r="T58" s="2">
        <v>539</v>
      </c>
      <c r="U58" s="2">
        <v>533</v>
      </c>
      <c r="V58" s="2">
        <v>525</v>
      </c>
      <c r="W58" s="5">
        <f t="shared" ref="W58:Z60" si="40">ROUND(W43*S58/1000,0)</f>
        <v>156</v>
      </c>
      <c r="X58" s="5">
        <f t="shared" si="40"/>
        <v>154</v>
      </c>
      <c r="Y58" s="5">
        <f t="shared" si="40"/>
        <v>152</v>
      </c>
      <c r="Z58" s="5">
        <f t="shared" si="40"/>
        <v>150</v>
      </c>
    </row>
    <row r="59" spans="1:26" ht="19.5" customHeight="1">
      <c r="A59" s="842"/>
      <c r="B59" s="2" t="s">
        <v>475</v>
      </c>
      <c r="C59" s="5">
        <v>529</v>
      </c>
      <c r="D59" s="38">
        <f t="shared" si="31"/>
        <v>6.4638318670576733E-2</v>
      </c>
      <c r="E59" s="5">
        <f t="shared" si="33"/>
        <v>2157</v>
      </c>
      <c r="F59" s="5">
        <f t="shared" si="32"/>
        <v>2202</v>
      </c>
      <c r="G59" s="5">
        <f t="shared" si="34"/>
        <v>2252</v>
      </c>
      <c r="H59" s="5">
        <f t="shared" si="35"/>
        <v>2291</v>
      </c>
      <c r="I59" s="2"/>
      <c r="J59" s="842"/>
      <c r="K59" s="2" t="s">
        <v>477</v>
      </c>
      <c r="L59" s="11">
        <f t="shared" ref="L59:L73" si="41">E61</f>
        <v>1914</v>
      </c>
      <c r="M59" s="11">
        <f t="shared" ref="M59:M73" si="42">F61</f>
        <v>1953</v>
      </c>
      <c r="N59" s="11">
        <f t="shared" ref="N59:N73" si="43">G61</f>
        <v>1997</v>
      </c>
      <c r="O59" s="11">
        <f t="shared" ref="O59:O73" si="44">H61</f>
        <v>2031</v>
      </c>
      <c r="P59" s="2"/>
      <c r="Q59" s="661"/>
      <c r="R59" s="2" t="s">
        <v>523</v>
      </c>
      <c r="S59" s="2">
        <v>547</v>
      </c>
      <c r="T59" s="2">
        <v>539</v>
      </c>
      <c r="U59" s="2">
        <v>533</v>
      </c>
      <c r="V59" s="2">
        <v>525</v>
      </c>
      <c r="W59" s="5">
        <f t="shared" si="40"/>
        <v>0</v>
      </c>
      <c r="X59" s="5">
        <f t="shared" si="40"/>
        <v>0</v>
      </c>
      <c r="Y59" s="5">
        <f t="shared" si="40"/>
        <v>0</v>
      </c>
      <c r="Z59" s="5">
        <f t="shared" si="40"/>
        <v>0</v>
      </c>
    </row>
    <row r="60" spans="1:26" ht="19.5" customHeight="1">
      <c r="A60" s="842" t="s">
        <v>476</v>
      </c>
      <c r="B60" s="2" t="s">
        <v>51</v>
      </c>
      <c r="C60" s="5">
        <f>SUM(C61:C75)</f>
        <v>5182</v>
      </c>
      <c r="D60" s="38">
        <f>C60/$C$4</f>
        <v>0.16274103385465738</v>
      </c>
      <c r="E60" s="5">
        <f>'행정구역별 장래인구'!D9</f>
        <v>21319</v>
      </c>
      <c r="F60" s="5">
        <f>'행정구역별 장래인구'!E9</f>
        <v>21765</v>
      </c>
      <c r="G60" s="5">
        <f>'행정구역별 장래인구'!F9</f>
        <v>22259</v>
      </c>
      <c r="H60" s="5">
        <f>'행정구역별 장래인구'!G9</f>
        <v>22641</v>
      </c>
      <c r="I60" s="2"/>
      <c r="J60" s="842"/>
      <c r="K60" s="2" t="s">
        <v>478</v>
      </c>
      <c r="L60" s="11">
        <f t="shared" si="41"/>
        <v>1901</v>
      </c>
      <c r="M60" s="11">
        <f t="shared" si="42"/>
        <v>1940</v>
      </c>
      <c r="N60" s="11">
        <f t="shared" si="43"/>
        <v>1984</v>
      </c>
      <c r="O60" s="11">
        <f t="shared" si="44"/>
        <v>2019</v>
      </c>
      <c r="P60" s="2"/>
      <c r="Q60" s="661"/>
      <c r="R60" s="2" t="s">
        <v>524</v>
      </c>
      <c r="S60" s="2">
        <v>547</v>
      </c>
      <c r="T60" s="2">
        <v>539</v>
      </c>
      <c r="U60" s="2">
        <v>533</v>
      </c>
      <c r="V60" s="2">
        <v>525</v>
      </c>
      <c r="W60" s="5">
        <f t="shared" si="40"/>
        <v>563</v>
      </c>
      <c r="X60" s="5">
        <f t="shared" si="40"/>
        <v>555</v>
      </c>
      <c r="Y60" s="5">
        <f t="shared" si="40"/>
        <v>549</v>
      </c>
      <c r="Z60" s="5">
        <f t="shared" si="40"/>
        <v>541</v>
      </c>
    </row>
    <row r="61" spans="1:26" ht="19.5" customHeight="1">
      <c r="A61" s="842"/>
      <c r="B61" s="2" t="s">
        <v>477</v>
      </c>
      <c r="C61" s="5">
        <v>465</v>
      </c>
      <c r="D61" s="38">
        <f t="shared" ref="D61:D75" si="45">C61/$C$60</f>
        <v>8.9733693554612123E-2</v>
      </c>
      <c r="E61" s="5">
        <f>ROUND($E$60*D61,0)+1</f>
        <v>1914</v>
      </c>
      <c r="F61" s="5">
        <f t="shared" ref="F61:F75" si="46">ROUND($F$60*D61,0)</f>
        <v>1953</v>
      </c>
      <c r="G61" s="5">
        <f t="shared" ref="G61:G75" si="47">ROUND($G$60*D61,0)</f>
        <v>1997</v>
      </c>
      <c r="H61" s="5">
        <f>ROUND($H$60*D61,0)-1</f>
        <v>2031</v>
      </c>
      <c r="I61" s="2"/>
      <c r="J61" s="842"/>
      <c r="K61" s="2" t="s">
        <v>479</v>
      </c>
      <c r="L61" s="11">
        <f t="shared" si="41"/>
        <v>1238</v>
      </c>
      <c r="M61" s="11">
        <f t="shared" si="42"/>
        <v>1264</v>
      </c>
      <c r="N61" s="11">
        <f t="shared" si="43"/>
        <v>1293</v>
      </c>
      <c r="O61" s="11">
        <f t="shared" si="44"/>
        <v>1315</v>
      </c>
      <c r="P61" s="2"/>
      <c r="Q61" s="661" t="s">
        <v>525</v>
      </c>
      <c r="R61" s="2" t="s">
        <v>51</v>
      </c>
      <c r="S61" s="2"/>
      <c r="T61" s="2"/>
      <c r="U61" s="2"/>
      <c r="V61" s="2"/>
      <c r="W61" s="5">
        <f>SUM(W62:W63)</f>
        <v>77</v>
      </c>
      <c r="X61" s="5">
        <f>SUM(X62:X63)</f>
        <v>76</v>
      </c>
      <c r="Y61" s="5">
        <f>SUM(Y62:Y63)</f>
        <v>75</v>
      </c>
      <c r="Z61" s="5">
        <f>SUM(Z62:Z63)</f>
        <v>74</v>
      </c>
    </row>
    <row r="62" spans="1:26" ht="19.5" customHeight="1">
      <c r="A62" s="842"/>
      <c r="B62" s="2" t="s">
        <v>478</v>
      </c>
      <c r="C62" s="5">
        <v>462</v>
      </c>
      <c r="D62" s="38">
        <f t="shared" si="45"/>
        <v>8.915476649942107E-2</v>
      </c>
      <c r="E62" s="5">
        <f t="shared" ref="E62:E75" si="48">ROUND($E$60*D62,0)</f>
        <v>1901</v>
      </c>
      <c r="F62" s="5">
        <f t="shared" si="46"/>
        <v>1940</v>
      </c>
      <c r="G62" s="5">
        <f t="shared" si="47"/>
        <v>1984</v>
      </c>
      <c r="H62" s="5">
        <f t="shared" ref="H62:H75" si="49">ROUND($H$60*D62,0)</f>
        <v>2019</v>
      </c>
      <c r="I62" s="2"/>
      <c r="J62" s="842"/>
      <c r="K62" s="2" t="s">
        <v>480</v>
      </c>
      <c r="L62" s="11">
        <f t="shared" si="41"/>
        <v>580</v>
      </c>
      <c r="M62" s="11">
        <f t="shared" si="42"/>
        <v>592</v>
      </c>
      <c r="N62" s="11">
        <f t="shared" si="43"/>
        <v>606</v>
      </c>
      <c r="O62" s="11">
        <f t="shared" si="44"/>
        <v>616</v>
      </c>
      <c r="P62" s="2"/>
      <c r="Q62" s="661"/>
      <c r="R62" s="2" t="s">
        <v>528</v>
      </c>
      <c r="S62" s="2">
        <v>547</v>
      </c>
      <c r="T62" s="2">
        <v>539</v>
      </c>
      <c r="U62" s="2">
        <v>533</v>
      </c>
      <c r="V62" s="2">
        <v>525</v>
      </c>
      <c r="W62" s="5">
        <f t="shared" ref="W62:Z64" si="50">ROUND(W47*S62/1000,0)</f>
        <v>77</v>
      </c>
      <c r="X62" s="5">
        <f t="shared" si="50"/>
        <v>76</v>
      </c>
      <c r="Y62" s="5">
        <f t="shared" si="50"/>
        <v>75</v>
      </c>
      <c r="Z62" s="5">
        <f t="shared" si="50"/>
        <v>74</v>
      </c>
    </row>
    <row r="63" spans="1:26" ht="19.5" customHeight="1">
      <c r="A63" s="842"/>
      <c r="B63" s="2" t="s">
        <v>479</v>
      </c>
      <c r="C63" s="5">
        <v>301</v>
      </c>
      <c r="D63" s="38">
        <f t="shared" si="45"/>
        <v>5.8085681204168273E-2</v>
      </c>
      <c r="E63" s="5">
        <f t="shared" si="48"/>
        <v>1238</v>
      </c>
      <c r="F63" s="5">
        <f t="shared" si="46"/>
        <v>1264</v>
      </c>
      <c r="G63" s="5">
        <f t="shared" si="47"/>
        <v>1293</v>
      </c>
      <c r="H63" s="5">
        <f t="shared" si="49"/>
        <v>1315</v>
      </c>
      <c r="I63" s="2"/>
      <c r="J63" s="842"/>
      <c r="K63" s="2" t="s">
        <v>481</v>
      </c>
      <c r="L63" s="11">
        <f t="shared" si="41"/>
        <v>7014</v>
      </c>
      <c r="M63" s="11">
        <f t="shared" si="42"/>
        <v>7161</v>
      </c>
      <c r="N63" s="11">
        <f t="shared" si="43"/>
        <v>7324</v>
      </c>
      <c r="O63" s="11">
        <f t="shared" si="44"/>
        <v>7449</v>
      </c>
      <c r="P63" s="2"/>
      <c r="Q63" s="661"/>
      <c r="R63" s="2" t="s">
        <v>529</v>
      </c>
      <c r="S63" s="2">
        <v>547</v>
      </c>
      <c r="T63" s="2">
        <v>539</v>
      </c>
      <c r="U63" s="2">
        <v>533</v>
      </c>
      <c r="V63" s="2">
        <v>525</v>
      </c>
      <c r="W63" s="5">
        <f t="shared" si="50"/>
        <v>0</v>
      </c>
      <c r="X63" s="5">
        <f t="shared" si="50"/>
        <v>0</v>
      </c>
      <c r="Y63" s="5">
        <f t="shared" si="50"/>
        <v>0</v>
      </c>
      <c r="Z63" s="5">
        <f t="shared" si="50"/>
        <v>0</v>
      </c>
    </row>
    <row r="64" spans="1:26" ht="19.5" customHeight="1">
      <c r="A64" s="842"/>
      <c r="B64" s="2" t="s">
        <v>480</v>
      </c>
      <c r="C64" s="5">
        <v>141</v>
      </c>
      <c r="D64" s="38">
        <f t="shared" si="45"/>
        <v>2.7209571593979159E-2</v>
      </c>
      <c r="E64" s="5">
        <f t="shared" si="48"/>
        <v>580</v>
      </c>
      <c r="F64" s="5">
        <f t="shared" si="46"/>
        <v>592</v>
      </c>
      <c r="G64" s="5">
        <f t="shared" si="47"/>
        <v>606</v>
      </c>
      <c r="H64" s="5">
        <f t="shared" si="49"/>
        <v>616</v>
      </c>
      <c r="I64" s="2"/>
      <c r="J64" s="842"/>
      <c r="K64" s="2" t="s">
        <v>482</v>
      </c>
      <c r="L64" s="11">
        <f t="shared" si="41"/>
        <v>720</v>
      </c>
      <c r="M64" s="11">
        <f t="shared" si="42"/>
        <v>735</v>
      </c>
      <c r="N64" s="11">
        <f t="shared" si="43"/>
        <v>752</v>
      </c>
      <c r="O64" s="11">
        <f t="shared" si="44"/>
        <v>765</v>
      </c>
      <c r="P64" s="2"/>
      <c r="Q64" s="2" t="s">
        <v>530</v>
      </c>
      <c r="R64" s="2" t="s">
        <v>531</v>
      </c>
      <c r="S64" s="2">
        <v>547</v>
      </c>
      <c r="T64" s="2">
        <v>539</v>
      </c>
      <c r="U64" s="2">
        <v>533</v>
      </c>
      <c r="V64" s="2">
        <v>525</v>
      </c>
      <c r="W64" s="5">
        <f t="shared" si="50"/>
        <v>0</v>
      </c>
      <c r="X64" s="5">
        <f t="shared" si="50"/>
        <v>0</v>
      </c>
      <c r="Y64" s="5">
        <f t="shared" si="50"/>
        <v>0</v>
      </c>
      <c r="Z64" s="5">
        <f t="shared" si="50"/>
        <v>0</v>
      </c>
    </row>
    <row r="65" spans="1:26" ht="19.5" customHeight="1">
      <c r="A65" s="842"/>
      <c r="B65" s="2" t="s">
        <v>481</v>
      </c>
      <c r="C65" s="5">
        <v>1705</v>
      </c>
      <c r="D65" s="38">
        <f t="shared" si="45"/>
        <v>0.32902354303357778</v>
      </c>
      <c r="E65" s="5">
        <f t="shared" si="48"/>
        <v>7014</v>
      </c>
      <c r="F65" s="5">
        <f t="shared" si="46"/>
        <v>7161</v>
      </c>
      <c r="G65" s="5">
        <f t="shared" si="47"/>
        <v>7324</v>
      </c>
      <c r="H65" s="5">
        <f t="shared" si="49"/>
        <v>7449</v>
      </c>
      <c r="I65" s="2"/>
      <c r="J65" s="842"/>
      <c r="K65" s="2" t="s">
        <v>483</v>
      </c>
      <c r="L65" s="11">
        <f t="shared" si="41"/>
        <v>1391</v>
      </c>
      <c r="M65" s="11">
        <f t="shared" si="42"/>
        <v>1420</v>
      </c>
      <c r="N65" s="11">
        <f t="shared" si="43"/>
        <v>1452</v>
      </c>
      <c r="O65" s="11">
        <f t="shared" si="44"/>
        <v>1477</v>
      </c>
      <c r="P65" s="2"/>
      <c r="Q65" s="661" t="s">
        <v>51</v>
      </c>
      <c r="R65" s="661"/>
      <c r="S65" s="2"/>
      <c r="T65" s="2"/>
      <c r="U65" s="2"/>
      <c r="V65" s="2"/>
      <c r="W65" s="5">
        <f>W53+W57+W61+W64</f>
        <v>2300</v>
      </c>
      <c r="X65" s="5">
        <f>X53+X57+X61+X64</f>
        <v>2241</v>
      </c>
      <c r="Y65" s="5">
        <f>Y53+Y57+Y61+Y64</f>
        <v>2177</v>
      </c>
      <c r="Z65" s="5">
        <f>Z53+Z57+Z61+Z64</f>
        <v>2118</v>
      </c>
    </row>
    <row r="66" spans="1:26" ht="19.5" customHeight="1">
      <c r="A66" s="842"/>
      <c r="B66" s="2" t="s">
        <v>482</v>
      </c>
      <c r="C66" s="5">
        <v>175</v>
      </c>
      <c r="D66" s="38">
        <f t="shared" si="45"/>
        <v>3.3770744886144344E-2</v>
      </c>
      <c r="E66" s="5">
        <f t="shared" si="48"/>
        <v>720</v>
      </c>
      <c r="F66" s="5">
        <f t="shared" si="46"/>
        <v>735</v>
      </c>
      <c r="G66" s="5">
        <f t="shared" si="47"/>
        <v>752</v>
      </c>
      <c r="H66" s="5">
        <f t="shared" si="49"/>
        <v>765</v>
      </c>
      <c r="I66" s="2"/>
      <c r="J66" s="842"/>
      <c r="K66" s="2" t="s">
        <v>484</v>
      </c>
      <c r="L66" s="11">
        <f t="shared" si="41"/>
        <v>658</v>
      </c>
      <c r="M66" s="11">
        <f t="shared" si="42"/>
        <v>672</v>
      </c>
      <c r="N66" s="11">
        <f t="shared" si="43"/>
        <v>687</v>
      </c>
      <c r="O66" s="11">
        <f t="shared" si="44"/>
        <v>699</v>
      </c>
      <c r="P66" s="2"/>
      <c r="W66" s="14"/>
      <c r="X66" s="14"/>
      <c r="Y66" s="14"/>
      <c r="Z66" s="14"/>
    </row>
    <row r="67" spans="1:26" ht="19.5" customHeight="1">
      <c r="A67" s="842"/>
      <c r="B67" s="2" t="s">
        <v>483</v>
      </c>
      <c r="C67" s="5">
        <v>338</v>
      </c>
      <c r="D67" s="38">
        <f t="shared" si="45"/>
        <v>6.5225781551524503E-2</v>
      </c>
      <c r="E67" s="5">
        <f t="shared" si="48"/>
        <v>1391</v>
      </c>
      <c r="F67" s="5">
        <f t="shared" si="46"/>
        <v>1420</v>
      </c>
      <c r="G67" s="5">
        <f t="shared" si="47"/>
        <v>1452</v>
      </c>
      <c r="H67" s="5">
        <f t="shared" si="49"/>
        <v>1477</v>
      </c>
      <c r="I67" s="2"/>
      <c r="J67" s="842"/>
      <c r="K67" s="2" t="s">
        <v>485</v>
      </c>
      <c r="L67" s="11">
        <f t="shared" si="41"/>
        <v>1045</v>
      </c>
      <c r="M67" s="11">
        <f t="shared" si="42"/>
        <v>1067</v>
      </c>
      <c r="N67" s="11">
        <f t="shared" si="43"/>
        <v>1091</v>
      </c>
      <c r="O67" s="11">
        <f t="shared" si="44"/>
        <v>1110</v>
      </c>
      <c r="P67" s="2"/>
      <c r="Q67" s="61" t="s">
        <v>535</v>
      </c>
    </row>
    <row r="68" spans="1:26" ht="19.5" customHeight="1">
      <c r="A68" s="842"/>
      <c r="B68" s="2" t="s">
        <v>484</v>
      </c>
      <c r="C68" s="5">
        <v>160</v>
      </c>
      <c r="D68" s="38">
        <f t="shared" si="45"/>
        <v>3.0876109610189117E-2</v>
      </c>
      <c r="E68" s="5">
        <f t="shared" si="48"/>
        <v>658</v>
      </c>
      <c r="F68" s="5">
        <f t="shared" si="46"/>
        <v>672</v>
      </c>
      <c r="G68" s="5">
        <f t="shared" si="47"/>
        <v>687</v>
      </c>
      <c r="H68" s="5">
        <f t="shared" si="49"/>
        <v>699</v>
      </c>
      <c r="I68" s="2"/>
      <c r="J68" s="842"/>
      <c r="K68" s="2" t="s">
        <v>486</v>
      </c>
      <c r="L68" s="11">
        <f t="shared" si="41"/>
        <v>420</v>
      </c>
      <c r="M68" s="11">
        <f t="shared" si="42"/>
        <v>428</v>
      </c>
      <c r="N68" s="11">
        <f t="shared" si="43"/>
        <v>438</v>
      </c>
      <c r="O68" s="11">
        <f t="shared" si="44"/>
        <v>446</v>
      </c>
      <c r="P68" s="2"/>
      <c r="Q68" s="844" t="s">
        <v>55</v>
      </c>
      <c r="R68" s="845"/>
      <c r="S68" s="661" t="s">
        <v>513</v>
      </c>
      <c r="T68" s="661"/>
      <c r="U68" s="661"/>
      <c r="V68" s="661"/>
      <c r="W68" s="661" t="s">
        <v>521</v>
      </c>
      <c r="X68" s="661"/>
      <c r="Y68" s="661"/>
      <c r="Z68" s="661"/>
    </row>
    <row r="69" spans="1:26" ht="19.5" customHeight="1">
      <c r="A69" s="842"/>
      <c r="B69" s="2" t="s">
        <v>485</v>
      </c>
      <c r="C69" s="5">
        <v>254</v>
      </c>
      <c r="D69" s="38">
        <f t="shared" si="45"/>
        <v>4.901582400617522E-2</v>
      </c>
      <c r="E69" s="5">
        <f t="shared" si="48"/>
        <v>1045</v>
      </c>
      <c r="F69" s="5">
        <f t="shared" si="46"/>
        <v>1067</v>
      </c>
      <c r="G69" s="5">
        <f t="shared" si="47"/>
        <v>1091</v>
      </c>
      <c r="H69" s="5">
        <f t="shared" si="49"/>
        <v>1110</v>
      </c>
      <c r="I69" s="2"/>
      <c r="J69" s="842"/>
      <c r="K69" s="2" t="s">
        <v>487</v>
      </c>
      <c r="L69" s="11">
        <f t="shared" si="41"/>
        <v>444</v>
      </c>
      <c r="M69" s="11">
        <f t="shared" si="42"/>
        <v>454</v>
      </c>
      <c r="N69" s="11">
        <f t="shared" si="43"/>
        <v>464</v>
      </c>
      <c r="O69" s="11">
        <f t="shared" si="44"/>
        <v>472</v>
      </c>
      <c r="P69" s="2"/>
      <c r="Q69" s="846"/>
      <c r="R69" s="847"/>
      <c r="S69" s="84" t="s">
        <v>114</v>
      </c>
      <c r="T69" s="84" t="s">
        <v>115</v>
      </c>
      <c r="U69" s="84" t="s">
        <v>116</v>
      </c>
      <c r="V69" s="84" t="s">
        <v>117</v>
      </c>
      <c r="W69" s="84" t="s">
        <v>114</v>
      </c>
      <c r="X69" s="84" t="s">
        <v>115</v>
      </c>
      <c r="Y69" s="84" t="s">
        <v>116</v>
      </c>
      <c r="Z69" s="84" t="s">
        <v>117</v>
      </c>
    </row>
    <row r="70" spans="1:26" ht="19.5" customHeight="1">
      <c r="A70" s="842"/>
      <c r="B70" s="2" t="s">
        <v>486</v>
      </c>
      <c r="C70" s="5">
        <v>102</v>
      </c>
      <c r="D70" s="38">
        <f t="shared" si="45"/>
        <v>1.968351987649556E-2</v>
      </c>
      <c r="E70" s="5">
        <f t="shared" si="48"/>
        <v>420</v>
      </c>
      <c r="F70" s="5">
        <f t="shared" si="46"/>
        <v>428</v>
      </c>
      <c r="G70" s="5">
        <f t="shared" si="47"/>
        <v>438</v>
      </c>
      <c r="H70" s="5">
        <f t="shared" si="49"/>
        <v>446</v>
      </c>
      <c r="I70" s="2"/>
      <c r="J70" s="842"/>
      <c r="K70" s="2" t="s">
        <v>488</v>
      </c>
      <c r="L70" s="11">
        <f t="shared" si="41"/>
        <v>1263</v>
      </c>
      <c r="M70" s="11">
        <f t="shared" si="42"/>
        <v>1289</v>
      </c>
      <c r="N70" s="11">
        <f t="shared" si="43"/>
        <v>1319</v>
      </c>
      <c r="O70" s="11">
        <f t="shared" si="44"/>
        <v>1341</v>
      </c>
      <c r="P70" s="2"/>
      <c r="Q70" s="770" t="s">
        <v>526</v>
      </c>
      <c r="R70" s="2" t="s">
        <v>51</v>
      </c>
      <c r="S70" s="11">
        <f t="shared" ref="S70:Z70" si="51">SUM(S71:S73)</f>
        <v>312</v>
      </c>
      <c r="T70" s="11">
        <f t="shared" si="51"/>
        <v>473</v>
      </c>
      <c r="U70" s="11">
        <f t="shared" si="51"/>
        <v>473</v>
      </c>
      <c r="V70" s="11">
        <f t="shared" si="51"/>
        <v>473</v>
      </c>
      <c r="W70" s="11">
        <f t="shared" si="51"/>
        <v>312</v>
      </c>
      <c r="X70" s="11">
        <f t="shared" si="51"/>
        <v>473</v>
      </c>
      <c r="Y70" s="11">
        <f t="shared" si="51"/>
        <v>473</v>
      </c>
      <c r="Z70" s="11">
        <f t="shared" si="51"/>
        <v>473</v>
      </c>
    </row>
    <row r="71" spans="1:26" ht="19.5" customHeight="1">
      <c r="A71" s="842"/>
      <c r="B71" s="2" t="s">
        <v>487</v>
      </c>
      <c r="C71" s="5">
        <v>108</v>
      </c>
      <c r="D71" s="38">
        <f t="shared" si="45"/>
        <v>2.0841373986877652E-2</v>
      </c>
      <c r="E71" s="5">
        <f t="shared" si="48"/>
        <v>444</v>
      </c>
      <c r="F71" s="5">
        <f t="shared" si="46"/>
        <v>454</v>
      </c>
      <c r="G71" s="5">
        <f t="shared" si="47"/>
        <v>464</v>
      </c>
      <c r="H71" s="5">
        <f t="shared" si="49"/>
        <v>472</v>
      </c>
      <c r="I71" s="2"/>
      <c r="J71" s="842"/>
      <c r="K71" s="2" t="s">
        <v>489</v>
      </c>
      <c r="L71" s="11">
        <f t="shared" si="41"/>
        <v>1082</v>
      </c>
      <c r="M71" s="11">
        <f t="shared" si="42"/>
        <v>1105</v>
      </c>
      <c r="N71" s="11">
        <f t="shared" si="43"/>
        <v>1130</v>
      </c>
      <c r="O71" s="11">
        <f t="shared" si="44"/>
        <v>1149</v>
      </c>
      <c r="P71" s="2"/>
      <c r="Q71" s="661"/>
      <c r="R71" s="2" t="s">
        <v>518</v>
      </c>
      <c r="S71" s="11">
        <v>161</v>
      </c>
      <c r="T71" s="11">
        <v>322</v>
      </c>
      <c r="U71" s="11">
        <v>322</v>
      </c>
      <c r="V71" s="11">
        <v>322</v>
      </c>
      <c r="W71" s="11">
        <v>161</v>
      </c>
      <c r="X71" s="11">
        <v>322</v>
      </c>
      <c r="Y71" s="11">
        <v>322</v>
      </c>
      <c r="Z71" s="11">
        <v>322</v>
      </c>
    </row>
    <row r="72" spans="1:26" ht="19.5" customHeight="1">
      <c r="A72" s="842"/>
      <c r="B72" s="2" t="s">
        <v>488</v>
      </c>
      <c r="C72" s="5">
        <v>307</v>
      </c>
      <c r="D72" s="38">
        <f t="shared" si="45"/>
        <v>5.9243535314550365E-2</v>
      </c>
      <c r="E72" s="5">
        <f t="shared" si="48"/>
        <v>1263</v>
      </c>
      <c r="F72" s="5">
        <f t="shared" si="46"/>
        <v>1289</v>
      </c>
      <c r="G72" s="5">
        <f t="shared" si="47"/>
        <v>1319</v>
      </c>
      <c r="H72" s="5">
        <f t="shared" si="49"/>
        <v>1341</v>
      </c>
      <c r="I72" s="2"/>
      <c r="J72" s="842"/>
      <c r="K72" s="2" t="s">
        <v>490</v>
      </c>
      <c r="L72" s="11">
        <f t="shared" si="41"/>
        <v>987</v>
      </c>
      <c r="M72" s="11">
        <f t="shared" si="42"/>
        <v>1008</v>
      </c>
      <c r="N72" s="11">
        <f t="shared" si="43"/>
        <v>1031</v>
      </c>
      <c r="O72" s="11">
        <f t="shared" si="44"/>
        <v>1049</v>
      </c>
      <c r="P72" s="2"/>
      <c r="Q72" s="661"/>
      <c r="R72" s="2" t="s">
        <v>519</v>
      </c>
      <c r="S72" s="11">
        <v>151</v>
      </c>
      <c r="T72" s="11">
        <v>151</v>
      </c>
      <c r="U72" s="11">
        <v>151</v>
      </c>
      <c r="V72" s="11">
        <v>151</v>
      </c>
      <c r="W72" s="11">
        <v>151</v>
      </c>
      <c r="X72" s="11">
        <v>151</v>
      </c>
      <c r="Y72" s="11">
        <v>151</v>
      </c>
      <c r="Z72" s="11">
        <v>151</v>
      </c>
    </row>
    <row r="73" spans="1:26" ht="19.5" customHeight="1">
      <c r="A73" s="842"/>
      <c r="B73" s="2" t="s">
        <v>489</v>
      </c>
      <c r="C73" s="5">
        <v>263</v>
      </c>
      <c r="D73" s="38">
        <f t="shared" si="45"/>
        <v>5.0752605171748358E-2</v>
      </c>
      <c r="E73" s="5">
        <f t="shared" si="48"/>
        <v>1082</v>
      </c>
      <c r="F73" s="5">
        <f t="shared" si="46"/>
        <v>1105</v>
      </c>
      <c r="G73" s="5">
        <f t="shared" si="47"/>
        <v>1130</v>
      </c>
      <c r="H73" s="5">
        <f t="shared" si="49"/>
        <v>1149</v>
      </c>
      <c r="I73" s="2"/>
      <c r="J73" s="843"/>
      <c r="K73" s="2" t="s">
        <v>491</v>
      </c>
      <c r="L73" s="11">
        <f t="shared" si="41"/>
        <v>662</v>
      </c>
      <c r="M73" s="11">
        <f t="shared" si="42"/>
        <v>676</v>
      </c>
      <c r="N73" s="11">
        <f t="shared" si="43"/>
        <v>692</v>
      </c>
      <c r="O73" s="11">
        <f t="shared" si="44"/>
        <v>703</v>
      </c>
      <c r="P73" s="2"/>
      <c r="Q73" s="661"/>
      <c r="R73" s="2" t="s">
        <v>520</v>
      </c>
      <c r="S73" s="11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</row>
    <row r="74" spans="1:26" ht="19.5" customHeight="1">
      <c r="A74" s="842"/>
      <c r="B74" s="2" t="s">
        <v>490</v>
      </c>
      <c r="C74" s="5">
        <v>240</v>
      </c>
      <c r="D74" s="38">
        <f t="shared" si="45"/>
        <v>4.6314164415283673E-2</v>
      </c>
      <c r="E74" s="5">
        <f t="shared" si="48"/>
        <v>987</v>
      </c>
      <c r="F74" s="5">
        <f t="shared" si="46"/>
        <v>1008</v>
      </c>
      <c r="G74" s="5">
        <f t="shared" si="47"/>
        <v>1031</v>
      </c>
      <c r="H74" s="5">
        <f t="shared" si="49"/>
        <v>1049</v>
      </c>
      <c r="I74" s="2"/>
      <c r="J74" s="841" t="s">
        <v>187</v>
      </c>
      <c r="K74" s="2" t="s">
        <v>51</v>
      </c>
      <c r="L74" s="11">
        <f>SUM(L75:L83)</f>
        <v>7033</v>
      </c>
      <c r="M74" s="11">
        <f>SUM(M75:M83)</f>
        <v>7181</v>
      </c>
      <c r="N74" s="11">
        <f>SUM(N75:N83)</f>
        <v>7342</v>
      </c>
      <c r="O74" s="11">
        <f>SUM(O75:O83)</f>
        <v>7469</v>
      </c>
      <c r="P74" s="2"/>
      <c r="Q74" s="770" t="s">
        <v>527</v>
      </c>
      <c r="R74" s="2" t="s">
        <v>51</v>
      </c>
      <c r="S74" s="11">
        <f t="shared" ref="S74:Z74" si="52">SUM(S75:S77)</f>
        <v>112</v>
      </c>
      <c r="T74" s="11">
        <f t="shared" si="52"/>
        <v>112</v>
      </c>
      <c r="U74" s="11">
        <f t="shared" si="52"/>
        <v>112</v>
      </c>
      <c r="V74" s="11">
        <f t="shared" si="52"/>
        <v>112</v>
      </c>
      <c r="W74" s="11">
        <f t="shared" si="52"/>
        <v>112</v>
      </c>
      <c r="X74" s="11">
        <f t="shared" si="52"/>
        <v>112</v>
      </c>
      <c r="Y74" s="11">
        <f t="shared" si="52"/>
        <v>112</v>
      </c>
      <c r="Z74" s="11">
        <f t="shared" si="52"/>
        <v>112</v>
      </c>
    </row>
    <row r="75" spans="1:26" ht="19.5" customHeight="1">
      <c r="A75" s="842"/>
      <c r="B75" s="2" t="s">
        <v>491</v>
      </c>
      <c r="C75" s="5">
        <v>161</v>
      </c>
      <c r="D75" s="38">
        <f t="shared" si="45"/>
        <v>3.1069085295252798E-2</v>
      </c>
      <c r="E75" s="5">
        <f t="shared" si="48"/>
        <v>662</v>
      </c>
      <c r="F75" s="5">
        <f t="shared" si="46"/>
        <v>676</v>
      </c>
      <c r="G75" s="5">
        <f t="shared" si="47"/>
        <v>692</v>
      </c>
      <c r="H75" s="5">
        <f t="shared" si="49"/>
        <v>703</v>
      </c>
      <c r="I75" s="2"/>
      <c r="J75" s="842"/>
      <c r="K75" s="2" t="s">
        <v>502</v>
      </c>
      <c r="L75" s="11">
        <f t="shared" ref="L75:L83" si="53">E86</f>
        <v>1374</v>
      </c>
      <c r="M75" s="11">
        <f t="shared" ref="M75:M83" si="54">F86</f>
        <v>1404</v>
      </c>
      <c r="N75" s="11">
        <f t="shared" ref="N75:N83" si="55">G86</f>
        <v>1433</v>
      </c>
      <c r="O75" s="11">
        <f t="shared" ref="O75:O83" si="56">H86</f>
        <v>1460</v>
      </c>
      <c r="P75" s="2"/>
      <c r="Q75" s="661"/>
      <c r="R75" s="2" t="s">
        <v>522</v>
      </c>
      <c r="S75" s="11">
        <v>112</v>
      </c>
      <c r="T75" s="11">
        <v>112</v>
      </c>
      <c r="U75" s="11">
        <v>112</v>
      </c>
      <c r="V75" s="11">
        <v>112</v>
      </c>
      <c r="W75" s="11">
        <v>112</v>
      </c>
      <c r="X75" s="11">
        <v>112</v>
      </c>
      <c r="Y75" s="11">
        <v>112</v>
      </c>
      <c r="Z75" s="11">
        <v>112</v>
      </c>
    </row>
    <row r="76" spans="1:26" ht="19.5" customHeight="1">
      <c r="A76" s="842" t="s">
        <v>186</v>
      </c>
      <c r="B76" s="2" t="s">
        <v>51</v>
      </c>
      <c r="C76" s="5">
        <f>SUM(C77:C84)</f>
        <v>3140</v>
      </c>
      <c r="D76" s="38">
        <f>C76/$C$4</f>
        <v>9.861189623767351E-2</v>
      </c>
      <c r="E76" s="5">
        <f>'행정구역별 장래인구'!D10</f>
        <v>12825</v>
      </c>
      <c r="F76" s="5">
        <f>'행정구역별 장래인구'!E10</f>
        <v>13094</v>
      </c>
      <c r="G76" s="5">
        <f>'행정구역별 장래인구'!F10</f>
        <v>13391</v>
      </c>
      <c r="H76" s="5">
        <f>'행정구역별 장래인구'!G10</f>
        <v>13621</v>
      </c>
      <c r="I76" s="2"/>
      <c r="J76" s="842"/>
      <c r="K76" s="2" t="s">
        <v>503</v>
      </c>
      <c r="L76" s="11">
        <f t="shared" si="53"/>
        <v>336</v>
      </c>
      <c r="M76" s="11">
        <f t="shared" si="54"/>
        <v>343</v>
      </c>
      <c r="N76" s="11">
        <f t="shared" si="55"/>
        <v>351</v>
      </c>
      <c r="O76" s="11">
        <f t="shared" si="56"/>
        <v>357</v>
      </c>
      <c r="P76" s="2"/>
      <c r="Q76" s="661"/>
      <c r="R76" s="2" t="s">
        <v>523</v>
      </c>
      <c r="S76" s="11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</row>
    <row r="77" spans="1:26" ht="19.5" customHeight="1">
      <c r="A77" s="842"/>
      <c r="B77" s="2" t="s">
        <v>493</v>
      </c>
      <c r="C77" s="5">
        <v>199</v>
      </c>
      <c r="D77" s="38">
        <f t="shared" ref="D77:D84" si="57">C77/$C$76</f>
        <v>6.3375796178343949E-2</v>
      </c>
      <c r="E77" s="5">
        <f>ROUND($E$76*D77,0)</f>
        <v>813</v>
      </c>
      <c r="F77" s="5">
        <f t="shared" ref="F77:F84" si="58">ROUND($F$76*D77,0)</f>
        <v>830</v>
      </c>
      <c r="G77" s="5">
        <f>ROUND($G$76*D77,0)</f>
        <v>849</v>
      </c>
      <c r="H77" s="5">
        <f>ROUND($H$76*D77,0)</f>
        <v>863</v>
      </c>
      <c r="I77" s="2"/>
      <c r="J77" s="842"/>
      <c r="K77" s="2" t="s">
        <v>504</v>
      </c>
      <c r="L77" s="11">
        <f t="shared" si="53"/>
        <v>1033</v>
      </c>
      <c r="M77" s="11">
        <f t="shared" si="54"/>
        <v>1055</v>
      </c>
      <c r="N77" s="11">
        <f t="shared" si="55"/>
        <v>1079</v>
      </c>
      <c r="O77" s="11">
        <f t="shared" si="56"/>
        <v>1097</v>
      </c>
      <c r="P77" s="2"/>
      <c r="Q77" s="661"/>
      <c r="R77" s="2" t="s">
        <v>524</v>
      </c>
      <c r="S77" s="11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</row>
    <row r="78" spans="1:26" ht="19.5" customHeight="1">
      <c r="A78" s="842"/>
      <c r="B78" s="2" t="s">
        <v>494</v>
      </c>
      <c r="C78" s="5">
        <v>389</v>
      </c>
      <c r="D78" s="38">
        <f t="shared" si="57"/>
        <v>0.12388535031847134</v>
      </c>
      <c r="E78" s="5">
        <f>ROUND($E$76*D78,0)</f>
        <v>1589</v>
      </c>
      <c r="F78" s="5">
        <f t="shared" si="58"/>
        <v>1622</v>
      </c>
      <c r="G78" s="5">
        <f>ROUND($G$76*D78,0)</f>
        <v>1659</v>
      </c>
      <c r="H78" s="5">
        <f>ROUND($H$76*D78,0)</f>
        <v>1687</v>
      </c>
      <c r="I78" s="2"/>
      <c r="J78" s="842"/>
      <c r="K78" s="2" t="s">
        <v>505</v>
      </c>
      <c r="L78" s="11">
        <f t="shared" si="53"/>
        <v>570</v>
      </c>
      <c r="M78" s="11">
        <f t="shared" si="54"/>
        <v>582</v>
      </c>
      <c r="N78" s="11">
        <f t="shared" si="55"/>
        <v>595</v>
      </c>
      <c r="O78" s="11">
        <f t="shared" si="56"/>
        <v>605</v>
      </c>
      <c r="P78" s="2"/>
      <c r="Q78" s="661" t="s">
        <v>525</v>
      </c>
      <c r="R78" s="2" t="s">
        <v>51</v>
      </c>
      <c r="S78" s="11">
        <f t="shared" ref="S78:Z78" si="59">SUM(S79:S80)</f>
        <v>0</v>
      </c>
      <c r="T78" s="11">
        <f t="shared" si="59"/>
        <v>0</v>
      </c>
      <c r="U78" s="11">
        <f t="shared" si="59"/>
        <v>0</v>
      </c>
      <c r="V78" s="11">
        <f t="shared" si="59"/>
        <v>0</v>
      </c>
      <c r="W78" s="11">
        <f t="shared" si="59"/>
        <v>0</v>
      </c>
      <c r="X78" s="11">
        <f t="shared" si="59"/>
        <v>0</v>
      </c>
      <c r="Y78" s="11">
        <f t="shared" si="59"/>
        <v>0</v>
      </c>
      <c r="Z78" s="11">
        <f t="shared" si="59"/>
        <v>0</v>
      </c>
    </row>
    <row r="79" spans="1:26" ht="19.5" customHeight="1">
      <c r="A79" s="842"/>
      <c r="B79" s="2" t="s">
        <v>495</v>
      </c>
      <c r="C79" s="5">
        <v>762</v>
      </c>
      <c r="D79" s="38">
        <f t="shared" si="57"/>
        <v>0.24267515923566879</v>
      </c>
      <c r="E79" s="5">
        <f>ROUND($E$76*D79,0)-1</f>
        <v>3111</v>
      </c>
      <c r="F79" s="5">
        <f t="shared" si="58"/>
        <v>3178</v>
      </c>
      <c r="G79" s="5">
        <f>ROUND($G$76*D79,0)+1</f>
        <v>3251</v>
      </c>
      <c r="H79" s="5">
        <f>ROUND($H$76*D79,0)-1</f>
        <v>3304</v>
      </c>
      <c r="I79" s="2"/>
      <c r="J79" s="842"/>
      <c r="K79" s="2" t="s">
        <v>506</v>
      </c>
      <c r="L79" s="11">
        <f t="shared" si="53"/>
        <v>1337</v>
      </c>
      <c r="M79" s="11">
        <f t="shared" si="54"/>
        <v>1365</v>
      </c>
      <c r="N79" s="11">
        <f t="shared" si="55"/>
        <v>1396</v>
      </c>
      <c r="O79" s="11">
        <f t="shared" si="56"/>
        <v>1420</v>
      </c>
      <c r="P79" s="2"/>
      <c r="Q79" s="661"/>
      <c r="R79" s="2" t="s">
        <v>528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</row>
    <row r="80" spans="1:26" ht="19.5" customHeight="1">
      <c r="A80" s="842"/>
      <c r="B80" s="2" t="s">
        <v>496</v>
      </c>
      <c r="C80" s="5">
        <v>762</v>
      </c>
      <c r="D80" s="38">
        <f t="shared" si="57"/>
        <v>0.24267515923566879</v>
      </c>
      <c r="E80" s="5">
        <f>ROUND($E$76*D80,0)-1</f>
        <v>3111</v>
      </c>
      <c r="F80" s="5">
        <f t="shared" si="58"/>
        <v>3178</v>
      </c>
      <c r="G80" s="5">
        <f>ROUND($G$76*D80,0)</f>
        <v>3250</v>
      </c>
      <c r="H80" s="5">
        <f>ROUND($H$76*D80,0)</f>
        <v>3305</v>
      </c>
      <c r="I80" s="2"/>
      <c r="J80" s="842"/>
      <c r="K80" s="2" t="s">
        <v>507</v>
      </c>
      <c r="L80" s="11">
        <f t="shared" si="53"/>
        <v>615</v>
      </c>
      <c r="M80" s="11">
        <f t="shared" si="54"/>
        <v>628</v>
      </c>
      <c r="N80" s="11">
        <f t="shared" si="55"/>
        <v>642</v>
      </c>
      <c r="O80" s="11">
        <f t="shared" si="56"/>
        <v>653</v>
      </c>
      <c r="P80" s="2"/>
      <c r="Q80" s="661"/>
      <c r="R80" s="2" t="s">
        <v>529</v>
      </c>
      <c r="S80" s="11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</row>
    <row r="81" spans="1:26" ht="19.5" customHeight="1">
      <c r="A81" s="842"/>
      <c r="B81" s="2" t="s">
        <v>497</v>
      </c>
      <c r="C81" s="5">
        <v>182</v>
      </c>
      <c r="D81" s="38">
        <f t="shared" si="57"/>
        <v>5.7961783439490447E-2</v>
      </c>
      <c r="E81" s="5">
        <f>ROUND($E$76*D81,0)</f>
        <v>743</v>
      </c>
      <c r="F81" s="5">
        <f t="shared" si="58"/>
        <v>759</v>
      </c>
      <c r="G81" s="5">
        <f>ROUND($G$76*D81,0)</f>
        <v>776</v>
      </c>
      <c r="H81" s="5">
        <f>ROUND($H$76*D81,0)</f>
        <v>789</v>
      </c>
      <c r="I81" s="2"/>
      <c r="J81" s="842"/>
      <c r="K81" s="2" t="s">
        <v>508</v>
      </c>
      <c r="L81" s="11">
        <f t="shared" si="53"/>
        <v>636</v>
      </c>
      <c r="M81" s="11">
        <f t="shared" si="54"/>
        <v>649</v>
      </c>
      <c r="N81" s="11">
        <f t="shared" si="55"/>
        <v>664</v>
      </c>
      <c r="O81" s="11">
        <f t="shared" si="56"/>
        <v>675</v>
      </c>
      <c r="P81" s="2"/>
      <c r="Q81" s="2" t="s">
        <v>530</v>
      </c>
      <c r="R81" s="2" t="s">
        <v>531</v>
      </c>
      <c r="S81" s="11">
        <v>29</v>
      </c>
      <c r="T81" s="11">
        <v>29</v>
      </c>
      <c r="U81" s="11">
        <v>29</v>
      </c>
      <c r="V81" s="11">
        <v>29</v>
      </c>
      <c r="W81" s="11">
        <v>29</v>
      </c>
      <c r="X81" s="11">
        <v>29</v>
      </c>
      <c r="Y81" s="11">
        <v>29</v>
      </c>
      <c r="Z81" s="11">
        <v>29</v>
      </c>
    </row>
    <row r="82" spans="1:26" ht="19.5" customHeight="1">
      <c r="A82" s="842"/>
      <c r="B82" s="2" t="s">
        <v>498</v>
      </c>
      <c r="C82" s="5">
        <v>141</v>
      </c>
      <c r="D82" s="38">
        <f t="shared" si="57"/>
        <v>4.4904458598726112E-2</v>
      </c>
      <c r="E82" s="5">
        <f>ROUND($E$76*D82,0)</f>
        <v>576</v>
      </c>
      <c r="F82" s="5">
        <f t="shared" si="58"/>
        <v>588</v>
      </c>
      <c r="G82" s="5">
        <f>ROUND($G$76*D82,0)</f>
        <v>601</v>
      </c>
      <c r="H82" s="5">
        <f>ROUND($H$76*D82,0)</f>
        <v>612</v>
      </c>
      <c r="I82" s="2"/>
      <c r="J82" s="843"/>
      <c r="K82" s="2" t="s">
        <v>509</v>
      </c>
      <c r="L82" s="11">
        <f t="shared" si="53"/>
        <v>726</v>
      </c>
      <c r="M82" s="11">
        <f t="shared" si="54"/>
        <v>741</v>
      </c>
      <c r="N82" s="11">
        <f t="shared" si="55"/>
        <v>758</v>
      </c>
      <c r="O82" s="11">
        <f t="shared" si="56"/>
        <v>771</v>
      </c>
      <c r="P82" s="2"/>
      <c r="Q82" s="661" t="s">
        <v>51</v>
      </c>
      <c r="R82" s="661"/>
      <c r="S82" s="11">
        <f t="shared" ref="S82:Z82" si="60">S70+S74+S78+S81</f>
        <v>453</v>
      </c>
      <c r="T82" s="11">
        <f t="shared" si="60"/>
        <v>614</v>
      </c>
      <c r="U82" s="11">
        <f t="shared" si="60"/>
        <v>614</v>
      </c>
      <c r="V82" s="11">
        <f t="shared" si="60"/>
        <v>614</v>
      </c>
      <c r="W82" s="11">
        <f t="shared" si="60"/>
        <v>453</v>
      </c>
      <c r="X82" s="11">
        <f t="shared" si="60"/>
        <v>614</v>
      </c>
      <c r="Y82" s="11">
        <f t="shared" si="60"/>
        <v>614</v>
      </c>
      <c r="Z82" s="11">
        <f t="shared" si="60"/>
        <v>614</v>
      </c>
    </row>
    <row r="83" spans="1:26" ht="19.5" customHeight="1">
      <c r="A83" s="842" t="s">
        <v>186</v>
      </c>
      <c r="B83" s="2" t="s">
        <v>499</v>
      </c>
      <c r="C83" s="5">
        <v>366</v>
      </c>
      <c r="D83" s="38">
        <f t="shared" si="57"/>
        <v>0.11656050955414013</v>
      </c>
      <c r="E83" s="5">
        <f>ROUND($E$76*D83,0)</f>
        <v>1495</v>
      </c>
      <c r="F83" s="5">
        <f t="shared" si="58"/>
        <v>1526</v>
      </c>
      <c r="G83" s="5">
        <f>ROUND($G$76*D83,0)</f>
        <v>1561</v>
      </c>
      <c r="H83" s="5">
        <f>ROUND($H$76*D83,0)</f>
        <v>1588</v>
      </c>
      <c r="I83" s="2"/>
      <c r="J83" s="2" t="s">
        <v>697</v>
      </c>
      <c r="K83" s="2" t="s">
        <v>510</v>
      </c>
      <c r="L83" s="11">
        <f t="shared" si="53"/>
        <v>406</v>
      </c>
      <c r="M83" s="11">
        <f t="shared" si="54"/>
        <v>414</v>
      </c>
      <c r="N83" s="11">
        <f t="shared" si="55"/>
        <v>424</v>
      </c>
      <c r="O83" s="11">
        <f t="shared" si="56"/>
        <v>431</v>
      </c>
      <c r="P83" s="2"/>
      <c r="Q83" s="844" t="s">
        <v>55</v>
      </c>
      <c r="R83" s="845"/>
      <c r="S83" s="671" t="s">
        <v>532</v>
      </c>
      <c r="T83" s="659"/>
      <c r="U83" s="660"/>
      <c r="V83" s="671" t="s">
        <v>536</v>
      </c>
      <c r="W83" s="659"/>
      <c r="X83" s="659"/>
      <c r="Y83" s="659"/>
      <c r="Z83" s="660"/>
    </row>
    <row r="84" spans="1:26" ht="19.5" customHeight="1">
      <c r="A84" s="843"/>
      <c r="B84" s="84" t="s">
        <v>500</v>
      </c>
      <c r="C84" s="109">
        <v>339</v>
      </c>
      <c r="D84" s="110">
        <f t="shared" si="57"/>
        <v>0.10796178343949045</v>
      </c>
      <c r="E84" s="109">
        <f>ROUND($E$76*D84,0)</f>
        <v>1385</v>
      </c>
      <c r="F84" s="109">
        <f t="shared" si="58"/>
        <v>1414</v>
      </c>
      <c r="G84" s="109">
        <f>ROUND($G$76*D84,0)</f>
        <v>1446</v>
      </c>
      <c r="H84" s="109">
        <f>ROUND($H$76*D84,0)</f>
        <v>1471</v>
      </c>
      <c r="I84" s="84"/>
      <c r="J84" s="841" t="s">
        <v>420</v>
      </c>
      <c r="K84" s="2" t="s">
        <v>51</v>
      </c>
      <c r="L84" s="11">
        <f>SUM(L85:L86)</f>
        <v>2426</v>
      </c>
      <c r="M84" s="11">
        <f>SUM(M85:M86)</f>
        <v>2476</v>
      </c>
      <c r="N84" s="11">
        <f>SUM(N85:N86)</f>
        <v>2533</v>
      </c>
      <c r="O84" s="11">
        <f>SUM(O85:O86)</f>
        <v>2576</v>
      </c>
      <c r="P84" s="2"/>
      <c r="Q84" s="846"/>
      <c r="R84" s="847"/>
      <c r="S84" s="2" t="s">
        <v>114</v>
      </c>
      <c r="T84" s="2" t="s">
        <v>115</v>
      </c>
      <c r="U84" s="2" t="s">
        <v>116</v>
      </c>
      <c r="V84" s="2" t="s">
        <v>117</v>
      </c>
      <c r="W84" s="2" t="s">
        <v>114</v>
      </c>
      <c r="X84" s="2" t="s">
        <v>115</v>
      </c>
      <c r="Y84" s="2" t="s">
        <v>116</v>
      </c>
      <c r="Z84" s="2" t="s">
        <v>117</v>
      </c>
    </row>
    <row r="85" spans="1:26" ht="19.5" customHeight="1">
      <c r="A85" s="661" t="s">
        <v>501</v>
      </c>
      <c r="B85" s="2" t="s">
        <v>51</v>
      </c>
      <c r="C85" s="5">
        <f>SUM(C86:C94)</f>
        <v>1715</v>
      </c>
      <c r="D85" s="38">
        <f>C85/$C$4</f>
        <v>5.3859682180767539E-2</v>
      </c>
      <c r="E85" s="5">
        <f>'행정구역별 장래인구'!D11</f>
        <v>7032</v>
      </c>
      <c r="F85" s="5">
        <f>'행정구역별 장래인구'!E11</f>
        <v>7180</v>
      </c>
      <c r="G85" s="5">
        <f>'행정구역별 장래인구'!F11</f>
        <v>7342</v>
      </c>
      <c r="H85" s="5">
        <f>'행정구역별 장래인구'!G11</f>
        <v>7468</v>
      </c>
      <c r="I85" s="2"/>
      <c r="J85" s="842"/>
      <c r="K85" s="2" t="s">
        <v>438</v>
      </c>
      <c r="L85" s="11">
        <f t="shared" ref="L85:O86" si="61">E23</f>
        <v>1166</v>
      </c>
      <c r="M85" s="11">
        <f t="shared" si="61"/>
        <v>1190</v>
      </c>
      <c r="N85" s="11">
        <f t="shared" si="61"/>
        <v>1217</v>
      </c>
      <c r="O85" s="11">
        <f t="shared" si="61"/>
        <v>1238</v>
      </c>
      <c r="P85" s="2"/>
      <c r="Q85" s="838" t="s">
        <v>526</v>
      </c>
      <c r="R85" s="2" t="s">
        <v>51</v>
      </c>
      <c r="S85" s="2"/>
      <c r="T85" s="2"/>
      <c r="U85" s="2"/>
      <c r="V85" s="2"/>
      <c r="W85" s="5">
        <f>SUM(W86:W88)</f>
        <v>194</v>
      </c>
      <c r="X85" s="5">
        <f>SUM(X86:X88)</f>
        <v>283</v>
      </c>
      <c r="Y85" s="5">
        <f>SUM(Y86:Y88)</f>
        <v>272</v>
      </c>
      <c r="Z85" s="5">
        <f>SUM(Z86:Z88)</f>
        <v>260</v>
      </c>
    </row>
    <row r="86" spans="1:26" ht="19.5" customHeight="1">
      <c r="A86" s="661"/>
      <c r="B86" s="2" t="s">
        <v>502</v>
      </c>
      <c r="C86" s="5">
        <v>335</v>
      </c>
      <c r="D86" s="38">
        <f t="shared" ref="D86:D94" si="62">C86/$C$85</f>
        <v>0.19533527696793002</v>
      </c>
      <c r="E86" s="5">
        <f t="shared" ref="E86:E94" si="63">ROUND($E$85*D86,0)</f>
        <v>1374</v>
      </c>
      <c r="F86" s="5">
        <f>ROUND($F$85*D86,0)+1</f>
        <v>1404</v>
      </c>
      <c r="G86" s="5">
        <f>ROUND($G$85*D86,0)-1</f>
        <v>1433</v>
      </c>
      <c r="H86" s="5">
        <f>ROUND($H$85*D86,0)+1</f>
        <v>1460</v>
      </c>
      <c r="I86" s="2"/>
      <c r="J86" s="843"/>
      <c r="K86" s="2" t="s">
        <v>439</v>
      </c>
      <c r="L86" s="11">
        <f t="shared" si="61"/>
        <v>1260</v>
      </c>
      <c r="M86" s="11">
        <f t="shared" si="61"/>
        <v>1286</v>
      </c>
      <c r="N86" s="11">
        <f t="shared" si="61"/>
        <v>1316</v>
      </c>
      <c r="O86" s="11">
        <f t="shared" si="61"/>
        <v>1338</v>
      </c>
      <c r="P86" s="2"/>
      <c r="Q86" s="839"/>
      <c r="R86" s="2" t="s">
        <v>518</v>
      </c>
      <c r="S86" s="2">
        <v>622</v>
      </c>
      <c r="T86" s="2">
        <v>599</v>
      </c>
      <c r="U86" s="2">
        <v>573</v>
      </c>
      <c r="V86" s="2">
        <v>550</v>
      </c>
      <c r="W86" s="5">
        <f t="shared" ref="W86:Z88" si="64">ROUND(W71*S86/1000,0)</f>
        <v>100</v>
      </c>
      <c r="X86" s="5">
        <f t="shared" si="64"/>
        <v>193</v>
      </c>
      <c r="Y86" s="5">
        <f t="shared" si="64"/>
        <v>185</v>
      </c>
      <c r="Z86" s="5">
        <f t="shared" si="64"/>
        <v>177</v>
      </c>
    </row>
    <row r="87" spans="1:26" ht="19.5" customHeight="1">
      <c r="A87" s="661"/>
      <c r="B87" s="2" t="s">
        <v>503</v>
      </c>
      <c r="C87" s="5">
        <v>82</v>
      </c>
      <c r="D87" s="38">
        <f t="shared" si="62"/>
        <v>4.78134110787172E-2</v>
      </c>
      <c r="E87" s="5">
        <f t="shared" si="63"/>
        <v>336</v>
      </c>
      <c r="F87" s="5">
        <f t="shared" ref="F87:F94" si="65">ROUND($F$85*D87,0)</f>
        <v>343</v>
      </c>
      <c r="G87" s="5">
        <f t="shared" ref="G87:G94" si="66">ROUND($G$85*D87,0)</f>
        <v>351</v>
      </c>
      <c r="H87" s="5">
        <f t="shared" ref="H87:H94" si="67">ROUND($H$85*D87,0)</f>
        <v>357</v>
      </c>
      <c r="I87" s="2"/>
      <c r="Q87" s="839"/>
      <c r="R87" s="2" t="s">
        <v>519</v>
      </c>
      <c r="S87" s="2">
        <v>622</v>
      </c>
      <c r="T87" s="2">
        <v>599</v>
      </c>
      <c r="U87" s="2">
        <v>573</v>
      </c>
      <c r="V87" s="2">
        <v>550</v>
      </c>
      <c r="W87" s="5">
        <f t="shared" si="64"/>
        <v>94</v>
      </c>
      <c r="X87" s="5">
        <f t="shared" si="64"/>
        <v>90</v>
      </c>
      <c r="Y87" s="5">
        <f t="shared" si="64"/>
        <v>87</v>
      </c>
      <c r="Z87" s="5">
        <f t="shared" si="64"/>
        <v>83</v>
      </c>
    </row>
    <row r="88" spans="1:26" ht="19.5" customHeight="1">
      <c r="A88" s="661"/>
      <c r="B88" s="2" t="s">
        <v>504</v>
      </c>
      <c r="C88" s="5">
        <v>252</v>
      </c>
      <c r="D88" s="38">
        <f t="shared" si="62"/>
        <v>0.14693877551020409</v>
      </c>
      <c r="E88" s="5">
        <f t="shared" si="63"/>
        <v>1033</v>
      </c>
      <c r="F88" s="5">
        <f t="shared" si="65"/>
        <v>1055</v>
      </c>
      <c r="G88" s="5">
        <f t="shared" si="66"/>
        <v>1079</v>
      </c>
      <c r="H88" s="5">
        <f t="shared" si="67"/>
        <v>1097</v>
      </c>
      <c r="I88" s="2"/>
      <c r="J88" s="61" t="s">
        <v>517</v>
      </c>
      <c r="Q88" s="840"/>
      <c r="R88" s="2" t="s">
        <v>520</v>
      </c>
      <c r="S88" s="2">
        <v>547</v>
      </c>
      <c r="T88" s="2">
        <v>539</v>
      </c>
      <c r="U88" s="2">
        <v>533</v>
      </c>
      <c r="V88" s="2">
        <v>525</v>
      </c>
      <c r="W88" s="5">
        <f t="shared" si="64"/>
        <v>0</v>
      </c>
      <c r="X88" s="5">
        <f t="shared" si="64"/>
        <v>0</v>
      </c>
      <c r="Y88" s="5">
        <f t="shared" si="64"/>
        <v>0</v>
      </c>
      <c r="Z88" s="5">
        <f t="shared" si="64"/>
        <v>0</v>
      </c>
    </row>
    <row r="89" spans="1:26" ht="19.5" customHeight="1">
      <c r="A89" s="661"/>
      <c r="B89" s="2" t="s">
        <v>505</v>
      </c>
      <c r="C89" s="5">
        <v>139</v>
      </c>
      <c r="D89" s="38">
        <f t="shared" si="62"/>
        <v>8.1049562682215748E-2</v>
      </c>
      <c r="E89" s="5">
        <f t="shared" si="63"/>
        <v>570</v>
      </c>
      <c r="F89" s="5">
        <f t="shared" si="65"/>
        <v>582</v>
      </c>
      <c r="G89" s="5">
        <f t="shared" si="66"/>
        <v>595</v>
      </c>
      <c r="H89" s="5">
        <f t="shared" si="67"/>
        <v>605</v>
      </c>
      <c r="I89" s="2"/>
      <c r="J89" s="844" t="s">
        <v>0</v>
      </c>
      <c r="K89" s="845"/>
      <c r="L89" s="671" t="s">
        <v>513</v>
      </c>
      <c r="M89" s="659"/>
      <c r="N89" s="659"/>
      <c r="O89" s="660"/>
      <c r="P89" s="2" t="s">
        <v>74</v>
      </c>
      <c r="Q89" s="838" t="s">
        <v>527</v>
      </c>
      <c r="R89" s="2" t="s">
        <v>51</v>
      </c>
      <c r="S89" s="2"/>
      <c r="T89" s="2"/>
      <c r="U89" s="2"/>
      <c r="V89" s="2"/>
      <c r="W89" s="5">
        <f>SUM(W90:W92)</f>
        <v>61</v>
      </c>
      <c r="X89" s="5">
        <f>SUM(X90:X92)</f>
        <v>60</v>
      </c>
      <c r="Y89" s="5">
        <f>SUM(Y90:Y92)</f>
        <v>60</v>
      </c>
      <c r="Z89" s="5">
        <f>SUM(Z90:Z92)</f>
        <v>59</v>
      </c>
    </row>
    <row r="90" spans="1:26" ht="19.5" customHeight="1">
      <c r="A90" s="661"/>
      <c r="B90" s="2" t="s">
        <v>506</v>
      </c>
      <c r="C90" s="5">
        <v>326</v>
      </c>
      <c r="D90" s="38">
        <f t="shared" si="62"/>
        <v>0.1900874635568513</v>
      </c>
      <c r="E90" s="5">
        <f t="shared" si="63"/>
        <v>1337</v>
      </c>
      <c r="F90" s="5">
        <f t="shared" si="65"/>
        <v>1365</v>
      </c>
      <c r="G90" s="5">
        <f t="shared" si="66"/>
        <v>1396</v>
      </c>
      <c r="H90" s="5">
        <f t="shared" si="67"/>
        <v>1420</v>
      </c>
      <c r="I90" s="2"/>
      <c r="J90" s="846"/>
      <c r="K90" s="847"/>
      <c r="L90" s="2" t="s">
        <v>114</v>
      </c>
      <c r="M90" s="2" t="s">
        <v>115</v>
      </c>
      <c r="N90" s="2" t="s">
        <v>116</v>
      </c>
      <c r="O90" s="2" t="s">
        <v>117</v>
      </c>
      <c r="P90" s="2"/>
      <c r="Q90" s="839"/>
      <c r="R90" s="2" t="s">
        <v>522</v>
      </c>
      <c r="S90" s="2">
        <v>547</v>
      </c>
      <c r="T90" s="2">
        <v>539</v>
      </c>
      <c r="U90" s="2">
        <v>533</v>
      </c>
      <c r="V90" s="2">
        <v>525</v>
      </c>
      <c r="W90" s="5">
        <f t="shared" ref="W90:Z92" si="68">ROUND(W75*S90/1000,0)</f>
        <v>61</v>
      </c>
      <c r="X90" s="5">
        <f t="shared" si="68"/>
        <v>60</v>
      </c>
      <c r="Y90" s="5">
        <f t="shared" si="68"/>
        <v>60</v>
      </c>
      <c r="Z90" s="5">
        <f t="shared" si="68"/>
        <v>59</v>
      </c>
    </row>
    <row r="91" spans="1:26" ht="19.5" customHeight="1">
      <c r="A91" s="661"/>
      <c r="B91" s="2" t="s">
        <v>507</v>
      </c>
      <c r="C91" s="5">
        <v>150</v>
      </c>
      <c r="D91" s="38">
        <f t="shared" si="62"/>
        <v>8.7463556851311949E-2</v>
      </c>
      <c r="E91" s="5">
        <f t="shared" si="63"/>
        <v>615</v>
      </c>
      <c r="F91" s="5">
        <f t="shared" si="65"/>
        <v>628</v>
      </c>
      <c r="G91" s="5">
        <f t="shared" si="66"/>
        <v>642</v>
      </c>
      <c r="H91" s="5">
        <f t="shared" si="67"/>
        <v>653</v>
      </c>
      <c r="I91" s="2"/>
      <c r="J91" s="2" t="s">
        <v>394</v>
      </c>
      <c r="K91" s="2"/>
      <c r="L91" s="11">
        <f>L92+L101</f>
        <v>15364</v>
      </c>
      <c r="M91" s="11">
        <f>M92+M101</f>
        <v>15689</v>
      </c>
      <c r="N91" s="11">
        <f>N92+N101</f>
        <v>16046</v>
      </c>
      <c r="O91" s="11">
        <f>O92+O101</f>
        <v>16317</v>
      </c>
      <c r="P91" s="2"/>
      <c r="Q91" s="839"/>
      <c r="R91" s="2" t="s">
        <v>523</v>
      </c>
      <c r="S91" s="2">
        <v>547</v>
      </c>
      <c r="T91" s="2">
        <v>539</v>
      </c>
      <c r="U91" s="2">
        <v>533</v>
      </c>
      <c r="V91" s="2">
        <v>525</v>
      </c>
      <c r="W91" s="5">
        <f t="shared" si="68"/>
        <v>0</v>
      </c>
      <c r="X91" s="5">
        <f t="shared" si="68"/>
        <v>0</v>
      </c>
      <c r="Y91" s="5">
        <f t="shared" si="68"/>
        <v>0</v>
      </c>
      <c r="Z91" s="5">
        <f t="shared" si="68"/>
        <v>0</v>
      </c>
    </row>
    <row r="92" spans="1:26" ht="19.5" customHeight="1">
      <c r="A92" s="661"/>
      <c r="B92" s="2" t="s">
        <v>508</v>
      </c>
      <c r="C92" s="5">
        <v>155</v>
      </c>
      <c r="D92" s="38">
        <f t="shared" si="62"/>
        <v>9.0379008746355682E-2</v>
      </c>
      <c r="E92" s="5">
        <f t="shared" si="63"/>
        <v>636</v>
      </c>
      <c r="F92" s="5">
        <f t="shared" si="65"/>
        <v>649</v>
      </c>
      <c r="G92" s="5">
        <f t="shared" si="66"/>
        <v>664</v>
      </c>
      <c r="H92" s="5">
        <f t="shared" si="67"/>
        <v>675</v>
      </c>
      <c r="I92" s="2"/>
      <c r="J92" s="841" t="s">
        <v>492</v>
      </c>
      <c r="K92" s="2" t="s">
        <v>51</v>
      </c>
      <c r="L92" s="11">
        <f>SUM(L93:L100)</f>
        <v>12823</v>
      </c>
      <c r="M92" s="11">
        <f>SUM(M93:M100)</f>
        <v>13095</v>
      </c>
      <c r="N92" s="11">
        <f>SUM(N93:N100)</f>
        <v>13393</v>
      </c>
      <c r="O92" s="11">
        <f>SUM(O93:O100)</f>
        <v>13619</v>
      </c>
      <c r="P92" s="2"/>
      <c r="Q92" s="840"/>
      <c r="R92" s="2" t="s">
        <v>524</v>
      </c>
      <c r="S92" s="2">
        <v>547</v>
      </c>
      <c r="T92" s="2">
        <v>539</v>
      </c>
      <c r="U92" s="2">
        <v>533</v>
      </c>
      <c r="V92" s="2">
        <v>525</v>
      </c>
      <c r="W92" s="5">
        <f t="shared" si="68"/>
        <v>0</v>
      </c>
      <c r="X92" s="5">
        <f t="shared" si="68"/>
        <v>0</v>
      </c>
      <c r="Y92" s="5">
        <f t="shared" si="68"/>
        <v>0</v>
      </c>
      <c r="Z92" s="5">
        <f t="shared" si="68"/>
        <v>0</v>
      </c>
    </row>
    <row r="93" spans="1:26" ht="19.5" customHeight="1">
      <c r="A93" s="661"/>
      <c r="B93" s="2" t="s">
        <v>509</v>
      </c>
      <c r="C93" s="5">
        <v>177</v>
      </c>
      <c r="D93" s="38">
        <f t="shared" si="62"/>
        <v>0.1032069970845481</v>
      </c>
      <c r="E93" s="5">
        <f t="shared" si="63"/>
        <v>726</v>
      </c>
      <c r="F93" s="5">
        <f t="shared" si="65"/>
        <v>741</v>
      </c>
      <c r="G93" s="5">
        <f t="shared" si="66"/>
        <v>758</v>
      </c>
      <c r="H93" s="5">
        <f t="shared" si="67"/>
        <v>771</v>
      </c>
      <c r="I93" s="2"/>
      <c r="J93" s="842"/>
      <c r="K93" s="2" t="s">
        <v>493</v>
      </c>
      <c r="L93" s="11">
        <f t="shared" ref="L93:O100" si="69">E77</f>
        <v>813</v>
      </c>
      <c r="M93" s="11">
        <f t="shared" si="69"/>
        <v>830</v>
      </c>
      <c r="N93" s="11">
        <f t="shared" si="69"/>
        <v>849</v>
      </c>
      <c r="O93" s="11">
        <f t="shared" si="69"/>
        <v>863</v>
      </c>
      <c r="P93" s="2"/>
      <c r="Q93" s="841" t="s">
        <v>525</v>
      </c>
      <c r="R93" s="2" t="s">
        <v>51</v>
      </c>
      <c r="S93" s="2"/>
      <c r="T93" s="2"/>
      <c r="U93" s="2"/>
      <c r="V93" s="2"/>
      <c r="W93" s="5">
        <f>SUM(W94:W95)</f>
        <v>0</v>
      </c>
      <c r="X93" s="5">
        <f>SUM(X94:X95)</f>
        <v>0</v>
      </c>
      <c r="Y93" s="5">
        <f>SUM(Y94:Y95)</f>
        <v>0</v>
      </c>
      <c r="Z93" s="5">
        <f>SUM(Z94:Z95)</f>
        <v>0</v>
      </c>
    </row>
    <row r="94" spans="1:26" ht="19.5" customHeight="1">
      <c r="A94" s="661"/>
      <c r="B94" s="2" t="s">
        <v>510</v>
      </c>
      <c r="C94" s="5">
        <v>99</v>
      </c>
      <c r="D94" s="38">
        <f t="shared" si="62"/>
        <v>5.772594752186589E-2</v>
      </c>
      <c r="E94" s="5">
        <f t="shared" si="63"/>
        <v>406</v>
      </c>
      <c r="F94" s="5">
        <f t="shared" si="65"/>
        <v>414</v>
      </c>
      <c r="G94" s="5">
        <f t="shared" si="66"/>
        <v>424</v>
      </c>
      <c r="H94" s="5">
        <f t="shared" si="67"/>
        <v>431</v>
      </c>
      <c r="I94" s="2"/>
      <c r="J94" s="842"/>
      <c r="K94" s="2" t="s">
        <v>494</v>
      </c>
      <c r="L94" s="11">
        <f t="shared" si="69"/>
        <v>1589</v>
      </c>
      <c r="M94" s="11">
        <f t="shared" si="69"/>
        <v>1622</v>
      </c>
      <c r="N94" s="11">
        <f t="shared" si="69"/>
        <v>1659</v>
      </c>
      <c r="O94" s="11">
        <f t="shared" si="69"/>
        <v>1687</v>
      </c>
      <c r="P94" s="2"/>
      <c r="Q94" s="842"/>
      <c r="R94" s="2" t="s">
        <v>528</v>
      </c>
      <c r="S94" s="2">
        <v>547</v>
      </c>
      <c r="T94" s="2">
        <v>539</v>
      </c>
      <c r="U94" s="2">
        <v>533</v>
      </c>
      <c r="V94" s="2">
        <v>525</v>
      </c>
      <c r="W94" s="5">
        <f t="shared" ref="W94:Z96" si="70">ROUND(W79*S94/1000,0)</f>
        <v>0</v>
      </c>
      <c r="X94" s="5">
        <f t="shared" si="70"/>
        <v>0</v>
      </c>
      <c r="Y94" s="5">
        <f t="shared" si="70"/>
        <v>0</v>
      </c>
      <c r="Z94" s="5">
        <f t="shared" si="70"/>
        <v>0</v>
      </c>
    </row>
    <row r="95" spans="1:26" ht="19.5" customHeight="1" thickBot="1">
      <c r="A95" s="85"/>
      <c r="B95" s="56"/>
      <c r="C95" s="56"/>
      <c r="D95" s="56"/>
      <c r="E95" s="56"/>
      <c r="F95" s="56"/>
      <c r="G95" s="56"/>
      <c r="H95" s="56"/>
      <c r="I95" s="56"/>
      <c r="J95" s="842"/>
      <c r="K95" s="2" t="s">
        <v>495</v>
      </c>
      <c r="L95" s="11">
        <f t="shared" si="69"/>
        <v>3111</v>
      </c>
      <c r="M95" s="11">
        <f t="shared" si="69"/>
        <v>3178</v>
      </c>
      <c r="N95" s="11">
        <f t="shared" si="69"/>
        <v>3251</v>
      </c>
      <c r="O95" s="11">
        <f t="shared" si="69"/>
        <v>3304</v>
      </c>
      <c r="P95" s="2"/>
      <c r="Q95" s="843"/>
      <c r="R95" s="2" t="s">
        <v>529</v>
      </c>
      <c r="S95" s="2">
        <v>547</v>
      </c>
      <c r="T95" s="2">
        <v>539</v>
      </c>
      <c r="U95" s="2">
        <v>533</v>
      </c>
      <c r="V95" s="2">
        <v>525</v>
      </c>
      <c r="W95" s="5">
        <f t="shared" si="70"/>
        <v>0</v>
      </c>
      <c r="X95" s="5">
        <f t="shared" si="70"/>
        <v>0</v>
      </c>
      <c r="Y95" s="5">
        <f t="shared" si="70"/>
        <v>0</v>
      </c>
      <c r="Z95" s="5">
        <f t="shared" si="70"/>
        <v>0</v>
      </c>
    </row>
    <row r="96" spans="1:26" ht="19.5" customHeight="1" thickTop="1">
      <c r="A96" s="836" t="s">
        <v>614</v>
      </c>
      <c r="B96" s="832" t="s">
        <v>11</v>
      </c>
      <c r="C96" s="832" t="s">
        <v>615</v>
      </c>
      <c r="D96" s="94" t="s">
        <v>616</v>
      </c>
      <c r="E96" s="94" t="s">
        <v>618</v>
      </c>
      <c r="F96" s="94" t="s">
        <v>620</v>
      </c>
      <c r="G96" s="94" t="s">
        <v>622</v>
      </c>
      <c r="H96" s="834" t="s">
        <v>127</v>
      </c>
      <c r="I96" s="56"/>
      <c r="J96" s="842"/>
      <c r="K96" s="2" t="s">
        <v>496</v>
      </c>
      <c r="L96" s="11">
        <f t="shared" si="69"/>
        <v>3111</v>
      </c>
      <c r="M96" s="11">
        <f t="shared" si="69"/>
        <v>3178</v>
      </c>
      <c r="N96" s="11">
        <f t="shared" si="69"/>
        <v>3250</v>
      </c>
      <c r="O96" s="11">
        <f t="shared" si="69"/>
        <v>3305</v>
      </c>
      <c r="P96" s="2"/>
      <c r="Q96" s="2" t="s">
        <v>530</v>
      </c>
      <c r="R96" s="2" t="s">
        <v>531</v>
      </c>
      <c r="S96" s="2">
        <v>547</v>
      </c>
      <c r="T96" s="2">
        <v>539</v>
      </c>
      <c r="U96" s="2">
        <v>533</v>
      </c>
      <c r="V96" s="2">
        <v>525</v>
      </c>
      <c r="W96" s="5">
        <f t="shared" si="70"/>
        <v>16</v>
      </c>
      <c r="X96" s="5">
        <f t="shared" si="70"/>
        <v>16</v>
      </c>
      <c r="Y96" s="5">
        <f t="shared" si="70"/>
        <v>15</v>
      </c>
      <c r="Z96" s="5">
        <f t="shared" si="70"/>
        <v>15</v>
      </c>
    </row>
    <row r="97" spans="1:26" ht="19.5" customHeight="1" thickBot="1">
      <c r="A97" s="837"/>
      <c r="B97" s="833"/>
      <c r="C97" s="833"/>
      <c r="D97" s="95" t="s">
        <v>617</v>
      </c>
      <c r="E97" s="95" t="s">
        <v>619</v>
      </c>
      <c r="F97" s="95" t="s">
        <v>621</v>
      </c>
      <c r="G97" s="95" t="s">
        <v>623</v>
      </c>
      <c r="H97" s="835"/>
      <c r="J97" s="842"/>
      <c r="K97" s="2" t="s">
        <v>497</v>
      </c>
      <c r="L97" s="11">
        <f t="shared" si="69"/>
        <v>743</v>
      </c>
      <c r="M97" s="11">
        <f t="shared" si="69"/>
        <v>759</v>
      </c>
      <c r="N97" s="11">
        <f t="shared" si="69"/>
        <v>776</v>
      </c>
      <c r="O97" s="11">
        <f t="shared" si="69"/>
        <v>789</v>
      </c>
      <c r="P97" s="2"/>
      <c r="Q97" s="2" t="s">
        <v>51</v>
      </c>
      <c r="R97" s="2"/>
      <c r="S97" s="2"/>
      <c r="T97" s="2"/>
      <c r="U97" s="2"/>
      <c r="V97" s="2"/>
      <c r="W97" s="5">
        <f>W85+W89+W93+W96</f>
        <v>271</v>
      </c>
      <c r="X97" s="5">
        <f>X85+X89+X93+X96</f>
        <v>359</v>
      </c>
      <c r="Y97" s="5">
        <f>Y85+Y89+Y93+Y96</f>
        <v>347</v>
      </c>
      <c r="Z97" s="5">
        <f>Z85+Z89+Z93+Z96</f>
        <v>334</v>
      </c>
    </row>
    <row r="98" spans="1:26" ht="19.5" customHeight="1" thickTop="1">
      <c r="A98" s="96" t="s">
        <v>624</v>
      </c>
      <c r="B98" s="106">
        <f t="shared" ref="B98:G98" si="71">SUM(B99:B104)</f>
        <v>31842</v>
      </c>
      <c r="C98" s="107">
        <f t="shared" si="71"/>
        <v>1.0000000000000002</v>
      </c>
      <c r="D98" s="106">
        <f t="shared" si="71"/>
        <v>130469</v>
      </c>
      <c r="E98" s="106">
        <f t="shared" si="71"/>
        <v>133200</v>
      </c>
      <c r="F98" s="106">
        <f t="shared" si="71"/>
        <v>136220</v>
      </c>
      <c r="G98" s="106">
        <f t="shared" si="71"/>
        <v>138560</v>
      </c>
      <c r="H98" s="97"/>
      <c r="J98" s="842"/>
      <c r="K98" s="2" t="s">
        <v>498</v>
      </c>
      <c r="L98" s="11">
        <f t="shared" si="69"/>
        <v>576</v>
      </c>
      <c r="M98" s="11">
        <f t="shared" si="69"/>
        <v>588</v>
      </c>
      <c r="N98" s="11">
        <f t="shared" si="69"/>
        <v>601</v>
      </c>
      <c r="O98" s="11">
        <f t="shared" si="69"/>
        <v>612</v>
      </c>
      <c r="P98" s="2"/>
    </row>
    <row r="99" spans="1:26" ht="19.5" customHeight="1">
      <c r="A99" s="98" t="s">
        <v>625</v>
      </c>
      <c r="B99" s="102">
        <f t="shared" ref="B99:G99" si="72">C5</f>
        <v>9570</v>
      </c>
      <c r="C99" s="104">
        <f t="shared" si="72"/>
        <v>0.30054644808743169</v>
      </c>
      <c r="D99" s="102">
        <f t="shared" si="72"/>
        <v>39154</v>
      </c>
      <c r="E99" s="102">
        <f t="shared" si="72"/>
        <v>39973</v>
      </c>
      <c r="F99" s="102">
        <f t="shared" si="72"/>
        <v>40879</v>
      </c>
      <c r="G99" s="102">
        <f t="shared" si="72"/>
        <v>41581</v>
      </c>
      <c r="H99" s="99"/>
      <c r="J99" s="842"/>
      <c r="K99" s="2" t="s">
        <v>499</v>
      </c>
      <c r="L99" s="11">
        <f t="shared" si="69"/>
        <v>1495</v>
      </c>
      <c r="M99" s="11">
        <f t="shared" si="69"/>
        <v>1526</v>
      </c>
      <c r="N99" s="11">
        <f t="shared" si="69"/>
        <v>1561</v>
      </c>
      <c r="O99" s="11">
        <f t="shared" si="69"/>
        <v>1588</v>
      </c>
      <c r="P99" s="2"/>
    </row>
    <row r="100" spans="1:26" ht="19.5" customHeight="1">
      <c r="A100" s="98" t="s">
        <v>626</v>
      </c>
      <c r="B100" s="102">
        <f t="shared" ref="B100:G100" si="73">C26</f>
        <v>4051</v>
      </c>
      <c r="C100" s="104">
        <f t="shared" si="73"/>
        <v>0.12722190817159726</v>
      </c>
      <c r="D100" s="102">
        <f t="shared" si="73"/>
        <v>16765</v>
      </c>
      <c r="E100" s="102">
        <f t="shared" si="73"/>
        <v>17116</v>
      </c>
      <c r="F100" s="102">
        <f t="shared" si="73"/>
        <v>17504</v>
      </c>
      <c r="G100" s="102">
        <f t="shared" si="73"/>
        <v>17805</v>
      </c>
      <c r="H100" s="99"/>
      <c r="J100" s="843"/>
      <c r="K100" s="2" t="s">
        <v>500</v>
      </c>
      <c r="L100" s="11">
        <f t="shared" si="69"/>
        <v>1385</v>
      </c>
      <c r="M100" s="11">
        <f t="shared" si="69"/>
        <v>1414</v>
      </c>
      <c r="N100" s="11">
        <f t="shared" si="69"/>
        <v>1446</v>
      </c>
      <c r="O100" s="11">
        <f t="shared" si="69"/>
        <v>1471</v>
      </c>
      <c r="P100" s="2"/>
    </row>
    <row r="101" spans="1:26" ht="19.5" customHeight="1">
      <c r="A101" s="98" t="s">
        <v>627</v>
      </c>
      <c r="B101" s="102">
        <f t="shared" ref="B101:G101" si="74">C42</f>
        <v>8184</v>
      </c>
      <c r="C101" s="104">
        <f t="shared" si="74"/>
        <v>0.25701903146787264</v>
      </c>
      <c r="D101" s="102">
        <f t="shared" si="74"/>
        <v>33374</v>
      </c>
      <c r="E101" s="102">
        <f t="shared" si="74"/>
        <v>34072</v>
      </c>
      <c r="F101" s="102">
        <f t="shared" si="74"/>
        <v>34845</v>
      </c>
      <c r="G101" s="102">
        <f t="shared" si="74"/>
        <v>35444</v>
      </c>
      <c r="H101" s="99"/>
      <c r="J101" s="841" t="s">
        <v>640</v>
      </c>
      <c r="K101" s="2" t="s">
        <v>639</v>
      </c>
      <c r="L101" s="11">
        <f>SUM(L102:L103)</f>
        <v>2541</v>
      </c>
      <c r="M101" s="11">
        <f>SUM(M102:M103)</f>
        <v>2594</v>
      </c>
      <c r="N101" s="11">
        <f>SUM(N102:N103)</f>
        <v>2653</v>
      </c>
      <c r="O101" s="11">
        <f>SUM(O102:O103)</f>
        <v>2698</v>
      </c>
      <c r="P101" s="2"/>
    </row>
    <row r="102" spans="1:26" ht="19.5" customHeight="1">
      <c r="A102" s="98" t="s">
        <v>628</v>
      </c>
      <c r="B102" s="102">
        <f t="shared" ref="B102:G102" si="75">C60</f>
        <v>5182</v>
      </c>
      <c r="C102" s="104">
        <f t="shared" si="75"/>
        <v>0.16274103385465738</v>
      </c>
      <c r="D102" s="102">
        <f t="shared" si="75"/>
        <v>21319</v>
      </c>
      <c r="E102" s="102">
        <f t="shared" si="75"/>
        <v>21765</v>
      </c>
      <c r="F102" s="102">
        <f t="shared" si="75"/>
        <v>22259</v>
      </c>
      <c r="G102" s="102">
        <f t="shared" si="75"/>
        <v>22641</v>
      </c>
      <c r="H102" s="99"/>
      <c r="J102" s="842"/>
      <c r="K102" s="2" t="s">
        <v>468</v>
      </c>
      <c r="L102" s="11">
        <f t="shared" ref="L102:O103" si="76">E52</f>
        <v>975</v>
      </c>
      <c r="M102" s="11">
        <f t="shared" si="76"/>
        <v>995</v>
      </c>
      <c r="N102" s="11">
        <f t="shared" si="76"/>
        <v>1018</v>
      </c>
      <c r="O102" s="11">
        <f t="shared" si="76"/>
        <v>1035</v>
      </c>
      <c r="P102" s="2"/>
    </row>
    <row r="103" spans="1:26" ht="19.5" customHeight="1">
      <c r="A103" s="98" t="s">
        <v>629</v>
      </c>
      <c r="B103" s="102">
        <f t="shared" ref="B103:G103" si="77">C76</f>
        <v>3140</v>
      </c>
      <c r="C103" s="104">
        <f t="shared" si="77"/>
        <v>9.861189623767351E-2</v>
      </c>
      <c r="D103" s="102">
        <f t="shared" si="77"/>
        <v>12825</v>
      </c>
      <c r="E103" s="102">
        <f t="shared" si="77"/>
        <v>13094</v>
      </c>
      <c r="F103" s="102">
        <f t="shared" si="77"/>
        <v>13391</v>
      </c>
      <c r="G103" s="102">
        <f t="shared" si="77"/>
        <v>13621</v>
      </c>
      <c r="H103" s="99"/>
      <c r="J103" s="843"/>
      <c r="K103" s="2" t="s">
        <v>469</v>
      </c>
      <c r="L103" s="11">
        <f t="shared" si="76"/>
        <v>1566</v>
      </c>
      <c r="M103" s="11">
        <f t="shared" si="76"/>
        <v>1599</v>
      </c>
      <c r="N103" s="11">
        <f t="shared" si="76"/>
        <v>1635</v>
      </c>
      <c r="O103" s="11">
        <f t="shared" si="76"/>
        <v>1663</v>
      </c>
      <c r="P103" s="2"/>
    </row>
    <row r="104" spans="1:26" ht="19.5" customHeight="1" thickBot="1">
      <c r="A104" s="100" t="s">
        <v>69</v>
      </c>
      <c r="B104" s="103">
        <f t="shared" ref="B104:G104" si="78">C85</f>
        <v>1715</v>
      </c>
      <c r="C104" s="105">
        <f t="shared" si="78"/>
        <v>5.3859682180767539E-2</v>
      </c>
      <c r="D104" s="103">
        <f t="shared" si="78"/>
        <v>7032</v>
      </c>
      <c r="E104" s="103">
        <f t="shared" si="78"/>
        <v>7180</v>
      </c>
      <c r="F104" s="103">
        <f t="shared" si="78"/>
        <v>7342</v>
      </c>
      <c r="G104" s="103">
        <f t="shared" si="78"/>
        <v>7468</v>
      </c>
      <c r="H104" s="101"/>
      <c r="J104" s="56"/>
      <c r="K104" s="56"/>
      <c r="L104" s="86"/>
      <c r="M104" s="86"/>
      <c r="N104" s="86"/>
      <c r="O104" s="86"/>
      <c r="P104" s="56"/>
    </row>
    <row r="105" spans="1:26" ht="19.5" customHeight="1" thickTop="1">
      <c r="J105" s="33" t="s">
        <v>644</v>
      </c>
      <c r="Q105" s="33" t="s">
        <v>630</v>
      </c>
    </row>
    <row r="106" spans="1:26" ht="19.5" customHeight="1">
      <c r="J106" s="844" t="s">
        <v>631</v>
      </c>
      <c r="K106" s="845"/>
      <c r="L106" s="671" t="s">
        <v>645</v>
      </c>
      <c r="M106" s="659"/>
      <c r="N106" s="659"/>
      <c r="O106" s="660"/>
      <c r="P106" s="2" t="s">
        <v>646</v>
      </c>
      <c r="Q106" s="844" t="s">
        <v>631</v>
      </c>
      <c r="R106" s="845"/>
      <c r="S106" s="671" t="s">
        <v>632</v>
      </c>
      <c r="T106" s="659"/>
      <c r="U106" s="660"/>
      <c r="V106" s="671" t="s">
        <v>633</v>
      </c>
      <c r="W106" s="659"/>
      <c r="X106" s="659"/>
      <c r="Y106" s="659"/>
      <c r="Z106" s="660"/>
    </row>
    <row r="107" spans="1:26" ht="19.5" customHeight="1">
      <c r="J107" s="846"/>
      <c r="K107" s="847"/>
      <c r="L107" s="2" t="s">
        <v>634</v>
      </c>
      <c r="M107" s="2" t="s">
        <v>635</v>
      </c>
      <c r="N107" s="2" t="s">
        <v>636</v>
      </c>
      <c r="O107" s="2" t="s">
        <v>637</v>
      </c>
      <c r="P107" s="2"/>
      <c r="Q107" s="846"/>
      <c r="R107" s="847"/>
      <c r="S107" s="2" t="s">
        <v>634</v>
      </c>
      <c r="T107" s="2" t="s">
        <v>635</v>
      </c>
      <c r="U107" s="2" t="s">
        <v>636</v>
      </c>
      <c r="V107" s="2" t="s">
        <v>637</v>
      </c>
      <c r="W107" s="2" t="s">
        <v>634</v>
      </c>
      <c r="X107" s="2" t="s">
        <v>635</v>
      </c>
      <c r="Y107" s="2" t="s">
        <v>636</v>
      </c>
      <c r="Z107" s="2" t="s">
        <v>637</v>
      </c>
    </row>
    <row r="108" spans="1:26" ht="19.5" customHeight="1">
      <c r="J108" s="2" t="s">
        <v>647</v>
      </c>
      <c r="K108" s="2"/>
      <c r="L108" s="11">
        <f>L109</f>
        <v>5953</v>
      </c>
      <c r="M108" s="11">
        <f>M109</f>
        <v>6078</v>
      </c>
      <c r="N108" s="11">
        <f>N109</f>
        <v>6216</v>
      </c>
      <c r="O108" s="11">
        <f>O109</f>
        <v>6323</v>
      </c>
      <c r="P108" s="2"/>
      <c r="Q108" s="838" t="s">
        <v>638</v>
      </c>
      <c r="R108" s="2" t="s">
        <v>639</v>
      </c>
      <c r="S108" s="5">
        <f t="shared" ref="S108:Z108" si="79">SUM(S109:S111)</f>
        <v>820</v>
      </c>
      <c r="T108" s="5">
        <f t="shared" si="79"/>
        <v>820</v>
      </c>
      <c r="U108" s="5">
        <f t="shared" si="79"/>
        <v>820</v>
      </c>
      <c r="V108" s="5">
        <f t="shared" si="79"/>
        <v>820</v>
      </c>
      <c r="W108" s="5">
        <f t="shared" si="79"/>
        <v>1189</v>
      </c>
      <c r="X108" s="5">
        <f t="shared" si="79"/>
        <v>1189</v>
      </c>
      <c r="Y108" s="5">
        <f t="shared" si="79"/>
        <v>1189</v>
      </c>
      <c r="Z108" s="5">
        <f t="shared" si="79"/>
        <v>1189</v>
      </c>
    </row>
    <row r="109" spans="1:26" ht="19.5" customHeight="1">
      <c r="J109" s="841" t="s">
        <v>458</v>
      </c>
      <c r="K109" s="2" t="s">
        <v>51</v>
      </c>
      <c r="L109" s="11">
        <f>SUM(L110:L112)</f>
        <v>5953</v>
      </c>
      <c r="M109" s="11">
        <f>SUM(M110:M112)</f>
        <v>6078</v>
      </c>
      <c r="N109" s="11">
        <f>SUM(N110:N112)</f>
        <v>6216</v>
      </c>
      <c r="O109" s="11">
        <f>SUM(O110:O112)</f>
        <v>6323</v>
      </c>
      <c r="P109" s="2"/>
      <c r="Q109" s="839"/>
      <c r="R109" s="2" t="s">
        <v>641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</row>
    <row r="110" spans="1:26" ht="19.5" customHeight="1">
      <c r="J110" s="842"/>
      <c r="K110" s="2" t="s">
        <v>473</v>
      </c>
      <c r="L110" s="11">
        <f t="shared" ref="L110:O112" si="80">E57</f>
        <v>1121</v>
      </c>
      <c r="M110" s="11">
        <f t="shared" si="80"/>
        <v>1145</v>
      </c>
      <c r="N110" s="11">
        <f t="shared" si="80"/>
        <v>1171</v>
      </c>
      <c r="O110" s="11">
        <f t="shared" si="80"/>
        <v>1191</v>
      </c>
      <c r="P110" s="2"/>
      <c r="Q110" s="839"/>
      <c r="R110" s="2" t="s">
        <v>642</v>
      </c>
      <c r="S110" s="2">
        <v>820</v>
      </c>
      <c r="T110" s="2">
        <v>820</v>
      </c>
      <c r="U110" s="2">
        <v>820</v>
      </c>
      <c r="V110" s="2">
        <v>820</v>
      </c>
      <c r="W110" s="5">
        <v>1189</v>
      </c>
      <c r="X110" s="5">
        <v>1189</v>
      </c>
      <c r="Y110" s="5">
        <v>1189</v>
      </c>
      <c r="Z110" s="5">
        <v>1189</v>
      </c>
    </row>
    <row r="111" spans="1:26" ht="19.5" customHeight="1">
      <c r="J111" s="842"/>
      <c r="K111" s="2" t="s">
        <v>474</v>
      </c>
      <c r="L111" s="11">
        <f t="shared" si="80"/>
        <v>2675</v>
      </c>
      <c r="M111" s="11">
        <f t="shared" si="80"/>
        <v>2731</v>
      </c>
      <c r="N111" s="11">
        <f t="shared" si="80"/>
        <v>2793</v>
      </c>
      <c r="O111" s="11">
        <f t="shared" si="80"/>
        <v>2841</v>
      </c>
      <c r="P111" s="2"/>
      <c r="Q111" s="840"/>
      <c r="R111" s="2" t="s">
        <v>643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</row>
    <row r="112" spans="1:26" ht="19.5" customHeight="1">
      <c r="J112" s="843"/>
      <c r="K112" s="2" t="s">
        <v>475</v>
      </c>
      <c r="L112" s="11">
        <f t="shared" si="80"/>
        <v>2157</v>
      </c>
      <c r="M112" s="11">
        <f t="shared" si="80"/>
        <v>2202</v>
      </c>
      <c r="N112" s="11">
        <f t="shared" si="80"/>
        <v>2252</v>
      </c>
      <c r="O112" s="11">
        <f t="shared" si="80"/>
        <v>2291</v>
      </c>
      <c r="P112" s="2"/>
      <c r="Q112" s="56"/>
      <c r="R112" s="56"/>
      <c r="S112" s="56"/>
      <c r="T112" s="56"/>
      <c r="U112" s="56"/>
      <c r="V112" s="56"/>
      <c r="W112" s="56"/>
      <c r="X112" s="56"/>
      <c r="Y112" s="56"/>
      <c r="Z112" s="56"/>
    </row>
    <row r="113" spans="1:26" ht="19.5" customHeight="1">
      <c r="J113" s="56"/>
      <c r="K113" s="56"/>
      <c r="L113" s="86"/>
      <c r="M113" s="86"/>
      <c r="N113" s="86"/>
      <c r="O113" s="8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</row>
    <row r="114" spans="1:26" ht="19.5" customHeight="1">
      <c r="J114" s="56"/>
      <c r="K114" s="56"/>
      <c r="L114" s="86"/>
      <c r="M114" s="86"/>
      <c r="N114" s="86"/>
      <c r="O114" s="8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</row>
    <row r="115" spans="1:26" ht="19.5" customHeight="1">
      <c r="J115" s="56"/>
      <c r="K115" s="56"/>
      <c r="L115" s="86"/>
      <c r="M115" s="86"/>
      <c r="N115" s="86"/>
      <c r="O115" s="8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</row>
    <row r="116" spans="1:26" ht="19.5" customHeight="1">
      <c r="J116" s="56"/>
      <c r="K116" s="56"/>
      <c r="L116" s="86"/>
      <c r="M116" s="86"/>
      <c r="N116" s="86"/>
      <c r="O116" s="8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</row>
    <row r="117" spans="1:26" ht="19.5" customHeight="1">
      <c r="J117" s="56"/>
      <c r="K117" s="56"/>
      <c r="L117" s="86"/>
      <c r="M117" s="86"/>
      <c r="N117" s="86"/>
      <c r="O117" s="8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</row>
    <row r="118" spans="1:26" ht="19.5" customHeight="1">
      <c r="J118" s="56"/>
      <c r="K118" s="56"/>
      <c r="L118" s="86"/>
      <c r="M118" s="86"/>
      <c r="N118" s="86"/>
      <c r="O118" s="8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</row>
    <row r="119" spans="1:26" ht="19.5" customHeight="1">
      <c r="J119" s="56"/>
      <c r="K119" s="56"/>
      <c r="L119" s="86"/>
      <c r="M119" s="86"/>
      <c r="N119" s="86"/>
      <c r="O119" s="8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</row>
    <row r="120" spans="1:26" ht="19.5" customHeight="1">
      <c r="J120" s="56"/>
      <c r="K120" s="56"/>
      <c r="L120" s="86"/>
      <c r="M120" s="86"/>
      <c r="N120" s="86"/>
      <c r="O120" s="8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</row>
    <row r="121" spans="1:26" ht="19.5" customHeight="1">
      <c r="J121" s="56"/>
      <c r="K121" s="56"/>
      <c r="L121" s="86"/>
      <c r="M121" s="86"/>
      <c r="N121" s="86"/>
      <c r="O121" s="8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</row>
    <row r="122" spans="1:26" ht="19.5" customHeight="1">
      <c r="J122" s="56"/>
      <c r="K122" s="56"/>
      <c r="L122" s="86"/>
      <c r="M122" s="86"/>
      <c r="N122" s="86"/>
      <c r="O122" s="8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</row>
    <row r="123" spans="1:26" ht="19.5" customHeight="1">
      <c r="A123" s="844" t="s">
        <v>0</v>
      </c>
      <c r="B123" s="845"/>
      <c r="C123" s="671" t="s">
        <v>513</v>
      </c>
      <c r="D123" s="659"/>
      <c r="E123" s="660"/>
      <c r="F123" s="671" t="s">
        <v>521</v>
      </c>
      <c r="G123" s="659"/>
      <c r="H123" s="659"/>
      <c r="I123" s="660"/>
      <c r="Q123" s="61" t="s">
        <v>537</v>
      </c>
    </row>
    <row r="124" spans="1:26" ht="19.5" customHeight="1">
      <c r="A124" s="846"/>
      <c r="B124" s="847"/>
      <c r="C124" s="2" t="s">
        <v>114</v>
      </c>
      <c r="D124" s="2" t="s">
        <v>115</v>
      </c>
      <c r="E124" s="2" t="s">
        <v>116</v>
      </c>
      <c r="F124" s="2" t="s">
        <v>114</v>
      </c>
      <c r="G124" s="2" t="s">
        <v>115</v>
      </c>
      <c r="H124" s="2" t="s">
        <v>116</v>
      </c>
      <c r="I124" s="2" t="s">
        <v>117</v>
      </c>
      <c r="Q124" s="844" t="s">
        <v>55</v>
      </c>
      <c r="R124" s="845"/>
      <c r="S124" s="661" t="s">
        <v>513</v>
      </c>
      <c r="T124" s="661"/>
      <c r="U124" s="661"/>
      <c r="V124" s="661"/>
      <c r="W124" s="661" t="s">
        <v>521</v>
      </c>
      <c r="X124" s="661"/>
      <c r="Y124" s="661"/>
      <c r="Z124" s="661"/>
    </row>
    <row r="125" spans="1:26" ht="19.5" customHeight="1">
      <c r="A125" s="838" t="s">
        <v>526</v>
      </c>
      <c r="B125" s="2" t="s">
        <v>15</v>
      </c>
      <c r="C125" s="5" t="e">
        <f t="shared" ref="C125:I125" si="81">SUM(C126:C128)</f>
        <v>#REF!</v>
      </c>
      <c r="D125" s="5" t="e">
        <f t="shared" si="81"/>
        <v>#REF!</v>
      </c>
      <c r="E125" s="5" t="e">
        <f t="shared" si="81"/>
        <v>#REF!</v>
      </c>
      <c r="F125" s="5" t="e">
        <f t="shared" si="81"/>
        <v>#REF!</v>
      </c>
      <c r="G125" s="5" t="e">
        <f t="shared" si="81"/>
        <v>#REF!</v>
      </c>
      <c r="H125" s="5" t="e">
        <f t="shared" si="81"/>
        <v>#REF!</v>
      </c>
      <c r="I125" s="5" t="e">
        <f t="shared" si="81"/>
        <v>#REF!</v>
      </c>
      <c r="Q125" s="846"/>
      <c r="R125" s="847"/>
      <c r="S125" s="84" t="s">
        <v>114</v>
      </c>
      <c r="T125" s="84" t="s">
        <v>115</v>
      </c>
      <c r="U125" s="84" t="s">
        <v>116</v>
      </c>
      <c r="V125" s="84" t="s">
        <v>117</v>
      </c>
      <c r="W125" s="84" t="s">
        <v>114</v>
      </c>
      <c r="X125" s="84" t="s">
        <v>115</v>
      </c>
      <c r="Y125" s="84" t="s">
        <v>116</v>
      </c>
      <c r="Z125" s="84" t="s">
        <v>117</v>
      </c>
    </row>
    <row r="126" spans="1:26" ht="19.5" customHeight="1">
      <c r="A126" s="839"/>
      <c r="B126" s="2" t="s">
        <v>182</v>
      </c>
      <c r="C126" s="5" t="e">
        <f>'군대용수(국방부)'!#REF!</f>
        <v>#REF!</v>
      </c>
      <c r="D126" s="5" t="e">
        <f t="shared" ref="D126:E128" si="82">C126</f>
        <v>#REF!</v>
      </c>
      <c r="E126" s="5" t="e">
        <f t="shared" si="82"/>
        <v>#REF!</v>
      </c>
      <c r="F126" s="5" t="e">
        <f>'군대용수(국방부)'!#REF!</f>
        <v>#REF!</v>
      </c>
      <c r="G126" s="5" t="e">
        <f t="shared" ref="G126:I128" si="83">F126</f>
        <v>#REF!</v>
      </c>
      <c r="H126" s="5" t="e">
        <f t="shared" si="83"/>
        <v>#REF!</v>
      </c>
      <c r="I126" s="5" t="e">
        <f t="shared" si="83"/>
        <v>#REF!</v>
      </c>
      <c r="Q126" s="770" t="s">
        <v>526</v>
      </c>
      <c r="R126" s="2" t="s">
        <v>51</v>
      </c>
      <c r="S126" s="11">
        <f t="shared" ref="S126:Z126" si="84">SUM(S127:S129)</f>
        <v>0</v>
      </c>
      <c r="T126" s="11">
        <f t="shared" si="84"/>
        <v>234</v>
      </c>
      <c r="U126" s="11">
        <f t="shared" si="84"/>
        <v>238</v>
      </c>
      <c r="V126" s="11">
        <f t="shared" si="84"/>
        <v>242</v>
      </c>
      <c r="W126" s="11">
        <f t="shared" si="84"/>
        <v>0</v>
      </c>
      <c r="X126" s="11">
        <f t="shared" si="84"/>
        <v>234</v>
      </c>
      <c r="Y126" s="11">
        <f t="shared" si="84"/>
        <v>238</v>
      </c>
      <c r="Z126" s="11">
        <f t="shared" si="84"/>
        <v>242</v>
      </c>
    </row>
    <row r="127" spans="1:26" ht="19.5" customHeight="1">
      <c r="A127" s="839"/>
      <c r="B127" s="2" t="s">
        <v>607</v>
      </c>
      <c r="C127" s="5" t="e">
        <f>'군대용수(국방부)'!#REF!</f>
        <v>#REF!</v>
      </c>
      <c r="D127" s="5" t="e">
        <f t="shared" si="82"/>
        <v>#REF!</v>
      </c>
      <c r="E127" s="5" t="e">
        <f t="shared" si="82"/>
        <v>#REF!</v>
      </c>
      <c r="F127" s="5" t="e">
        <f>'군대용수(국방부)'!#REF!</f>
        <v>#REF!</v>
      </c>
      <c r="G127" s="5" t="e">
        <f t="shared" si="83"/>
        <v>#REF!</v>
      </c>
      <c r="H127" s="5" t="e">
        <f t="shared" si="83"/>
        <v>#REF!</v>
      </c>
      <c r="I127" s="5" t="e">
        <f t="shared" si="83"/>
        <v>#REF!</v>
      </c>
      <c r="Q127" s="661"/>
      <c r="R127" s="2" t="s">
        <v>518</v>
      </c>
      <c r="S127" s="11">
        <f>관광용수!D55</f>
        <v>0</v>
      </c>
      <c r="T127" s="11">
        <f>관광용수!E55</f>
        <v>125</v>
      </c>
      <c r="U127" s="11">
        <f>관광용수!F55</f>
        <v>127</v>
      </c>
      <c r="V127" s="11">
        <f>관광용수!G55</f>
        <v>129</v>
      </c>
      <c r="W127" s="11">
        <f t="shared" ref="W127:Z129" si="85">S127</f>
        <v>0</v>
      </c>
      <c r="X127" s="11">
        <f t="shared" si="85"/>
        <v>125</v>
      </c>
      <c r="Y127" s="11">
        <f t="shared" si="85"/>
        <v>127</v>
      </c>
      <c r="Z127" s="11">
        <f t="shared" si="85"/>
        <v>129</v>
      </c>
    </row>
    <row r="128" spans="1:26" ht="19.5" customHeight="1">
      <c r="A128" s="840"/>
      <c r="B128" s="2" t="s">
        <v>608</v>
      </c>
      <c r="C128" s="5" t="e">
        <f>'군대용수(국방부)'!#REF!</f>
        <v>#REF!</v>
      </c>
      <c r="D128" s="5" t="e">
        <f t="shared" si="82"/>
        <v>#REF!</v>
      </c>
      <c r="E128" s="5" t="e">
        <f t="shared" si="82"/>
        <v>#REF!</v>
      </c>
      <c r="F128" s="5" t="e">
        <f>'군대용수(국방부)'!#REF!</f>
        <v>#REF!</v>
      </c>
      <c r="G128" s="5" t="e">
        <f t="shared" si="83"/>
        <v>#REF!</v>
      </c>
      <c r="H128" s="5" t="e">
        <f t="shared" si="83"/>
        <v>#REF!</v>
      </c>
      <c r="I128" s="5" t="e">
        <f t="shared" si="83"/>
        <v>#REF!</v>
      </c>
      <c r="Q128" s="661"/>
      <c r="R128" s="2" t="s">
        <v>519</v>
      </c>
      <c r="S128" s="11">
        <f>관광용수!D59</f>
        <v>0</v>
      </c>
      <c r="T128" s="11">
        <f>관광용수!E59</f>
        <v>8</v>
      </c>
      <c r="U128" s="11">
        <f>관광용수!F59</f>
        <v>8</v>
      </c>
      <c r="V128" s="11">
        <f>관광용수!G59</f>
        <v>8</v>
      </c>
      <c r="W128" s="11">
        <f t="shared" si="85"/>
        <v>0</v>
      </c>
      <c r="X128" s="11">
        <f t="shared" si="85"/>
        <v>8</v>
      </c>
      <c r="Y128" s="11">
        <f t="shared" si="85"/>
        <v>8</v>
      </c>
      <c r="Z128" s="11">
        <f t="shared" si="85"/>
        <v>8</v>
      </c>
    </row>
    <row r="129" spans="1:26" ht="19.5" customHeight="1">
      <c r="A129" s="838" t="s">
        <v>527</v>
      </c>
      <c r="B129" s="2" t="s">
        <v>15</v>
      </c>
      <c r="C129" s="5" t="e">
        <f t="shared" ref="C129:I129" si="86">SUM(C130:C132)</f>
        <v>#REF!</v>
      </c>
      <c r="D129" s="5" t="e">
        <f t="shared" si="86"/>
        <v>#REF!</v>
      </c>
      <c r="E129" s="5" t="e">
        <f t="shared" si="86"/>
        <v>#REF!</v>
      </c>
      <c r="F129" s="5" t="e">
        <f t="shared" si="86"/>
        <v>#REF!</v>
      </c>
      <c r="G129" s="5" t="e">
        <f t="shared" si="86"/>
        <v>#REF!</v>
      </c>
      <c r="H129" s="5" t="e">
        <f t="shared" si="86"/>
        <v>#REF!</v>
      </c>
      <c r="I129" s="5" t="e">
        <f t="shared" si="86"/>
        <v>#REF!</v>
      </c>
      <c r="Q129" s="661"/>
      <c r="R129" s="2" t="s">
        <v>520</v>
      </c>
      <c r="S129" s="11">
        <f>관광용수!D57</f>
        <v>0</v>
      </c>
      <c r="T129" s="11">
        <f>관광용수!E57</f>
        <v>101</v>
      </c>
      <c r="U129" s="11">
        <f>관광용수!F57</f>
        <v>103</v>
      </c>
      <c r="V129" s="11">
        <f>관광용수!G57</f>
        <v>105</v>
      </c>
      <c r="W129" s="11">
        <f t="shared" si="85"/>
        <v>0</v>
      </c>
      <c r="X129" s="11">
        <f t="shared" si="85"/>
        <v>101</v>
      </c>
      <c r="Y129" s="11">
        <f t="shared" si="85"/>
        <v>103</v>
      </c>
      <c r="Z129" s="11">
        <f t="shared" si="85"/>
        <v>105</v>
      </c>
    </row>
    <row r="130" spans="1:26" ht="19.5" customHeight="1">
      <c r="A130" s="839"/>
      <c r="B130" s="2" t="s">
        <v>180</v>
      </c>
      <c r="C130" s="5" t="e">
        <f>'군대용수(국방부)'!#REF!</f>
        <v>#REF!</v>
      </c>
      <c r="D130" s="5" t="e">
        <f>'군대용수(국방부)'!#REF!</f>
        <v>#REF!</v>
      </c>
      <c r="E130" s="5" t="e">
        <f>'군대용수(국방부)'!#REF!</f>
        <v>#REF!</v>
      </c>
      <c r="F130" s="5" t="e">
        <f>'군대용수(국방부)'!#REF!</f>
        <v>#REF!</v>
      </c>
      <c r="G130" s="5" t="e">
        <f t="shared" ref="G130:I131" si="87">F130</f>
        <v>#REF!</v>
      </c>
      <c r="H130" s="5" t="e">
        <f t="shared" si="87"/>
        <v>#REF!</v>
      </c>
      <c r="I130" s="5" t="e">
        <f t="shared" si="87"/>
        <v>#REF!</v>
      </c>
      <c r="Q130" s="770" t="s">
        <v>527</v>
      </c>
      <c r="R130" s="2" t="s">
        <v>51</v>
      </c>
      <c r="S130" s="11">
        <f t="shared" ref="S130:Z130" si="88">SUM(S131:S133)</f>
        <v>0</v>
      </c>
      <c r="T130" s="11">
        <f t="shared" si="88"/>
        <v>12</v>
      </c>
      <c r="U130" s="11">
        <f t="shared" si="88"/>
        <v>12</v>
      </c>
      <c r="V130" s="11">
        <f t="shared" si="88"/>
        <v>13</v>
      </c>
      <c r="W130" s="11">
        <f t="shared" si="88"/>
        <v>0</v>
      </c>
      <c r="X130" s="11">
        <f t="shared" si="88"/>
        <v>12</v>
      </c>
      <c r="Y130" s="11">
        <f t="shared" si="88"/>
        <v>12</v>
      </c>
      <c r="Z130" s="11">
        <f t="shared" si="88"/>
        <v>13</v>
      </c>
    </row>
    <row r="131" spans="1:26" ht="19.5" customHeight="1">
      <c r="A131" s="839"/>
      <c r="B131" s="2" t="s">
        <v>609</v>
      </c>
      <c r="C131" s="5" t="e">
        <f>'군대용수(국방부)'!#REF!</f>
        <v>#REF!</v>
      </c>
      <c r="D131" s="5" t="e">
        <f>'군대용수(국방부)'!#REF!</f>
        <v>#REF!</v>
      </c>
      <c r="E131" s="5" t="e">
        <f>'군대용수(국방부)'!#REF!</f>
        <v>#REF!</v>
      </c>
      <c r="F131" s="5" t="e">
        <f>'군대용수(국방부)'!#REF!</f>
        <v>#REF!</v>
      </c>
      <c r="G131" s="5" t="e">
        <f t="shared" si="87"/>
        <v>#REF!</v>
      </c>
      <c r="H131" s="5" t="e">
        <f t="shared" si="87"/>
        <v>#REF!</v>
      </c>
      <c r="I131" s="5" t="e">
        <f t="shared" si="87"/>
        <v>#REF!</v>
      </c>
      <c r="Q131" s="661"/>
      <c r="R131" s="2" t="s">
        <v>522</v>
      </c>
      <c r="S131" s="11">
        <f>관광용수!D63</f>
        <v>0</v>
      </c>
      <c r="T131" s="11">
        <f>관광용수!E63</f>
        <v>0</v>
      </c>
      <c r="U131" s="11">
        <f>관광용수!F63</f>
        <v>0</v>
      </c>
      <c r="V131" s="11">
        <f>관광용수!G63</f>
        <v>0</v>
      </c>
      <c r="W131" s="11">
        <f t="shared" ref="W131:Z137" si="89">S131</f>
        <v>0</v>
      </c>
      <c r="X131" s="11">
        <f t="shared" si="89"/>
        <v>0</v>
      </c>
      <c r="Y131" s="11">
        <f t="shared" si="89"/>
        <v>0</v>
      </c>
      <c r="Z131" s="11">
        <f t="shared" si="89"/>
        <v>0</v>
      </c>
    </row>
    <row r="132" spans="1:26" ht="19.5" customHeight="1">
      <c r="A132" s="839"/>
      <c r="B132" s="2" t="s">
        <v>610</v>
      </c>
      <c r="C132" s="5" t="e">
        <f>'군대용수(국방부)'!#REF!</f>
        <v>#REF!</v>
      </c>
      <c r="D132" s="5" t="e">
        <f>'군대용수(국방부)'!#REF!</f>
        <v>#REF!</v>
      </c>
      <c r="E132" s="5" t="e">
        <f>'군대용수(국방부)'!#REF!</f>
        <v>#REF!</v>
      </c>
      <c r="F132" s="5" t="e">
        <f>'군대용수(국방부)'!#REF!</f>
        <v>#REF!</v>
      </c>
      <c r="G132" s="5" t="e">
        <f t="shared" ref="G132:I133" si="90">F132</f>
        <v>#REF!</v>
      </c>
      <c r="H132" s="5" t="e">
        <f t="shared" si="90"/>
        <v>#REF!</v>
      </c>
      <c r="I132" s="5" t="e">
        <f t="shared" si="90"/>
        <v>#REF!</v>
      </c>
      <c r="L132" s="14"/>
      <c r="M132" s="14"/>
      <c r="N132" s="14"/>
      <c r="O132" s="14"/>
      <c r="Q132" s="661"/>
      <c r="R132" s="2" t="s">
        <v>523</v>
      </c>
      <c r="S132" s="11">
        <v>0</v>
      </c>
      <c r="T132" s="11">
        <v>0</v>
      </c>
      <c r="U132" s="11">
        <v>0</v>
      </c>
      <c r="V132" s="11">
        <v>0</v>
      </c>
      <c r="W132" s="11">
        <f t="shared" si="89"/>
        <v>0</v>
      </c>
      <c r="X132" s="11">
        <f t="shared" si="89"/>
        <v>0</v>
      </c>
      <c r="Y132" s="11">
        <f t="shared" si="89"/>
        <v>0</v>
      </c>
      <c r="Z132" s="11">
        <f t="shared" si="89"/>
        <v>0</v>
      </c>
    </row>
    <row r="133" spans="1:26" ht="19.5" customHeight="1">
      <c r="A133" s="840"/>
      <c r="B133" s="2" t="s">
        <v>692</v>
      </c>
      <c r="C133" s="126" t="e">
        <f>'군대용수(국방부)'!#REF!</f>
        <v>#REF!</v>
      </c>
      <c r="D133" s="126" t="e">
        <f>'군대용수(국방부)'!#REF!</f>
        <v>#REF!</v>
      </c>
      <c r="E133" s="126" t="e">
        <f>'군대용수(국방부)'!#REF!</f>
        <v>#REF!</v>
      </c>
      <c r="F133" s="126" t="e">
        <f>'군대용수(국방부)'!#REF!</f>
        <v>#REF!</v>
      </c>
      <c r="G133" s="5" t="e">
        <f t="shared" si="90"/>
        <v>#REF!</v>
      </c>
      <c r="H133" s="5" t="e">
        <f t="shared" si="90"/>
        <v>#REF!</v>
      </c>
      <c r="I133" s="5" t="e">
        <f t="shared" si="90"/>
        <v>#REF!</v>
      </c>
      <c r="Q133" s="661"/>
      <c r="R133" s="2" t="s">
        <v>524</v>
      </c>
      <c r="S133" s="11">
        <f>관광용수!D67</f>
        <v>0</v>
      </c>
      <c r="T133" s="11">
        <f>관광용수!E67</f>
        <v>12</v>
      </c>
      <c r="U133" s="11">
        <f>관광용수!F67</f>
        <v>12</v>
      </c>
      <c r="V133" s="11">
        <f>관광용수!G67</f>
        <v>13</v>
      </c>
      <c r="W133" s="11">
        <f t="shared" si="89"/>
        <v>0</v>
      </c>
      <c r="X133" s="11">
        <f t="shared" si="89"/>
        <v>12</v>
      </c>
      <c r="Y133" s="11">
        <f t="shared" si="89"/>
        <v>12</v>
      </c>
      <c r="Z133" s="11">
        <f t="shared" si="89"/>
        <v>13</v>
      </c>
    </row>
    <row r="134" spans="1:26" ht="19.5" customHeight="1">
      <c r="A134" s="841" t="s">
        <v>525</v>
      </c>
      <c r="B134" s="2" t="s">
        <v>15</v>
      </c>
      <c r="C134" s="5" t="e">
        <f t="shared" ref="C134:I134" si="91">SUM(C135:C136)</f>
        <v>#REF!</v>
      </c>
      <c r="D134" s="5" t="e">
        <f t="shared" si="91"/>
        <v>#REF!</v>
      </c>
      <c r="E134" s="5" t="e">
        <f t="shared" si="91"/>
        <v>#REF!</v>
      </c>
      <c r="F134" s="5" t="e">
        <f t="shared" si="91"/>
        <v>#REF!</v>
      </c>
      <c r="G134" s="5" t="e">
        <f t="shared" si="91"/>
        <v>#REF!</v>
      </c>
      <c r="H134" s="5" t="e">
        <f t="shared" si="91"/>
        <v>#REF!</v>
      </c>
      <c r="I134" s="5" t="e">
        <f t="shared" si="91"/>
        <v>#REF!</v>
      </c>
      <c r="Q134" s="661" t="s">
        <v>525</v>
      </c>
      <c r="R134" s="2" t="s">
        <v>51</v>
      </c>
      <c r="S134" s="11">
        <f>관광용수!D65</f>
        <v>0</v>
      </c>
      <c r="T134" s="11">
        <f>관광용수!E65</f>
        <v>4</v>
      </c>
      <c r="U134" s="11">
        <f>관광용수!F65</f>
        <v>4</v>
      </c>
      <c r="V134" s="11">
        <f>관광용수!G65</f>
        <v>4</v>
      </c>
      <c r="W134" s="11">
        <f t="shared" si="89"/>
        <v>0</v>
      </c>
      <c r="X134" s="11">
        <f t="shared" si="89"/>
        <v>4</v>
      </c>
      <c r="Y134" s="11">
        <f t="shared" si="89"/>
        <v>4</v>
      </c>
      <c r="Z134" s="11">
        <f t="shared" si="89"/>
        <v>4</v>
      </c>
    </row>
    <row r="135" spans="1:26" ht="19.5" customHeight="1">
      <c r="A135" s="842"/>
      <c r="B135" s="2" t="s">
        <v>613</v>
      </c>
      <c r="C135" s="5" t="e">
        <f>'군대용수(국방부)'!#REF!</f>
        <v>#REF!</v>
      </c>
      <c r="D135" s="5" t="e">
        <f>'군대용수(국방부)'!#REF!</f>
        <v>#REF!</v>
      </c>
      <c r="E135" s="5" t="e">
        <f>'군대용수(국방부)'!#REF!</f>
        <v>#REF!</v>
      </c>
      <c r="F135" s="5" t="e">
        <f>'군대용수(국방부)'!#REF!</f>
        <v>#REF!</v>
      </c>
      <c r="G135" s="5" t="e">
        <f>F135</f>
        <v>#REF!</v>
      </c>
      <c r="H135" s="5" t="e">
        <f>G135</f>
        <v>#REF!</v>
      </c>
      <c r="I135" s="5" t="e">
        <f>H135</f>
        <v>#REF!</v>
      </c>
      <c r="Q135" s="661"/>
      <c r="R135" s="2" t="s">
        <v>528</v>
      </c>
      <c r="S135" s="11">
        <f>관광용수!D66</f>
        <v>0</v>
      </c>
      <c r="T135" s="11">
        <f>관광용수!E66</f>
        <v>3</v>
      </c>
      <c r="U135" s="11">
        <f>관광용수!F66</f>
        <v>3</v>
      </c>
      <c r="V135" s="11">
        <f>관광용수!G66</f>
        <v>3</v>
      </c>
      <c r="W135" s="11">
        <f t="shared" ref="W135:Z136" si="92">S135</f>
        <v>0</v>
      </c>
      <c r="X135" s="11">
        <f t="shared" si="92"/>
        <v>3</v>
      </c>
      <c r="Y135" s="11">
        <f t="shared" si="92"/>
        <v>3</v>
      </c>
      <c r="Z135" s="11">
        <f t="shared" si="92"/>
        <v>3</v>
      </c>
    </row>
    <row r="136" spans="1:26" ht="19.5" customHeight="1">
      <c r="A136" s="843"/>
      <c r="B136" s="2" t="s">
        <v>612</v>
      </c>
      <c r="C136" s="5" t="e">
        <f>'군대용수(국방부)'!#REF!</f>
        <v>#REF!</v>
      </c>
      <c r="D136" s="5" t="e">
        <f>'군대용수(국방부)'!#REF!</f>
        <v>#REF!</v>
      </c>
      <c r="E136" s="5" t="e">
        <f>'군대용수(국방부)'!#REF!</f>
        <v>#REF!</v>
      </c>
      <c r="F136" s="5" t="e">
        <f>'군대용수(국방부)'!#REF!</f>
        <v>#REF!</v>
      </c>
      <c r="G136" s="5" t="e">
        <f t="shared" ref="G136:I137" si="93">F136</f>
        <v>#REF!</v>
      </c>
      <c r="H136" s="5" t="e">
        <f t="shared" si="93"/>
        <v>#REF!</v>
      </c>
      <c r="I136" s="5" t="e">
        <f t="shared" si="93"/>
        <v>#REF!</v>
      </c>
      <c r="Q136" s="661"/>
      <c r="R136" s="2" t="s">
        <v>529</v>
      </c>
      <c r="S136" s="11">
        <v>0</v>
      </c>
      <c r="T136" s="11">
        <v>0</v>
      </c>
      <c r="U136" s="11">
        <v>0</v>
      </c>
      <c r="V136" s="11">
        <v>0</v>
      </c>
      <c r="W136" s="11">
        <f t="shared" si="92"/>
        <v>0</v>
      </c>
      <c r="X136" s="11">
        <f t="shared" si="92"/>
        <v>0</v>
      </c>
      <c r="Y136" s="11">
        <f t="shared" si="92"/>
        <v>0</v>
      </c>
      <c r="Z136" s="11">
        <f t="shared" si="92"/>
        <v>0</v>
      </c>
    </row>
    <row r="137" spans="1:26" ht="19.5" customHeight="1">
      <c r="A137" s="2" t="s">
        <v>530</v>
      </c>
      <c r="B137" s="2" t="s">
        <v>611</v>
      </c>
      <c r="C137" s="5" t="e">
        <f>'군대용수(국방부)'!#REF!</f>
        <v>#REF!</v>
      </c>
      <c r="D137" s="5" t="e">
        <f>'군대용수(국방부)'!#REF!</f>
        <v>#REF!</v>
      </c>
      <c r="E137" s="5" t="e">
        <f>'군대용수(국방부)'!#REF!</f>
        <v>#REF!</v>
      </c>
      <c r="F137" s="5" t="e">
        <f>'군대용수(국방부)'!#REF!</f>
        <v>#REF!</v>
      </c>
      <c r="G137" s="5" t="e">
        <f>F137</f>
        <v>#REF!</v>
      </c>
      <c r="H137" s="5" t="e">
        <f t="shared" si="93"/>
        <v>#REF!</v>
      </c>
      <c r="I137" s="5" t="e">
        <f t="shared" si="93"/>
        <v>#REF!</v>
      </c>
      <c r="Q137" s="2" t="s">
        <v>530</v>
      </c>
      <c r="R137" s="2" t="s">
        <v>531</v>
      </c>
      <c r="S137" s="11">
        <f>관광용수!D61</f>
        <v>0</v>
      </c>
      <c r="T137" s="11">
        <f>관광용수!E61</f>
        <v>4</v>
      </c>
      <c r="U137" s="11">
        <f>관광용수!F61</f>
        <v>4</v>
      </c>
      <c r="V137" s="11">
        <f>관광용수!G61</f>
        <v>4</v>
      </c>
      <c r="W137" s="11">
        <f t="shared" si="89"/>
        <v>0</v>
      </c>
      <c r="X137" s="11">
        <f t="shared" si="89"/>
        <v>4</v>
      </c>
      <c r="Y137" s="11">
        <f t="shared" si="89"/>
        <v>4</v>
      </c>
      <c r="Z137" s="11">
        <f t="shared" si="89"/>
        <v>4</v>
      </c>
    </row>
    <row r="138" spans="1:26" ht="19.5" customHeight="1">
      <c r="Q138" s="661" t="s">
        <v>51</v>
      </c>
      <c r="R138" s="661"/>
      <c r="S138" s="11">
        <f t="shared" ref="S138:Z138" si="94">S126+S130+S134+S137</f>
        <v>0</v>
      </c>
      <c r="T138" s="11">
        <f t="shared" si="94"/>
        <v>254</v>
      </c>
      <c r="U138" s="11">
        <f t="shared" si="94"/>
        <v>258</v>
      </c>
      <c r="V138" s="11">
        <f t="shared" si="94"/>
        <v>263</v>
      </c>
      <c r="W138" s="11">
        <f t="shared" si="94"/>
        <v>0</v>
      </c>
      <c r="X138" s="11">
        <f t="shared" si="94"/>
        <v>254</v>
      </c>
      <c r="Y138" s="11">
        <f t="shared" si="94"/>
        <v>258</v>
      </c>
      <c r="Z138" s="11">
        <f t="shared" si="94"/>
        <v>263</v>
      </c>
    </row>
    <row r="139" spans="1:26" ht="19.5" customHeight="1">
      <c r="Q139" s="844" t="s">
        <v>55</v>
      </c>
      <c r="R139" s="845"/>
      <c r="S139" s="661" t="s">
        <v>532</v>
      </c>
      <c r="T139" s="661"/>
      <c r="U139" s="661"/>
      <c r="V139" s="661"/>
      <c r="W139" s="661" t="s">
        <v>536</v>
      </c>
      <c r="X139" s="661"/>
      <c r="Y139" s="661"/>
      <c r="Z139" s="661"/>
    </row>
    <row r="140" spans="1:26" ht="19.5" customHeight="1">
      <c r="Q140" s="846"/>
      <c r="R140" s="847"/>
      <c r="S140" s="2" t="s">
        <v>114</v>
      </c>
      <c r="T140" s="2" t="s">
        <v>115</v>
      </c>
      <c r="U140" s="2" t="s">
        <v>116</v>
      </c>
      <c r="V140" s="2" t="s">
        <v>117</v>
      </c>
      <c r="W140" s="2" t="s">
        <v>114</v>
      </c>
      <c r="X140" s="2" t="s">
        <v>115</v>
      </c>
      <c r="Y140" s="2" t="s">
        <v>116</v>
      </c>
      <c r="Z140" s="2" t="s">
        <v>117</v>
      </c>
    </row>
    <row r="141" spans="1:26" ht="19.5" customHeight="1">
      <c r="Q141" s="770" t="s">
        <v>526</v>
      </c>
      <c r="R141" s="2" t="s">
        <v>51</v>
      </c>
      <c r="S141" s="2"/>
      <c r="T141" s="2"/>
      <c r="U141" s="2"/>
      <c r="V141" s="2"/>
      <c r="W141" s="5">
        <f>SUM(W142:W144)</f>
        <v>0</v>
      </c>
      <c r="X141" s="5">
        <f>SUM(X142:X144)</f>
        <v>21</v>
      </c>
      <c r="Y141" s="5">
        <f>SUM(Y142:Y144)</f>
        <v>22</v>
      </c>
      <c r="Z141" s="5">
        <f>SUM(Z142:Z144)</f>
        <v>24</v>
      </c>
    </row>
    <row r="142" spans="1:26" ht="19.5" customHeight="1">
      <c r="Q142" s="661"/>
      <c r="R142" s="2" t="s">
        <v>518</v>
      </c>
      <c r="S142" s="2">
        <v>91</v>
      </c>
      <c r="T142" s="2">
        <v>94</v>
      </c>
      <c r="U142" s="2">
        <v>96</v>
      </c>
      <c r="V142" s="2">
        <v>99</v>
      </c>
      <c r="W142" s="5">
        <f t="shared" ref="W142:Z144" si="95">ROUND(W127*S142/1000,0)</f>
        <v>0</v>
      </c>
      <c r="X142" s="5">
        <f t="shared" si="95"/>
        <v>12</v>
      </c>
      <c r="Y142" s="5">
        <f t="shared" si="95"/>
        <v>12</v>
      </c>
      <c r="Z142" s="5">
        <f t="shared" si="95"/>
        <v>13</v>
      </c>
    </row>
    <row r="143" spans="1:26" ht="19.5" customHeight="1">
      <c r="Q143" s="661"/>
      <c r="R143" s="2" t="s">
        <v>519</v>
      </c>
      <c r="S143" s="2">
        <v>91</v>
      </c>
      <c r="T143" s="2">
        <v>94</v>
      </c>
      <c r="U143" s="2">
        <v>96</v>
      </c>
      <c r="V143" s="2">
        <v>99</v>
      </c>
      <c r="W143" s="5">
        <f t="shared" si="95"/>
        <v>0</v>
      </c>
      <c r="X143" s="5">
        <f t="shared" si="95"/>
        <v>1</v>
      </c>
      <c r="Y143" s="5">
        <f t="shared" si="95"/>
        <v>1</v>
      </c>
      <c r="Z143" s="5">
        <f t="shared" si="95"/>
        <v>1</v>
      </c>
    </row>
    <row r="144" spans="1:26" ht="19.5" customHeight="1">
      <c r="Q144" s="661"/>
      <c r="R144" s="2" t="s">
        <v>520</v>
      </c>
      <c r="S144" s="2">
        <v>77</v>
      </c>
      <c r="T144" s="2">
        <v>82</v>
      </c>
      <c r="U144" s="2">
        <v>86</v>
      </c>
      <c r="V144" s="2">
        <v>91</v>
      </c>
      <c r="W144" s="5">
        <f t="shared" si="95"/>
        <v>0</v>
      </c>
      <c r="X144" s="5">
        <f t="shared" si="95"/>
        <v>8</v>
      </c>
      <c r="Y144" s="5">
        <f t="shared" si="95"/>
        <v>9</v>
      </c>
      <c r="Z144" s="5">
        <f t="shared" si="95"/>
        <v>10</v>
      </c>
    </row>
    <row r="145" spans="17:26" ht="19.5" customHeight="1">
      <c r="Q145" s="770" t="s">
        <v>527</v>
      </c>
      <c r="R145" s="2" t="s">
        <v>51</v>
      </c>
      <c r="S145" s="2"/>
      <c r="T145" s="2"/>
      <c r="U145" s="2"/>
      <c r="V145" s="2"/>
      <c r="W145" s="5">
        <f>SUM(W146:W148)</f>
        <v>0</v>
      </c>
      <c r="X145" s="5">
        <f>SUM(X146:X148)</f>
        <v>1</v>
      </c>
      <c r="Y145" s="5">
        <f>SUM(Y146:Y148)</f>
        <v>1</v>
      </c>
      <c r="Z145" s="5">
        <f>SUM(Z146:Z148)</f>
        <v>1</v>
      </c>
    </row>
    <row r="146" spans="17:26" ht="19.5" customHeight="1">
      <c r="Q146" s="661"/>
      <c r="R146" s="2" t="s">
        <v>522</v>
      </c>
      <c r="S146" s="2">
        <v>77</v>
      </c>
      <c r="T146" s="2">
        <v>82</v>
      </c>
      <c r="U146" s="2">
        <v>86</v>
      </c>
      <c r="V146" s="2">
        <v>91</v>
      </c>
      <c r="W146" s="5">
        <f t="shared" ref="W146:Z148" si="96">ROUND(W131*S146/1000,0)</f>
        <v>0</v>
      </c>
      <c r="X146" s="5">
        <f t="shared" si="96"/>
        <v>0</v>
      </c>
      <c r="Y146" s="5">
        <f t="shared" si="96"/>
        <v>0</v>
      </c>
      <c r="Z146" s="5">
        <f t="shared" si="96"/>
        <v>0</v>
      </c>
    </row>
    <row r="147" spans="17:26" ht="19.5" customHeight="1">
      <c r="Q147" s="661"/>
      <c r="R147" s="2" t="s">
        <v>523</v>
      </c>
      <c r="S147" s="2">
        <v>77</v>
      </c>
      <c r="T147" s="2">
        <v>82</v>
      </c>
      <c r="U147" s="2">
        <v>86</v>
      </c>
      <c r="V147" s="2">
        <v>91</v>
      </c>
      <c r="W147" s="5">
        <f t="shared" si="96"/>
        <v>0</v>
      </c>
      <c r="X147" s="5">
        <f t="shared" si="96"/>
        <v>0</v>
      </c>
      <c r="Y147" s="5">
        <f t="shared" si="96"/>
        <v>0</v>
      </c>
      <c r="Z147" s="5">
        <f t="shared" si="96"/>
        <v>0</v>
      </c>
    </row>
    <row r="148" spans="17:26" ht="19.5" customHeight="1">
      <c r="Q148" s="661"/>
      <c r="R148" s="2" t="s">
        <v>524</v>
      </c>
      <c r="S148" s="2">
        <v>77</v>
      </c>
      <c r="T148" s="2">
        <v>82</v>
      </c>
      <c r="U148" s="2">
        <v>86</v>
      </c>
      <c r="V148" s="2">
        <v>91</v>
      </c>
      <c r="W148" s="5">
        <f t="shared" si="96"/>
        <v>0</v>
      </c>
      <c r="X148" s="5">
        <f t="shared" si="96"/>
        <v>1</v>
      </c>
      <c r="Y148" s="5">
        <f t="shared" si="96"/>
        <v>1</v>
      </c>
      <c r="Z148" s="5">
        <f t="shared" si="96"/>
        <v>1</v>
      </c>
    </row>
    <row r="149" spans="17:26" ht="19.5" customHeight="1">
      <c r="Q149" s="661" t="s">
        <v>525</v>
      </c>
      <c r="R149" s="2" t="s">
        <v>51</v>
      </c>
      <c r="S149" s="2"/>
      <c r="T149" s="2"/>
      <c r="U149" s="2"/>
      <c r="V149" s="2"/>
      <c r="W149" s="5">
        <f>SUM(W150:W151)</f>
        <v>0</v>
      </c>
      <c r="X149" s="5">
        <f>SUM(X150:X151)</f>
        <v>0</v>
      </c>
      <c r="Y149" s="5">
        <f>SUM(Y150:Y151)</f>
        <v>0</v>
      </c>
      <c r="Z149" s="5">
        <f>SUM(Z150:Z151)</f>
        <v>0</v>
      </c>
    </row>
    <row r="150" spans="17:26" ht="19.5" customHeight="1">
      <c r="Q150" s="661"/>
      <c r="R150" s="2" t="s">
        <v>528</v>
      </c>
      <c r="S150" s="2">
        <v>77</v>
      </c>
      <c r="T150" s="2">
        <v>82</v>
      </c>
      <c r="U150" s="2">
        <v>86</v>
      </c>
      <c r="V150" s="2">
        <v>91</v>
      </c>
      <c r="W150" s="5">
        <f>ROUND(W134*S150/1000,0)</f>
        <v>0</v>
      </c>
      <c r="X150" s="5">
        <f>ROUND(X134*T150/1000,0)</f>
        <v>0</v>
      </c>
      <c r="Y150" s="5">
        <f>ROUND(Y134*U150/1000,0)</f>
        <v>0</v>
      </c>
      <c r="Z150" s="5">
        <f>ROUND(Z134*V150/1000,0)</f>
        <v>0</v>
      </c>
    </row>
    <row r="151" spans="17:26" ht="19.5" customHeight="1">
      <c r="Q151" s="661"/>
      <c r="R151" s="2" t="s">
        <v>529</v>
      </c>
      <c r="S151" s="2">
        <v>77</v>
      </c>
      <c r="T151" s="2">
        <v>82</v>
      </c>
      <c r="U151" s="2">
        <v>86</v>
      </c>
      <c r="V151" s="2">
        <v>91</v>
      </c>
      <c r="W151" s="5">
        <f t="shared" ref="W151:Z152" si="97">ROUND(W136*S151/1000,0)</f>
        <v>0</v>
      </c>
      <c r="X151" s="5">
        <f t="shared" si="97"/>
        <v>0</v>
      </c>
      <c r="Y151" s="5">
        <f t="shared" si="97"/>
        <v>0</v>
      </c>
      <c r="Z151" s="5">
        <f t="shared" si="97"/>
        <v>0</v>
      </c>
    </row>
    <row r="152" spans="17:26" ht="19.5" customHeight="1">
      <c r="Q152" s="2" t="s">
        <v>530</v>
      </c>
      <c r="R152" s="2" t="s">
        <v>531</v>
      </c>
      <c r="S152" s="2">
        <v>77</v>
      </c>
      <c r="T152" s="2">
        <v>82</v>
      </c>
      <c r="U152" s="2">
        <v>86</v>
      </c>
      <c r="V152" s="2">
        <v>91</v>
      </c>
      <c r="W152" s="5">
        <f t="shared" si="97"/>
        <v>0</v>
      </c>
      <c r="X152" s="5">
        <f t="shared" si="97"/>
        <v>0</v>
      </c>
      <c r="Y152" s="5">
        <f t="shared" si="97"/>
        <v>0</v>
      </c>
      <c r="Z152" s="5">
        <f t="shared" si="97"/>
        <v>0</v>
      </c>
    </row>
    <row r="153" spans="17:26" ht="19.5" customHeight="1">
      <c r="Q153" s="661" t="s">
        <v>51</v>
      </c>
      <c r="R153" s="661"/>
      <c r="S153" s="2"/>
      <c r="T153" s="2"/>
      <c r="U153" s="2"/>
      <c r="V153" s="2"/>
      <c r="W153" s="5">
        <f>W141+W145+W149+W152</f>
        <v>0</v>
      </c>
      <c r="X153" s="5">
        <f>X141+X145+X149+X152</f>
        <v>22</v>
      </c>
      <c r="Y153" s="5">
        <f>Y141+Y145+Y149+Y152</f>
        <v>23</v>
      </c>
      <c r="Z153" s="5">
        <f>Z141+Z145+Z149+Z152</f>
        <v>25</v>
      </c>
    </row>
    <row r="154" spans="17:26" ht="19.5" customHeight="1"/>
    <row r="155" spans="17:26" ht="19.5" customHeight="1">
      <c r="Q155" s="61" t="s">
        <v>538</v>
      </c>
    </row>
    <row r="156" spans="17:26" ht="19.5" customHeight="1">
      <c r="Q156" s="844" t="s">
        <v>55</v>
      </c>
      <c r="R156" s="845"/>
      <c r="S156" s="661" t="s">
        <v>513</v>
      </c>
      <c r="T156" s="661"/>
      <c r="U156" s="661"/>
      <c r="V156" s="661"/>
      <c r="W156" s="661" t="s">
        <v>521</v>
      </c>
      <c r="X156" s="661"/>
      <c r="Y156" s="661"/>
      <c r="Z156" s="661"/>
    </row>
    <row r="157" spans="17:26" ht="19.5" customHeight="1">
      <c r="Q157" s="846"/>
      <c r="R157" s="847"/>
      <c r="S157" s="84" t="s">
        <v>114</v>
      </c>
      <c r="T157" s="84" t="s">
        <v>115</v>
      </c>
      <c r="U157" s="84" t="s">
        <v>116</v>
      </c>
      <c r="V157" s="84" t="s">
        <v>117</v>
      </c>
      <c r="W157" s="84" t="s">
        <v>114</v>
      </c>
      <c r="X157" s="84" t="s">
        <v>115</v>
      </c>
      <c r="Y157" s="84" t="s">
        <v>116</v>
      </c>
      <c r="Z157" s="84" t="s">
        <v>117</v>
      </c>
    </row>
    <row r="158" spans="17:26" ht="19.5" customHeight="1">
      <c r="Q158" s="770" t="s">
        <v>526</v>
      </c>
      <c r="R158" s="2" t="s">
        <v>51</v>
      </c>
      <c r="S158" s="11">
        <f t="shared" ref="S158:Z158" si="98">SUM(S159:S161)</f>
        <v>0</v>
      </c>
      <c r="T158" s="11">
        <f t="shared" si="98"/>
        <v>187</v>
      </c>
      <c r="U158" s="11">
        <f t="shared" si="98"/>
        <v>191</v>
      </c>
      <c r="V158" s="11">
        <f t="shared" si="98"/>
        <v>194</v>
      </c>
      <c r="W158" s="11">
        <f t="shared" si="98"/>
        <v>0</v>
      </c>
      <c r="X158" s="11">
        <f t="shared" si="98"/>
        <v>187</v>
      </c>
      <c r="Y158" s="11">
        <f t="shared" si="98"/>
        <v>191</v>
      </c>
      <c r="Z158" s="11">
        <f t="shared" si="98"/>
        <v>194</v>
      </c>
    </row>
    <row r="159" spans="17:26" ht="19.5" customHeight="1">
      <c r="Q159" s="661"/>
      <c r="R159" s="2" t="s">
        <v>518</v>
      </c>
      <c r="S159" s="11">
        <f>관광용수!D56</f>
        <v>0</v>
      </c>
      <c r="T159" s="11">
        <f>관광용수!E56</f>
        <v>98</v>
      </c>
      <c r="U159" s="11">
        <f>관광용수!F56</f>
        <v>100</v>
      </c>
      <c r="V159" s="11">
        <f>관광용수!G56</f>
        <v>102</v>
      </c>
      <c r="W159" s="11">
        <f t="shared" ref="W159:Z161" si="99">S159</f>
        <v>0</v>
      </c>
      <c r="X159" s="11">
        <f t="shared" si="99"/>
        <v>98</v>
      </c>
      <c r="Y159" s="11">
        <f t="shared" si="99"/>
        <v>100</v>
      </c>
      <c r="Z159" s="11">
        <f t="shared" si="99"/>
        <v>102</v>
      </c>
    </row>
    <row r="160" spans="17:26" ht="19.5" customHeight="1">
      <c r="Q160" s="661"/>
      <c r="R160" s="2" t="s">
        <v>519</v>
      </c>
      <c r="S160" s="11">
        <f>관광용수!D60</f>
        <v>0</v>
      </c>
      <c r="T160" s="11">
        <f>관광용수!E60</f>
        <v>7</v>
      </c>
      <c r="U160" s="11">
        <f>관광용수!F60</f>
        <v>7</v>
      </c>
      <c r="V160" s="11">
        <f>관광용수!G60</f>
        <v>7</v>
      </c>
      <c r="W160" s="11">
        <f t="shared" si="99"/>
        <v>0</v>
      </c>
      <c r="X160" s="11">
        <f t="shared" si="99"/>
        <v>7</v>
      </c>
      <c r="Y160" s="11">
        <f t="shared" si="99"/>
        <v>7</v>
      </c>
      <c r="Z160" s="11">
        <f t="shared" si="99"/>
        <v>7</v>
      </c>
    </row>
    <row r="161" spans="17:26" ht="19.5" customHeight="1">
      <c r="Q161" s="661"/>
      <c r="R161" s="2" t="s">
        <v>520</v>
      </c>
      <c r="S161" s="11">
        <f>관광용수!D58</f>
        <v>0</v>
      </c>
      <c r="T161" s="11">
        <f>관광용수!E58</f>
        <v>82</v>
      </c>
      <c r="U161" s="11">
        <f>관광용수!F58</f>
        <v>84</v>
      </c>
      <c r="V161" s="11">
        <f>관광용수!G58</f>
        <v>85</v>
      </c>
      <c r="W161" s="11">
        <f t="shared" si="99"/>
        <v>0</v>
      </c>
      <c r="X161" s="11">
        <f t="shared" si="99"/>
        <v>82</v>
      </c>
      <c r="Y161" s="11">
        <f t="shared" si="99"/>
        <v>84</v>
      </c>
      <c r="Z161" s="11">
        <f t="shared" si="99"/>
        <v>85</v>
      </c>
    </row>
    <row r="162" spans="17:26" ht="19.5" customHeight="1">
      <c r="Q162" s="770" t="s">
        <v>527</v>
      </c>
      <c r="R162" s="2" t="s">
        <v>51</v>
      </c>
      <c r="S162" s="11">
        <f t="shared" ref="S162:Z162" si="100">SUM(S163:S165)</f>
        <v>0</v>
      </c>
      <c r="T162" s="11">
        <f t="shared" si="100"/>
        <v>10</v>
      </c>
      <c r="U162" s="11">
        <f t="shared" si="100"/>
        <v>10</v>
      </c>
      <c r="V162" s="11">
        <f t="shared" si="100"/>
        <v>10</v>
      </c>
      <c r="W162" s="11">
        <f t="shared" si="100"/>
        <v>0</v>
      </c>
      <c r="X162" s="11">
        <f t="shared" si="100"/>
        <v>10</v>
      </c>
      <c r="Y162" s="11">
        <f t="shared" si="100"/>
        <v>10</v>
      </c>
      <c r="Z162" s="11">
        <f t="shared" si="100"/>
        <v>10</v>
      </c>
    </row>
    <row r="163" spans="17:26" ht="19.5" customHeight="1">
      <c r="Q163" s="661"/>
      <c r="R163" s="2" t="s">
        <v>522</v>
      </c>
      <c r="S163" s="11">
        <f>관광용수!D64</f>
        <v>0</v>
      </c>
      <c r="T163" s="11">
        <f>관광용수!E64</f>
        <v>0</v>
      </c>
      <c r="U163" s="11">
        <f>관광용수!F64</f>
        <v>0</v>
      </c>
      <c r="V163" s="11">
        <f>관광용수!G64</f>
        <v>0</v>
      </c>
      <c r="W163" s="11">
        <f t="shared" ref="W163:Z169" si="101">S163</f>
        <v>0</v>
      </c>
      <c r="X163" s="11">
        <f t="shared" si="101"/>
        <v>0</v>
      </c>
      <c r="Y163" s="11">
        <f t="shared" si="101"/>
        <v>0</v>
      </c>
      <c r="Z163" s="11">
        <f t="shared" si="101"/>
        <v>0</v>
      </c>
    </row>
    <row r="164" spans="17:26" ht="19.5" customHeight="1">
      <c r="Q164" s="661"/>
      <c r="R164" s="2" t="s">
        <v>523</v>
      </c>
      <c r="S164" s="11">
        <v>0</v>
      </c>
      <c r="T164" s="11">
        <v>0</v>
      </c>
      <c r="U164" s="11">
        <v>0</v>
      </c>
      <c r="V164" s="11">
        <v>0</v>
      </c>
      <c r="W164" s="11">
        <f t="shared" si="101"/>
        <v>0</v>
      </c>
      <c r="X164" s="11">
        <f t="shared" si="101"/>
        <v>0</v>
      </c>
      <c r="Y164" s="11">
        <f t="shared" si="101"/>
        <v>0</v>
      </c>
      <c r="Z164" s="11">
        <f t="shared" si="101"/>
        <v>0</v>
      </c>
    </row>
    <row r="165" spans="17:26" ht="19.5" customHeight="1">
      <c r="Q165" s="661"/>
      <c r="R165" s="2" t="s">
        <v>524</v>
      </c>
      <c r="S165" s="11">
        <f>관광용수!D68</f>
        <v>0</v>
      </c>
      <c r="T165" s="11">
        <f>관광용수!E68</f>
        <v>10</v>
      </c>
      <c r="U165" s="11">
        <f>관광용수!F68</f>
        <v>10</v>
      </c>
      <c r="V165" s="11">
        <f>관광용수!G68</f>
        <v>10</v>
      </c>
      <c r="W165" s="11">
        <f t="shared" si="101"/>
        <v>0</v>
      </c>
      <c r="X165" s="11">
        <f t="shared" si="101"/>
        <v>10</v>
      </c>
      <c r="Y165" s="11">
        <f t="shared" si="101"/>
        <v>10</v>
      </c>
      <c r="Z165" s="11">
        <f t="shared" si="101"/>
        <v>10</v>
      </c>
    </row>
    <row r="166" spans="17:26" ht="19.5" customHeight="1">
      <c r="Q166" s="661" t="s">
        <v>525</v>
      </c>
      <c r="R166" s="2" t="s">
        <v>51</v>
      </c>
      <c r="S166" s="11">
        <f>SUM(S167:S167)</f>
        <v>0</v>
      </c>
      <c r="T166" s="11">
        <f>SUM(T167:T167)</f>
        <v>3</v>
      </c>
      <c r="U166" s="11">
        <f>SUM(U167:U167)</f>
        <v>3</v>
      </c>
      <c r="V166" s="11">
        <f>SUM(V167:V167)</f>
        <v>3</v>
      </c>
      <c r="W166" s="11">
        <f t="shared" si="101"/>
        <v>0</v>
      </c>
      <c r="X166" s="11">
        <f t="shared" si="101"/>
        <v>3</v>
      </c>
      <c r="Y166" s="11">
        <f t="shared" si="101"/>
        <v>3</v>
      </c>
      <c r="Z166" s="11">
        <f t="shared" si="101"/>
        <v>3</v>
      </c>
    </row>
    <row r="167" spans="17:26" ht="19.5" customHeight="1">
      <c r="Q167" s="661"/>
      <c r="R167" s="2" t="s">
        <v>528</v>
      </c>
      <c r="S167" s="11">
        <f>관광용수!D66</f>
        <v>0</v>
      </c>
      <c r="T167" s="11">
        <f>관광용수!E66</f>
        <v>3</v>
      </c>
      <c r="U167" s="11">
        <f>관광용수!F66</f>
        <v>3</v>
      </c>
      <c r="V167" s="11">
        <f>관광용수!G66</f>
        <v>3</v>
      </c>
      <c r="W167" s="11">
        <f t="shared" ref="W167:Z168" si="102">S167</f>
        <v>0</v>
      </c>
      <c r="X167" s="11">
        <f t="shared" si="102"/>
        <v>3</v>
      </c>
      <c r="Y167" s="11">
        <f t="shared" si="102"/>
        <v>3</v>
      </c>
      <c r="Z167" s="11">
        <f t="shared" si="102"/>
        <v>3</v>
      </c>
    </row>
    <row r="168" spans="17:26" ht="19.5" customHeight="1">
      <c r="Q168" s="661"/>
      <c r="R168" s="2" t="s">
        <v>529</v>
      </c>
      <c r="S168" s="11">
        <v>0</v>
      </c>
      <c r="T168" s="11">
        <v>0</v>
      </c>
      <c r="U168" s="11">
        <v>0</v>
      </c>
      <c r="V168" s="11">
        <v>0</v>
      </c>
      <c r="W168" s="11">
        <f t="shared" si="102"/>
        <v>0</v>
      </c>
      <c r="X168" s="11">
        <f t="shared" si="102"/>
        <v>0</v>
      </c>
      <c r="Y168" s="11">
        <f t="shared" si="102"/>
        <v>0</v>
      </c>
      <c r="Z168" s="11">
        <f t="shared" si="102"/>
        <v>0</v>
      </c>
    </row>
    <row r="169" spans="17:26" ht="19.5" customHeight="1">
      <c r="Q169" s="2" t="s">
        <v>530</v>
      </c>
      <c r="R169" s="2" t="s">
        <v>531</v>
      </c>
      <c r="S169" s="11">
        <f>관광용수!D62</f>
        <v>0</v>
      </c>
      <c r="T169" s="11">
        <f>관광용수!E62</f>
        <v>3</v>
      </c>
      <c r="U169" s="11">
        <f>관광용수!F62</f>
        <v>3</v>
      </c>
      <c r="V169" s="11">
        <f>관광용수!G62</f>
        <v>3</v>
      </c>
      <c r="W169" s="11">
        <f t="shared" si="101"/>
        <v>0</v>
      </c>
      <c r="X169" s="11">
        <f t="shared" si="101"/>
        <v>3</v>
      </c>
      <c r="Y169" s="11">
        <f t="shared" si="101"/>
        <v>3</v>
      </c>
      <c r="Z169" s="11">
        <f t="shared" si="101"/>
        <v>3</v>
      </c>
    </row>
    <row r="170" spans="17:26" ht="19.5" customHeight="1">
      <c r="Q170" s="661" t="s">
        <v>51</v>
      </c>
      <c r="R170" s="661"/>
      <c r="S170" s="11">
        <f t="shared" ref="S170:Z170" si="103">S158+S162+S166+S169</f>
        <v>0</v>
      </c>
      <c r="T170" s="11">
        <f t="shared" si="103"/>
        <v>203</v>
      </c>
      <c r="U170" s="11">
        <f t="shared" si="103"/>
        <v>207</v>
      </c>
      <c r="V170" s="11">
        <f t="shared" si="103"/>
        <v>210</v>
      </c>
      <c r="W170" s="11">
        <f t="shared" si="103"/>
        <v>0</v>
      </c>
      <c r="X170" s="11">
        <f t="shared" si="103"/>
        <v>203</v>
      </c>
      <c r="Y170" s="11">
        <f t="shared" si="103"/>
        <v>207</v>
      </c>
      <c r="Z170" s="11">
        <f t="shared" si="103"/>
        <v>210</v>
      </c>
    </row>
    <row r="171" spans="17:26" ht="19.5" customHeight="1">
      <c r="Q171" s="844" t="s">
        <v>55</v>
      </c>
      <c r="R171" s="845"/>
      <c r="S171" s="661" t="s">
        <v>532</v>
      </c>
      <c r="T171" s="661"/>
      <c r="U171" s="661"/>
      <c r="V171" s="661"/>
      <c r="W171" s="661" t="s">
        <v>536</v>
      </c>
      <c r="X171" s="661"/>
      <c r="Y171" s="661"/>
      <c r="Z171" s="661"/>
    </row>
    <row r="172" spans="17:26" ht="19.5" customHeight="1">
      <c r="Q172" s="846"/>
      <c r="R172" s="847"/>
      <c r="S172" s="2" t="s">
        <v>114</v>
      </c>
      <c r="T172" s="2" t="s">
        <v>115</v>
      </c>
      <c r="U172" s="2" t="s">
        <v>116</v>
      </c>
      <c r="V172" s="2" t="s">
        <v>117</v>
      </c>
      <c r="W172" s="2" t="s">
        <v>114</v>
      </c>
      <c r="X172" s="2" t="s">
        <v>115</v>
      </c>
      <c r="Y172" s="2" t="s">
        <v>116</v>
      </c>
      <c r="Z172" s="2" t="s">
        <v>117</v>
      </c>
    </row>
    <row r="173" spans="17:26" ht="19.5" customHeight="1">
      <c r="Q173" s="770" t="s">
        <v>526</v>
      </c>
      <c r="R173" s="2" t="s">
        <v>51</v>
      </c>
      <c r="S173" s="2"/>
      <c r="T173" s="2"/>
      <c r="U173" s="2"/>
      <c r="V173" s="2"/>
      <c r="W173" s="5">
        <f>SUM(W174:W176)</f>
        <v>0</v>
      </c>
      <c r="X173" s="5">
        <f>SUM(X174:X176)</f>
        <v>5</v>
      </c>
      <c r="Y173" s="5">
        <f>SUM(Y174:Y176)</f>
        <v>5</v>
      </c>
      <c r="Z173" s="5">
        <f>SUM(Z174:Z176)</f>
        <v>5</v>
      </c>
    </row>
    <row r="174" spans="17:26" ht="19.5" customHeight="1">
      <c r="Q174" s="661"/>
      <c r="R174" s="2" t="s">
        <v>518</v>
      </c>
      <c r="S174" s="2">
        <v>27</v>
      </c>
      <c r="T174" s="2">
        <v>28</v>
      </c>
      <c r="U174" s="2">
        <v>29</v>
      </c>
      <c r="V174" s="2">
        <v>30</v>
      </c>
      <c r="W174" s="5">
        <f t="shared" ref="W174:Z176" si="104">ROUND(W159*S174/1000,0)</f>
        <v>0</v>
      </c>
      <c r="X174" s="5">
        <f t="shared" si="104"/>
        <v>3</v>
      </c>
      <c r="Y174" s="5">
        <f t="shared" si="104"/>
        <v>3</v>
      </c>
      <c r="Z174" s="5">
        <f t="shared" si="104"/>
        <v>3</v>
      </c>
    </row>
    <row r="175" spans="17:26" ht="19.5" customHeight="1">
      <c r="Q175" s="661"/>
      <c r="R175" s="2" t="s">
        <v>519</v>
      </c>
      <c r="S175" s="2">
        <v>27</v>
      </c>
      <c r="T175" s="2">
        <v>28</v>
      </c>
      <c r="U175" s="2">
        <v>29</v>
      </c>
      <c r="V175" s="2">
        <v>30</v>
      </c>
      <c r="W175" s="5">
        <f t="shared" si="104"/>
        <v>0</v>
      </c>
      <c r="X175" s="5">
        <f t="shared" si="104"/>
        <v>0</v>
      </c>
      <c r="Y175" s="5">
        <f t="shared" si="104"/>
        <v>0</v>
      </c>
      <c r="Z175" s="5">
        <f t="shared" si="104"/>
        <v>0</v>
      </c>
    </row>
    <row r="176" spans="17:26" ht="19.5" customHeight="1">
      <c r="Q176" s="661"/>
      <c r="R176" s="2" t="s">
        <v>520</v>
      </c>
      <c r="S176" s="2">
        <v>23</v>
      </c>
      <c r="T176" s="2">
        <v>24</v>
      </c>
      <c r="U176" s="2">
        <v>26</v>
      </c>
      <c r="V176" s="2">
        <v>27</v>
      </c>
      <c r="W176" s="5">
        <f t="shared" si="104"/>
        <v>0</v>
      </c>
      <c r="X176" s="5">
        <f t="shared" si="104"/>
        <v>2</v>
      </c>
      <c r="Y176" s="5">
        <f t="shared" si="104"/>
        <v>2</v>
      </c>
      <c r="Z176" s="5">
        <f t="shared" si="104"/>
        <v>2</v>
      </c>
    </row>
    <row r="177" spans="17:31" ht="19.5" customHeight="1">
      <c r="Q177" s="770" t="s">
        <v>527</v>
      </c>
      <c r="R177" s="2" t="s">
        <v>51</v>
      </c>
      <c r="S177" s="2"/>
      <c r="T177" s="2"/>
      <c r="U177" s="2"/>
      <c r="V177" s="2"/>
      <c r="W177" s="5">
        <f>SUM(W178:W180)</f>
        <v>0</v>
      </c>
      <c r="X177" s="5">
        <f>SUM(X178:X180)</f>
        <v>0</v>
      </c>
      <c r="Y177" s="5">
        <f>SUM(Y178:Y180)</f>
        <v>0</v>
      </c>
      <c r="Z177" s="5">
        <f>SUM(Z178:Z180)</f>
        <v>0</v>
      </c>
    </row>
    <row r="178" spans="17:31" ht="19.5" customHeight="1">
      <c r="Q178" s="661"/>
      <c r="R178" s="2" t="s">
        <v>522</v>
      </c>
      <c r="S178" s="2">
        <v>23</v>
      </c>
      <c r="T178" s="2">
        <v>24</v>
      </c>
      <c r="U178" s="2">
        <v>26</v>
      </c>
      <c r="V178" s="2">
        <v>27</v>
      </c>
      <c r="W178" s="5">
        <f t="shared" ref="W178:Z180" si="105">ROUND(W163*S178/1000,0)</f>
        <v>0</v>
      </c>
      <c r="X178" s="5">
        <f t="shared" si="105"/>
        <v>0</v>
      </c>
      <c r="Y178" s="5">
        <f t="shared" si="105"/>
        <v>0</v>
      </c>
      <c r="Z178" s="5">
        <f t="shared" si="105"/>
        <v>0</v>
      </c>
    </row>
    <row r="179" spans="17:31" ht="19.5" customHeight="1">
      <c r="Q179" s="661"/>
      <c r="R179" s="2" t="s">
        <v>523</v>
      </c>
      <c r="S179" s="2">
        <v>23</v>
      </c>
      <c r="T179" s="2">
        <v>24</v>
      </c>
      <c r="U179" s="2">
        <v>26</v>
      </c>
      <c r="V179" s="2">
        <v>27</v>
      </c>
      <c r="W179" s="5">
        <f t="shared" si="105"/>
        <v>0</v>
      </c>
      <c r="X179" s="5">
        <f t="shared" si="105"/>
        <v>0</v>
      </c>
      <c r="Y179" s="5">
        <f t="shared" si="105"/>
        <v>0</v>
      </c>
      <c r="Z179" s="5">
        <f t="shared" si="105"/>
        <v>0</v>
      </c>
      <c r="AB179" s="14"/>
      <c r="AC179" s="14"/>
      <c r="AD179" s="14"/>
      <c r="AE179" s="14"/>
    </row>
    <row r="180" spans="17:31" ht="19.5" customHeight="1">
      <c r="Q180" s="661"/>
      <c r="R180" s="2" t="s">
        <v>524</v>
      </c>
      <c r="S180" s="2">
        <v>23</v>
      </c>
      <c r="T180" s="2">
        <v>24</v>
      </c>
      <c r="U180" s="2">
        <v>26</v>
      </c>
      <c r="V180" s="2">
        <v>27</v>
      </c>
      <c r="W180" s="5">
        <f t="shared" si="105"/>
        <v>0</v>
      </c>
      <c r="X180" s="5">
        <f t="shared" si="105"/>
        <v>0</v>
      </c>
      <c r="Y180" s="5">
        <f t="shared" si="105"/>
        <v>0</v>
      </c>
      <c r="Z180" s="5">
        <f t="shared" si="105"/>
        <v>0</v>
      </c>
    </row>
    <row r="181" spans="17:31" ht="19.5" customHeight="1">
      <c r="Q181" s="661" t="s">
        <v>525</v>
      </c>
      <c r="R181" s="2" t="s">
        <v>51</v>
      </c>
      <c r="S181" s="2"/>
      <c r="T181" s="2"/>
      <c r="U181" s="2"/>
      <c r="V181" s="2"/>
      <c r="W181" s="5">
        <f>SUM(W182:W183)</f>
        <v>0</v>
      </c>
      <c r="X181" s="5">
        <f>SUM(X182:X183)</f>
        <v>0</v>
      </c>
      <c r="Y181" s="5">
        <f>SUM(Y182:Y183)</f>
        <v>0</v>
      </c>
      <c r="Z181" s="5">
        <f>SUM(Z182:Z183)</f>
        <v>0</v>
      </c>
    </row>
    <row r="182" spans="17:31" ht="19.5" customHeight="1">
      <c r="Q182" s="661"/>
      <c r="R182" s="2" t="s">
        <v>528</v>
      </c>
      <c r="S182" s="2">
        <v>23</v>
      </c>
      <c r="T182" s="2">
        <v>24</v>
      </c>
      <c r="U182" s="2">
        <v>26</v>
      </c>
      <c r="V182" s="2">
        <v>27</v>
      </c>
      <c r="W182" s="5">
        <f>ROUND(W167*S182/1000,0)</f>
        <v>0</v>
      </c>
      <c r="X182" s="5">
        <f t="shared" ref="X182:Z183" si="106">ROUND(X167*T182/1000,0)</f>
        <v>0</v>
      </c>
      <c r="Y182" s="5">
        <f t="shared" si="106"/>
        <v>0</v>
      </c>
      <c r="Z182" s="5">
        <f t="shared" si="106"/>
        <v>0</v>
      </c>
    </row>
    <row r="183" spans="17:31" ht="19.5" customHeight="1">
      <c r="Q183" s="661"/>
      <c r="R183" s="2" t="s">
        <v>529</v>
      </c>
      <c r="S183" s="2">
        <v>23</v>
      </c>
      <c r="T183" s="2">
        <v>24</v>
      </c>
      <c r="U183" s="2">
        <v>26</v>
      </c>
      <c r="V183" s="2">
        <v>27</v>
      </c>
      <c r="W183" s="5">
        <f>ROUND(W168*S183/1000,0)</f>
        <v>0</v>
      </c>
      <c r="X183" s="5">
        <f t="shared" si="106"/>
        <v>0</v>
      </c>
      <c r="Y183" s="5">
        <f t="shared" si="106"/>
        <v>0</v>
      </c>
      <c r="Z183" s="5">
        <f t="shared" si="106"/>
        <v>0</v>
      </c>
    </row>
    <row r="184" spans="17:31" ht="19.5" customHeight="1">
      <c r="Q184" s="2" t="s">
        <v>530</v>
      </c>
      <c r="R184" s="2" t="s">
        <v>531</v>
      </c>
      <c r="S184" s="2">
        <v>23</v>
      </c>
      <c r="T184" s="2">
        <v>24</v>
      </c>
      <c r="U184" s="2">
        <v>26</v>
      </c>
      <c r="V184" s="2">
        <v>27</v>
      </c>
      <c r="W184" s="5">
        <f>ROUND(W169*S184/1000,0)</f>
        <v>0</v>
      </c>
      <c r="X184" s="5">
        <f>ROUND(X169*T184/1000,0)</f>
        <v>0</v>
      </c>
      <c r="Y184" s="5">
        <f>ROUND(Y169*U184/1000,0)</f>
        <v>0</v>
      </c>
      <c r="Z184" s="5">
        <f>ROUND(Z169*V184/1000,0)</f>
        <v>0</v>
      </c>
    </row>
    <row r="185" spans="17:31" ht="19.5" customHeight="1">
      <c r="Q185" s="661" t="s">
        <v>51</v>
      </c>
      <c r="R185" s="661"/>
      <c r="S185" s="2"/>
      <c r="T185" s="2"/>
      <c r="U185" s="2"/>
      <c r="V185" s="2"/>
      <c r="W185" s="5">
        <f>W173+W177+W181+W184</f>
        <v>0</v>
      </c>
      <c r="X185" s="5">
        <f>X173+X177+X181+X184</f>
        <v>5</v>
      </c>
      <c r="Y185" s="5">
        <f>Y173+Y177+Y181+Y184</f>
        <v>5</v>
      </c>
      <c r="Z185" s="5">
        <f>Z173+Z177+Z181+Z184</f>
        <v>5</v>
      </c>
    </row>
    <row r="186" spans="17:31" ht="19.5" customHeight="1">
      <c r="W186" s="14"/>
      <c r="X186" s="14"/>
      <c r="Y186" s="14"/>
      <c r="Z186" s="14"/>
    </row>
    <row r="187" spans="17:31" ht="19.5" customHeight="1">
      <c r="Q187" s="61" t="s">
        <v>539</v>
      </c>
    </row>
    <row r="188" spans="17:31" ht="19.5" customHeight="1">
      <c r="Q188" s="661" t="s">
        <v>55</v>
      </c>
      <c r="R188" s="661"/>
      <c r="S188" s="661" t="s">
        <v>513</v>
      </c>
      <c r="T188" s="661"/>
      <c r="U188" s="661"/>
      <c r="V188" s="661"/>
      <c r="W188" s="661" t="s">
        <v>521</v>
      </c>
      <c r="X188" s="661"/>
      <c r="Y188" s="661"/>
      <c r="Z188" s="661"/>
    </row>
    <row r="189" spans="17:31" ht="19.5" customHeight="1">
      <c r="Q189" s="661"/>
      <c r="R189" s="661"/>
      <c r="S189" s="2" t="s">
        <v>114</v>
      </c>
      <c r="T189" s="2" t="s">
        <v>115</v>
      </c>
      <c r="U189" s="2" t="s">
        <v>116</v>
      </c>
      <c r="V189" s="2" t="s">
        <v>117</v>
      </c>
      <c r="W189" s="2" t="s">
        <v>114</v>
      </c>
      <c r="X189" s="2" t="s">
        <v>115</v>
      </c>
      <c r="Y189" s="2" t="s">
        <v>116</v>
      </c>
      <c r="Z189" s="2" t="s">
        <v>117</v>
      </c>
    </row>
    <row r="190" spans="17:31" ht="19.5" customHeight="1">
      <c r="Q190" s="770" t="s">
        <v>526</v>
      </c>
      <c r="R190" s="2" t="s">
        <v>51</v>
      </c>
      <c r="S190" s="11" t="e">
        <f t="shared" ref="S190:Z190" si="107">SUM(S191:S193)</f>
        <v>#REF!</v>
      </c>
      <c r="T190" s="11" t="e">
        <f t="shared" si="107"/>
        <v>#REF!</v>
      </c>
      <c r="U190" s="11" t="e">
        <f t="shared" si="107"/>
        <v>#REF!</v>
      </c>
      <c r="V190" s="11" t="e">
        <f t="shared" si="107"/>
        <v>#REF!</v>
      </c>
      <c r="W190" s="11" t="e">
        <f t="shared" si="107"/>
        <v>#REF!</v>
      </c>
      <c r="X190" s="11" t="e">
        <f t="shared" si="107"/>
        <v>#REF!</v>
      </c>
      <c r="Y190" s="11" t="e">
        <f t="shared" si="107"/>
        <v>#REF!</v>
      </c>
      <c r="Z190" s="11" t="e">
        <f t="shared" si="107"/>
        <v>#REF!</v>
      </c>
    </row>
    <row r="191" spans="17:31" ht="19.5" customHeight="1">
      <c r="Q191" s="661"/>
      <c r="R191" s="2" t="s">
        <v>518</v>
      </c>
      <c r="S191" s="11" t="e">
        <f t="shared" ref="S191:U193" si="108">C126</f>
        <v>#REF!</v>
      </c>
      <c r="T191" s="11" t="e">
        <f t="shared" si="108"/>
        <v>#REF!</v>
      </c>
      <c r="U191" s="11" t="e">
        <f t="shared" si="108"/>
        <v>#REF!</v>
      </c>
      <c r="V191" s="11" t="e">
        <f>#REF!</f>
        <v>#REF!</v>
      </c>
      <c r="W191" s="11" t="e">
        <f t="shared" ref="W191:Z193" si="109">F126</f>
        <v>#REF!</v>
      </c>
      <c r="X191" s="11" t="e">
        <f t="shared" si="109"/>
        <v>#REF!</v>
      </c>
      <c r="Y191" s="11" t="e">
        <f t="shared" si="109"/>
        <v>#REF!</v>
      </c>
      <c r="Z191" s="11" t="e">
        <f t="shared" si="109"/>
        <v>#REF!</v>
      </c>
    </row>
    <row r="192" spans="17:31" ht="19.5" customHeight="1">
      <c r="Q192" s="661"/>
      <c r="R192" s="2" t="s">
        <v>519</v>
      </c>
      <c r="S192" s="11" t="e">
        <f t="shared" si="108"/>
        <v>#REF!</v>
      </c>
      <c r="T192" s="11" t="e">
        <f t="shared" si="108"/>
        <v>#REF!</v>
      </c>
      <c r="U192" s="11" t="e">
        <f t="shared" si="108"/>
        <v>#REF!</v>
      </c>
      <c r="V192" s="11" t="e">
        <f>#REF!</f>
        <v>#REF!</v>
      </c>
      <c r="W192" s="11" t="e">
        <f t="shared" si="109"/>
        <v>#REF!</v>
      </c>
      <c r="X192" s="11" t="e">
        <f t="shared" si="109"/>
        <v>#REF!</v>
      </c>
      <c r="Y192" s="11" t="e">
        <f t="shared" si="109"/>
        <v>#REF!</v>
      </c>
      <c r="Z192" s="11" t="e">
        <f t="shared" si="109"/>
        <v>#REF!</v>
      </c>
    </row>
    <row r="193" spans="17:26" ht="19.5" customHeight="1">
      <c r="Q193" s="661"/>
      <c r="R193" s="2" t="s">
        <v>520</v>
      </c>
      <c r="S193" s="11" t="e">
        <f t="shared" si="108"/>
        <v>#REF!</v>
      </c>
      <c r="T193" s="11" t="e">
        <f t="shared" si="108"/>
        <v>#REF!</v>
      </c>
      <c r="U193" s="11" t="e">
        <f t="shared" si="108"/>
        <v>#REF!</v>
      </c>
      <c r="V193" s="11" t="e">
        <f>#REF!</f>
        <v>#REF!</v>
      </c>
      <c r="W193" s="11" t="e">
        <f t="shared" si="109"/>
        <v>#REF!</v>
      </c>
      <c r="X193" s="11" t="e">
        <f t="shared" si="109"/>
        <v>#REF!</v>
      </c>
      <c r="Y193" s="11" t="e">
        <f t="shared" si="109"/>
        <v>#REF!</v>
      </c>
      <c r="Z193" s="11" t="e">
        <f t="shared" si="109"/>
        <v>#REF!</v>
      </c>
    </row>
    <row r="194" spans="17:26" ht="19.5" customHeight="1">
      <c r="Q194" s="770" t="s">
        <v>527</v>
      </c>
      <c r="R194" s="2" t="s">
        <v>51</v>
      </c>
      <c r="S194" s="11" t="e">
        <f t="shared" ref="S194:Z194" si="110">SUM(S195:S197)</f>
        <v>#REF!</v>
      </c>
      <c r="T194" s="11" t="e">
        <f t="shared" si="110"/>
        <v>#REF!</v>
      </c>
      <c r="U194" s="11" t="e">
        <f t="shared" si="110"/>
        <v>#REF!</v>
      </c>
      <c r="V194" s="11" t="e">
        <f t="shared" si="110"/>
        <v>#REF!</v>
      </c>
      <c r="W194" s="11" t="e">
        <f t="shared" si="110"/>
        <v>#REF!</v>
      </c>
      <c r="X194" s="11" t="e">
        <f t="shared" si="110"/>
        <v>#REF!</v>
      </c>
      <c r="Y194" s="11" t="e">
        <f t="shared" si="110"/>
        <v>#REF!</v>
      </c>
      <c r="Z194" s="11" t="e">
        <f t="shared" si="110"/>
        <v>#REF!</v>
      </c>
    </row>
    <row r="195" spans="17:26" ht="19.5" customHeight="1">
      <c r="Q195" s="770"/>
      <c r="R195" s="2" t="s">
        <v>522</v>
      </c>
      <c r="S195" s="11" t="e">
        <f t="shared" ref="S195:U198" si="111">C130</f>
        <v>#REF!</v>
      </c>
      <c r="T195" s="11" t="e">
        <f t="shared" si="111"/>
        <v>#REF!</v>
      </c>
      <c r="U195" s="11" t="e">
        <f t="shared" si="111"/>
        <v>#REF!</v>
      </c>
      <c r="V195" s="11" t="e">
        <f>#REF!</f>
        <v>#REF!</v>
      </c>
      <c r="W195" s="11" t="e">
        <f t="shared" ref="W195:Z198" si="112">F130</f>
        <v>#REF!</v>
      </c>
      <c r="X195" s="11" t="e">
        <f t="shared" si="112"/>
        <v>#REF!</v>
      </c>
      <c r="Y195" s="11" t="e">
        <f t="shared" si="112"/>
        <v>#REF!</v>
      </c>
      <c r="Z195" s="11" t="e">
        <f t="shared" si="112"/>
        <v>#REF!</v>
      </c>
    </row>
    <row r="196" spans="17:26" ht="19.5" customHeight="1">
      <c r="Q196" s="770"/>
      <c r="R196" s="2" t="s">
        <v>523</v>
      </c>
      <c r="S196" s="11" t="e">
        <f t="shared" si="111"/>
        <v>#REF!</v>
      </c>
      <c r="T196" s="11" t="e">
        <f t="shared" si="111"/>
        <v>#REF!</v>
      </c>
      <c r="U196" s="11" t="e">
        <f t="shared" si="111"/>
        <v>#REF!</v>
      </c>
      <c r="V196" s="11" t="e">
        <f>#REF!</f>
        <v>#REF!</v>
      </c>
      <c r="W196" s="11" t="e">
        <f t="shared" si="112"/>
        <v>#REF!</v>
      </c>
      <c r="X196" s="11" t="e">
        <f t="shared" si="112"/>
        <v>#REF!</v>
      </c>
      <c r="Y196" s="11" t="e">
        <f t="shared" si="112"/>
        <v>#REF!</v>
      </c>
      <c r="Z196" s="11" t="e">
        <f t="shared" si="112"/>
        <v>#REF!</v>
      </c>
    </row>
    <row r="197" spans="17:26" ht="19.5" customHeight="1">
      <c r="Q197" s="770"/>
      <c r="R197" s="2" t="s">
        <v>524</v>
      </c>
      <c r="S197" s="11" t="e">
        <f t="shared" si="111"/>
        <v>#REF!</v>
      </c>
      <c r="T197" s="11" t="e">
        <f t="shared" si="111"/>
        <v>#REF!</v>
      </c>
      <c r="U197" s="11" t="e">
        <f t="shared" si="111"/>
        <v>#REF!</v>
      </c>
      <c r="V197" s="11" t="e">
        <f>#REF!</f>
        <v>#REF!</v>
      </c>
      <c r="W197" s="11" t="e">
        <f t="shared" si="112"/>
        <v>#REF!</v>
      </c>
      <c r="X197" s="11" t="e">
        <f t="shared" si="112"/>
        <v>#REF!</v>
      </c>
      <c r="Y197" s="11" t="e">
        <f t="shared" si="112"/>
        <v>#REF!</v>
      </c>
      <c r="Z197" s="11" t="e">
        <f t="shared" si="112"/>
        <v>#REF!</v>
      </c>
    </row>
    <row r="198" spans="17:26" ht="19.5" customHeight="1">
      <c r="Q198" s="770"/>
      <c r="R198" s="2" t="s">
        <v>693</v>
      </c>
      <c r="S198" s="11" t="e">
        <f t="shared" si="111"/>
        <v>#REF!</v>
      </c>
      <c r="T198" s="11" t="e">
        <f t="shared" si="111"/>
        <v>#REF!</v>
      </c>
      <c r="U198" s="11" t="e">
        <f t="shared" si="111"/>
        <v>#REF!</v>
      </c>
      <c r="V198" s="11" t="e">
        <f>#REF!</f>
        <v>#REF!</v>
      </c>
      <c r="W198" s="11" t="e">
        <f t="shared" si="112"/>
        <v>#REF!</v>
      </c>
      <c r="X198" s="11" t="e">
        <f t="shared" si="112"/>
        <v>#REF!</v>
      </c>
      <c r="Y198" s="11" t="e">
        <f t="shared" si="112"/>
        <v>#REF!</v>
      </c>
      <c r="Z198" s="11" t="e">
        <f t="shared" si="112"/>
        <v>#REF!</v>
      </c>
    </row>
    <row r="199" spans="17:26" ht="19.5" customHeight="1">
      <c r="Q199" s="661" t="s">
        <v>525</v>
      </c>
      <c r="R199" s="2" t="s">
        <v>51</v>
      </c>
      <c r="S199" s="11" t="e">
        <f t="shared" ref="S199:Z199" si="113">SUM(S200:S201)</f>
        <v>#REF!</v>
      </c>
      <c r="T199" s="11" t="e">
        <f t="shared" si="113"/>
        <v>#REF!</v>
      </c>
      <c r="U199" s="11" t="e">
        <f t="shared" si="113"/>
        <v>#REF!</v>
      </c>
      <c r="V199" s="11" t="e">
        <f t="shared" si="113"/>
        <v>#REF!</v>
      </c>
      <c r="W199" s="11" t="e">
        <f t="shared" si="113"/>
        <v>#REF!</v>
      </c>
      <c r="X199" s="11" t="e">
        <f t="shared" si="113"/>
        <v>#REF!</v>
      </c>
      <c r="Y199" s="11" t="e">
        <f t="shared" si="113"/>
        <v>#REF!</v>
      </c>
      <c r="Z199" s="11" t="e">
        <f t="shared" si="113"/>
        <v>#REF!</v>
      </c>
    </row>
    <row r="200" spans="17:26" ht="19.5" customHeight="1">
      <c r="Q200" s="661"/>
      <c r="R200" s="2" t="s">
        <v>528</v>
      </c>
      <c r="S200" s="11" t="e">
        <f t="shared" ref="S200:U202" si="114">C135</f>
        <v>#REF!</v>
      </c>
      <c r="T200" s="11" t="e">
        <f t="shared" si="114"/>
        <v>#REF!</v>
      </c>
      <c r="U200" s="11" t="e">
        <f t="shared" si="114"/>
        <v>#REF!</v>
      </c>
      <c r="V200" s="11" t="e">
        <f>#REF!</f>
        <v>#REF!</v>
      </c>
      <c r="W200" s="11" t="e">
        <f t="shared" ref="W200:Z202" si="115">F135</f>
        <v>#REF!</v>
      </c>
      <c r="X200" s="11" t="e">
        <f t="shared" si="115"/>
        <v>#REF!</v>
      </c>
      <c r="Y200" s="11" t="e">
        <f t="shared" si="115"/>
        <v>#REF!</v>
      </c>
      <c r="Z200" s="11" t="e">
        <f t="shared" si="115"/>
        <v>#REF!</v>
      </c>
    </row>
    <row r="201" spans="17:26" ht="19.5" customHeight="1">
      <c r="Q201" s="661"/>
      <c r="R201" s="2" t="s">
        <v>529</v>
      </c>
      <c r="S201" s="11" t="e">
        <f t="shared" si="114"/>
        <v>#REF!</v>
      </c>
      <c r="T201" s="11" t="e">
        <f t="shared" si="114"/>
        <v>#REF!</v>
      </c>
      <c r="U201" s="11" t="e">
        <f t="shared" si="114"/>
        <v>#REF!</v>
      </c>
      <c r="V201" s="11" t="e">
        <f>#REF!</f>
        <v>#REF!</v>
      </c>
      <c r="W201" s="11" t="e">
        <f t="shared" si="115"/>
        <v>#REF!</v>
      </c>
      <c r="X201" s="11" t="e">
        <f t="shared" si="115"/>
        <v>#REF!</v>
      </c>
      <c r="Y201" s="11" t="e">
        <f t="shared" si="115"/>
        <v>#REF!</v>
      </c>
      <c r="Z201" s="11" t="e">
        <f t="shared" si="115"/>
        <v>#REF!</v>
      </c>
    </row>
    <row r="202" spans="17:26" ht="19.5" customHeight="1">
      <c r="Q202" s="2" t="s">
        <v>530</v>
      </c>
      <c r="R202" s="2" t="s">
        <v>531</v>
      </c>
      <c r="S202" s="11" t="e">
        <f t="shared" si="114"/>
        <v>#REF!</v>
      </c>
      <c r="T202" s="11" t="e">
        <f t="shared" si="114"/>
        <v>#REF!</v>
      </c>
      <c r="U202" s="11" t="e">
        <f t="shared" si="114"/>
        <v>#REF!</v>
      </c>
      <c r="V202" s="11" t="e">
        <f>#REF!</f>
        <v>#REF!</v>
      </c>
      <c r="W202" s="11" t="e">
        <f t="shared" si="115"/>
        <v>#REF!</v>
      </c>
      <c r="X202" s="11" t="e">
        <f t="shared" si="115"/>
        <v>#REF!</v>
      </c>
      <c r="Y202" s="11" t="e">
        <f t="shared" si="115"/>
        <v>#REF!</v>
      </c>
      <c r="Z202" s="11" t="e">
        <f t="shared" si="115"/>
        <v>#REF!</v>
      </c>
    </row>
    <row r="203" spans="17:26" ht="19.5" customHeight="1">
      <c r="Q203" s="2" t="s">
        <v>51</v>
      </c>
      <c r="R203" s="2"/>
      <c r="S203" s="11" t="e">
        <f t="shared" ref="S203:Z203" si="116">S190+S194+S199+S202</f>
        <v>#REF!</v>
      </c>
      <c r="T203" s="11" t="e">
        <f t="shared" si="116"/>
        <v>#REF!</v>
      </c>
      <c r="U203" s="11" t="e">
        <f t="shared" si="116"/>
        <v>#REF!</v>
      </c>
      <c r="V203" s="11" t="e">
        <f t="shared" si="116"/>
        <v>#REF!</v>
      </c>
      <c r="W203" s="11" t="e">
        <f t="shared" si="116"/>
        <v>#REF!</v>
      </c>
      <c r="X203" s="11" t="e">
        <f t="shared" si="116"/>
        <v>#REF!</v>
      </c>
      <c r="Y203" s="11" t="e">
        <f t="shared" si="116"/>
        <v>#REF!</v>
      </c>
      <c r="Z203" s="11" t="e">
        <f t="shared" si="116"/>
        <v>#REF!</v>
      </c>
    </row>
    <row r="204" spans="17:26" ht="19.5" customHeight="1">
      <c r="Q204" s="661" t="s">
        <v>55</v>
      </c>
      <c r="R204" s="661"/>
      <c r="S204" s="661" t="s">
        <v>532</v>
      </c>
      <c r="T204" s="661"/>
      <c r="U204" s="661"/>
      <c r="V204" s="661"/>
      <c r="W204" s="661" t="s">
        <v>536</v>
      </c>
      <c r="X204" s="661"/>
      <c r="Y204" s="661"/>
      <c r="Z204" s="661"/>
    </row>
    <row r="205" spans="17:26" ht="19.5" customHeight="1">
      <c r="Q205" s="661"/>
      <c r="R205" s="661"/>
      <c r="S205" s="2" t="s">
        <v>114</v>
      </c>
      <c r="T205" s="2" t="s">
        <v>115</v>
      </c>
      <c r="U205" s="2" t="s">
        <v>116</v>
      </c>
      <c r="V205" s="2" t="s">
        <v>117</v>
      </c>
      <c r="W205" s="2" t="s">
        <v>114</v>
      </c>
      <c r="X205" s="2" t="s">
        <v>115</v>
      </c>
      <c r="Y205" s="2" t="s">
        <v>116</v>
      </c>
      <c r="Z205" s="2" t="s">
        <v>117</v>
      </c>
    </row>
    <row r="206" spans="17:26" ht="19.5" customHeight="1">
      <c r="Q206" s="770" t="s">
        <v>526</v>
      </c>
      <c r="R206" s="2" t="s">
        <v>51</v>
      </c>
      <c r="S206" s="2"/>
      <c r="T206" s="2"/>
      <c r="U206" s="2"/>
      <c r="V206" s="2"/>
      <c r="W206" s="5" t="e">
        <f>SUM(W207:W209)</f>
        <v>#REF!</v>
      </c>
      <c r="X206" s="5" t="e">
        <f>SUM(X207:X209)</f>
        <v>#REF!</v>
      </c>
      <c r="Y206" s="5" t="e">
        <f>SUM(Y207:Y209)</f>
        <v>#REF!</v>
      </c>
      <c r="Z206" s="5" t="e">
        <f>SUM(Z207:Z209)</f>
        <v>#REF!</v>
      </c>
    </row>
    <row r="207" spans="17:26" ht="19.5" customHeight="1">
      <c r="Q207" s="770"/>
      <c r="R207" s="2" t="s">
        <v>518</v>
      </c>
      <c r="S207" s="2">
        <v>555</v>
      </c>
      <c r="T207" s="2">
        <v>555</v>
      </c>
      <c r="U207" s="2">
        <v>555</v>
      </c>
      <c r="V207" s="2">
        <v>555</v>
      </c>
      <c r="W207" s="5" t="e">
        <f t="shared" ref="W207:Z209" si="117">ROUND(W191*S207/1000,0)</f>
        <v>#REF!</v>
      </c>
      <c r="X207" s="5" t="e">
        <f t="shared" si="117"/>
        <v>#REF!</v>
      </c>
      <c r="Y207" s="5" t="e">
        <f t="shared" si="117"/>
        <v>#REF!</v>
      </c>
      <c r="Z207" s="5" t="e">
        <f t="shared" si="117"/>
        <v>#REF!</v>
      </c>
    </row>
    <row r="208" spans="17:26" ht="19.5" customHeight="1">
      <c r="Q208" s="770"/>
      <c r="R208" s="2" t="s">
        <v>519</v>
      </c>
      <c r="S208" s="2">
        <v>555</v>
      </c>
      <c r="T208" s="2">
        <v>555</v>
      </c>
      <c r="U208" s="2">
        <v>555</v>
      </c>
      <c r="V208" s="2">
        <v>555</v>
      </c>
      <c r="W208" s="5" t="e">
        <f t="shared" si="117"/>
        <v>#REF!</v>
      </c>
      <c r="X208" s="5" t="e">
        <f t="shared" si="117"/>
        <v>#REF!</v>
      </c>
      <c r="Y208" s="5" t="e">
        <f t="shared" si="117"/>
        <v>#REF!</v>
      </c>
      <c r="Z208" s="5" t="e">
        <f t="shared" si="117"/>
        <v>#REF!</v>
      </c>
    </row>
    <row r="209" spans="17:26" ht="19.5" customHeight="1">
      <c r="Q209" s="770"/>
      <c r="R209" s="2" t="s">
        <v>520</v>
      </c>
      <c r="S209" s="2">
        <v>555</v>
      </c>
      <c r="T209" s="2">
        <v>555</v>
      </c>
      <c r="U209" s="2">
        <v>555</v>
      </c>
      <c r="V209" s="2">
        <v>555</v>
      </c>
      <c r="W209" s="5" t="e">
        <f t="shared" si="117"/>
        <v>#REF!</v>
      </c>
      <c r="X209" s="5" t="e">
        <f t="shared" si="117"/>
        <v>#REF!</v>
      </c>
      <c r="Y209" s="5" t="e">
        <f t="shared" si="117"/>
        <v>#REF!</v>
      </c>
      <c r="Z209" s="5" t="e">
        <f t="shared" si="117"/>
        <v>#REF!</v>
      </c>
    </row>
    <row r="210" spans="17:26" ht="19.5" customHeight="1">
      <c r="Q210" s="770" t="s">
        <v>527</v>
      </c>
      <c r="R210" s="2" t="s">
        <v>51</v>
      </c>
      <c r="S210" s="2"/>
      <c r="T210" s="2"/>
      <c r="U210" s="2"/>
      <c r="V210" s="2"/>
      <c r="W210" s="5" t="e">
        <f>SUM(W211:W214)</f>
        <v>#REF!</v>
      </c>
      <c r="X210" s="5" t="e">
        <f>SUM(X211:X214)</f>
        <v>#REF!</v>
      </c>
      <c r="Y210" s="5" t="e">
        <f>SUM(Y211:Y214)</f>
        <v>#REF!</v>
      </c>
      <c r="Z210" s="5" t="e">
        <f>SUM(Z211:Z214)</f>
        <v>#REF!</v>
      </c>
    </row>
    <row r="211" spans="17:26" ht="19.5" customHeight="1">
      <c r="Q211" s="770"/>
      <c r="R211" s="2" t="s">
        <v>522</v>
      </c>
      <c r="S211" s="2">
        <v>555</v>
      </c>
      <c r="T211" s="2">
        <v>555</v>
      </c>
      <c r="U211" s="2">
        <v>555</v>
      </c>
      <c r="V211" s="2">
        <v>555</v>
      </c>
      <c r="W211" s="5" t="e">
        <f t="shared" ref="W211:Z214" si="118">ROUND(W195*S211/1000,0)</f>
        <v>#REF!</v>
      </c>
      <c r="X211" s="5" t="e">
        <f t="shared" si="118"/>
        <v>#REF!</v>
      </c>
      <c r="Y211" s="5" t="e">
        <f t="shared" si="118"/>
        <v>#REF!</v>
      </c>
      <c r="Z211" s="5" t="e">
        <f t="shared" si="118"/>
        <v>#REF!</v>
      </c>
    </row>
    <row r="212" spans="17:26" ht="19.5" customHeight="1">
      <c r="Q212" s="770"/>
      <c r="R212" s="2" t="s">
        <v>523</v>
      </c>
      <c r="S212" s="2">
        <v>555</v>
      </c>
      <c r="T212" s="2">
        <v>555</v>
      </c>
      <c r="U212" s="2">
        <v>555</v>
      </c>
      <c r="V212" s="2">
        <v>555</v>
      </c>
      <c r="W212" s="5" t="e">
        <f t="shared" si="118"/>
        <v>#REF!</v>
      </c>
      <c r="X212" s="5" t="e">
        <f t="shared" si="118"/>
        <v>#REF!</v>
      </c>
      <c r="Y212" s="5" t="e">
        <f t="shared" si="118"/>
        <v>#REF!</v>
      </c>
      <c r="Z212" s="5" t="e">
        <f t="shared" si="118"/>
        <v>#REF!</v>
      </c>
    </row>
    <row r="213" spans="17:26" ht="19.5" customHeight="1">
      <c r="Q213" s="770"/>
      <c r="R213" s="2" t="s">
        <v>524</v>
      </c>
      <c r="S213" s="2">
        <v>555</v>
      </c>
      <c r="T213" s="2">
        <v>555</v>
      </c>
      <c r="U213" s="2">
        <v>555</v>
      </c>
      <c r="V213" s="2">
        <v>555</v>
      </c>
      <c r="W213" s="5" t="e">
        <f t="shared" si="118"/>
        <v>#REF!</v>
      </c>
      <c r="X213" s="5" t="e">
        <f t="shared" si="118"/>
        <v>#REF!</v>
      </c>
      <c r="Y213" s="5" t="e">
        <f t="shared" si="118"/>
        <v>#REF!</v>
      </c>
      <c r="Z213" s="5" t="e">
        <f t="shared" si="118"/>
        <v>#REF!</v>
      </c>
    </row>
    <row r="214" spans="17:26" ht="19.5" customHeight="1">
      <c r="Q214" s="770"/>
      <c r="R214" s="2" t="s">
        <v>693</v>
      </c>
      <c r="S214" s="2">
        <v>555</v>
      </c>
      <c r="T214" s="2">
        <v>555</v>
      </c>
      <c r="U214" s="2">
        <v>555</v>
      </c>
      <c r="V214" s="2">
        <v>555</v>
      </c>
      <c r="W214" s="5" t="e">
        <f t="shared" si="118"/>
        <v>#REF!</v>
      </c>
      <c r="X214" s="5" t="e">
        <f t="shared" si="118"/>
        <v>#REF!</v>
      </c>
      <c r="Y214" s="5" t="e">
        <f t="shared" si="118"/>
        <v>#REF!</v>
      </c>
      <c r="Z214" s="5" t="e">
        <f t="shared" si="118"/>
        <v>#REF!</v>
      </c>
    </row>
    <row r="215" spans="17:26" ht="19.5" customHeight="1">
      <c r="Q215" s="661" t="s">
        <v>525</v>
      </c>
      <c r="R215" s="2" t="s">
        <v>51</v>
      </c>
      <c r="S215" s="2"/>
      <c r="T215" s="2"/>
      <c r="U215" s="2"/>
      <c r="V215" s="2"/>
      <c r="W215" s="5" t="e">
        <f>SUM(W216:W217)</f>
        <v>#REF!</v>
      </c>
      <c r="X215" s="5" t="e">
        <f>SUM(X216:X217)</f>
        <v>#REF!</v>
      </c>
      <c r="Y215" s="5" t="e">
        <f>SUM(Y216:Y217)</f>
        <v>#REF!</v>
      </c>
      <c r="Z215" s="5" t="e">
        <f>SUM(Z216:Z217)</f>
        <v>#REF!</v>
      </c>
    </row>
    <row r="216" spans="17:26" ht="19.5" customHeight="1">
      <c r="Q216" s="661"/>
      <c r="R216" s="2" t="s">
        <v>528</v>
      </c>
      <c r="S216" s="2">
        <v>555</v>
      </c>
      <c r="T216" s="2">
        <v>555</v>
      </c>
      <c r="U216" s="2">
        <v>555</v>
      </c>
      <c r="V216" s="2">
        <v>555</v>
      </c>
      <c r="W216" s="5" t="e">
        <f t="shared" ref="W216:Z218" si="119">ROUND(W200*S216/1000,0)</f>
        <v>#REF!</v>
      </c>
      <c r="X216" s="5" t="e">
        <f t="shared" si="119"/>
        <v>#REF!</v>
      </c>
      <c r="Y216" s="5" t="e">
        <f t="shared" si="119"/>
        <v>#REF!</v>
      </c>
      <c r="Z216" s="5" t="e">
        <f t="shared" si="119"/>
        <v>#REF!</v>
      </c>
    </row>
    <row r="217" spans="17:26" ht="19.5" customHeight="1">
      <c r="Q217" s="661"/>
      <c r="R217" s="2" t="s">
        <v>529</v>
      </c>
      <c r="S217" s="2">
        <v>555</v>
      </c>
      <c r="T217" s="2">
        <v>555</v>
      </c>
      <c r="U217" s="2">
        <v>555</v>
      </c>
      <c r="V217" s="2">
        <v>555</v>
      </c>
      <c r="W217" s="5" t="e">
        <f t="shared" si="119"/>
        <v>#REF!</v>
      </c>
      <c r="X217" s="5" t="e">
        <f t="shared" si="119"/>
        <v>#REF!</v>
      </c>
      <c r="Y217" s="5" t="e">
        <f t="shared" si="119"/>
        <v>#REF!</v>
      </c>
      <c r="Z217" s="5" t="e">
        <f t="shared" si="119"/>
        <v>#REF!</v>
      </c>
    </row>
    <row r="218" spans="17:26" ht="19.5" customHeight="1">
      <c r="Q218" s="2" t="s">
        <v>530</v>
      </c>
      <c r="R218" s="2" t="s">
        <v>531</v>
      </c>
      <c r="S218" s="2">
        <v>555</v>
      </c>
      <c r="T218" s="2">
        <v>555</v>
      </c>
      <c r="U218" s="2">
        <v>555</v>
      </c>
      <c r="V218" s="2">
        <v>555</v>
      </c>
      <c r="W218" s="5" t="e">
        <f t="shared" si="119"/>
        <v>#REF!</v>
      </c>
      <c r="X218" s="5" t="e">
        <f t="shared" si="119"/>
        <v>#REF!</v>
      </c>
      <c r="Y218" s="5" t="e">
        <f t="shared" si="119"/>
        <v>#REF!</v>
      </c>
      <c r="Z218" s="5" t="e">
        <f t="shared" si="119"/>
        <v>#REF!</v>
      </c>
    </row>
    <row r="219" spans="17:26" ht="19.5" customHeight="1">
      <c r="Q219" s="2" t="s">
        <v>51</v>
      </c>
      <c r="R219" s="2"/>
      <c r="S219" s="2"/>
      <c r="T219" s="2"/>
      <c r="U219" s="2"/>
      <c r="V219" s="2"/>
      <c r="W219" s="5" t="e">
        <f>W206+W210+W215+W218</f>
        <v>#REF!</v>
      </c>
      <c r="X219" s="5" t="e">
        <f>X206+X210+X215+X218</f>
        <v>#REF!</v>
      </c>
      <c r="Y219" s="5" t="e">
        <f>Y206+Y210+Y215+Y218</f>
        <v>#REF!</v>
      </c>
      <c r="Z219" s="5" t="e">
        <f>Z206+Z210+Z215+Z218</f>
        <v>#REF!</v>
      </c>
    </row>
    <row r="220" spans="17:26" ht="19.5" customHeight="1"/>
    <row r="221" spans="17:26" ht="19.5" customHeight="1">
      <c r="Q221" s="61" t="s">
        <v>540</v>
      </c>
    </row>
    <row r="222" spans="17:26" ht="19.5" customHeight="1">
      <c r="Q222" s="844" t="s">
        <v>55</v>
      </c>
      <c r="R222" s="845"/>
      <c r="S222" s="671" t="s">
        <v>536</v>
      </c>
      <c r="T222" s="659"/>
      <c r="U222" s="659"/>
      <c r="V222" s="660"/>
      <c r="W222" s="841" t="s">
        <v>74</v>
      </c>
      <c r="X222" s="85"/>
      <c r="Y222" s="85"/>
      <c r="Z222" s="85"/>
    </row>
    <row r="223" spans="17:26" ht="19.5" customHeight="1">
      <c r="Q223" s="846"/>
      <c r="R223" s="847"/>
      <c r="S223" s="2" t="s">
        <v>114</v>
      </c>
      <c r="T223" s="2" t="s">
        <v>115</v>
      </c>
      <c r="U223" s="2" t="s">
        <v>116</v>
      </c>
      <c r="V223" s="2" t="s">
        <v>117</v>
      </c>
      <c r="W223" s="843"/>
      <c r="X223" s="56"/>
      <c r="Y223" s="56"/>
      <c r="Z223" s="56"/>
    </row>
    <row r="224" spans="17:26" ht="19.5" customHeight="1">
      <c r="Q224" s="838" t="s">
        <v>526</v>
      </c>
      <c r="R224" s="2" t="s">
        <v>51</v>
      </c>
      <c r="S224" s="11" t="e">
        <f>SUM(S225:S227)</f>
        <v>#REF!</v>
      </c>
      <c r="T224" s="11" t="e">
        <f>SUM(T225:T227)</f>
        <v>#REF!</v>
      </c>
      <c r="U224" s="11" t="e">
        <f>SUM(U225:U227)</f>
        <v>#REF!</v>
      </c>
      <c r="V224" s="11" t="e">
        <f>SUM(V225:V227)</f>
        <v>#REF!</v>
      </c>
      <c r="W224" s="2"/>
      <c r="X224" s="56"/>
      <c r="Y224" s="14"/>
    </row>
    <row r="225" spans="17:26" ht="19.5" customHeight="1">
      <c r="Q225" s="839"/>
      <c r="R225" s="2" t="s">
        <v>518</v>
      </c>
      <c r="S225" s="11" t="e">
        <f t="shared" ref="S225:V227" si="120">W207+W174+W142+W109+W86+W54+W21</f>
        <v>#REF!</v>
      </c>
      <c r="T225" s="11" t="e">
        <f t="shared" si="120"/>
        <v>#REF!</v>
      </c>
      <c r="U225" s="11" t="e">
        <f t="shared" si="120"/>
        <v>#REF!</v>
      </c>
      <c r="V225" s="11" t="e">
        <f t="shared" si="120"/>
        <v>#REF!</v>
      </c>
      <c r="W225" s="11"/>
      <c r="X225" s="56"/>
      <c r="Y225" s="56"/>
      <c r="Z225" s="56"/>
    </row>
    <row r="226" spans="17:26" ht="19.5" customHeight="1">
      <c r="Q226" s="839"/>
      <c r="R226" s="2" t="s">
        <v>519</v>
      </c>
      <c r="S226" s="11" t="e">
        <f t="shared" si="120"/>
        <v>#REF!</v>
      </c>
      <c r="T226" s="11" t="e">
        <f t="shared" si="120"/>
        <v>#REF!</v>
      </c>
      <c r="U226" s="11" t="e">
        <f t="shared" si="120"/>
        <v>#REF!</v>
      </c>
      <c r="V226" s="11" t="e">
        <f t="shared" si="120"/>
        <v>#REF!</v>
      </c>
      <c r="W226" s="2"/>
      <c r="X226" s="56"/>
      <c r="Y226" s="56"/>
      <c r="Z226" s="56"/>
    </row>
    <row r="227" spans="17:26" ht="19.5" customHeight="1">
      <c r="Q227" s="840"/>
      <c r="R227" s="2" t="s">
        <v>520</v>
      </c>
      <c r="S227" s="11" t="e">
        <f t="shared" si="120"/>
        <v>#REF!</v>
      </c>
      <c r="T227" s="11" t="e">
        <f t="shared" si="120"/>
        <v>#REF!</v>
      </c>
      <c r="U227" s="11" t="e">
        <f t="shared" si="120"/>
        <v>#REF!</v>
      </c>
      <c r="V227" s="11" t="e">
        <f t="shared" si="120"/>
        <v>#REF!</v>
      </c>
      <c r="W227" s="2"/>
      <c r="X227" s="56"/>
      <c r="Y227" s="56"/>
      <c r="Z227" s="56"/>
    </row>
    <row r="228" spans="17:26" ht="19.5" customHeight="1">
      <c r="Q228" s="838" t="s">
        <v>527</v>
      </c>
      <c r="R228" s="2" t="s">
        <v>51</v>
      </c>
      <c r="S228" s="11" t="e">
        <f>SUM(S229:S232)</f>
        <v>#REF!</v>
      </c>
      <c r="T228" s="11" t="e">
        <f>SUM(T229:T232)</f>
        <v>#REF!</v>
      </c>
      <c r="U228" s="11" t="e">
        <f>SUM(U229:U232)</f>
        <v>#REF!</v>
      </c>
      <c r="V228" s="11" t="e">
        <f>SUM(V229:V232)</f>
        <v>#REF!</v>
      </c>
      <c r="W228" s="2"/>
      <c r="X228" s="56"/>
      <c r="Y228" s="56"/>
      <c r="Z228" s="56"/>
    </row>
    <row r="229" spans="17:26" ht="19.5" customHeight="1">
      <c r="Q229" s="839"/>
      <c r="R229" s="2" t="s">
        <v>522</v>
      </c>
      <c r="S229" s="11" t="e">
        <f t="shared" ref="S229:V231" si="121">W211+W178+W146+W90+W58+W25</f>
        <v>#REF!</v>
      </c>
      <c r="T229" s="11" t="e">
        <f t="shared" si="121"/>
        <v>#REF!</v>
      </c>
      <c r="U229" s="11" t="e">
        <f t="shared" si="121"/>
        <v>#REF!</v>
      </c>
      <c r="V229" s="11" t="e">
        <f t="shared" si="121"/>
        <v>#REF!</v>
      </c>
      <c r="W229" s="2"/>
      <c r="X229" s="56"/>
      <c r="Y229" s="56"/>
      <c r="Z229" s="56"/>
    </row>
    <row r="230" spans="17:26" ht="19.5" customHeight="1">
      <c r="Q230" s="839"/>
      <c r="R230" s="2" t="s">
        <v>523</v>
      </c>
      <c r="S230" s="11" t="e">
        <f t="shared" si="121"/>
        <v>#REF!</v>
      </c>
      <c r="T230" s="11" t="e">
        <f t="shared" si="121"/>
        <v>#REF!</v>
      </c>
      <c r="U230" s="11" t="e">
        <f t="shared" si="121"/>
        <v>#REF!</v>
      </c>
      <c r="V230" s="11" t="e">
        <f t="shared" si="121"/>
        <v>#REF!</v>
      </c>
      <c r="W230" s="2"/>
      <c r="X230" s="56"/>
      <c r="Y230" s="56"/>
      <c r="Z230" s="56"/>
    </row>
    <row r="231" spans="17:26" ht="19.5" customHeight="1">
      <c r="Q231" s="839"/>
      <c r="R231" s="2" t="s">
        <v>524</v>
      </c>
      <c r="S231" s="11" t="e">
        <f t="shared" si="121"/>
        <v>#REF!</v>
      </c>
      <c r="T231" s="11" t="e">
        <f t="shared" si="121"/>
        <v>#REF!</v>
      </c>
      <c r="U231" s="11" t="e">
        <f t="shared" si="121"/>
        <v>#REF!</v>
      </c>
      <c r="V231" s="11" t="e">
        <f t="shared" si="121"/>
        <v>#REF!</v>
      </c>
      <c r="W231" s="2"/>
      <c r="X231" s="56"/>
      <c r="Y231" s="56"/>
      <c r="Z231" s="56"/>
    </row>
    <row r="232" spans="17:26" ht="19.5" customHeight="1">
      <c r="Q232" s="840"/>
      <c r="R232" s="2" t="s">
        <v>693</v>
      </c>
      <c r="S232" s="11" t="e">
        <f>W214+W28</f>
        <v>#REF!</v>
      </c>
      <c r="T232" s="11" t="e">
        <f>X214+X28</f>
        <v>#REF!</v>
      </c>
      <c r="U232" s="11" t="e">
        <f>Y214+Y28</f>
        <v>#REF!</v>
      </c>
      <c r="V232" s="11" t="e">
        <f>Z214+Z28</f>
        <v>#REF!</v>
      </c>
      <c r="W232" s="2"/>
      <c r="X232" s="56"/>
      <c r="Y232" s="56"/>
      <c r="Z232" s="56"/>
    </row>
    <row r="233" spans="17:26" ht="19.5" customHeight="1">
      <c r="Q233" s="841" t="s">
        <v>525</v>
      </c>
      <c r="R233" s="2" t="s">
        <v>51</v>
      </c>
      <c r="S233" s="11" t="e">
        <f>SUM(S234:S235)</f>
        <v>#REF!</v>
      </c>
      <c r="T233" s="11" t="e">
        <f>SUM(T234:T235)</f>
        <v>#REF!</v>
      </c>
      <c r="U233" s="11" t="e">
        <f>SUM(U234:U235)</f>
        <v>#REF!</v>
      </c>
      <c r="V233" s="11" t="e">
        <f>SUM(V234:V235)</f>
        <v>#REF!</v>
      </c>
      <c r="W233" s="2"/>
      <c r="X233" s="56"/>
      <c r="Y233" s="56"/>
      <c r="Z233" s="56"/>
    </row>
    <row r="234" spans="17:26" ht="19.5" customHeight="1">
      <c r="Q234" s="842"/>
      <c r="R234" s="2" t="s">
        <v>528</v>
      </c>
      <c r="S234" s="11" t="e">
        <f t="shared" ref="S234:V236" si="122">W216+W182+W150+W94+W62+W30</f>
        <v>#REF!</v>
      </c>
      <c r="T234" s="11" t="e">
        <f t="shared" si="122"/>
        <v>#REF!</v>
      </c>
      <c r="U234" s="11" t="e">
        <f t="shared" si="122"/>
        <v>#REF!</v>
      </c>
      <c r="V234" s="11" t="e">
        <f t="shared" si="122"/>
        <v>#REF!</v>
      </c>
      <c r="W234" s="2"/>
      <c r="X234" s="56"/>
      <c r="Y234" s="56"/>
      <c r="Z234" s="56"/>
    </row>
    <row r="235" spans="17:26" ht="19.5" customHeight="1">
      <c r="Q235" s="843"/>
      <c r="R235" s="2" t="s">
        <v>529</v>
      </c>
      <c r="S235" s="11" t="e">
        <f t="shared" si="122"/>
        <v>#REF!</v>
      </c>
      <c r="T235" s="11" t="e">
        <f t="shared" si="122"/>
        <v>#REF!</v>
      </c>
      <c r="U235" s="11" t="e">
        <f t="shared" si="122"/>
        <v>#REF!</v>
      </c>
      <c r="V235" s="11" t="e">
        <f t="shared" si="122"/>
        <v>#REF!</v>
      </c>
      <c r="W235" s="2"/>
      <c r="X235" s="56"/>
      <c r="Y235" s="56"/>
      <c r="Z235" s="56"/>
    </row>
    <row r="236" spans="17:26" ht="19.5" customHeight="1">
      <c r="Q236" s="2" t="s">
        <v>530</v>
      </c>
      <c r="R236" s="2" t="s">
        <v>531</v>
      </c>
      <c r="S236" s="11" t="e">
        <f t="shared" si="122"/>
        <v>#REF!</v>
      </c>
      <c r="T236" s="11" t="e">
        <f t="shared" si="122"/>
        <v>#REF!</v>
      </c>
      <c r="U236" s="11" t="e">
        <f t="shared" si="122"/>
        <v>#REF!</v>
      </c>
      <c r="V236" s="11" t="e">
        <f t="shared" si="122"/>
        <v>#REF!</v>
      </c>
      <c r="W236" s="2"/>
      <c r="X236" s="56"/>
      <c r="Y236" s="56"/>
      <c r="Z236" s="56"/>
    </row>
    <row r="237" spans="17:26" ht="19.5" customHeight="1">
      <c r="Q237" s="2" t="s">
        <v>51</v>
      </c>
      <c r="R237" s="2"/>
      <c r="S237" s="11" t="e">
        <f>S224+S228+S233+S236</f>
        <v>#REF!</v>
      </c>
      <c r="T237" s="11" t="e">
        <f>T224+T228+T233+T236</f>
        <v>#REF!</v>
      </c>
      <c r="U237" s="11" t="e">
        <f>U224+U228+U233+U236</f>
        <v>#REF!</v>
      </c>
      <c r="V237" s="11" t="e">
        <f>V224+V228+V233+V236</f>
        <v>#REF!</v>
      </c>
      <c r="W237" s="2"/>
      <c r="X237" s="56"/>
      <c r="Y237" s="56"/>
      <c r="Z237" s="56"/>
    </row>
    <row r="238" spans="17:26" ht="23.1" customHeight="1">
      <c r="S238" s="14"/>
      <c r="T238" s="14"/>
      <c r="U238" s="14"/>
      <c r="V238" s="14"/>
    </row>
    <row r="239" spans="17:26" ht="23.1" customHeight="1"/>
    <row r="240" spans="17:26" ht="23.1" customHeight="1"/>
    <row r="241" spans="19:22" ht="24.95" customHeight="1">
      <c r="S241" s="14"/>
      <c r="T241" s="14"/>
      <c r="U241" s="14"/>
      <c r="V241" s="14"/>
    </row>
    <row r="242" spans="19:22" ht="24.95" customHeight="1"/>
    <row r="243" spans="19:22" ht="24.95" customHeight="1"/>
    <row r="244" spans="19:22" ht="24.95" customHeight="1"/>
    <row r="245" spans="19:22" ht="24.95" customHeight="1"/>
    <row r="246" spans="19:22" ht="24.95" customHeight="1"/>
    <row r="247" spans="19:22" ht="24.95" customHeight="1"/>
    <row r="248" spans="19:22" ht="24.95" customHeight="1"/>
    <row r="249" spans="19:22" ht="24.95" customHeight="1"/>
    <row r="250" spans="19:22" ht="24.95" customHeight="1"/>
    <row r="251" spans="19:22" ht="24.95" customHeight="1"/>
    <row r="252" spans="19:22" ht="24.95" customHeight="1"/>
    <row r="253" spans="19:22" ht="24.95" customHeight="1"/>
    <row r="254" spans="19:22" ht="24.95" customHeight="1"/>
    <row r="255" spans="19:22" ht="24.95" customHeight="1"/>
    <row r="256" spans="19:22" ht="24.95" customHeight="1"/>
    <row r="257" ht="24.95" customHeight="1"/>
    <row r="258" ht="24.95" customHeight="1"/>
    <row r="259" ht="24.95" customHeight="1"/>
    <row r="260" ht="24.95" customHeight="1"/>
    <row r="261" ht="24.95" customHeight="1"/>
    <row r="262" ht="24.95" customHeight="1"/>
    <row r="263" ht="24.95" customHeight="1"/>
    <row r="264" ht="24.95" customHeight="1"/>
    <row r="265" ht="24.95" customHeight="1"/>
    <row r="266" ht="24.95" customHeight="1"/>
    <row r="267" ht="24.95" customHeight="1"/>
    <row r="268" ht="24.95" customHeight="1"/>
    <row r="269" ht="24.95" customHeight="1"/>
    <row r="270" ht="24.95" customHeight="1"/>
    <row r="271" ht="24.95" customHeight="1"/>
    <row r="272" ht="24.95" customHeight="1"/>
    <row r="273" ht="24.95" customHeight="1"/>
    <row r="274" ht="24.95" customHeight="1"/>
    <row r="275" ht="24.95" customHeight="1"/>
    <row r="276" ht="24.95" customHeight="1"/>
    <row r="277" ht="24.95" customHeight="1"/>
    <row r="278" ht="24.95" customHeight="1"/>
    <row r="279" ht="24.95" customHeight="1"/>
    <row r="280" ht="24.95" customHeight="1"/>
    <row r="281" ht="24.95" customHeight="1"/>
    <row r="282" ht="24.95" customHeight="1"/>
    <row r="283" ht="24.95" customHeight="1"/>
    <row r="284" ht="24.95" customHeight="1"/>
    <row r="285" ht="24.95" customHeight="1"/>
    <row r="286" ht="24.95" customHeight="1"/>
    <row r="287" ht="24.95" customHeight="1"/>
    <row r="288" ht="24.95" customHeight="1"/>
    <row r="289" ht="24.95" customHeight="1"/>
    <row r="290" ht="24.95" customHeight="1"/>
    <row r="291" ht="24.95" customHeight="1"/>
    <row r="292" ht="24.95" customHeight="1"/>
    <row r="293" ht="24.95" customHeight="1"/>
    <row r="294" ht="24.95" customHeight="1"/>
    <row r="295" ht="24.95" customHeight="1"/>
    <row r="296" ht="24.95" customHeight="1"/>
    <row r="297" ht="24.95" customHeight="1"/>
    <row r="298" ht="24.95" customHeight="1"/>
    <row r="299" ht="24.95" customHeight="1"/>
    <row r="300" ht="24.95" customHeight="1"/>
    <row r="301" ht="24.95" customHeight="1"/>
    <row r="302" ht="24.95" customHeight="1"/>
    <row r="303" ht="24.95" customHeight="1"/>
    <row r="304" ht="24.95" customHeight="1"/>
    <row r="305" ht="24.95" customHeight="1"/>
    <row r="306" ht="24.95" customHeight="1"/>
    <row r="307" ht="24.95" customHeight="1"/>
    <row r="308" ht="24.95" customHeight="1"/>
    <row r="309" ht="24.95" customHeight="1"/>
    <row r="310" ht="24.95" customHeight="1"/>
    <row r="311" ht="24.95" customHeight="1"/>
    <row r="312" ht="24.95" customHeight="1"/>
    <row r="313" ht="24.95" customHeight="1"/>
    <row r="314" ht="24.95" customHeight="1"/>
    <row r="315" ht="24.95" customHeight="1"/>
    <row r="316" ht="24.95" customHeight="1"/>
    <row r="317" ht="24.95" customHeight="1"/>
    <row r="318" ht="24.95" customHeight="1"/>
    <row r="319" ht="24.95" customHeight="1"/>
    <row r="320" ht="24.95" customHeight="1"/>
    <row r="321" ht="24.95" customHeight="1"/>
    <row r="322" ht="24.95" customHeight="1"/>
    <row r="323" ht="24.95" customHeight="1"/>
    <row r="324" ht="24.95" customHeight="1"/>
    <row r="325" ht="24.95" customHeight="1"/>
    <row r="326" ht="24.95" customHeight="1"/>
    <row r="327" ht="24.95" customHeight="1"/>
    <row r="328" ht="24.95" customHeight="1"/>
    <row r="329" ht="24.95" customHeight="1"/>
    <row r="330" ht="24.95" customHeight="1"/>
    <row r="331" ht="24.95" customHeight="1"/>
    <row r="332" ht="24.95" customHeight="1"/>
    <row r="333" ht="24.95" customHeight="1"/>
    <row r="334" ht="24.95" customHeight="1"/>
    <row r="335" ht="24.95" customHeight="1"/>
    <row r="336" ht="24.95" customHeight="1"/>
    <row r="337" ht="24.95" customHeight="1"/>
    <row r="338" ht="24.95" customHeight="1"/>
    <row r="339" ht="24.95" customHeight="1"/>
    <row r="340" ht="24.95" customHeight="1"/>
    <row r="341" ht="24.95" customHeight="1"/>
    <row r="342" ht="24.95" customHeight="1"/>
    <row r="343" ht="24.95" customHeight="1"/>
    <row r="344" ht="24.95" customHeight="1"/>
    <row r="345" ht="24.95" customHeight="1"/>
    <row r="346" ht="24.95" customHeight="1"/>
    <row r="347" ht="24.95" customHeight="1"/>
    <row r="348" ht="24.95" customHeight="1"/>
    <row r="349" ht="24.95" customHeight="1"/>
    <row r="350" ht="24.95" customHeight="1"/>
    <row r="351" ht="24.95" customHeight="1"/>
    <row r="352" ht="24.95" customHeight="1"/>
    <row r="353" ht="24.95" customHeight="1"/>
    <row r="354" ht="24.95" customHeight="1"/>
    <row r="355" ht="24.95" customHeight="1"/>
    <row r="356" ht="24.95" customHeight="1"/>
    <row r="357" ht="24.95" customHeight="1"/>
    <row r="358" ht="24.95" customHeight="1"/>
    <row r="359" ht="24.95" customHeight="1"/>
    <row r="360" ht="24.95" customHeight="1"/>
    <row r="361" ht="24.95" customHeight="1"/>
    <row r="362" ht="24.95" customHeight="1"/>
    <row r="363" ht="24.95" customHeight="1"/>
    <row r="364" ht="24.95" customHeight="1"/>
    <row r="365" ht="24.95" customHeight="1"/>
    <row r="366" ht="24.95" customHeight="1"/>
    <row r="367" ht="24.95" customHeight="1"/>
    <row r="368" ht="24.95" customHeight="1"/>
    <row r="369" ht="24.95" customHeight="1"/>
    <row r="370" ht="24.95" customHeight="1"/>
    <row r="371" ht="24.95" customHeight="1"/>
    <row r="372" ht="24.95" customHeight="1"/>
    <row r="373" ht="24.95" customHeight="1"/>
    <row r="374" ht="24.95" customHeight="1"/>
    <row r="375" ht="24.95" customHeight="1"/>
    <row r="376" ht="24.95" customHeight="1"/>
    <row r="377" ht="24.95" customHeight="1"/>
    <row r="378" ht="24.95" customHeight="1"/>
    <row r="379" ht="24.95" customHeight="1"/>
    <row r="380" ht="24.95" customHeight="1"/>
    <row r="381" ht="24.95" customHeight="1"/>
    <row r="382" ht="24.95" customHeight="1"/>
    <row r="383" ht="24.95" customHeight="1"/>
    <row r="384" ht="24.95" customHeight="1"/>
    <row r="385" ht="24.95" customHeight="1"/>
    <row r="386" ht="24.95" customHeight="1"/>
    <row r="387" ht="24.95" customHeight="1"/>
    <row r="388" ht="24.95" customHeight="1"/>
    <row r="389" ht="24.95" customHeight="1"/>
    <row r="390" ht="24.95" customHeight="1"/>
    <row r="391" ht="24.95" customHeight="1"/>
    <row r="392" ht="24.95" customHeight="1"/>
    <row r="393" ht="24.95" customHeight="1"/>
    <row r="394" ht="24.95" customHeight="1"/>
    <row r="395" ht="24.95" customHeight="1"/>
    <row r="396" ht="24.95" customHeight="1"/>
    <row r="397" ht="24.95" customHeight="1"/>
    <row r="398" ht="24.95" customHeight="1"/>
    <row r="399" ht="24.95" customHeight="1"/>
    <row r="400" ht="24.95" customHeight="1"/>
    <row r="401" ht="24.95" customHeight="1"/>
    <row r="402" ht="24.95" customHeight="1"/>
    <row r="403" ht="24.95" customHeight="1"/>
    <row r="404" ht="24.95" customHeight="1"/>
    <row r="405" ht="24.95" customHeight="1"/>
    <row r="406" ht="24.95" customHeight="1"/>
    <row r="407" ht="24.95" customHeight="1"/>
    <row r="408" ht="24.95" customHeight="1"/>
    <row r="409" ht="24.95" customHeight="1"/>
    <row r="410" ht="24.95" customHeight="1"/>
    <row r="411" ht="24.95" customHeight="1"/>
    <row r="412" ht="24.95" customHeight="1"/>
    <row r="413" ht="24.95" customHeight="1"/>
    <row r="414" ht="24.95" customHeight="1"/>
    <row r="415" ht="24.95" customHeight="1"/>
    <row r="416" ht="24.95" customHeight="1"/>
    <row r="417" ht="24.95" customHeight="1"/>
    <row r="418" ht="24.95" customHeight="1"/>
    <row r="419" ht="24.95" customHeight="1"/>
    <row r="420" ht="24.95" customHeight="1"/>
    <row r="421" ht="24.95" customHeight="1"/>
    <row r="422" ht="24.95" customHeight="1"/>
    <row r="423" ht="24.95" customHeight="1"/>
    <row r="424" ht="24.95" customHeight="1"/>
    <row r="425" ht="24.95" customHeight="1"/>
    <row r="426" ht="24.95" customHeight="1"/>
    <row r="427" ht="24.95" customHeight="1"/>
    <row r="428" ht="24.95" customHeight="1"/>
    <row r="429" ht="24.95" customHeight="1"/>
    <row r="430" ht="24.95" customHeight="1"/>
    <row r="431" ht="24.95" customHeight="1"/>
    <row r="432" ht="24.95" customHeight="1"/>
    <row r="433" ht="24.95" customHeight="1"/>
    <row r="434" ht="24.95" customHeight="1"/>
    <row r="435" ht="24.95" customHeight="1"/>
    <row r="436" ht="24.95" customHeight="1"/>
    <row r="437" ht="24.95" customHeight="1"/>
    <row r="438" ht="24.95" customHeight="1"/>
    <row r="439" ht="24.95" customHeight="1"/>
    <row r="440" ht="24.95" customHeight="1"/>
    <row r="441" ht="24.95" customHeight="1"/>
    <row r="442" ht="24.95" customHeight="1"/>
    <row r="443" ht="24.95" customHeight="1"/>
    <row r="444" ht="24.95" customHeight="1"/>
    <row r="445" ht="24.95" customHeight="1"/>
    <row r="446" ht="24.95" customHeight="1"/>
    <row r="447" ht="24.95" customHeight="1"/>
    <row r="448" ht="24.95" customHeight="1"/>
    <row r="449" ht="24.95" customHeight="1"/>
    <row r="450" ht="24.95" customHeight="1"/>
    <row r="451" ht="24.95" customHeight="1"/>
    <row r="452" ht="24.95" customHeight="1"/>
    <row r="453" ht="24.95" customHeight="1"/>
    <row r="454" ht="24.95" customHeight="1"/>
    <row r="455" ht="24.95" customHeight="1"/>
    <row r="456" ht="24.95" customHeight="1"/>
    <row r="457" ht="24.95" customHeight="1"/>
    <row r="458" ht="24.95" customHeight="1"/>
    <row r="459" ht="24.95" customHeight="1"/>
    <row r="460" ht="24.95" customHeight="1"/>
    <row r="461" ht="24.95" customHeight="1"/>
    <row r="462" ht="24.95" customHeight="1"/>
    <row r="463" ht="24.95" customHeight="1"/>
    <row r="464" ht="24.95" customHeight="1"/>
    <row r="465" ht="24.95" customHeight="1"/>
    <row r="466" ht="24.95" customHeight="1"/>
    <row r="467" ht="24.95" customHeight="1"/>
    <row r="468" ht="24.95" customHeight="1"/>
    <row r="469" ht="24.95" customHeight="1"/>
    <row r="470" ht="24.95" customHeight="1"/>
    <row r="471" ht="24.95" customHeight="1"/>
    <row r="472" ht="24.95" customHeight="1"/>
    <row r="473" ht="24.95" customHeight="1"/>
    <row r="474" ht="24.95" customHeight="1"/>
    <row r="475" ht="24.95" customHeight="1"/>
    <row r="476" ht="24.95" customHeight="1"/>
    <row r="477" ht="24.95" customHeight="1"/>
    <row r="478" ht="24.95" customHeight="1"/>
    <row r="479" ht="24.95" customHeight="1"/>
    <row r="480" ht="24.95" customHeight="1"/>
    <row r="481" ht="24.95" customHeight="1"/>
    <row r="482" ht="24.95" customHeight="1"/>
    <row r="483" ht="24.95" customHeight="1"/>
    <row r="484" ht="24.95" customHeight="1"/>
    <row r="485" ht="24.95" customHeight="1"/>
    <row r="486" ht="24.95" customHeight="1"/>
    <row r="487" ht="24.95" customHeight="1"/>
    <row r="488" ht="24.95" customHeight="1"/>
    <row r="489" ht="24.95" customHeight="1"/>
    <row r="490" ht="24.95" customHeight="1"/>
    <row r="491" ht="24.95" customHeight="1"/>
    <row r="492" ht="24.95" customHeight="1"/>
    <row r="493" ht="24.95" customHeight="1"/>
    <row r="494" ht="24.95" customHeight="1"/>
    <row r="495" ht="24.95" customHeight="1"/>
    <row r="496" ht="24.95" customHeight="1"/>
  </sheetData>
  <mergeCells count="133">
    <mergeCell ref="J109:J112"/>
    <mergeCell ref="L106:O106"/>
    <mergeCell ref="S171:V171"/>
    <mergeCell ref="W171:Z171"/>
    <mergeCell ref="W188:Z188"/>
    <mergeCell ref="Q190:Q193"/>
    <mergeCell ref="W139:Z139"/>
    <mergeCell ref="W156:Z156"/>
    <mergeCell ref="A125:A128"/>
    <mergeCell ref="A129:A133"/>
    <mergeCell ref="S139:V139"/>
    <mergeCell ref="Q141:Q144"/>
    <mergeCell ref="Q145:Q148"/>
    <mergeCell ref="Q149:Q151"/>
    <mergeCell ref="Q153:R153"/>
    <mergeCell ref="Q156:R157"/>
    <mergeCell ref="S156:V156"/>
    <mergeCell ref="A123:B124"/>
    <mergeCell ref="C123:E123"/>
    <mergeCell ref="F123:I123"/>
    <mergeCell ref="Q46:Q48"/>
    <mergeCell ref="Q36:R37"/>
    <mergeCell ref="S36:V36"/>
    <mergeCell ref="Q50:R50"/>
    <mergeCell ref="W68:Z68"/>
    <mergeCell ref="Q70:Q73"/>
    <mergeCell ref="Q74:Q77"/>
    <mergeCell ref="Q78:Q80"/>
    <mergeCell ref="S124:V124"/>
    <mergeCell ref="W124:Z124"/>
    <mergeCell ref="V83:Z83"/>
    <mergeCell ref="V106:Z106"/>
    <mergeCell ref="Q82:R82"/>
    <mergeCell ref="Q124:R125"/>
    <mergeCell ref="Q108:Q111"/>
    <mergeCell ref="S83:U83"/>
    <mergeCell ref="Q83:R84"/>
    <mergeCell ref="Q85:Q88"/>
    <mergeCell ref="Q89:Q92"/>
    <mergeCell ref="Q93:Q95"/>
    <mergeCell ref="Q106:R107"/>
    <mergeCell ref="S106:U106"/>
    <mergeCell ref="Q68:R69"/>
    <mergeCell ref="S68:V68"/>
    <mergeCell ref="J58:J73"/>
    <mergeCell ref="J74:J82"/>
    <mergeCell ref="J84:J86"/>
    <mergeCell ref="J92:J100"/>
    <mergeCell ref="J43:J52"/>
    <mergeCell ref="J55:K56"/>
    <mergeCell ref="L55:O55"/>
    <mergeCell ref="L89:O89"/>
    <mergeCell ref="W2:Z2"/>
    <mergeCell ref="Q4:Q7"/>
    <mergeCell ref="Q13:Q15"/>
    <mergeCell ref="Q33:R33"/>
    <mergeCell ref="S18:V18"/>
    <mergeCell ref="W18:Z18"/>
    <mergeCell ref="Q2:R3"/>
    <mergeCell ref="S2:V2"/>
    <mergeCell ref="Q17:R17"/>
    <mergeCell ref="Q29:Q31"/>
    <mergeCell ref="W36:Z36"/>
    <mergeCell ref="Q18:R19"/>
    <mergeCell ref="Q20:Q23"/>
    <mergeCell ref="S51:V51"/>
    <mergeCell ref="W51:Z51"/>
    <mergeCell ref="Q51:R52"/>
    <mergeCell ref="L2:O2"/>
    <mergeCell ref="J2:K3"/>
    <mergeCell ref="P2:P3"/>
    <mergeCell ref="J4:K4"/>
    <mergeCell ref="A5:A25"/>
    <mergeCell ref="Q8:Q12"/>
    <mergeCell ref="Q24:Q28"/>
    <mergeCell ref="C2:D2"/>
    <mergeCell ref="A4:B4"/>
    <mergeCell ref="A2:B3"/>
    <mergeCell ref="J5:J23"/>
    <mergeCell ref="A26:A41"/>
    <mergeCell ref="E2:H2"/>
    <mergeCell ref="I2:I3"/>
    <mergeCell ref="J40:J42"/>
    <mergeCell ref="Q38:Q41"/>
    <mergeCell ref="Q42:Q45"/>
    <mergeCell ref="A85:A94"/>
    <mergeCell ref="J24:J39"/>
    <mergeCell ref="J89:K90"/>
    <mergeCell ref="A43:A59"/>
    <mergeCell ref="A76:A82"/>
    <mergeCell ref="A83:A84"/>
    <mergeCell ref="Q194:Q198"/>
    <mergeCell ref="A60:A75"/>
    <mergeCell ref="Q53:Q56"/>
    <mergeCell ref="Q57:Q60"/>
    <mergeCell ref="Q61:Q63"/>
    <mergeCell ref="Q65:R65"/>
    <mergeCell ref="Q126:Q129"/>
    <mergeCell ref="Q130:Q133"/>
    <mergeCell ref="Q134:Q136"/>
    <mergeCell ref="Q138:R138"/>
    <mergeCell ref="Q139:R140"/>
    <mergeCell ref="Q158:Q161"/>
    <mergeCell ref="Q162:Q165"/>
    <mergeCell ref="Q166:Q168"/>
    <mergeCell ref="Q170:R170"/>
    <mergeCell ref="Q171:R172"/>
    <mergeCell ref="A134:A136"/>
    <mergeCell ref="J106:K107"/>
    <mergeCell ref="B96:B97"/>
    <mergeCell ref="C96:C97"/>
    <mergeCell ref="H96:H97"/>
    <mergeCell ref="A96:A97"/>
    <mergeCell ref="Q228:Q232"/>
    <mergeCell ref="Q233:Q235"/>
    <mergeCell ref="W204:Z204"/>
    <mergeCell ref="S204:V204"/>
    <mergeCell ref="Q206:Q209"/>
    <mergeCell ref="Q210:Q214"/>
    <mergeCell ref="Q215:Q217"/>
    <mergeCell ref="Q204:R205"/>
    <mergeCell ref="S222:V222"/>
    <mergeCell ref="W222:W223"/>
    <mergeCell ref="Q224:Q227"/>
    <mergeCell ref="J101:J103"/>
    <mergeCell ref="Q199:Q201"/>
    <mergeCell ref="Q222:R223"/>
    <mergeCell ref="Q173:Q176"/>
    <mergeCell ref="Q177:Q180"/>
    <mergeCell ref="Q181:Q183"/>
    <mergeCell ref="Q185:R185"/>
    <mergeCell ref="Q188:R189"/>
    <mergeCell ref="S188:V188"/>
  </mergeCells>
  <phoneticPr fontId="3" type="noConversion"/>
  <printOptions horizontalCentered="1"/>
  <pageMargins left="0.62992125984251968" right="0.55118110236220474" top="0.55118110236220474" bottom="0.59055118110236227" header="0.51181102362204722" footer="0.51181102362204722"/>
  <pageSetup paperSize="9" scale="92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>
  <dimension ref="A1:T376"/>
  <sheetViews>
    <sheetView workbookViewId="0"/>
  </sheetViews>
  <sheetFormatPr defaultRowHeight="12"/>
  <cols>
    <col min="1" max="2" width="11.33203125" style="111" customWidth="1"/>
    <col min="3" max="7" width="10.109375" style="111" customWidth="1"/>
    <col min="8" max="8" width="9.44140625" style="118" customWidth="1"/>
    <col min="9" max="15" width="9.44140625" style="111" customWidth="1"/>
    <col min="16" max="16" width="10.77734375" style="111" customWidth="1"/>
    <col min="17" max="17" width="14.5546875" style="111" customWidth="1"/>
    <col min="18" max="16384" width="8.88671875" style="111"/>
  </cols>
  <sheetData>
    <row r="1" spans="1:19" ht="24.95" customHeight="1">
      <c r="A1" s="92" t="s">
        <v>657</v>
      </c>
    </row>
    <row r="2" spans="1:19" ht="24.95" customHeight="1">
      <c r="A2" s="867" t="s">
        <v>57</v>
      </c>
      <c r="B2" s="867"/>
      <c r="C2" s="112" t="s">
        <v>616</v>
      </c>
      <c r="D2" s="112" t="s">
        <v>618</v>
      </c>
      <c r="E2" s="112" t="s">
        <v>620</v>
      </c>
      <c r="F2" s="112" t="s">
        <v>622</v>
      </c>
      <c r="G2" s="134" t="s">
        <v>73</v>
      </c>
      <c r="H2" s="848" t="s">
        <v>0</v>
      </c>
      <c r="I2" s="848"/>
      <c r="J2" s="848"/>
      <c r="K2" s="117" t="s">
        <v>616</v>
      </c>
      <c r="L2" s="117" t="s">
        <v>618</v>
      </c>
      <c r="M2" s="117" t="s">
        <v>620</v>
      </c>
      <c r="N2" s="117" t="s">
        <v>622</v>
      </c>
      <c r="O2" s="128" t="s">
        <v>30</v>
      </c>
    </row>
    <row r="3" spans="1:19" ht="24.95" customHeight="1">
      <c r="A3" s="866" t="s">
        <v>652</v>
      </c>
      <c r="B3" s="113" t="s">
        <v>59</v>
      </c>
      <c r="C3" s="114">
        <f>SUM(C4:C5)</f>
        <v>37341</v>
      </c>
      <c r="D3" s="114">
        <f>SUM(D4:D5)</f>
        <v>38269</v>
      </c>
      <c r="E3" s="114">
        <f>SUM(E4:E5)</f>
        <v>39116</v>
      </c>
      <c r="F3" s="114">
        <f>SUM(F4:F5)</f>
        <v>39776</v>
      </c>
      <c r="G3" s="135"/>
      <c r="H3" s="849" t="s">
        <v>511</v>
      </c>
      <c r="I3" s="849"/>
      <c r="J3" s="849"/>
      <c r="K3" s="129" t="e">
        <f>K5+K10+K15+K21+K26+K31+K36+K42+K47+K53</f>
        <v>#REF!</v>
      </c>
      <c r="L3" s="129" t="e">
        <f>L5+L10+L15+L21+L26+L31+L36+L42+L47+L53</f>
        <v>#REF!</v>
      </c>
      <c r="M3" s="129" t="e">
        <f>M5+M10+M15+M21+M26+M31+M36+M42+M47+M53</f>
        <v>#REF!</v>
      </c>
      <c r="N3" s="129" t="e">
        <f>N5+N10+N15+N21+N26+N31+N36+N42+N47+N53</f>
        <v>#REF!</v>
      </c>
      <c r="O3" s="128"/>
    </row>
    <row r="4" spans="1:19" ht="24.95" customHeight="1">
      <c r="A4" s="866"/>
      <c r="B4" s="113" t="s">
        <v>60</v>
      </c>
      <c r="C4" s="114">
        <f>급수분배!S5</f>
        <v>36730</v>
      </c>
      <c r="D4" s="114">
        <f>급수분배!T5</f>
        <v>37497</v>
      </c>
      <c r="E4" s="114">
        <f>급수분배!U5</f>
        <v>38344</v>
      </c>
      <c r="F4" s="114">
        <f>급수분배!V5</f>
        <v>39004</v>
      </c>
      <c r="G4" s="135"/>
      <c r="H4" s="851" t="s">
        <v>669</v>
      </c>
      <c r="I4" s="856" t="s">
        <v>15</v>
      </c>
      <c r="J4" s="857"/>
      <c r="K4" s="136" t="e">
        <f>K5+K10+K15</f>
        <v>#REF!</v>
      </c>
      <c r="L4" s="136" t="e">
        <f>L5+L10+L15</f>
        <v>#REF!</v>
      </c>
      <c r="M4" s="136" t="e">
        <f>M5+M10+M15</f>
        <v>#REF!</v>
      </c>
      <c r="N4" s="136" t="e">
        <f>N5+N10+N15</f>
        <v>#REF!</v>
      </c>
      <c r="O4" s="127"/>
    </row>
    <row r="5" spans="1:19" ht="24.95" customHeight="1">
      <c r="A5" s="866"/>
      <c r="B5" s="113" t="s">
        <v>61</v>
      </c>
      <c r="C5" s="113">
        <f>급수분배!S39+급수분배!S71</f>
        <v>611</v>
      </c>
      <c r="D5" s="113">
        <f>급수분배!T39+급수분배!T71</f>
        <v>772</v>
      </c>
      <c r="E5" s="113">
        <f>급수분배!U39+급수분배!U71</f>
        <v>772</v>
      </c>
      <c r="F5" s="113">
        <f>급수분배!V39+급수분배!V71</f>
        <v>772</v>
      </c>
      <c r="G5" s="135"/>
      <c r="H5" s="852"/>
      <c r="I5" s="850" t="s">
        <v>694</v>
      </c>
      <c r="J5" s="128" t="s">
        <v>673</v>
      </c>
      <c r="K5" s="129">
        <f>SUM(K6:K9)</f>
        <v>25339.179</v>
      </c>
      <c r="L5" s="129">
        <f>SUM(L6:L9)</f>
        <v>24080.071428571428</v>
      </c>
      <c r="M5" s="129">
        <f>SUM(M6:M9)</f>
        <v>24401.535714285714</v>
      </c>
      <c r="N5" s="129">
        <f>SUM(N6:N9)</f>
        <v>24697.83870967742</v>
      </c>
      <c r="O5" s="128"/>
    </row>
    <row r="6" spans="1:19" ht="24.95" customHeight="1">
      <c r="A6" s="866" t="s">
        <v>653</v>
      </c>
      <c r="B6" s="113" t="s">
        <v>60</v>
      </c>
      <c r="C6" s="115">
        <v>0.8</v>
      </c>
      <c r="D6" s="115">
        <v>0.85</v>
      </c>
      <c r="E6" s="115">
        <v>0.9</v>
      </c>
      <c r="F6" s="115">
        <v>0.95</v>
      </c>
      <c r="G6" s="135"/>
      <c r="H6" s="852"/>
      <c r="I6" s="850"/>
      <c r="J6" s="128" t="s">
        <v>85</v>
      </c>
      <c r="K6" s="129">
        <f>C17</f>
        <v>18657</v>
      </c>
      <c r="L6" s="129">
        <f>D17</f>
        <v>19554</v>
      </c>
      <c r="M6" s="129">
        <f>E17</f>
        <v>20217</v>
      </c>
      <c r="N6" s="129">
        <f>F17</f>
        <v>20804</v>
      </c>
      <c r="O6" s="128"/>
    </row>
    <row r="7" spans="1:19" ht="24.95" customHeight="1">
      <c r="A7" s="866"/>
      <c r="B7" s="113" t="s">
        <v>61</v>
      </c>
      <c r="C7" s="115">
        <v>1</v>
      </c>
      <c r="D7" s="115">
        <v>1</v>
      </c>
      <c r="E7" s="115">
        <v>1</v>
      </c>
      <c r="F7" s="115">
        <v>1</v>
      </c>
      <c r="G7" s="135"/>
      <c r="H7" s="852"/>
      <c r="I7" s="850"/>
      <c r="J7" s="128" t="s">
        <v>78</v>
      </c>
      <c r="K7" s="129">
        <v>0</v>
      </c>
      <c r="L7" s="129">
        <v>0</v>
      </c>
      <c r="M7" s="129">
        <v>0</v>
      </c>
      <c r="N7" s="129">
        <v>0</v>
      </c>
      <c r="O7" s="128"/>
    </row>
    <row r="8" spans="1:19" ht="24.95" customHeight="1">
      <c r="A8" s="866" t="s">
        <v>654</v>
      </c>
      <c r="B8" s="113" t="s">
        <v>59</v>
      </c>
      <c r="C8" s="114">
        <f>SUM(C9:C10)</f>
        <v>29995</v>
      </c>
      <c r="D8" s="114">
        <f>SUM(D9:D10)</f>
        <v>32644</v>
      </c>
      <c r="E8" s="114">
        <f>SUM(E9:E10)</f>
        <v>35282</v>
      </c>
      <c r="F8" s="114">
        <f>SUM(F9:F10)</f>
        <v>37826</v>
      </c>
      <c r="G8" s="135"/>
      <c r="H8" s="852"/>
      <c r="I8" s="850"/>
      <c r="J8" s="128" t="s">
        <v>80</v>
      </c>
      <c r="K8" s="129">
        <f>관광용수!Q8</f>
        <v>0</v>
      </c>
      <c r="L8" s="129">
        <f>관광용수!R8</f>
        <v>35</v>
      </c>
      <c r="M8" s="129">
        <f>관광용수!S8</f>
        <v>39</v>
      </c>
      <c r="N8" s="129">
        <f>관광용수!T8</f>
        <v>43</v>
      </c>
      <c r="O8" s="128"/>
      <c r="P8" s="137"/>
      <c r="Q8" s="137"/>
      <c r="R8" s="137"/>
      <c r="S8" s="137"/>
    </row>
    <row r="9" spans="1:19" ht="24.95" customHeight="1">
      <c r="A9" s="866"/>
      <c r="B9" s="113" t="s">
        <v>60</v>
      </c>
      <c r="C9" s="114">
        <f t="shared" ref="C9:F10" si="0">ROUND(C4*C6,0)</f>
        <v>29384</v>
      </c>
      <c r="D9" s="114">
        <f t="shared" si="0"/>
        <v>31872</v>
      </c>
      <c r="E9" s="114">
        <f t="shared" si="0"/>
        <v>34510</v>
      </c>
      <c r="F9" s="114">
        <f t="shared" si="0"/>
        <v>37054</v>
      </c>
      <c r="G9" s="135"/>
      <c r="H9" s="852"/>
      <c r="I9" s="850"/>
      <c r="J9" s="128" t="s">
        <v>81</v>
      </c>
      <c r="K9" s="129">
        <f>'군대용수(국방부)'!B5</f>
        <v>6682.1790000000001</v>
      </c>
      <c r="L9" s="129">
        <f>'군대용수(국방부)'!D5</f>
        <v>4491.0714285714284</v>
      </c>
      <c r="M9" s="129">
        <f>'군대용수(국방부)'!E5</f>
        <v>4145.5357142857147</v>
      </c>
      <c r="N9" s="129">
        <f>'군대용수(국방부)'!F5</f>
        <v>3850.8387096774195</v>
      </c>
      <c r="O9" s="128"/>
    </row>
    <row r="10" spans="1:19" ht="24.95" customHeight="1">
      <c r="A10" s="866"/>
      <c r="B10" s="113" t="s">
        <v>61</v>
      </c>
      <c r="C10" s="114">
        <f t="shared" si="0"/>
        <v>611</v>
      </c>
      <c r="D10" s="114">
        <f t="shared" si="0"/>
        <v>772</v>
      </c>
      <c r="E10" s="114">
        <f t="shared" si="0"/>
        <v>772</v>
      </c>
      <c r="F10" s="114">
        <f t="shared" si="0"/>
        <v>772</v>
      </c>
      <c r="G10" s="135"/>
      <c r="H10" s="852"/>
      <c r="I10" s="849" t="s">
        <v>519</v>
      </c>
      <c r="J10" s="128" t="s">
        <v>673</v>
      </c>
      <c r="K10" s="129" t="e">
        <f>SUM(K11:K14)</f>
        <v>#REF!</v>
      </c>
      <c r="L10" s="129" t="e">
        <f>SUM(L11:L14)</f>
        <v>#REF!</v>
      </c>
      <c r="M10" s="129" t="e">
        <f>SUM(M11:M14)</f>
        <v>#REF!</v>
      </c>
      <c r="N10" s="129" t="e">
        <f>SUM(N11:N14)</f>
        <v>#REF!</v>
      </c>
      <c r="O10" s="128"/>
    </row>
    <row r="11" spans="1:19" ht="24.95" customHeight="1">
      <c r="A11" s="866" t="s">
        <v>649</v>
      </c>
      <c r="B11" s="866"/>
      <c r="C11" s="113">
        <v>279</v>
      </c>
      <c r="D11" s="113">
        <v>289</v>
      </c>
      <c r="E11" s="113">
        <v>296</v>
      </c>
      <c r="F11" s="113">
        <v>303</v>
      </c>
      <c r="G11" s="135"/>
      <c r="H11" s="852"/>
      <c r="I11" s="849"/>
      <c r="J11" s="128" t="s">
        <v>85</v>
      </c>
      <c r="K11" s="129">
        <f>C34</f>
        <v>13414</v>
      </c>
      <c r="L11" s="129">
        <f>D34</f>
        <v>13928</v>
      </c>
      <c r="M11" s="129">
        <f>E34</f>
        <v>14349</v>
      </c>
      <c r="N11" s="129">
        <f>F34</f>
        <v>14721</v>
      </c>
      <c r="O11" s="128"/>
    </row>
    <row r="12" spans="1:19" ht="24.95" customHeight="1">
      <c r="A12" s="866" t="s">
        <v>650</v>
      </c>
      <c r="B12" s="866"/>
      <c r="C12" s="115">
        <v>0.65</v>
      </c>
      <c r="D12" s="115">
        <v>0.7</v>
      </c>
      <c r="E12" s="115">
        <v>0.75</v>
      </c>
      <c r="F12" s="115">
        <v>0.8</v>
      </c>
      <c r="G12" s="135"/>
      <c r="H12" s="852"/>
      <c r="I12" s="849"/>
      <c r="J12" s="128" t="s">
        <v>78</v>
      </c>
      <c r="K12" s="129" t="e">
        <f>공업용수!#REF!</f>
        <v>#REF!</v>
      </c>
      <c r="L12" s="129" t="e">
        <f>공업용수!#REF!</f>
        <v>#REF!</v>
      </c>
      <c r="M12" s="129" t="e">
        <f>공업용수!#REF!</f>
        <v>#REF!</v>
      </c>
      <c r="N12" s="129" t="e">
        <f>공업용수!#REF!</f>
        <v>#REF!</v>
      </c>
      <c r="O12" s="128"/>
    </row>
    <row r="13" spans="1:19" ht="24.95" customHeight="1">
      <c r="A13" s="866" t="s">
        <v>651</v>
      </c>
      <c r="B13" s="866"/>
      <c r="C13" s="113">
        <v>1.45</v>
      </c>
      <c r="D13" s="113">
        <v>1.45</v>
      </c>
      <c r="E13" s="113">
        <v>1.45</v>
      </c>
      <c r="F13" s="113">
        <v>1.45</v>
      </c>
      <c r="G13" s="135"/>
      <c r="H13" s="852"/>
      <c r="I13" s="849"/>
      <c r="J13" s="128" t="s">
        <v>80</v>
      </c>
      <c r="K13" s="129">
        <f>관광용수!Q14</f>
        <v>0</v>
      </c>
      <c r="L13" s="129">
        <f>관광용수!R14</f>
        <v>1</v>
      </c>
      <c r="M13" s="129">
        <f>관광용수!S14</f>
        <v>1</v>
      </c>
      <c r="N13" s="129">
        <f>관광용수!T14</f>
        <v>2</v>
      </c>
      <c r="O13" s="128"/>
    </row>
    <row r="14" spans="1:19" ht="24.95" customHeight="1">
      <c r="A14" s="866" t="s">
        <v>655</v>
      </c>
      <c r="B14" s="113" t="s">
        <v>71</v>
      </c>
      <c r="C14" s="113">
        <f>ROUND(C11/C12,0)</f>
        <v>429</v>
      </c>
      <c r="D14" s="113">
        <f>ROUND(D11/D12,0)</f>
        <v>413</v>
      </c>
      <c r="E14" s="113">
        <f>ROUND(E11/E12,0)</f>
        <v>395</v>
      </c>
      <c r="F14" s="113">
        <f>ROUND(F11/F12,0)</f>
        <v>379</v>
      </c>
      <c r="G14" s="135"/>
      <c r="H14" s="852"/>
      <c r="I14" s="849"/>
      <c r="J14" s="128" t="s">
        <v>81</v>
      </c>
      <c r="K14" s="129">
        <f>'군대용수(국방부)'!B7</f>
        <v>6522.6</v>
      </c>
      <c r="L14" s="129">
        <f>'군대용수(국방부)'!D7</f>
        <v>4462.9333333333334</v>
      </c>
      <c r="M14" s="129">
        <f>'군대용수(국방부)'!E7</f>
        <v>4130.7</v>
      </c>
      <c r="N14" s="129">
        <f>'군대용수(국방부)'!F7</f>
        <v>3864.3548387096776</v>
      </c>
      <c r="O14" s="128"/>
    </row>
    <row r="15" spans="1:19" ht="24.95" customHeight="1">
      <c r="A15" s="866"/>
      <c r="B15" s="113" t="s">
        <v>72</v>
      </c>
      <c r="C15" s="113">
        <v>622</v>
      </c>
      <c r="D15" s="113">
        <v>599</v>
      </c>
      <c r="E15" s="113">
        <v>573</v>
      </c>
      <c r="F15" s="113">
        <v>550</v>
      </c>
      <c r="G15" s="135"/>
      <c r="H15" s="852"/>
      <c r="I15" s="849" t="s">
        <v>520</v>
      </c>
      <c r="J15" s="128" t="s">
        <v>673</v>
      </c>
      <c r="K15" s="129">
        <f>SUM(K16:K19)</f>
        <v>13860.194</v>
      </c>
      <c r="L15" s="129">
        <f>SUM(L16:L19)</f>
        <v>12596.225806451614</v>
      </c>
      <c r="M15" s="129">
        <f>SUM(M16:M19)</f>
        <v>12837.645161290322</v>
      </c>
      <c r="N15" s="129">
        <f>SUM(N16:N19)</f>
        <v>13397.451612903225</v>
      </c>
      <c r="O15" s="128"/>
    </row>
    <row r="16" spans="1:19" ht="24.95" customHeight="1">
      <c r="A16" s="866" t="s">
        <v>656</v>
      </c>
      <c r="B16" s="113" t="s">
        <v>71</v>
      </c>
      <c r="C16" s="114">
        <f>ROUND((C8*C14)/1000,0)</f>
        <v>12868</v>
      </c>
      <c r="D16" s="114">
        <f>ROUND((D8*D14)/1000,0)</f>
        <v>13482</v>
      </c>
      <c r="E16" s="114">
        <f>ROUND((E8*E14)/1000,0)</f>
        <v>13936</v>
      </c>
      <c r="F16" s="114">
        <f>ROUND((F8*F14)/1000,0)</f>
        <v>14336</v>
      </c>
      <c r="G16" s="135"/>
      <c r="H16" s="852"/>
      <c r="I16" s="849"/>
      <c r="J16" s="128" t="s">
        <v>85</v>
      </c>
      <c r="K16" s="129">
        <f>C51</f>
        <v>7621</v>
      </c>
      <c r="L16" s="129">
        <f>D51</f>
        <v>8123</v>
      </c>
      <c r="M16" s="129">
        <f>E51</f>
        <v>8674</v>
      </c>
      <c r="N16" s="129">
        <f>F51</f>
        <v>9152</v>
      </c>
      <c r="O16" s="128"/>
    </row>
    <row r="17" spans="1:20" ht="24.95" customHeight="1">
      <c r="A17" s="866"/>
      <c r="B17" s="113" t="s">
        <v>72</v>
      </c>
      <c r="C17" s="114">
        <f>ROUND((C8*C15)/1000,0)</f>
        <v>18657</v>
      </c>
      <c r="D17" s="114">
        <f>ROUND((D8*D15)/1000,0)</f>
        <v>19554</v>
      </c>
      <c r="E17" s="114">
        <f>ROUND((E8*E15)/1000,0)</f>
        <v>20217</v>
      </c>
      <c r="F17" s="114">
        <f>ROUND((F8*F15)/1000,0)</f>
        <v>20804</v>
      </c>
      <c r="G17" s="135"/>
      <c r="H17" s="852"/>
      <c r="I17" s="849"/>
      <c r="J17" s="128" t="s">
        <v>78</v>
      </c>
      <c r="K17" s="129">
        <v>0</v>
      </c>
      <c r="L17" s="129">
        <v>0</v>
      </c>
      <c r="M17" s="129">
        <v>0</v>
      </c>
      <c r="N17" s="129">
        <v>0</v>
      </c>
      <c r="O17" s="128"/>
    </row>
    <row r="18" spans="1:20" ht="24.95" customHeight="1">
      <c r="A18" s="92" t="s">
        <v>658</v>
      </c>
      <c r="H18" s="852"/>
      <c r="I18" s="849"/>
      <c r="J18" s="128" t="s">
        <v>80</v>
      </c>
      <c r="K18" s="129">
        <f>관광용수!Q11</f>
        <v>0</v>
      </c>
      <c r="L18" s="129">
        <f>관광용수!R11</f>
        <v>29</v>
      </c>
      <c r="M18" s="129">
        <f>관광용수!S11</f>
        <v>32</v>
      </c>
      <c r="N18" s="129">
        <f>관광용수!T11</f>
        <v>35</v>
      </c>
      <c r="O18" s="128"/>
    </row>
    <row r="19" spans="1:20" ht="24.95" customHeight="1">
      <c r="A19" s="867" t="s">
        <v>57</v>
      </c>
      <c r="B19" s="867"/>
      <c r="C19" s="112" t="s">
        <v>616</v>
      </c>
      <c r="D19" s="112" t="s">
        <v>618</v>
      </c>
      <c r="E19" s="112" t="s">
        <v>620</v>
      </c>
      <c r="F19" s="112" t="s">
        <v>622</v>
      </c>
      <c r="G19" s="134" t="s">
        <v>73</v>
      </c>
      <c r="H19" s="853"/>
      <c r="I19" s="849"/>
      <c r="J19" s="128" t="s">
        <v>81</v>
      </c>
      <c r="K19" s="129">
        <f>'군대용수(국방부)'!B6</f>
        <v>6239.1940000000004</v>
      </c>
      <c r="L19" s="129">
        <f>'군대용수(국방부)'!D6</f>
        <v>4444.2258064516127</v>
      </c>
      <c r="M19" s="129">
        <f>'군대용수(국방부)'!E6</f>
        <v>4131.6451612903229</v>
      </c>
      <c r="N19" s="129">
        <f>'군대용수(국방부)'!F6</f>
        <v>4210.4516129032254</v>
      </c>
      <c r="O19" s="128"/>
    </row>
    <row r="20" spans="1:20" ht="24.95" customHeight="1">
      <c r="A20" s="866" t="s">
        <v>652</v>
      </c>
      <c r="B20" s="113" t="s">
        <v>59</v>
      </c>
      <c r="C20" s="114">
        <f>SUM(C21:C22)</f>
        <v>26542</v>
      </c>
      <c r="D20" s="114">
        <f>SUM(D21:D22)</f>
        <v>27062</v>
      </c>
      <c r="E20" s="114">
        <f>SUM(E21:E22)</f>
        <v>27640</v>
      </c>
      <c r="F20" s="114">
        <f>SUM(F21:F22)</f>
        <v>28086</v>
      </c>
      <c r="G20" s="135"/>
      <c r="H20" s="851" t="s">
        <v>670</v>
      </c>
      <c r="I20" s="856" t="s">
        <v>15</v>
      </c>
      <c r="J20" s="857"/>
      <c r="K20" s="136">
        <f>K21+K26+K31+K36</f>
        <v>41625.42</v>
      </c>
      <c r="L20" s="136">
        <f>L21+L26+L31+L36</f>
        <v>34523.023655913981</v>
      </c>
      <c r="M20" s="136">
        <f>M21+M26+M31+M36</f>
        <v>36346.304301075266</v>
      </c>
      <c r="N20" s="136">
        <f>N21+N26+N31+N36</f>
        <v>37375.193548387098</v>
      </c>
      <c r="O20" s="127"/>
    </row>
    <row r="21" spans="1:20" ht="24.95" customHeight="1">
      <c r="A21" s="866"/>
      <c r="B21" s="113" t="s">
        <v>60</v>
      </c>
      <c r="C21" s="114">
        <f>급수분배!S6</f>
        <v>24879</v>
      </c>
      <c r="D21" s="114">
        <f>급수분배!T6</f>
        <v>25399</v>
      </c>
      <c r="E21" s="114">
        <f>급수분배!U6</f>
        <v>25977</v>
      </c>
      <c r="F21" s="114">
        <f>급수분배!V6</f>
        <v>26423</v>
      </c>
      <c r="G21" s="135"/>
      <c r="H21" s="854"/>
      <c r="I21" s="849" t="s">
        <v>522</v>
      </c>
      <c r="J21" s="128" t="s">
        <v>673</v>
      </c>
      <c r="K21" s="129">
        <f>SUM(K22:K25)</f>
        <v>16415.832999999999</v>
      </c>
      <c r="L21" s="129">
        <f>SUM(L22:L25)</f>
        <v>14700.866666666667</v>
      </c>
      <c r="M21" s="129">
        <f>SUM(M22:M25)</f>
        <v>15570</v>
      </c>
      <c r="N21" s="129">
        <f>SUM(N22:N25)</f>
        <v>16110.516129032258</v>
      </c>
      <c r="O21" s="128"/>
    </row>
    <row r="22" spans="1:20" ht="24.95" customHeight="1">
      <c r="A22" s="866"/>
      <c r="B22" s="113" t="s">
        <v>61</v>
      </c>
      <c r="C22" s="116">
        <f>급수분배!S40+급수분배!S72</f>
        <v>1663</v>
      </c>
      <c r="D22" s="116">
        <f>급수분배!T40+급수분배!T72</f>
        <v>1663</v>
      </c>
      <c r="E22" s="116">
        <f>급수분배!U40+급수분배!U72</f>
        <v>1663</v>
      </c>
      <c r="F22" s="116">
        <f>급수분배!V40+급수분배!V72</f>
        <v>1663</v>
      </c>
      <c r="G22" s="135"/>
      <c r="H22" s="854"/>
      <c r="I22" s="849"/>
      <c r="J22" s="128" t="s">
        <v>85</v>
      </c>
      <c r="K22" s="129">
        <f>C68</f>
        <v>9711</v>
      </c>
      <c r="L22" s="129">
        <f>D68</f>
        <v>10361</v>
      </c>
      <c r="M22" s="129">
        <f>E68</f>
        <v>11079</v>
      </c>
      <c r="N22" s="129">
        <f>F68</f>
        <v>11700</v>
      </c>
      <c r="O22" s="128"/>
    </row>
    <row r="23" spans="1:20" ht="24.95" customHeight="1">
      <c r="A23" s="866" t="s">
        <v>653</v>
      </c>
      <c r="B23" s="113" t="s">
        <v>60</v>
      </c>
      <c r="C23" s="115">
        <v>0.8</v>
      </c>
      <c r="D23" s="115">
        <v>0.85</v>
      </c>
      <c r="E23" s="115">
        <v>0.9</v>
      </c>
      <c r="F23" s="115">
        <v>0.95</v>
      </c>
      <c r="G23" s="135"/>
      <c r="H23" s="854"/>
      <c r="I23" s="849"/>
      <c r="J23" s="128" t="s">
        <v>78</v>
      </c>
      <c r="K23" s="129">
        <v>0</v>
      </c>
      <c r="L23" s="129">
        <v>0</v>
      </c>
      <c r="M23" s="129">
        <v>0</v>
      </c>
      <c r="N23" s="129">
        <v>0</v>
      </c>
      <c r="O23" s="128"/>
    </row>
    <row r="24" spans="1:20" ht="24.95" customHeight="1">
      <c r="A24" s="866"/>
      <c r="B24" s="113" t="s">
        <v>61</v>
      </c>
      <c r="C24" s="115">
        <v>1</v>
      </c>
      <c r="D24" s="115">
        <v>1</v>
      </c>
      <c r="E24" s="115">
        <v>1</v>
      </c>
      <c r="F24" s="115">
        <v>1</v>
      </c>
      <c r="G24" s="135"/>
      <c r="H24" s="854"/>
      <c r="I24" s="849"/>
      <c r="J24" s="128" t="s">
        <v>80</v>
      </c>
      <c r="K24" s="129">
        <f>관광용수!Q20</f>
        <v>0</v>
      </c>
      <c r="L24" s="129">
        <f>관광용수!R20</f>
        <v>0</v>
      </c>
      <c r="M24" s="129">
        <f>관광용수!S20</f>
        <v>0</v>
      </c>
      <c r="N24" s="129">
        <f>관광용수!T20</f>
        <v>0</v>
      </c>
      <c r="O24" s="128"/>
      <c r="Q24" s="137"/>
      <c r="R24" s="137"/>
      <c r="S24" s="137"/>
      <c r="T24" s="137"/>
    </row>
    <row r="25" spans="1:20" ht="24.95" customHeight="1">
      <c r="A25" s="866" t="s">
        <v>654</v>
      </c>
      <c r="B25" s="113" t="s">
        <v>59</v>
      </c>
      <c r="C25" s="114">
        <f>SUM(C26:C27)</f>
        <v>21566</v>
      </c>
      <c r="D25" s="114">
        <f>SUM(D26:D27)</f>
        <v>23252</v>
      </c>
      <c r="E25" s="114">
        <f>SUM(E26:E27)</f>
        <v>25042</v>
      </c>
      <c r="F25" s="114">
        <f>SUM(F26:F27)</f>
        <v>26765</v>
      </c>
      <c r="G25" s="135"/>
      <c r="H25" s="854"/>
      <c r="I25" s="849"/>
      <c r="J25" s="128" t="s">
        <v>81</v>
      </c>
      <c r="K25" s="129">
        <f>'군대용수(국방부)'!B9</f>
        <v>6704.8329999999996</v>
      </c>
      <c r="L25" s="129">
        <f>'군대용수(국방부)'!D9</f>
        <v>4339.8666666666668</v>
      </c>
      <c r="M25" s="129">
        <f>'군대용수(국방부)'!E9</f>
        <v>4491</v>
      </c>
      <c r="N25" s="129">
        <f>'군대용수(국방부)'!F9</f>
        <v>4410.5161290322585</v>
      </c>
      <c r="O25" s="128"/>
      <c r="Q25" s="137"/>
      <c r="R25" s="137"/>
      <c r="S25" s="137"/>
      <c r="T25" s="137"/>
    </row>
    <row r="26" spans="1:20" ht="24.95" customHeight="1">
      <c r="A26" s="866"/>
      <c r="B26" s="113" t="s">
        <v>60</v>
      </c>
      <c r="C26" s="114">
        <f t="shared" ref="C26:F27" si="1">ROUND(C21*C23,0)</f>
        <v>19903</v>
      </c>
      <c r="D26" s="114">
        <f t="shared" si="1"/>
        <v>21589</v>
      </c>
      <c r="E26" s="114">
        <f t="shared" si="1"/>
        <v>23379</v>
      </c>
      <c r="F26" s="114">
        <f t="shared" si="1"/>
        <v>25102</v>
      </c>
      <c r="G26" s="135"/>
      <c r="H26" s="854"/>
      <c r="I26" s="849" t="s">
        <v>523</v>
      </c>
      <c r="J26" s="128" t="s">
        <v>673</v>
      </c>
      <c r="K26" s="129">
        <f>SUM(K27:K30)</f>
        <v>8242.2579999999998</v>
      </c>
      <c r="L26" s="129">
        <f>SUM(L27:L30)</f>
        <v>6272.3548387096771</v>
      </c>
      <c r="M26" s="129">
        <f>SUM(M27:M30)</f>
        <v>6678</v>
      </c>
      <c r="N26" s="129">
        <f>SUM(N27:N30)</f>
        <v>6700</v>
      </c>
      <c r="O26" s="128"/>
    </row>
    <row r="27" spans="1:20" ht="24.95" customHeight="1">
      <c r="A27" s="866"/>
      <c r="B27" s="113" t="s">
        <v>61</v>
      </c>
      <c r="C27" s="114">
        <f t="shared" si="1"/>
        <v>1663</v>
      </c>
      <c r="D27" s="114">
        <f t="shared" si="1"/>
        <v>1663</v>
      </c>
      <c r="E27" s="114">
        <f t="shared" si="1"/>
        <v>1663</v>
      </c>
      <c r="F27" s="114">
        <f t="shared" si="1"/>
        <v>1663</v>
      </c>
      <c r="G27" s="135"/>
      <c r="H27" s="854"/>
      <c r="I27" s="849"/>
      <c r="J27" s="128" t="s">
        <v>85</v>
      </c>
      <c r="K27" s="129">
        <f>C85</f>
        <v>1132</v>
      </c>
      <c r="L27" s="129">
        <f>D85</f>
        <v>1211</v>
      </c>
      <c r="M27" s="129">
        <f>E85</f>
        <v>1296</v>
      </c>
      <c r="N27" s="129">
        <f>F85</f>
        <v>1371</v>
      </c>
      <c r="O27" s="128"/>
    </row>
    <row r="28" spans="1:20" ht="24.95" customHeight="1">
      <c r="A28" s="866" t="s">
        <v>649</v>
      </c>
      <c r="B28" s="866"/>
      <c r="C28" s="113">
        <v>279</v>
      </c>
      <c r="D28" s="113">
        <v>289</v>
      </c>
      <c r="E28" s="113">
        <v>296</v>
      </c>
      <c r="F28" s="113">
        <v>303</v>
      </c>
      <c r="G28" s="135"/>
      <c r="H28" s="854"/>
      <c r="I28" s="849"/>
      <c r="J28" s="128" t="s">
        <v>78</v>
      </c>
      <c r="K28" s="129">
        <v>0</v>
      </c>
      <c r="L28" s="129">
        <v>0</v>
      </c>
      <c r="M28" s="129">
        <v>0</v>
      </c>
      <c r="N28" s="129">
        <v>0</v>
      </c>
      <c r="O28" s="128"/>
    </row>
    <row r="29" spans="1:20" ht="24.95" customHeight="1">
      <c r="A29" s="866" t="s">
        <v>650</v>
      </c>
      <c r="B29" s="866"/>
      <c r="C29" s="115">
        <v>0.65</v>
      </c>
      <c r="D29" s="115">
        <v>0.7</v>
      </c>
      <c r="E29" s="115">
        <v>0.75</v>
      </c>
      <c r="F29" s="115">
        <v>0.8</v>
      </c>
      <c r="G29" s="135"/>
      <c r="H29" s="854"/>
      <c r="I29" s="849"/>
      <c r="J29" s="128" t="s">
        <v>80</v>
      </c>
      <c r="K29" s="129">
        <v>0</v>
      </c>
      <c r="L29" s="129">
        <v>0</v>
      </c>
      <c r="M29" s="129">
        <v>0</v>
      </c>
      <c r="N29" s="129">
        <v>0</v>
      </c>
      <c r="O29" s="128"/>
    </row>
    <row r="30" spans="1:20" ht="24.95" customHeight="1">
      <c r="A30" s="866" t="s">
        <v>651</v>
      </c>
      <c r="B30" s="866"/>
      <c r="C30" s="113">
        <v>1.45</v>
      </c>
      <c r="D30" s="113">
        <v>1.45</v>
      </c>
      <c r="E30" s="113">
        <v>1.45</v>
      </c>
      <c r="F30" s="113">
        <v>1.45</v>
      </c>
      <c r="G30" s="135"/>
      <c r="H30" s="854"/>
      <c r="I30" s="849"/>
      <c r="J30" s="128" t="s">
        <v>81</v>
      </c>
      <c r="K30" s="129">
        <f>'군대용수(국방부)'!B10</f>
        <v>7110.2579999999998</v>
      </c>
      <c r="L30" s="129">
        <f>'군대용수(국방부)'!D10</f>
        <v>5061.3548387096771</v>
      </c>
      <c r="M30" s="129">
        <f>'군대용수(국방부)'!E10</f>
        <v>5382</v>
      </c>
      <c r="N30" s="129">
        <f>'군대용수(국방부)'!F10</f>
        <v>5329</v>
      </c>
      <c r="O30" s="128"/>
    </row>
    <row r="31" spans="1:20" ht="24.95" customHeight="1">
      <c r="A31" s="866" t="s">
        <v>655</v>
      </c>
      <c r="B31" s="113" t="s">
        <v>71</v>
      </c>
      <c r="C31" s="113">
        <f>ROUND(C28/C29,0)</f>
        <v>429</v>
      </c>
      <c r="D31" s="113">
        <f>ROUND(D28/D29,0)</f>
        <v>413</v>
      </c>
      <c r="E31" s="113">
        <f>ROUND(E28/E29,0)</f>
        <v>395</v>
      </c>
      <c r="F31" s="113">
        <f>ROUND(F28/F29,0)</f>
        <v>379</v>
      </c>
      <c r="G31" s="135"/>
      <c r="H31" s="854"/>
      <c r="I31" s="849" t="s">
        <v>524</v>
      </c>
      <c r="J31" s="128" t="s">
        <v>673</v>
      </c>
      <c r="K31" s="129">
        <f>SUM(K32:K35)</f>
        <v>8905.1290000000008</v>
      </c>
      <c r="L31" s="129">
        <f>SUM(L32:L35)</f>
        <v>7880.9354838709678</v>
      </c>
      <c r="M31" s="129">
        <f>SUM(M32:M35)</f>
        <v>8083.8709677419356</v>
      </c>
      <c r="N31" s="129">
        <f>SUM(N32:N35)</f>
        <v>8555.1935483870966</v>
      </c>
      <c r="O31" s="128"/>
    </row>
    <row r="32" spans="1:20" ht="24.95" customHeight="1">
      <c r="A32" s="866"/>
      <c r="B32" s="113" t="s">
        <v>72</v>
      </c>
      <c r="C32" s="113">
        <v>622</v>
      </c>
      <c r="D32" s="113">
        <v>599</v>
      </c>
      <c r="E32" s="113">
        <v>573</v>
      </c>
      <c r="F32" s="113">
        <v>550</v>
      </c>
      <c r="G32" s="135"/>
      <c r="H32" s="854"/>
      <c r="I32" s="849"/>
      <c r="J32" s="128" t="s">
        <v>85</v>
      </c>
      <c r="K32" s="129">
        <f>C102</f>
        <v>2509</v>
      </c>
      <c r="L32" s="129">
        <f>D102</f>
        <v>2635</v>
      </c>
      <c r="M32" s="129">
        <f>E102</f>
        <v>2775</v>
      </c>
      <c r="N32" s="129">
        <f>F102</f>
        <v>2895</v>
      </c>
      <c r="O32" s="128"/>
    </row>
    <row r="33" spans="1:15" ht="24.95" customHeight="1">
      <c r="A33" s="866" t="s">
        <v>656</v>
      </c>
      <c r="B33" s="113" t="s">
        <v>71</v>
      </c>
      <c r="C33" s="114">
        <f>ROUND((C25*C31)/1000,0)</f>
        <v>9252</v>
      </c>
      <c r="D33" s="114">
        <f>ROUND((D25*D31)/1000,0)</f>
        <v>9603</v>
      </c>
      <c r="E33" s="114">
        <f>ROUND((E25*E31)/1000,0)</f>
        <v>9892</v>
      </c>
      <c r="F33" s="114">
        <f>ROUND((F25*F31)/1000,0)</f>
        <v>10144</v>
      </c>
      <c r="G33" s="135"/>
      <c r="H33" s="854"/>
      <c r="I33" s="849"/>
      <c r="J33" s="128" t="s">
        <v>78</v>
      </c>
      <c r="K33" s="129">
        <v>0</v>
      </c>
      <c r="L33" s="129">
        <v>0</v>
      </c>
      <c r="M33" s="129">
        <v>0</v>
      </c>
      <c r="N33" s="129">
        <v>0</v>
      </c>
      <c r="O33" s="128"/>
    </row>
    <row r="34" spans="1:15" ht="24.95" customHeight="1">
      <c r="A34" s="866"/>
      <c r="B34" s="113" t="s">
        <v>72</v>
      </c>
      <c r="C34" s="114">
        <f>ROUND((C25*C32)/1000,0)</f>
        <v>13414</v>
      </c>
      <c r="D34" s="114">
        <f>ROUND((D25*D32)/1000,0)</f>
        <v>13928</v>
      </c>
      <c r="E34" s="114">
        <f>ROUND((E25*E32)/1000,0)</f>
        <v>14349</v>
      </c>
      <c r="F34" s="114">
        <f>ROUND((F25*F32)/1000,0)</f>
        <v>14721</v>
      </c>
      <c r="G34" s="135"/>
      <c r="H34" s="854"/>
      <c r="I34" s="849"/>
      <c r="J34" s="128" t="s">
        <v>80</v>
      </c>
      <c r="K34" s="129">
        <f>관광용수!Q26</f>
        <v>0</v>
      </c>
      <c r="L34" s="129">
        <f>관광용수!R26</f>
        <v>3</v>
      </c>
      <c r="M34" s="129">
        <f>관광용수!S26</f>
        <v>3</v>
      </c>
      <c r="N34" s="129">
        <f>관광용수!T26</f>
        <v>3</v>
      </c>
      <c r="O34" s="128"/>
    </row>
    <row r="35" spans="1:15" ht="24.95" customHeight="1">
      <c r="A35" s="92" t="s">
        <v>659</v>
      </c>
      <c r="H35" s="854"/>
      <c r="I35" s="849"/>
      <c r="J35" s="128" t="s">
        <v>81</v>
      </c>
      <c r="K35" s="129">
        <f>'군대용수(국방부)'!B11</f>
        <v>6396.1289999999999</v>
      </c>
      <c r="L35" s="129">
        <f>'군대용수(국방부)'!D11</f>
        <v>5242.9354838709678</v>
      </c>
      <c r="M35" s="129">
        <f>'군대용수(국방부)'!E11</f>
        <v>5305.8709677419356</v>
      </c>
      <c r="N35" s="129">
        <f>'군대용수(국방부)'!F11</f>
        <v>5657.1935483870966</v>
      </c>
      <c r="O35" s="128"/>
    </row>
    <row r="36" spans="1:15" ht="24.95" customHeight="1">
      <c r="A36" s="867" t="s">
        <v>57</v>
      </c>
      <c r="B36" s="867"/>
      <c r="C36" s="112" t="s">
        <v>616</v>
      </c>
      <c r="D36" s="112" t="s">
        <v>618</v>
      </c>
      <c r="E36" s="112" t="s">
        <v>620</v>
      </c>
      <c r="F36" s="112" t="s">
        <v>622</v>
      </c>
      <c r="G36" s="134" t="s">
        <v>73</v>
      </c>
      <c r="H36" s="854"/>
      <c r="I36" s="849" t="s">
        <v>648</v>
      </c>
      <c r="J36" s="128" t="s">
        <v>673</v>
      </c>
      <c r="K36" s="129">
        <f>SUM(K37:K40)</f>
        <v>8062.2</v>
      </c>
      <c r="L36" s="129">
        <f>SUM(L37:L40)</f>
        <v>5668.8666666666668</v>
      </c>
      <c r="M36" s="129">
        <f>SUM(M37:M40)</f>
        <v>6014.4333333333334</v>
      </c>
      <c r="N36" s="129">
        <f>SUM(N37:N40)</f>
        <v>6009.4838709677415</v>
      </c>
      <c r="O36" s="128"/>
    </row>
    <row r="37" spans="1:15" ht="24.95" customHeight="1">
      <c r="A37" s="866" t="s">
        <v>652</v>
      </c>
      <c r="B37" s="113" t="s">
        <v>59</v>
      </c>
      <c r="C37" s="114">
        <f>SUM(C38:C39)</f>
        <v>17285</v>
      </c>
      <c r="D37" s="114">
        <f>SUM(D38:D39)</f>
        <v>17638</v>
      </c>
      <c r="E37" s="114">
        <f>SUM(E38:E39)</f>
        <v>18023</v>
      </c>
      <c r="F37" s="114">
        <f>SUM(F38:F39)</f>
        <v>18323</v>
      </c>
      <c r="G37" s="135"/>
      <c r="H37" s="854"/>
      <c r="I37" s="849"/>
      <c r="J37" s="128" t="s">
        <v>85</v>
      </c>
      <c r="K37" s="129">
        <f>C119</f>
        <v>897</v>
      </c>
      <c r="L37" s="129">
        <f>D119</f>
        <v>958</v>
      </c>
      <c r="M37" s="129">
        <f>E119</f>
        <v>1026</v>
      </c>
      <c r="N37" s="129">
        <f>F119</f>
        <v>1085</v>
      </c>
      <c r="O37" s="128"/>
    </row>
    <row r="38" spans="1:15" ht="24.95" customHeight="1">
      <c r="A38" s="866"/>
      <c r="B38" s="113" t="s">
        <v>60</v>
      </c>
      <c r="C38" s="114">
        <f>급수분배!S7</f>
        <v>16765</v>
      </c>
      <c r="D38" s="114">
        <f>급수분배!T7</f>
        <v>17118</v>
      </c>
      <c r="E38" s="114">
        <f>급수분배!U7</f>
        <v>17503</v>
      </c>
      <c r="F38" s="114">
        <f>급수분배!V7</f>
        <v>17803</v>
      </c>
      <c r="G38" s="135"/>
      <c r="H38" s="854"/>
      <c r="I38" s="849"/>
      <c r="J38" s="128" t="s">
        <v>78</v>
      </c>
      <c r="K38" s="129">
        <v>0</v>
      </c>
      <c r="L38" s="129">
        <v>0</v>
      </c>
      <c r="M38" s="129">
        <v>0</v>
      </c>
      <c r="N38" s="129">
        <v>0</v>
      </c>
      <c r="O38" s="128"/>
    </row>
    <row r="39" spans="1:15" ht="24.95" customHeight="1">
      <c r="A39" s="866"/>
      <c r="B39" s="113" t="s">
        <v>61</v>
      </c>
      <c r="C39" s="113">
        <f>급수분배!S41+급수분배!S73</f>
        <v>520</v>
      </c>
      <c r="D39" s="113">
        <f>급수분배!T41+급수분배!T73</f>
        <v>520</v>
      </c>
      <c r="E39" s="113">
        <f>급수분배!U41+급수분배!U73</f>
        <v>520</v>
      </c>
      <c r="F39" s="113">
        <f>급수분배!V41+급수분배!V73</f>
        <v>520</v>
      </c>
      <c r="G39" s="135"/>
      <c r="H39" s="854"/>
      <c r="I39" s="849"/>
      <c r="J39" s="128" t="s">
        <v>80</v>
      </c>
      <c r="K39" s="129">
        <v>0</v>
      </c>
      <c r="L39" s="129">
        <v>0</v>
      </c>
      <c r="M39" s="129">
        <v>0</v>
      </c>
      <c r="N39" s="129">
        <v>0</v>
      </c>
      <c r="O39" s="128"/>
    </row>
    <row r="40" spans="1:15" ht="24.95" customHeight="1">
      <c r="A40" s="866" t="s">
        <v>653</v>
      </c>
      <c r="B40" s="113" t="s">
        <v>60</v>
      </c>
      <c r="C40" s="115">
        <v>0.8</v>
      </c>
      <c r="D40" s="115">
        <v>0.85</v>
      </c>
      <c r="E40" s="115">
        <v>0.9</v>
      </c>
      <c r="F40" s="115">
        <v>0.95</v>
      </c>
      <c r="G40" s="135"/>
      <c r="H40" s="855"/>
      <c r="I40" s="849"/>
      <c r="J40" s="128" t="s">
        <v>81</v>
      </c>
      <c r="K40" s="129">
        <f>'군대용수(국방부)'!B12</f>
        <v>7165.2</v>
      </c>
      <c r="L40" s="129">
        <f>'군대용수(국방부)'!D12</f>
        <v>4710.8666666666668</v>
      </c>
      <c r="M40" s="129">
        <f>'군대용수(국방부)'!E12</f>
        <v>4988.4333333333334</v>
      </c>
      <c r="N40" s="129">
        <f>'군대용수(국방부)'!F12</f>
        <v>4924.4838709677415</v>
      </c>
      <c r="O40" s="128"/>
    </row>
    <row r="41" spans="1:15" ht="24.95" customHeight="1">
      <c r="A41" s="866"/>
      <c r="B41" s="113" t="s">
        <v>61</v>
      </c>
      <c r="C41" s="115">
        <v>1</v>
      </c>
      <c r="D41" s="115">
        <v>1</v>
      </c>
      <c r="E41" s="115">
        <v>1</v>
      </c>
      <c r="F41" s="115">
        <v>1</v>
      </c>
      <c r="G41" s="135"/>
      <c r="H41" s="865" t="s">
        <v>671</v>
      </c>
      <c r="I41" s="856" t="s">
        <v>15</v>
      </c>
      <c r="J41" s="857"/>
      <c r="K41" s="136">
        <f>K42+K47</f>
        <v>17591.355</v>
      </c>
      <c r="L41" s="136">
        <f>L42+L47</f>
        <v>15889.225806451614</v>
      </c>
      <c r="M41" s="136">
        <f>M42+M47</f>
        <v>16330.322580645159</v>
      </c>
      <c r="N41" s="136">
        <f>N42+N47</f>
        <v>16411.419354838712</v>
      </c>
      <c r="O41" s="127"/>
    </row>
    <row r="42" spans="1:15" ht="24.95" customHeight="1">
      <c r="A42" s="866" t="s">
        <v>654</v>
      </c>
      <c r="B42" s="113" t="s">
        <v>59</v>
      </c>
      <c r="C42" s="114">
        <f>SUM(C43:C44)</f>
        <v>13932</v>
      </c>
      <c r="D42" s="114">
        <f>SUM(D43:D44)</f>
        <v>15070</v>
      </c>
      <c r="E42" s="114">
        <f>SUM(E43:E44)</f>
        <v>16273</v>
      </c>
      <c r="F42" s="114">
        <f>SUM(F43:F44)</f>
        <v>17433</v>
      </c>
      <c r="G42" s="135"/>
      <c r="H42" s="852"/>
      <c r="I42" s="850" t="s">
        <v>695</v>
      </c>
      <c r="J42" s="128" t="s">
        <v>673</v>
      </c>
      <c r="K42" s="129">
        <f>SUM(K43:K46)</f>
        <v>9522.4840000000004</v>
      </c>
      <c r="L42" s="129">
        <f>SUM(L43:L46)</f>
        <v>7750.0322580645161</v>
      </c>
      <c r="M42" s="129">
        <f>SUM(M43:M46)</f>
        <v>7920.2903225806449</v>
      </c>
      <c r="N42" s="129">
        <f>SUM(N43:N46)</f>
        <v>7992.5806451612907</v>
      </c>
      <c r="O42" s="128"/>
    </row>
    <row r="43" spans="1:15" ht="24.95" customHeight="1">
      <c r="A43" s="866"/>
      <c r="B43" s="113" t="s">
        <v>60</v>
      </c>
      <c r="C43" s="114">
        <f t="shared" ref="C43:F44" si="2">ROUND(C38*C40,0)</f>
        <v>13412</v>
      </c>
      <c r="D43" s="114">
        <f t="shared" si="2"/>
        <v>14550</v>
      </c>
      <c r="E43" s="114">
        <f t="shared" si="2"/>
        <v>15753</v>
      </c>
      <c r="F43" s="114">
        <f t="shared" si="2"/>
        <v>16913</v>
      </c>
      <c r="G43" s="135"/>
      <c r="H43" s="852"/>
      <c r="I43" s="850"/>
      <c r="J43" s="128" t="s">
        <v>85</v>
      </c>
      <c r="K43" s="129">
        <f>C136</f>
        <v>3027</v>
      </c>
      <c r="L43" s="129">
        <f>D136</f>
        <v>3229</v>
      </c>
      <c r="M43" s="129">
        <f>E136</f>
        <v>3451</v>
      </c>
      <c r="N43" s="129">
        <f>F136</f>
        <v>3644</v>
      </c>
      <c r="O43" s="128"/>
    </row>
    <row r="44" spans="1:15" ht="24.95" customHeight="1">
      <c r="A44" s="866"/>
      <c r="B44" s="113" t="s">
        <v>61</v>
      </c>
      <c r="C44" s="114">
        <f t="shared" si="2"/>
        <v>520</v>
      </c>
      <c r="D44" s="114">
        <f t="shared" si="2"/>
        <v>520</v>
      </c>
      <c r="E44" s="114">
        <f t="shared" si="2"/>
        <v>520</v>
      </c>
      <c r="F44" s="114">
        <f t="shared" si="2"/>
        <v>520</v>
      </c>
      <c r="G44" s="135"/>
      <c r="H44" s="852"/>
      <c r="I44" s="850"/>
      <c r="J44" s="128" t="s">
        <v>78</v>
      </c>
      <c r="K44" s="129">
        <v>0</v>
      </c>
      <c r="L44" s="129">
        <v>0</v>
      </c>
      <c r="M44" s="129">
        <v>0</v>
      </c>
      <c r="N44" s="129">
        <v>0</v>
      </c>
      <c r="O44" s="128"/>
    </row>
    <row r="45" spans="1:15" ht="24.95" customHeight="1">
      <c r="A45" s="866" t="s">
        <v>649</v>
      </c>
      <c r="B45" s="866"/>
      <c r="C45" s="113">
        <v>235</v>
      </c>
      <c r="D45" s="113">
        <v>250</v>
      </c>
      <c r="E45" s="113">
        <v>265</v>
      </c>
      <c r="F45" s="113">
        <v>278</v>
      </c>
      <c r="G45" s="135"/>
      <c r="H45" s="852"/>
      <c r="I45" s="850"/>
      <c r="J45" s="128" t="s">
        <v>80</v>
      </c>
      <c r="K45" s="129">
        <f>관광용수!Q23</f>
        <v>0</v>
      </c>
      <c r="L45" s="129">
        <f>관광용수!R23</f>
        <v>1</v>
      </c>
      <c r="M45" s="129">
        <f>관광용수!S23</f>
        <v>1</v>
      </c>
      <c r="N45" s="129">
        <f>관광용수!T23</f>
        <v>1</v>
      </c>
      <c r="O45" s="128"/>
    </row>
    <row r="46" spans="1:15" ht="24.95" customHeight="1">
      <c r="A46" s="866" t="s">
        <v>650</v>
      </c>
      <c r="B46" s="866"/>
      <c r="C46" s="115">
        <v>0.65</v>
      </c>
      <c r="D46" s="115">
        <v>0.7</v>
      </c>
      <c r="E46" s="115">
        <v>0.75</v>
      </c>
      <c r="F46" s="115">
        <v>0.8</v>
      </c>
      <c r="G46" s="135"/>
      <c r="H46" s="852"/>
      <c r="I46" s="850"/>
      <c r="J46" s="128" t="s">
        <v>81</v>
      </c>
      <c r="K46" s="129">
        <f>'군대용수(국방부)'!B13</f>
        <v>6495.4840000000004</v>
      </c>
      <c r="L46" s="129">
        <f>'군대용수(국방부)'!D13</f>
        <v>4520.0322580645161</v>
      </c>
      <c r="M46" s="129">
        <f>'군대용수(국방부)'!E13</f>
        <v>4468.2903225806449</v>
      </c>
      <c r="N46" s="129">
        <f>'군대용수(국방부)'!F13</f>
        <v>4347.5806451612907</v>
      </c>
      <c r="O46" s="128"/>
    </row>
    <row r="47" spans="1:15" ht="24.95" customHeight="1">
      <c r="A47" s="866" t="s">
        <v>651</v>
      </c>
      <c r="B47" s="866"/>
      <c r="C47" s="113">
        <v>1.51</v>
      </c>
      <c r="D47" s="113">
        <v>1.51</v>
      </c>
      <c r="E47" s="113">
        <v>1.51</v>
      </c>
      <c r="F47" s="113">
        <v>1.51</v>
      </c>
      <c r="G47" s="135"/>
      <c r="H47" s="852"/>
      <c r="I47" s="849" t="s">
        <v>529</v>
      </c>
      <c r="J47" s="128" t="s">
        <v>673</v>
      </c>
      <c r="K47" s="129">
        <f>SUM(K48:K51)</f>
        <v>8068.8710000000001</v>
      </c>
      <c r="L47" s="129">
        <f>SUM(L48:L51)</f>
        <v>8139.1935483870966</v>
      </c>
      <c r="M47" s="129">
        <f>SUM(M48:M51)</f>
        <v>8410.0322580645152</v>
      </c>
      <c r="N47" s="129">
        <f>SUM(N48:N51)</f>
        <v>8418.8387096774204</v>
      </c>
      <c r="O47" s="128"/>
    </row>
    <row r="48" spans="1:15" ht="24.95" customHeight="1">
      <c r="A48" s="866" t="s">
        <v>655</v>
      </c>
      <c r="B48" s="113" t="s">
        <v>71</v>
      </c>
      <c r="C48" s="113">
        <f>ROUND(C45/C46,0)</f>
        <v>362</v>
      </c>
      <c r="D48" s="113">
        <f>ROUND(D45/D46,0)</f>
        <v>357</v>
      </c>
      <c r="E48" s="113">
        <f>ROUND(E45/E46,0)</f>
        <v>353</v>
      </c>
      <c r="F48" s="113">
        <f>ROUND(F45/F46,0)</f>
        <v>348</v>
      </c>
      <c r="G48" s="135"/>
      <c r="H48" s="852"/>
      <c r="I48" s="849"/>
      <c r="J48" s="128" t="s">
        <v>85</v>
      </c>
      <c r="K48" s="129">
        <f>C153</f>
        <v>3774</v>
      </c>
      <c r="L48" s="129">
        <f>D153</f>
        <v>4035</v>
      </c>
      <c r="M48" s="129">
        <f>E153</f>
        <v>4322</v>
      </c>
      <c r="N48" s="129">
        <f>F153</f>
        <v>4568</v>
      </c>
      <c r="O48" s="128"/>
    </row>
    <row r="49" spans="1:15" ht="24.95" customHeight="1">
      <c r="A49" s="866"/>
      <c r="B49" s="113" t="s">
        <v>72</v>
      </c>
      <c r="C49" s="113">
        <v>547</v>
      </c>
      <c r="D49" s="113">
        <v>539</v>
      </c>
      <c r="E49" s="113">
        <v>533</v>
      </c>
      <c r="F49" s="113">
        <v>525</v>
      </c>
      <c r="G49" s="135"/>
      <c r="H49" s="852"/>
      <c r="I49" s="849"/>
      <c r="J49" s="128" t="s">
        <v>78</v>
      </c>
      <c r="K49" s="129">
        <v>0</v>
      </c>
      <c r="L49" s="129">
        <v>0</v>
      </c>
      <c r="M49" s="129">
        <v>0</v>
      </c>
      <c r="N49" s="129">
        <v>0</v>
      </c>
      <c r="O49" s="128"/>
    </row>
    <row r="50" spans="1:15" ht="24.95" customHeight="1">
      <c r="A50" s="866" t="s">
        <v>656</v>
      </c>
      <c r="B50" s="113" t="s">
        <v>71</v>
      </c>
      <c r="C50" s="114">
        <f>ROUND((C42*C48)/1000,0)</f>
        <v>5043</v>
      </c>
      <c r="D50" s="114">
        <f>ROUND((D42*D48)/1000,0)</f>
        <v>5380</v>
      </c>
      <c r="E50" s="114">
        <f>ROUND((E42*E48)/1000,0)</f>
        <v>5744</v>
      </c>
      <c r="F50" s="114">
        <f>ROUND((F42*F48)/1000,0)</f>
        <v>6067</v>
      </c>
      <c r="G50" s="135"/>
      <c r="H50" s="852"/>
      <c r="I50" s="849"/>
      <c r="J50" s="128" t="s">
        <v>80</v>
      </c>
      <c r="K50" s="129">
        <v>0</v>
      </c>
      <c r="L50" s="129">
        <v>0</v>
      </c>
      <c r="M50" s="129">
        <v>0</v>
      </c>
      <c r="N50" s="129">
        <v>0</v>
      </c>
      <c r="O50" s="128"/>
    </row>
    <row r="51" spans="1:15" ht="24.95" customHeight="1">
      <c r="A51" s="866"/>
      <c r="B51" s="113" t="s">
        <v>72</v>
      </c>
      <c r="C51" s="114">
        <f>ROUND((C42*C49)/1000,0)</f>
        <v>7621</v>
      </c>
      <c r="D51" s="114">
        <f>ROUND((D42*D49)/1000,0)</f>
        <v>8123</v>
      </c>
      <c r="E51" s="114">
        <f>ROUND((E42*E49)/1000,0)</f>
        <v>8674</v>
      </c>
      <c r="F51" s="114">
        <f>ROUND((F42*F49)/1000,0)</f>
        <v>9152</v>
      </c>
      <c r="G51" s="135"/>
      <c r="H51" s="853"/>
      <c r="I51" s="849"/>
      <c r="J51" s="128" t="s">
        <v>81</v>
      </c>
      <c r="K51" s="129">
        <f>'군대용수(국방부)'!B18</f>
        <v>4294.8710000000001</v>
      </c>
      <c r="L51" s="129">
        <f>'군대용수(국방부)'!D18</f>
        <v>4104.1935483870966</v>
      </c>
      <c r="M51" s="129">
        <f>'군대용수(국방부)'!E18</f>
        <v>4088.0322580645161</v>
      </c>
      <c r="N51" s="129">
        <f>'군대용수(국방부)'!F18</f>
        <v>3850.8387096774195</v>
      </c>
      <c r="O51" s="128"/>
    </row>
    <row r="52" spans="1:15" ht="24.95" customHeight="1">
      <c r="A52" s="92" t="s">
        <v>660</v>
      </c>
      <c r="H52" s="865" t="s">
        <v>672</v>
      </c>
      <c r="I52" s="856" t="s">
        <v>15</v>
      </c>
      <c r="J52" s="857"/>
      <c r="K52" s="136">
        <f>K53</f>
        <v>9164.5810000000001</v>
      </c>
      <c r="L52" s="136">
        <f>L53</f>
        <v>7904.0322580645161</v>
      </c>
      <c r="M52" s="136">
        <f>M53</f>
        <v>7658.0645161290322</v>
      </c>
      <c r="N52" s="136">
        <f>N53</f>
        <v>7602.5483870967746</v>
      </c>
      <c r="O52" s="127"/>
    </row>
    <row r="53" spans="1:15" ht="24.95" customHeight="1">
      <c r="A53" s="867" t="s">
        <v>57</v>
      </c>
      <c r="B53" s="867"/>
      <c r="C53" s="112" t="s">
        <v>616</v>
      </c>
      <c r="D53" s="112" t="s">
        <v>618</v>
      </c>
      <c r="E53" s="112" t="s">
        <v>620</v>
      </c>
      <c r="F53" s="112" t="s">
        <v>622</v>
      </c>
      <c r="G53" s="134" t="s">
        <v>73</v>
      </c>
      <c r="H53" s="852"/>
      <c r="I53" s="850" t="s">
        <v>696</v>
      </c>
      <c r="J53" s="128" t="s">
        <v>673</v>
      </c>
      <c r="K53" s="129">
        <f>SUM(K54:K57)</f>
        <v>9164.5810000000001</v>
      </c>
      <c r="L53" s="129">
        <f>SUM(L54:L57)</f>
        <v>7904.0322580645161</v>
      </c>
      <c r="M53" s="129">
        <f>SUM(M54:M57)</f>
        <v>7658.0645161290322</v>
      </c>
      <c r="N53" s="129">
        <f>SUM(N54:N57)</f>
        <v>7602.5483870967746</v>
      </c>
      <c r="O53" s="128"/>
    </row>
    <row r="54" spans="1:15" ht="24.95" customHeight="1">
      <c r="A54" s="866" t="s">
        <v>652</v>
      </c>
      <c r="B54" s="113" t="s">
        <v>59</v>
      </c>
      <c r="C54" s="114">
        <f>SUM(C55:C56)</f>
        <v>22093</v>
      </c>
      <c r="D54" s="114">
        <f>SUM(D55:D56)</f>
        <v>22545</v>
      </c>
      <c r="E54" s="114">
        <f>SUM(E55:E56)</f>
        <v>23051</v>
      </c>
      <c r="F54" s="114">
        <f>SUM(F55:F56)</f>
        <v>23438</v>
      </c>
      <c r="G54" s="135"/>
      <c r="H54" s="852"/>
      <c r="I54" s="850"/>
      <c r="J54" s="128" t="s">
        <v>85</v>
      </c>
      <c r="K54" s="129">
        <f>C170</f>
        <v>2621</v>
      </c>
      <c r="L54" s="129">
        <f>D170</f>
        <v>2800</v>
      </c>
      <c r="M54" s="129">
        <f>E170</f>
        <v>2997</v>
      </c>
      <c r="N54" s="129">
        <f>F170</f>
        <v>3169</v>
      </c>
      <c r="O54" s="128"/>
    </row>
    <row r="55" spans="1:15" ht="24.95" customHeight="1">
      <c r="A55" s="866"/>
      <c r="B55" s="113" t="s">
        <v>60</v>
      </c>
      <c r="C55" s="114">
        <f>급수분배!S9</f>
        <v>21696</v>
      </c>
      <c r="D55" s="114">
        <f>급수분배!T9</f>
        <v>22148</v>
      </c>
      <c r="E55" s="114">
        <f>급수분배!U9</f>
        <v>22654</v>
      </c>
      <c r="F55" s="114">
        <f>급수분배!V9</f>
        <v>23041</v>
      </c>
      <c r="G55" s="135"/>
      <c r="H55" s="852"/>
      <c r="I55" s="850"/>
      <c r="J55" s="128" t="s">
        <v>78</v>
      </c>
      <c r="K55" s="129">
        <v>0</v>
      </c>
      <c r="L55" s="129">
        <v>0</v>
      </c>
      <c r="M55" s="129">
        <v>0</v>
      </c>
      <c r="N55" s="129">
        <v>0</v>
      </c>
      <c r="O55" s="128"/>
    </row>
    <row r="56" spans="1:15" ht="24.95" customHeight="1">
      <c r="A56" s="866"/>
      <c r="B56" s="113" t="s">
        <v>61</v>
      </c>
      <c r="C56" s="113">
        <f>급수분배!S43+급수분배!S75</f>
        <v>397</v>
      </c>
      <c r="D56" s="113">
        <f>급수분배!T43+급수분배!T75</f>
        <v>397</v>
      </c>
      <c r="E56" s="113">
        <f>급수분배!U43+급수분배!U75</f>
        <v>397</v>
      </c>
      <c r="F56" s="113">
        <f>급수분배!V43+급수분배!V75</f>
        <v>397</v>
      </c>
      <c r="G56" s="135"/>
      <c r="H56" s="852"/>
      <c r="I56" s="850"/>
      <c r="J56" s="128" t="s">
        <v>80</v>
      </c>
      <c r="K56" s="129">
        <f>관광용수!Q17</f>
        <v>0</v>
      </c>
      <c r="L56" s="129">
        <f>관광용수!R17</f>
        <v>1</v>
      </c>
      <c r="M56" s="129">
        <f>관광용수!S17</f>
        <v>1</v>
      </c>
      <c r="N56" s="129">
        <f>관광용수!T17</f>
        <v>1</v>
      </c>
      <c r="O56" s="128"/>
    </row>
    <row r="57" spans="1:15" ht="24.95" customHeight="1">
      <c r="A57" s="866" t="s">
        <v>653</v>
      </c>
      <c r="B57" s="113" t="s">
        <v>60</v>
      </c>
      <c r="C57" s="115">
        <v>0.8</v>
      </c>
      <c r="D57" s="115">
        <v>0.85</v>
      </c>
      <c r="E57" s="115">
        <v>0.9</v>
      </c>
      <c r="F57" s="115">
        <v>0.95</v>
      </c>
      <c r="G57" s="135"/>
      <c r="H57" s="853"/>
      <c r="I57" s="850"/>
      <c r="J57" s="128" t="s">
        <v>81</v>
      </c>
      <c r="K57" s="129">
        <f>'군대용수(국방부)'!B8</f>
        <v>6543.5810000000001</v>
      </c>
      <c r="L57" s="129">
        <f>'군대용수(국방부)'!D8</f>
        <v>5103.0322580645161</v>
      </c>
      <c r="M57" s="129">
        <f>'군대용수(국방부)'!E8</f>
        <v>4660.0645161290322</v>
      </c>
      <c r="N57" s="129">
        <f>'군대용수(국방부)'!F8</f>
        <v>4432.5483870967746</v>
      </c>
      <c r="O57" s="128"/>
    </row>
    <row r="58" spans="1:15" ht="24.95" customHeight="1">
      <c r="A58" s="866"/>
      <c r="B58" s="113" t="s">
        <v>61</v>
      </c>
      <c r="C58" s="115">
        <v>1</v>
      </c>
      <c r="D58" s="115">
        <v>1</v>
      </c>
      <c r="E58" s="115">
        <v>1</v>
      </c>
      <c r="F58" s="115">
        <v>1</v>
      </c>
      <c r="G58" s="113"/>
      <c r="H58" s="132"/>
    </row>
    <row r="59" spans="1:15" ht="24.95" customHeight="1">
      <c r="A59" s="866" t="s">
        <v>654</v>
      </c>
      <c r="B59" s="113" t="s">
        <v>59</v>
      </c>
      <c r="C59" s="114">
        <f>SUM(C60:C61)</f>
        <v>17754</v>
      </c>
      <c r="D59" s="114">
        <f>SUM(D60:D61)</f>
        <v>19223</v>
      </c>
      <c r="E59" s="114">
        <f>SUM(E60:E61)</f>
        <v>20786</v>
      </c>
      <c r="F59" s="114">
        <f>SUM(F60:F61)</f>
        <v>22286</v>
      </c>
      <c r="G59" s="113"/>
      <c r="H59" s="132"/>
    </row>
    <row r="60" spans="1:15" ht="24.95" customHeight="1">
      <c r="A60" s="866"/>
      <c r="B60" s="113" t="s">
        <v>60</v>
      </c>
      <c r="C60" s="114">
        <f t="shared" ref="C60:F61" si="3">ROUND(C55*C57,0)</f>
        <v>17357</v>
      </c>
      <c r="D60" s="114">
        <f t="shared" si="3"/>
        <v>18826</v>
      </c>
      <c r="E60" s="114">
        <f t="shared" si="3"/>
        <v>20389</v>
      </c>
      <c r="F60" s="114">
        <f t="shared" si="3"/>
        <v>21889</v>
      </c>
      <c r="G60" s="113"/>
      <c r="H60" s="132"/>
      <c r="J60" s="128" t="s">
        <v>85</v>
      </c>
      <c r="K60" s="137">
        <f>K54+K48+K43+K37+K32+K27+K22+K16+K11+K6</f>
        <v>63363</v>
      </c>
      <c r="L60" s="137">
        <f>L54+L48+L43+L37+L32+L27+L22+L16+L11+L6</f>
        <v>66834</v>
      </c>
      <c r="M60" s="137">
        <f>M54+M48+M43+M37+M32+M27+M22+M16+M11+M6</f>
        <v>70186</v>
      </c>
      <c r="N60" s="137">
        <f>N54+N48+N43+N37+N32+N27+N22+N16+N11+N6</f>
        <v>73109</v>
      </c>
    </row>
    <row r="61" spans="1:15" ht="24.95" customHeight="1">
      <c r="A61" s="866"/>
      <c r="B61" s="113" t="s">
        <v>61</v>
      </c>
      <c r="C61" s="114">
        <f t="shared" si="3"/>
        <v>397</v>
      </c>
      <c r="D61" s="114">
        <f t="shared" si="3"/>
        <v>397</v>
      </c>
      <c r="E61" s="114">
        <f t="shared" si="3"/>
        <v>397</v>
      </c>
      <c r="F61" s="114">
        <f t="shared" si="3"/>
        <v>397</v>
      </c>
      <c r="G61" s="113"/>
      <c r="H61" s="132"/>
      <c r="J61" s="128" t="s">
        <v>78</v>
      </c>
      <c r="K61" s="137" t="e">
        <f t="shared" ref="K61:N63" si="4">K55+K49+K44+K38+K33+K28+K23+K17+K12+K7</f>
        <v>#REF!</v>
      </c>
      <c r="L61" s="137" t="e">
        <f t="shared" si="4"/>
        <v>#REF!</v>
      </c>
      <c r="M61" s="137" t="e">
        <f t="shared" si="4"/>
        <v>#REF!</v>
      </c>
      <c r="N61" s="137" t="e">
        <f t="shared" si="4"/>
        <v>#REF!</v>
      </c>
    </row>
    <row r="62" spans="1:15" ht="24.95" customHeight="1">
      <c r="A62" s="866" t="s">
        <v>649</v>
      </c>
      <c r="B62" s="866"/>
      <c r="C62" s="113">
        <v>235</v>
      </c>
      <c r="D62" s="113">
        <v>250</v>
      </c>
      <c r="E62" s="113">
        <v>265</v>
      </c>
      <c r="F62" s="113">
        <v>278</v>
      </c>
      <c r="G62" s="113"/>
      <c r="H62" s="132"/>
      <c r="J62" s="128" t="s">
        <v>80</v>
      </c>
      <c r="K62" s="137">
        <f t="shared" si="4"/>
        <v>0</v>
      </c>
      <c r="L62" s="137">
        <f t="shared" si="4"/>
        <v>70</v>
      </c>
      <c r="M62" s="137">
        <f t="shared" si="4"/>
        <v>77</v>
      </c>
      <c r="N62" s="137">
        <f t="shared" si="4"/>
        <v>85</v>
      </c>
    </row>
    <row r="63" spans="1:15" ht="24.95" customHeight="1">
      <c r="A63" s="866" t="s">
        <v>650</v>
      </c>
      <c r="B63" s="866"/>
      <c r="C63" s="115">
        <v>0.65</v>
      </c>
      <c r="D63" s="115">
        <v>0.7</v>
      </c>
      <c r="E63" s="115">
        <v>0.75</v>
      </c>
      <c r="F63" s="115">
        <v>0.8</v>
      </c>
      <c r="G63" s="113"/>
      <c r="H63" s="132"/>
      <c r="J63" s="128" t="s">
        <v>81</v>
      </c>
      <c r="K63" s="137">
        <f t="shared" si="4"/>
        <v>64154.328999999998</v>
      </c>
      <c r="L63" s="137">
        <f t="shared" si="4"/>
        <v>46480.512288786485</v>
      </c>
      <c r="M63" s="137">
        <f t="shared" si="4"/>
        <v>45791.572273425503</v>
      </c>
      <c r="N63" s="137">
        <f t="shared" si="4"/>
        <v>44877.806451612902</v>
      </c>
    </row>
    <row r="64" spans="1:15" ht="24.95" customHeight="1">
      <c r="A64" s="866" t="s">
        <v>651</v>
      </c>
      <c r="B64" s="866"/>
      <c r="C64" s="113">
        <v>1.51</v>
      </c>
      <c r="D64" s="113">
        <v>1.51</v>
      </c>
      <c r="E64" s="113">
        <v>1.51</v>
      </c>
      <c r="F64" s="113">
        <v>1.51</v>
      </c>
      <c r="G64" s="113"/>
      <c r="H64" s="132"/>
      <c r="K64" s="137">
        <f>SUM(K62:K63)</f>
        <v>64154.328999999998</v>
      </c>
      <c r="L64" s="137">
        <f>SUM(L62:L63)</f>
        <v>46550.512288786485</v>
      </c>
      <c r="M64" s="137">
        <f>SUM(M62:M63)</f>
        <v>45868.572273425503</v>
      </c>
      <c r="N64" s="137">
        <f>SUM(N62:N63)</f>
        <v>44962.806451612902</v>
      </c>
    </row>
    <row r="65" spans="1:8" ht="24.95" customHeight="1">
      <c r="A65" s="866" t="s">
        <v>655</v>
      </c>
      <c r="B65" s="113" t="s">
        <v>71</v>
      </c>
      <c r="C65" s="113">
        <f>ROUND(C62/C63,0)</f>
        <v>362</v>
      </c>
      <c r="D65" s="113">
        <f>ROUND(D62/D63,0)</f>
        <v>357</v>
      </c>
      <c r="E65" s="113">
        <f>ROUND(E62/E63,0)</f>
        <v>353</v>
      </c>
      <c r="F65" s="113">
        <f>ROUND(F62/F63,0)</f>
        <v>348</v>
      </c>
      <c r="G65" s="113"/>
      <c r="H65" s="132"/>
    </row>
    <row r="66" spans="1:8" ht="24.95" customHeight="1">
      <c r="A66" s="866"/>
      <c r="B66" s="113" t="s">
        <v>72</v>
      </c>
      <c r="C66" s="113">
        <v>547</v>
      </c>
      <c r="D66" s="113">
        <v>539</v>
      </c>
      <c r="E66" s="113">
        <v>533</v>
      </c>
      <c r="F66" s="113">
        <v>525</v>
      </c>
      <c r="G66" s="113"/>
      <c r="H66" s="132"/>
    </row>
    <row r="67" spans="1:8" ht="24.95" customHeight="1">
      <c r="A67" s="866" t="s">
        <v>656</v>
      </c>
      <c r="B67" s="113" t="s">
        <v>71</v>
      </c>
      <c r="C67" s="114">
        <f>ROUND((C59*C65)/1000,0)</f>
        <v>6427</v>
      </c>
      <c r="D67" s="114">
        <f>ROUND((D59*D65)/1000,0)</f>
        <v>6863</v>
      </c>
      <c r="E67" s="114">
        <f>ROUND((E59*E65)/1000,0)</f>
        <v>7337</v>
      </c>
      <c r="F67" s="114">
        <f>ROUND((F59*F65)/1000,0)</f>
        <v>7756</v>
      </c>
      <c r="G67" s="113"/>
      <c r="H67" s="132"/>
    </row>
    <row r="68" spans="1:8" ht="24.95" customHeight="1">
      <c r="A68" s="866"/>
      <c r="B68" s="113" t="s">
        <v>72</v>
      </c>
      <c r="C68" s="114">
        <f>ROUND((C59*C66)/1000,0)</f>
        <v>9711</v>
      </c>
      <c r="D68" s="114">
        <f>ROUND((D59*D66)/1000,0)</f>
        <v>10361</v>
      </c>
      <c r="E68" s="114">
        <f>ROUND((E59*E66)/1000,0)</f>
        <v>11079</v>
      </c>
      <c r="F68" s="114">
        <f>ROUND((F59*F66)/1000,0)</f>
        <v>11700</v>
      </c>
      <c r="G68" s="113"/>
      <c r="H68" s="132"/>
    </row>
    <row r="69" spans="1:8" ht="24.95" customHeight="1">
      <c r="A69" s="92" t="s">
        <v>661</v>
      </c>
    </row>
    <row r="70" spans="1:8" ht="24.95" customHeight="1">
      <c r="A70" s="867" t="s">
        <v>57</v>
      </c>
      <c r="B70" s="867"/>
      <c r="C70" s="112" t="s">
        <v>616</v>
      </c>
      <c r="D70" s="112" t="s">
        <v>618</v>
      </c>
      <c r="E70" s="112" t="s">
        <v>620</v>
      </c>
      <c r="F70" s="112" t="s">
        <v>622</v>
      </c>
      <c r="G70" s="112" t="s">
        <v>73</v>
      </c>
      <c r="H70" s="119"/>
    </row>
    <row r="71" spans="1:8" ht="24.95" customHeight="1">
      <c r="A71" s="866" t="s">
        <v>652</v>
      </c>
      <c r="B71" s="113" t="s">
        <v>59</v>
      </c>
      <c r="C71" s="114">
        <f>SUM(C72:C73)</f>
        <v>2588</v>
      </c>
      <c r="D71" s="114">
        <f>SUM(D72:D73)</f>
        <v>2642</v>
      </c>
      <c r="E71" s="114">
        <f>SUM(E72:E73)</f>
        <v>2702</v>
      </c>
      <c r="F71" s="114">
        <f>SUM(F72:F73)</f>
        <v>2748</v>
      </c>
      <c r="G71" s="113"/>
      <c r="H71" s="132"/>
    </row>
    <row r="72" spans="1:8" ht="24.95" customHeight="1">
      <c r="A72" s="866"/>
      <c r="B72" s="113" t="s">
        <v>60</v>
      </c>
      <c r="C72" s="114">
        <f>급수분배!S10</f>
        <v>2588</v>
      </c>
      <c r="D72" s="114">
        <f>급수분배!T10</f>
        <v>2642</v>
      </c>
      <c r="E72" s="114">
        <f>급수분배!U10</f>
        <v>2702</v>
      </c>
      <c r="F72" s="114">
        <f>급수분배!V10</f>
        <v>2748</v>
      </c>
      <c r="G72" s="113"/>
      <c r="H72" s="132"/>
    </row>
    <row r="73" spans="1:8" ht="24.95" customHeight="1">
      <c r="A73" s="866"/>
      <c r="B73" s="113" t="s">
        <v>61</v>
      </c>
      <c r="C73" s="113">
        <f>급수분배!S44+급수분배!S76</f>
        <v>0</v>
      </c>
      <c r="D73" s="113">
        <f>급수분배!T44+급수분배!T76</f>
        <v>0</v>
      </c>
      <c r="E73" s="113">
        <f>급수분배!U44+급수분배!U76</f>
        <v>0</v>
      </c>
      <c r="F73" s="113">
        <f>급수분배!V44+급수분배!V76</f>
        <v>0</v>
      </c>
      <c r="G73" s="113"/>
      <c r="H73" s="132"/>
    </row>
    <row r="74" spans="1:8" ht="24.95" customHeight="1">
      <c r="A74" s="866" t="s">
        <v>653</v>
      </c>
      <c r="B74" s="113" t="s">
        <v>60</v>
      </c>
      <c r="C74" s="115">
        <v>0.8</v>
      </c>
      <c r="D74" s="115">
        <v>0.85</v>
      </c>
      <c r="E74" s="115">
        <v>0.9</v>
      </c>
      <c r="F74" s="115">
        <v>0.95</v>
      </c>
      <c r="G74" s="113"/>
      <c r="H74" s="132"/>
    </row>
    <row r="75" spans="1:8" ht="24.95" customHeight="1">
      <c r="A75" s="866"/>
      <c r="B75" s="113" t="s">
        <v>61</v>
      </c>
      <c r="C75" s="115">
        <v>1</v>
      </c>
      <c r="D75" s="115">
        <v>1</v>
      </c>
      <c r="E75" s="115">
        <v>1</v>
      </c>
      <c r="F75" s="115">
        <v>1</v>
      </c>
      <c r="G75" s="113"/>
      <c r="H75" s="132"/>
    </row>
    <row r="76" spans="1:8" ht="24.95" customHeight="1">
      <c r="A76" s="866" t="s">
        <v>654</v>
      </c>
      <c r="B76" s="113" t="s">
        <v>59</v>
      </c>
      <c r="C76" s="114">
        <f>SUM(C77:C78)</f>
        <v>2070</v>
      </c>
      <c r="D76" s="114">
        <f>SUM(D77:D78)</f>
        <v>2246</v>
      </c>
      <c r="E76" s="114">
        <f>SUM(E77:E78)</f>
        <v>2432</v>
      </c>
      <c r="F76" s="114">
        <f>SUM(F77:F78)</f>
        <v>2611</v>
      </c>
      <c r="G76" s="113"/>
      <c r="H76" s="132"/>
    </row>
    <row r="77" spans="1:8" ht="24.95" customHeight="1">
      <c r="A77" s="866"/>
      <c r="B77" s="113" t="s">
        <v>60</v>
      </c>
      <c r="C77" s="114">
        <f t="shared" ref="C77:F78" si="5">ROUND(C72*C74,0)</f>
        <v>2070</v>
      </c>
      <c r="D77" s="114">
        <f t="shared" si="5"/>
        <v>2246</v>
      </c>
      <c r="E77" s="114">
        <f t="shared" si="5"/>
        <v>2432</v>
      </c>
      <c r="F77" s="114">
        <f t="shared" si="5"/>
        <v>2611</v>
      </c>
      <c r="G77" s="113"/>
      <c r="H77" s="132"/>
    </row>
    <row r="78" spans="1:8" ht="24.95" customHeight="1">
      <c r="A78" s="866"/>
      <c r="B78" s="113" t="s">
        <v>61</v>
      </c>
      <c r="C78" s="114">
        <f t="shared" si="5"/>
        <v>0</v>
      </c>
      <c r="D78" s="114">
        <f t="shared" si="5"/>
        <v>0</v>
      </c>
      <c r="E78" s="114">
        <f t="shared" si="5"/>
        <v>0</v>
      </c>
      <c r="F78" s="114">
        <f t="shared" si="5"/>
        <v>0</v>
      </c>
      <c r="G78" s="113"/>
      <c r="H78" s="132"/>
    </row>
    <row r="79" spans="1:8" ht="24.95" customHeight="1">
      <c r="A79" s="866" t="s">
        <v>649</v>
      </c>
      <c r="B79" s="866"/>
      <c r="C79" s="113">
        <v>235</v>
      </c>
      <c r="D79" s="113">
        <v>250</v>
      </c>
      <c r="E79" s="113">
        <v>265</v>
      </c>
      <c r="F79" s="113">
        <v>278</v>
      </c>
      <c r="G79" s="113"/>
      <c r="H79" s="132"/>
    </row>
    <row r="80" spans="1:8" ht="24.95" customHeight="1">
      <c r="A80" s="866" t="s">
        <v>650</v>
      </c>
      <c r="B80" s="866"/>
      <c r="C80" s="115">
        <v>0.65</v>
      </c>
      <c r="D80" s="115">
        <v>0.7</v>
      </c>
      <c r="E80" s="115">
        <v>0.75</v>
      </c>
      <c r="F80" s="115">
        <v>0.8</v>
      </c>
      <c r="G80" s="113"/>
      <c r="H80" s="132"/>
    </row>
    <row r="81" spans="1:8" ht="24.95" customHeight="1">
      <c r="A81" s="866" t="s">
        <v>651</v>
      </c>
      <c r="B81" s="866"/>
      <c r="C81" s="113">
        <v>1.51</v>
      </c>
      <c r="D81" s="113">
        <v>1.51</v>
      </c>
      <c r="E81" s="113">
        <v>1.51</v>
      </c>
      <c r="F81" s="113">
        <v>1.51</v>
      </c>
      <c r="G81" s="113"/>
      <c r="H81" s="132"/>
    </row>
    <row r="82" spans="1:8" ht="24.95" customHeight="1">
      <c r="A82" s="866" t="s">
        <v>655</v>
      </c>
      <c r="B82" s="113" t="s">
        <v>71</v>
      </c>
      <c r="C82" s="113">
        <f>ROUND(C79/C80,0)</f>
        <v>362</v>
      </c>
      <c r="D82" s="113">
        <f>ROUND(D79/D80,0)</f>
        <v>357</v>
      </c>
      <c r="E82" s="113">
        <f>ROUND(E79/E80,0)</f>
        <v>353</v>
      </c>
      <c r="F82" s="113">
        <f>ROUND(F79/F80,0)</f>
        <v>348</v>
      </c>
      <c r="G82" s="113"/>
      <c r="H82" s="132"/>
    </row>
    <row r="83" spans="1:8" ht="24.95" customHeight="1">
      <c r="A83" s="866"/>
      <c r="B83" s="113" t="s">
        <v>72</v>
      </c>
      <c r="C83" s="113">
        <v>547</v>
      </c>
      <c r="D83" s="113">
        <v>539</v>
      </c>
      <c r="E83" s="113">
        <v>533</v>
      </c>
      <c r="F83" s="113">
        <v>525</v>
      </c>
      <c r="G83" s="113"/>
      <c r="H83" s="132"/>
    </row>
    <row r="84" spans="1:8" ht="24.95" customHeight="1">
      <c r="A84" s="866" t="s">
        <v>656</v>
      </c>
      <c r="B84" s="113" t="s">
        <v>71</v>
      </c>
      <c r="C84" s="114">
        <f>ROUND((C76*C82)/1000,0)</f>
        <v>749</v>
      </c>
      <c r="D84" s="114">
        <f>ROUND((D76*D82)/1000,0)</f>
        <v>802</v>
      </c>
      <c r="E84" s="114">
        <f>ROUND((E76*E82)/1000,0)</f>
        <v>858</v>
      </c>
      <c r="F84" s="114">
        <f>ROUND((F76*F82)/1000,0)</f>
        <v>909</v>
      </c>
      <c r="G84" s="113"/>
      <c r="H84" s="132"/>
    </row>
    <row r="85" spans="1:8" ht="24.95" customHeight="1">
      <c r="A85" s="866"/>
      <c r="B85" s="113" t="s">
        <v>72</v>
      </c>
      <c r="C85" s="114">
        <f>ROUND((C76*C83)/1000,0)</f>
        <v>1132</v>
      </c>
      <c r="D85" s="114">
        <f>ROUND((D76*D83)/1000,0)</f>
        <v>1211</v>
      </c>
      <c r="E85" s="114">
        <f>ROUND((E76*E83)/1000,0)</f>
        <v>1296</v>
      </c>
      <c r="F85" s="114">
        <f>ROUND((F76*F83)/1000,0)</f>
        <v>1371</v>
      </c>
      <c r="G85" s="113"/>
      <c r="H85" s="132"/>
    </row>
    <row r="86" spans="1:8" ht="24.95" customHeight="1">
      <c r="A86" s="92" t="s">
        <v>662</v>
      </c>
    </row>
    <row r="87" spans="1:8" ht="24.95" customHeight="1">
      <c r="A87" s="867" t="s">
        <v>57</v>
      </c>
      <c r="B87" s="867"/>
      <c r="C87" s="112" t="s">
        <v>616</v>
      </c>
      <c r="D87" s="112" t="s">
        <v>618</v>
      </c>
      <c r="E87" s="112" t="s">
        <v>620</v>
      </c>
      <c r="F87" s="112" t="s">
        <v>622</v>
      </c>
      <c r="G87" s="112" t="s">
        <v>73</v>
      </c>
      <c r="H87" s="119"/>
    </row>
    <row r="88" spans="1:8" ht="24.95" customHeight="1">
      <c r="A88" s="866" t="s">
        <v>652</v>
      </c>
      <c r="B88" s="113" t="s">
        <v>59</v>
      </c>
      <c r="C88" s="114">
        <f>SUM(C89:C90)</f>
        <v>5475</v>
      </c>
      <c r="D88" s="114">
        <f>SUM(D89:D90)</f>
        <v>5569</v>
      </c>
      <c r="E88" s="114">
        <f>SUM(E89:E90)</f>
        <v>5670</v>
      </c>
      <c r="F88" s="114">
        <f>SUM(F89:F90)</f>
        <v>5751</v>
      </c>
      <c r="G88" s="113"/>
      <c r="H88" s="132"/>
    </row>
    <row r="89" spans="1:8" ht="24.95" customHeight="1">
      <c r="A89" s="866"/>
      <c r="B89" s="113" t="s">
        <v>60</v>
      </c>
      <c r="C89" s="114">
        <f>급수분배!S11</f>
        <v>4445</v>
      </c>
      <c r="D89" s="114">
        <f>급수분배!T11</f>
        <v>4539</v>
      </c>
      <c r="E89" s="114">
        <f>급수분배!U11</f>
        <v>4640</v>
      </c>
      <c r="F89" s="114">
        <f>급수분배!V11</f>
        <v>4721</v>
      </c>
      <c r="G89" s="113"/>
      <c r="H89" s="132"/>
    </row>
    <row r="90" spans="1:8" ht="24.95" customHeight="1">
      <c r="A90" s="866"/>
      <c r="B90" s="113" t="s">
        <v>61</v>
      </c>
      <c r="C90" s="116">
        <f>급수분배!S45+급수분배!S77</f>
        <v>1030</v>
      </c>
      <c r="D90" s="116">
        <f>급수분배!T45+급수분배!T77</f>
        <v>1030</v>
      </c>
      <c r="E90" s="116">
        <f>급수분배!U45+급수분배!U77</f>
        <v>1030</v>
      </c>
      <c r="F90" s="116">
        <f>급수분배!V45+급수분배!V77</f>
        <v>1030</v>
      </c>
      <c r="G90" s="113"/>
      <c r="H90" s="132"/>
    </row>
    <row r="91" spans="1:8" ht="24.95" customHeight="1">
      <c r="A91" s="866" t="s">
        <v>653</v>
      </c>
      <c r="B91" s="113" t="s">
        <v>60</v>
      </c>
      <c r="C91" s="115">
        <v>0.8</v>
      </c>
      <c r="D91" s="115">
        <v>0.85</v>
      </c>
      <c r="E91" s="115">
        <v>0.9</v>
      </c>
      <c r="F91" s="115">
        <v>0.95</v>
      </c>
      <c r="G91" s="113"/>
      <c r="H91" s="132"/>
    </row>
    <row r="92" spans="1:8" ht="24.95" customHeight="1">
      <c r="A92" s="866"/>
      <c r="B92" s="113" t="s">
        <v>61</v>
      </c>
      <c r="C92" s="115">
        <v>1</v>
      </c>
      <c r="D92" s="115">
        <v>1</v>
      </c>
      <c r="E92" s="115">
        <v>1</v>
      </c>
      <c r="F92" s="115">
        <v>1</v>
      </c>
      <c r="G92" s="113"/>
      <c r="H92" s="132"/>
    </row>
    <row r="93" spans="1:8" ht="24.95" customHeight="1">
      <c r="A93" s="866" t="s">
        <v>654</v>
      </c>
      <c r="B93" s="113" t="s">
        <v>59</v>
      </c>
      <c r="C93" s="114">
        <f>SUM(C94:C95)</f>
        <v>4586</v>
      </c>
      <c r="D93" s="114">
        <f>SUM(D94:D95)</f>
        <v>4888</v>
      </c>
      <c r="E93" s="114">
        <f>SUM(E94:E95)</f>
        <v>5206</v>
      </c>
      <c r="F93" s="114">
        <f>SUM(F94:F95)</f>
        <v>5515</v>
      </c>
      <c r="G93" s="113"/>
      <c r="H93" s="132"/>
    </row>
    <row r="94" spans="1:8" ht="24.95" customHeight="1">
      <c r="A94" s="866"/>
      <c r="B94" s="113" t="s">
        <v>60</v>
      </c>
      <c r="C94" s="114">
        <f t="shared" ref="C94:F95" si="6">ROUND(C89*C91,0)</f>
        <v>3556</v>
      </c>
      <c r="D94" s="114">
        <f t="shared" si="6"/>
        <v>3858</v>
      </c>
      <c r="E94" s="114">
        <f t="shared" si="6"/>
        <v>4176</v>
      </c>
      <c r="F94" s="114">
        <f t="shared" si="6"/>
        <v>4485</v>
      </c>
      <c r="G94" s="113"/>
      <c r="H94" s="132"/>
    </row>
    <row r="95" spans="1:8" ht="24.95" customHeight="1">
      <c r="A95" s="866"/>
      <c r="B95" s="113" t="s">
        <v>61</v>
      </c>
      <c r="C95" s="114">
        <f t="shared" si="6"/>
        <v>1030</v>
      </c>
      <c r="D95" s="114">
        <f t="shared" si="6"/>
        <v>1030</v>
      </c>
      <c r="E95" s="114">
        <f t="shared" si="6"/>
        <v>1030</v>
      </c>
      <c r="F95" s="114">
        <f t="shared" si="6"/>
        <v>1030</v>
      </c>
      <c r="G95" s="113"/>
      <c r="H95" s="132"/>
    </row>
    <row r="96" spans="1:8" ht="24.95" customHeight="1">
      <c r="A96" s="866" t="s">
        <v>649</v>
      </c>
      <c r="B96" s="866"/>
      <c r="C96" s="113">
        <v>235</v>
      </c>
      <c r="D96" s="113">
        <v>250</v>
      </c>
      <c r="E96" s="113">
        <v>265</v>
      </c>
      <c r="F96" s="113">
        <v>278</v>
      </c>
      <c r="G96" s="113"/>
      <c r="H96" s="132"/>
    </row>
    <row r="97" spans="1:8" ht="24.95" customHeight="1">
      <c r="A97" s="866" t="s">
        <v>650</v>
      </c>
      <c r="B97" s="866"/>
      <c r="C97" s="115">
        <v>0.65</v>
      </c>
      <c r="D97" s="115">
        <v>0.7</v>
      </c>
      <c r="E97" s="115">
        <v>0.75</v>
      </c>
      <c r="F97" s="115">
        <v>0.8</v>
      </c>
      <c r="G97" s="113"/>
      <c r="H97" s="132"/>
    </row>
    <row r="98" spans="1:8" ht="24.95" customHeight="1">
      <c r="A98" s="866" t="s">
        <v>651</v>
      </c>
      <c r="B98" s="866"/>
      <c r="C98" s="113">
        <v>1.51</v>
      </c>
      <c r="D98" s="113">
        <v>1.51</v>
      </c>
      <c r="E98" s="113">
        <v>1.51</v>
      </c>
      <c r="F98" s="113">
        <v>1.51</v>
      </c>
      <c r="G98" s="113"/>
      <c r="H98" s="132"/>
    </row>
    <row r="99" spans="1:8" ht="24.95" customHeight="1">
      <c r="A99" s="866" t="s">
        <v>655</v>
      </c>
      <c r="B99" s="113" t="s">
        <v>71</v>
      </c>
      <c r="C99" s="113">
        <f>ROUND(C96/C97,0)</f>
        <v>362</v>
      </c>
      <c r="D99" s="113">
        <f>ROUND(D96/D97,0)</f>
        <v>357</v>
      </c>
      <c r="E99" s="113">
        <f>ROUND(E96/E97,0)</f>
        <v>353</v>
      </c>
      <c r="F99" s="113">
        <f>ROUND(F96/F97,0)</f>
        <v>348</v>
      </c>
      <c r="G99" s="113"/>
      <c r="H99" s="132"/>
    </row>
    <row r="100" spans="1:8" ht="24.95" customHeight="1">
      <c r="A100" s="866"/>
      <c r="B100" s="113" t="s">
        <v>72</v>
      </c>
      <c r="C100" s="113">
        <v>547</v>
      </c>
      <c r="D100" s="113">
        <v>539</v>
      </c>
      <c r="E100" s="113">
        <v>533</v>
      </c>
      <c r="F100" s="113">
        <v>525</v>
      </c>
      <c r="G100" s="113"/>
      <c r="H100" s="132"/>
    </row>
    <row r="101" spans="1:8" ht="24.95" customHeight="1">
      <c r="A101" s="866" t="s">
        <v>656</v>
      </c>
      <c r="B101" s="113" t="s">
        <v>71</v>
      </c>
      <c r="C101" s="114">
        <f>ROUND((C93*C99)/1000,0)</f>
        <v>1660</v>
      </c>
      <c r="D101" s="114">
        <f>ROUND((D93*D99)/1000,0)</f>
        <v>1745</v>
      </c>
      <c r="E101" s="114">
        <f>ROUND((E93*E99)/1000,0)</f>
        <v>1838</v>
      </c>
      <c r="F101" s="114">
        <f>ROUND((F93*F99)/1000,0)</f>
        <v>1919</v>
      </c>
      <c r="G101" s="113"/>
      <c r="H101" s="132"/>
    </row>
    <row r="102" spans="1:8" ht="24.95" customHeight="1">
      <c r="A102" s="866"/>
      <c r="B102" s="113" t="s">
        <v>72</v>
      </c>
      <c r="C102" s="114">
        <f>ROUND((C93*C100)/1000,0)</f>
        <v>2509</v>
      </c>
      <c r="D102" s="114">
        <f>ROUND((D93*D100)/1000,0)</f>
        <v>2635</v>
      </c>
      <c r="E102" s="114">
        <f>ROUND((E93*E100)/1000,0)</f>
        <v>2775</v>
      </c>
      <c r="F102" s="114">
        <f>ROUND((F93*F100)/1000,0)</f>
        <v>2895</v>
      </c>
      <c r="G102" s="113"/>
      <c r="H102" s="132"/>
    </row>
    <row r="103" spans="1:8" ht="24.95" customHeight="1">
      <c r="A103" s="92" t="s">
        <v>663</v>
      </c>
    </row>
    <row r="104" spans="1:8" ht="24.95" customHeight="1">
      <c r="A104" s="867" t="s">
        <v>57</v>
      </c>
      <c r="B104" s="867"/>
      <c r="C104" s="112" t="s">
        <v>616</v>
      </c>
      <c r="D104" s="112" t="s">
        <v>618</v>
      </c>
      <c r="E104" s="112" t="s">
        <v>620</v>
      </c>
      <c r="F104" s="112" t="s">
        <v>622</v>
      </c>
      <c r="G104" s="112" t="s">
        <v>73</v>
      </c>
      <c r="H104" s="119"/>
    </row>
    <row r="105" spans="1:8" ht="24.95" customHeight="1">
      <c r="A105" s="866" t="s">
        <v>652</v>
      </c>
      <c r="B105" s="113" t="s">
        <v>59</v>
      </c>
      <c r="C105" s="114">
        <f>SUM(C106:C107)</f>
        <v>2049</v>
      </c>
      <c r="D105" s="114">
        <f>SUM(D106:D107)</f>
        <v>2092</v>
      </c>
      <c r="E105" s="114">
        <f>SUM(E106:E107)</f>
        <v>2139</v>
      </c>
      <c r="F105" s="114">
        <f>SUM(F106:F107)</f>
        <v>2176</v>
      </c>
      <c r="G105" s="113"/>
      <c r="H105" s="132"/>
    </row>
    <row r="106" spans="1:8" ht="24.95" customHeight="1">
      <c r="A106" s="866"/>
      <c r="B106" s="113" t="s">
        <v>60</v>
      </c>
      <c r="C106" s="114">
        <f>급수분배!S12</f>
        <v>2049</v>
      </c>
      <c r="D106" s="114">
        <f>급수분배!T12</f>
        <v>2092</v>
      </c>
      <c r="E106" s="114">
        <f>급수분배!U12</f>
        <v>2139</v>
      </c>
      <c r="F106" s="114">
        <f>급수분배!V12</f>
        <v>2176</v>
      </c>
      <c r="G106" s="113"/>
      <c r="H106" s="132"/>
    </row>
    <row r="107" spans="1:8" ht="24.95" customHeight="1">
      <c r="A107" s="866"/>
      <c r="B107" s="113" t="s">
        <v>61</v>
      </c>
      <c r="C107" s="113">
        <v>0</v>
      </c>
      <c r="D107" s="113">
        <v>0</v>
      </c>
      <c r="E107" s="113">
        <v>0</v>
      </c>
      <c r="F107" s="113">
        <v>0</v>
      </c>
      <c r="G107" s="113"/>
      <c r="H107" s="132"/>
    </row>
    <row r="108" spans="1:8" ht="24.95" customHeight="1">
      <c r="A108" s="866" t="s">
        <v>653</v>
      </c>
      <c r="B108" s="113" t="s">
        <v>60</v>
      </c>
      <c r="C108" s="115">
        <v>0.8</v>
      </c>
      <c r="D108" s="115">
        <v>0.85</v>
      </c>
      <c r="E108" s="115">
        <v>0.9</v>
      </c>
      <c r="F108" s="115">
        <v>0.95</v>
      </c>
      <c r="G108" s="113"/>
      <c r="H108" s="132"/>
    </row>
    <row r="109" spans="1:8" ht="24.95" customHeight="1">
      <c r="A109" s="866"/>
      <c r="B109" s="113" t="s">
        <v>61</v>
      </c>
      <c r="C109" s="115">
        <v>1</v>
      </c>
      <c r="D109" s="115">
        <v>1</v>
      </c>
      <c r="E109" s="115">
        <v>1</v>
      </c>
      <c r="F109" s="115">
        <v>1</v>
      </c>
      <c r="G109" s="113"/>
      <c r="H109" s="132"/>
    </row>
    <row r="110" spans="1:8" ht="24.95" customHeight="1">
      <c r="A110" s="866" t="s">
        <v>654</v>
      </c>
      <c r="B110" s="113" t="s">
        <v>59</v>
      </c>
      <c r="C110" s="114">
        <f>SUM(C111:C112)</f>
        <v>1639</v>
      </c>
      <c r="D110" s="114">
        <f>SUM(D111:D112)</f>
        <v>1778</v>
      </c>
      <c r="E110" s="114">
        <f>SUM(E111:E112)</f>
        <v>1925</v>
      </c>
      <c r="F110" s="114">
        <f>SUM(F111:F112)</f>
        <v>2067</v>
      </c>
      <c r="G110" s="113"/>
      <c r="H110" s="132"/>
    </row>
    <row r="111" spans="1:8" ht="24.95" customHeight="1">
      <c r="A111" s="866"/>
      <c r="B111" s="113" t="s">
        <v>60</v>
      </c>
      <c r="C111" s="114">
        <f t="shared" ref="C111:F112" si="7">ROUND(C106*C108,0)</f>
        <v>1639</v>
      </c>
      <c r="D111" s="114">
        <f t="shared" si="7"/>
        <v>1778</v>
      </c>
      <c r="E111" s="114">
        <f t="shared" si="7"/>
        <v>1925</v>
      </c>
      <c r="F111" s="114">
        <f t="shared" si="7"/>
        <v>2067</v>
      </c>
      <c r="G111" s="113"/>
      <c r="H111" s="132"/>
    </row>
    <row r="112" spans="1:8" ht="24.95" customHeight="1">
      <c r="A112" s="866"/>
      <c r="B112" s="113" t="s">
        <v>61</v>
      </c>
      <c r="C112" s="114">
        <f t="shared" si="7"/>
        <v>0</v>
      </c>
      <c r="D112" s="114">
        <f t="shared" si="7"/>
        <v>0</v>
      </c>
      <c r="E112" s="114">
        <f t="shared" si="7"/>
        <v>0</v>
      </c>
      <c r="F112" s="114">
        <f t="shared" si="7"/>
        <v>0</v>
      </c>
      <c r="G112" s="113"/>
      <c r="H112" s="132"/>
    </row>
    <row r="113" spans="1:8" ht="24.95" customHeight="1">
      <c r="A113" s="866" t="s">
        <v>649</v>
      </c>
      <c r="B113" s="866"/>
      <c r="C113" s="113">
        <v>235</v>
      </c>
      <c r="D113" s="113">
        <v>250</v>
      </c>
      <c r="E113" s="113">
        <v>265</v>
      </c>
      <c r="F113" s="113">
        <v>278</v>
      </c>
      <c r="G113" s="113"/>
      <c r="H113" s="132"/>
    </row>
    <row r="114" spans="1:8" ht="24.95" customHeight="1">
      <c r="A114" s="866" t="s">
        <v>650</v>
      </c>
      <c r="B114" s="866"/>
      <c r="C114" s="115">
        <v>0.65</v>
      </c>
      <c r="D114" s="115">
        <v>0.7</v>
      </c>
      <c r="E114" s="115">
        <v>0.75</v>
      </c>
      <c r="F114" s="115">
        <v>0.8</v>
      </c>
      <c r="G114" s="113"/>
      <c r="H114" s="132"/>
    </row>
    <row r="115" spans="1:8" ht="24.95" customHeight="1">
      <c r="A115" s="866" t="s">
        <v>651</v>
      </c>
      <c r="B115" s="866"/>
      <c r="C115" s="113">
        <v>1.51</v>
      </c>
      <c r="D115" s="113">
        <v>1.51</v>
      </c>
      <c r="E115" s="113">
        <v>1.51</v>
      </c>
      <c r="F115" s="113">
        <v>1.51</v>
      </c>
      <c r="G115" s="113"/>
      <c r="H115" s="132"/>
    </row>
    <row r="116" spans="1:8" ht="24.95" customHeight="1">
      <c r="A116" s="866" t="s">
        <v>655</v>
      </c>
      <c r="B116" s="113" t="s">
        <v>71</v>
      </c>
      <c r="C116" s="113">
        <f>ROUND(C113/C114,0)</f>
        <v>362</v>
      </c>
      <c r="D116" s="113">
        <f>ROUND(D113/D114,0)</f>
        <v>357</v>
      </c>
      <c r="E116" s="113">
        <f>ROUND(E113/E114,0)</f>
        <v>353</v>
      </c>
      <c r="F116" s="113">
        <f>ROUND(F113/F114,0)</f>
        <v>348</v>
      </c>
      <c r="G116" s="113"/>
      <c r="H116" s="132"/>
    </row>
    <row r="117" spans="1:8" ht="24.95" customHeight="1">
      <c r="A117" s="866"/>
      <c r="B117" s="113" t="s">
        <v>72</v>
      </c>
      <c r="C117" s="113">
        <v>547</v>
      </c>
      <c r="D117" s="113">
        <v>539</v>
      </c>
      <c r="E117" s="113">
        <v>533</v>
      </c>
      <c r="F117" s="113">
        <v>525</v>
      </c>
      <c r="G117" s="113"/>
      <c r="H117" s="132"/>
    </row>
    <row r="118" spans="1:8" ht="24.95" customHeight="1">
      <c r="A118" s="866" t="s">
        <v>656</v>
      </c>
      <c r="B118" s="113" t="s">
        <v>71</v>
      </c>
      <c r="C118" s="114">
        <f>ROUND((C110*C116)/1000,0)</f>
        <v>593</v>
      </c>
      <c r="D118" s="114">
        <f>ROUND((D110*D116)/1000,0)</f>
        <v>635</v>
      </c>
      <c r="E118" s="114">
        <f>ROUND((E110*E116)/1000,0)</f>
        <v>680</v>
      </c>
      <c r="F118" s="114">
        <f>ROUND((F110*F116)/1000,0)</f>
        <v>719</v>
      </c>
      <c r="G118" s="113"/>
      <c r="H118" s="132"/>
    </row>
    <row r="119" spans="1:8" ht="24.95" customHeight="1">
      <c r="A119" s="866"/>
      <c r="B119" s="113" t="s">
        <v>72</v>
      </c>
      <c r="C119" s="114">
        <f>ROUND((C110*C117)/1000,0)</f>
        <v>897</v>
      </c>
      <c r="D119" s="114">
        <f>ROUND((D110*D117)/1000,0)</f>
        <v>958</v>
      </c>
      <c r="E119" s="114">
        <f>ROUND((E110*E117)/1000,0)</f>
        <v>1026</v>
      </c>
      <c r="F119" s="114">
        <f>ROUND((F110*F117)/1000,0)</f>
        <v>1085</v>
      </c>
      <c r="G119" s="113"/>
      <c r="H119" s="132"/>
    </row>
    <row r="120" spans="1:8" ht="24.95" customHeight="1">
      <c r="A120" s="92" t="s">
        <v>664</v>
      </c>
    </row>
    <row r="121" spans="1:8" ht="24.95" customHeight="1">
      <c r="A121" s="867" t="s">
        <v>57</v>
      </c>
      <c r="B121" s="867"/>
      <c r="C121" s="112" t="s">
        <v>616</v>
      </c>
      <c r="D121" s="112" t="s">
        <v>618</v>
      </c>
      <c r="E121" s="112" t="s">
        <v>620</v>
      </c>
      <c r="F121" s="112" t="s">
        <v>622</v>
      </c>
      <c r="G121" s="112" t="s">
        <v>73</v>
      </c>
      <c r="H121" s="119"/>
    </row>
    <row r="122" spans="1:8" ht="24.95" customHeight="1">
      <c r="A122" s="866" t="s">
        <v>652</v>
      </c>
      <c r="B122" s="113" t="s">
        <v>59</v>
      </c>
      <c r="C122" s="114">
        <f>SUM(C123:C124)</f>
        <v>6881</v>
      </c>
      <c r="D122" s="114">
        <f>SUM(D123:D124)</f>
        <v>7022</v>
      </c>
      <c r="E122" s="114">
        <f>SUM(E123:E124)</f>
        <v>7178</v>
      </c>
      <c r="F122" s="114">
        <f>SUM(F123:F124)</f>
        <v>7299</v>
      </c>
      <c r="G122" s="113"/>
      <c r="H122" s="132"/>
    </row>
    <row r="123" spans="1:8" ht="24.95" customHeight="1">
      <c r="A123" s="866"/>
      <c r="B123" s="113" t="s">
        <v>60</v>
      </c>
      <c r="C123" s="114">
        <f>급수분배!S14</f>
        <v>6740</v>
      </c>
      <c r="D123" s="114">
        <f>급수분배!T14</f>
        <v>6881</v>
      </c>
      <c r="E123" s="114">
        <f>급수분배!U14</f>
        <v>7037</v>
      </c>
      <c r="F123" s="114">
        <f>급수분배!V14</f>
        <v>7158</v>
      </c>
      <c r="G123" s="113"/>
      <c r="H123" s="132"/>
    </row>
    <row r="124" spans="1:8" ht="24.95" customHeight="1">
      <c r="A124" s="866"/>
      <c r="B124" s="113" t="s">
        <v>61</v>
      </c>
      <c r="C124" s="113">
        <f>급수분배!S47+급수분배!S79</f>
        <v>141</v>
      </c>
      <c r="D124" s="113">
        <f>급수분배!T47+급수분배!T79</f>
        <v>141</v>
      </c>
      <c r="E124" s="113">
        <f>급수분배!U47+급수분배!U79</f>
        <v>141</v>
      </c>
      <c r="F124" s="113">
        <f>급수분배!V47+급수분배!V79</f>
        <v>141</v>
      </c>
      <c r="G124" s="113"/>
      <c r="H124" s="132"/>
    </row>
    <row r="125" spans="1:8" ht="24.95" customHeight="1">
      <c r="A125" s="866" t="s">
        <v>653</v>
      </c>
      <c r="B125" s="113" t="s">
        <v>60</v>
      </c>
      <c r="C125" s="115">
        <v>0.8</v>
      </c>
      <c r="D125" s="115">
        <v>0.85</v>
      </c>
      <c r="E125" s="115">
        <v>0.9</v>
      </c>
      <c r="F125" s="115">
        <v>0.95</v>
      </c>
      <c r="G125" s="113"/>
      <c r="H125" s="132"/>
    </row>
    <row r="126" spans="1:8" ht="24.95" customHeight="1">
      <c r="A126" s="866"/>
      <c r="B126" s="113" t="s">
        <v>61</v>
      </c>
      <c r="C126" s="115">
        <v>1</v>
      </c>
      <c r="D126" s="115">
        <v>1</v>
      </c>
      <c r="E126" s="115">
        <v>1</v>
      </c>
      <c r="F126" s="115">
        <v>1</v>
      </c>
      <c r="G126" s="113"/>
      <c r="H126" s="132"/>
    </row>
    <row r="127" spans="1:8" ht="24.95" customHeight="1">
      <c r="A127" s="866" t="s">
        <v>654</v>
      </c>
      <c r="B127" s="113" t="s">
        <v>59</v>
      </c>
      <c r="C127" s="114">
        <f>SUM(C128:C129)</f>
        <v>5533</v>
      </c>
      <c r="D127" s="114">
        <f>SUM(D128:D129)</f>
        <v>5990</v>
      </c>
      <c r="E127" s="114">
        <f>SUM(E128:E129)</f>
        <v>6474</v>
      </c>
      <c r="F127" s="114">
        <f>SUM(F128:F129)</f>
        <v>6941</v>
      </c>
      <c r="G127" s="113"/>
      <c r="H127" s="132"/>
    </row>
    <row r="128" spans="1:8" ht="24.95" customHeight="1">
      <c r="A128" s="866"/>
      <c r="B128" s="113" t="s">
        <v>60</v>
      </c>
      <c r="C128" s="114">
        <f t="shared" ref="C128:F129" si="8">ROUND(C123*C125,0)</f>
        <v>5392</v>
      </c>
      <c r="D128" s="114">
        <f t="shared" si="8"/>
        <v>5849</v>
      </c>
      <c r="E128" s="114">
        <f t="shared" si="8"/>
        <v>6333</v>
      </c>
      <c r="F128" s="114">
        <f t="shared" si="8"/>
        <v>6800</v>
      </c>
      <c r="G128" s="113"/>
      <c r="H128" s="132"/>
    </row>
    <row r="129" spans="1:8" ht="24.95" customHeight="1">
      <c r="A129" s="866"/>
      <c r="B129" s="113" t="s">
        <v>61</v>
      </c>
      <c r="C129" s="114">
        <f t="shared" si="8"/>
        <v>141</v>
      </c>
      <c r="D129" s="114">
        <f t="shared" si="8"/>
        <v>141</v>
      </c>
      <c r="E129" s="114">
        <f t="shared" si="8"/>
        <v>141</v>
      </c>
      <c r="F129" s="114">
        <f t="shared" si="8"/>
        <v>141</v>
      </c>
      <c r="G129" s="113"/>
      <c r="H129" s="132"/>
    </row>
    <row r="130" spans="1:8" ht="24.95" customHeight="1">
      <c r="A130" s="866" t="s">
        <v>649</v>
      </c>
      <c r="B130" s="866"/>
      <c r="C130" s="113">
        <v>235</v>
      </c>
      <c r="D130" s="113">
        <v>250</v>
      </c>
      <c r="E130" s="113">
        <v>265</v>
      </c>
      <c r="F130" s="113">
        <v>278</v>
      </c>
      <c r="G130" s="113"/>
      <c r="H130" s="132"/>
    </row>
    <row r="131" spans="1:8" ht="24.95" customHeight="1">
      <c r="A131" s="866" t="s">
        <v>650</v>
      </c>
      <c r="B131" s="866"/>
      <c r="C131" s="115">
        <v>0.65</v>
      </c>
      <c r="D131" s="115">
        <v>0.7</v>
      </c>
      <c r="E131" s="115">
        <v>0.75</v>
      </c>
      <c r="F131" s="115">
        <v>0.8</v>
      </c>
      <c r="G131" s="113"/>
      <c r="H131" s="132"/>
    </row>
    <row r="132" spans="1:8" ht="24.95" customHeight="1">
      <c r="A132" s="866" t="s">
        <v>651</v>
      </c>
      <c r="B132" s="866"/>
      <c r="C132" s="113">
        <v>1.51</v>
      </c>
      <c r="D132" s="113">
        <v>1.51</v>
      </c>
      <c r="E132" s="113">
        <v>1.51</v>
      </c>
      <c r="F132" s="113">
        <v>1.51</v>
      </c>
      <c r="G132" s="113"/>
      <c r="H132" s="132"/>
    </row>
    <row r="133" spans="1:8" ht="24.95" customHeight="1">
      <c r="A133" s="866" t="s">
        <v>655</v>
      </c>
      <c r="B133" s="113" t="s">
        <v>71</v>
      </c>
      <c r="C133" s="113">
        <f>ROUND(C130/C131,0)</f>
        <v>362</v>
      </c>
      <c r="D133" s="113">
        <f>ROUND(D130/D131,0)</f>
        <v>357</v>
      </c>
      <c r="E133" s="113">
        <f>ROUND(E130/E131,0)</f>
        <v>353</v>
      </c>
      <c r="F133" s="113">
        <f>ROUND(F130/F131,0)</f>
        <v>348</v>
      </c>
      <c r="G133" s="113"/>
      <c r="H133" s="132"/>
    </row>
    <row r="134" spans="1:8" ht="24.95" customHeight="1">
      <c r="A134" s="866"/>
      <c r="B134" s="113" t="s">
        <v>72</v>
      </c>
      <c r="C134" s="113">
        <v>547</v>
      </c>
      <c r="D134" s="113">
        <v>539</v>
      </c>
      <c r="E134" s="113">
        <v>533</v>
      </c>
      <c r="F134" s="113">
        <v>525</v>
      </c>
      <c r="G134" s="113"/>
      <c r="H134" s="132"/>
    </row>
    <row r="135" spans="1:8" ht="24.95" customHeight="1">
      <c r="A135" s="866" t="s">
        <v>656</v>
      </c>
      <c r="B135" s="113" t="s">
        <v>71</v>
      </c>
      <c r="C135" s="114">
        <f>ROUND((C127*C133)/1000,0)</f>
        <v>2003</v>
      </c>
      <c r="D135" s="114">
        <f>ROUND((D127*D133)/1000,0)</f>
        <v>2138</v>
      </c>
      <c r="E135" s="114">
        <f>ROUND((E127*E133)/1000,0)</f>
        <v>2285</v>
      </c>
      <c r="F135" s="114">
        <f>ROUND((F127*F133)/1000,0)</f>
        <v>2415</v>
      </c>
      <c r="G135" s="113"/>
      <c r="H135" s="132"/>
    </row>
    <row r="136" spans="1:8" ht="24.95" customHeight="1">
      <c r="A136" s="866"/>
      <c r="B136" s="113" t="s">
        <v>72</v>
      </c>
      <c r="C136" s="114">
        <f>ROUND((C127*C134)/1000,0)</f>
        <v>3027</v>
      </c>
      <c r="D136" s="114">
        <f>ROUND((D127*D134)/1000,0)</f>
        <v>3229</v>
      </c>
      <c r="E136" s="114">
        <f>ROUND((E127*E134)/1000,0)</f>
        <v>3451</v>
      </c>
      <c r="F136" s="114">
        <f>ROUND((F127*F134)/1000,0)</f>
        <v>3644</v>
      </c>
      <c r="G136" s="113"/>
      <c r="H136" s="132"/>
    </row>
    <row r="137" spans="1:8" ht="24.95" customHeight="1">
      <c r="A137" s="92" t="s">
        <v>665</v>
      </c>
    </row>
    <row r="138" spans="1:8" ht="24.95" customHeight="1">
      <c r="A138" s="867" t="s">
        <v>57</v>
      </c>
      <c r="B138" s="867"/>
      <c r="C138" s="112" t="s">
        <v>616</v>
      </c>
      <c r="D138" s="112" t="s">
        <v>618</v>
      </c>
      <c r="E138" s="112" t="s">
        <v>620</v>
      </c>
      <c r="F138" s="112" t="s">
        <v>622</v>
      </c>
      <c r="G138" s="112" t="s">
        <v>73</v>
      </c>
      <c r="H138" s="119"/>
    </row>
    <row r="139" spans="1:8" ht="24.95" customHeight="1">
      <c r="A139" s="866" t="s">
        <v>652</v>
      </c>
      <c r="B139" s="113" t="s">
        <v>59</v>
      </c>
      <c r="C139" s="114">
        <f>SUM(C140:C141)</f>
        <v>8624</v>
      </c>
      <c r="D139" s="114">
        <f>SUM(D140:D141)</f>
        <v>8808</v>
      </c>
      <c r="E139" s="114">
        <f>SUM(E140:E141)</f>
        <v>9009</v>
      </c>
      <c r="F139" s="114">
        <f>SUM(F140:F141)</f>
        <v>9159</v>
      </c>
      <c r="G139" s="113"/>
      <c r="H139" s="132"/>
    </row>
    <row r="140" spans="1:8" ht="24.95" customHeight="1">
      <c r="A140" s="866"/>
      <c r="B140" s="113" t="s">
        <v>60</v>
      </c>
      <c r="C140" s="114">
        <f>급수분배!S15</f>
        <v>8624</v>
      </c>
      <c r="D140" s="114">
        <f>급수분배!T15</f>
        <v>8808</v>
      </c>
      <c r="E140" s="114">
        <f>급수분배!U15</f>
        <v>9009</v>
      </c>
      <c r="F140" s="114">
        <f>급수분배!V15</f>
        <v>9159</v>
      </c>
      <c r="G140" s="113"/>
      <c r="H140" s="132"/>
    </row>
    <row r="141" spans="1:8" ht="24.95" customHeight="1">
      <c r="A141" s="866"/>
      <c r="B141" s="113" t="s">
        <v>61</v>
      </c>
      <c r="C141" s="113">
        <f>급수분배!S48+급수분배!S80</f>
        <v>0</v>
      </c>
      <c r="D141" s="113">
        <f>급수분배!T48+급수분배!T80</f>
        <v>0</v>
      </c>
      <c r="E141" s="113">
        <f>급수분배!U48+급수분배!U80</f>
        <v>0</v>
      </c>
      <c r="F141" s="113">
        <f>급수분배!V48+급수분배!V80</f>
        <v>0</v>
      </c>
      <c r="G141" s="113"/>
      <c r="H141" s="132"/>
    </row>
    <row r="142" spans="1:8" ht="24.95" customHeight="1">
      <c r="A142" s="866" t="s">
        <v>653</v>
      </c>
      <c r="B142" s="113" t="s">
        <v>60</v>
      </c>
      <c r="C142" s="115">
        <v>0.8</v>
      </c>
      <c r="D142" s="115">
        <v>0.85</v>
      </c>
      <c r="E142" s="115">
        <v>0.9</v>
      </c>
      <c r="F142" s="115">
        <v>0.95</v>
      </c>
      <c r="G142" s="113"/>
      <c r="H142" s="132"/>
    </row>
    <row r="143" spans="1:8" ht="24.95" customHeight="1">
      <c r="A143" s="866"/>
      <c r="B143" s="113" t="s">
        <v>61</v>
      </c>
      <c r="C143" s="115">
        <v>1</v>
      </c>
      <c r="D143" s="115">
        <v>1</v>
      </c>
      <c r="E143" s="115">
        <v>1</v>
      </c>
      <c r="F143" s="115">
        <v>1</v>
      </c>
      <c r="G143" s="113"/>
      <c r="H143" s="132"/>
    </row>
    <row r="144" spans="1:8" ht="24.95" customHeight="1">
      <c r="A144" s="866" t="s">
        <v>654</v>
      </c>
      <c r="B144" s="113" t="s">
        <v>59</v>
      </c>
      <c r="C144" s="114">
        <f>SUM(C145:C146)</f>
        <v>6899</v>
      </c>
      <c r="D144" s="114">
        <f>SUM(D145:D146)</f>
        <v>7487</v>
      </c>
      <c r="E144" s="114">
        <f>SUM(E145:E146)</f>
        <v>8108</v>
      </c>
      <c r="F144" s="114">
        <f>SUM(F145:F146)</f>
        <v>8701</v>
      </c>
      <c r="G144" s="113"/>
      <c r="H144" s="132"/>
    </row>
    <row r="145" spans="1:8" ht="24.95" customHeight="1">
      <c r="A145" s="866"/>
      <c r="B145" s="113" t="s">
        <v>60</v>
      </c>
      <c r="C145" s="114">
        <f t="shared" ref="C145:F146" si="9">ROUND(C140*C142,0)</f>
        <v>6899</v>
      </c>
      <c r="D145" s="114">
        <f t="shared" si="9"/>
        <v>7487</v>
      </c>
      <c r="E145" s="114">
        <f t="shared" si="9"/>
        <v>8108</v>
      </c>
      <c r="F145" s="114">
        <f t="shared" si="9"/>
        <v>8701</v>
      </c>
      <c r="G145" s="113"/>
      <c r="H145" s="132"/>
    </row>
    <row r="146" spans="1:8" ht="24.95" customHeight="1">
      <c r="A146" s="866"/>
      <c r="B146" s="113" t="s">
        <v>61</v>
      </c>
      <c r="C146" s="114">
        <f t="shared" si="9"/>
        <v>0</v>
      </c>
      <c r="D146" s="114">
        <f t="shared" si="9"/>
        <v>0</v>
      </c>
      <c r="E146" s="114">
        <f t="shared" si="9"/>
        <v>0</v>
      </c>
      <c r="F146" s="114">
        <f t="shared" si="9"/>
        <v>0</v>
      </c>
      <c r="G146" s="113"/>
      <c r="H146" s="132"/>
    </row>
    <row r="147" spans="1:8" ht="24.95" customHeight="1">
      <c r="A147" s="866" t="s">
        <v>649</v>
      </c>
      <c r="B147" s="866"/>
      <c r="C147" s="113">
        <v>235</v>
      </c>
      <c r="D147" s="113">
        <v>250</v>
      </c>
      <c r="E147" s="113">
        <v>265</v>
      </c>
      <c r="F147" s="113">
        <v>278</v>
      </c>
      <c r="G147" s="113"/>
      <c r="H147" s="132"/>
    </row>
    <row r="148" spans="1:8" ht="24.95" customHeight="1">
      <c r="A148" s="866" t="s">
        <v>650</v>
      </c>
      <c r="B148" s="866"/>
      <c r="C148" s="115">
        <v>0.65</v>
      </c>
      <c r="D148" s="115">
        <v>0.7</v>
      </c>
      <c r="E148" s="115">
        <v>0.75</v>
      </c>
      <c r="F148" s="115">
        <v>0.8</v>
      </c>
      <c r="G148" s="113"/>
      <c r="H148" s="132"/>
    </row>
    <row r="149" spans="1:8" ht="24.95" customHeight="1">
      <c r="A149" s="866" t="s">
        <v>651</v>
      </c>
      <c r="B149" s="866"/>
      <c r="C149" s="113">
        <v>1.51</v>
      </c>
      <c r="D149" s="113">
        <v>1.51</v>
      </c>
      <c r="E149" s="113">
        <v>1.51</v>
      </c>
      <c r="F149" s="113">
        <v>1.51</v>
      </c>
      <c r="G149" s="113"/>
      <c r="H149" s="132"/>
    </row>
    <row r="150" spans="1:8" ht="24.95" customHeight="1">
      <c r="A150" s="866" t="s">
        <v>655</v>
      </c>
      <c r="B150" s="113" t="s">
        <v>71</v>
      </c>
      <c r="C150" s="113">
        <f>ROUND(C147/C148,0)</f>
        <v>362</v>
      </c>
      <c r="D150" s="113">
        <f>ROUND(D147/D148,0)</f>
        <v>357</v>
      </c>
      <c r="E150" s="113">
        <f>ROUND(E147/E148,0)</f>
        <v>353</v>
      </c>
      <c r="F150" s="113">
        <f>ROUND(F147/F148,0)</f>
        <v>348</v>
      </c>
      <c r="G150" s="113"/>
      <c r="H150" s="132"/>
    </row>
    <row r="151" spans="1:8" ht="24.95" customHeight="1">
      <c r="A151" s="866"/>
      <c r="B151" s="113" t="s">
        <v>72</v>
      </c>
      <c r="C151" s="113">
        <v>547</v>
      </c>
      <c r="D151" s="113">
        <v>539</v>
      </c>
      <c r="E151" s="113">
        <v>533</v>
      </c>
      <c r="F151" s="113">
        <v>525</v>
      </c>
      <c r="G151" s="113"/>
      <c r="H151" s="132"/>
    </row>
    <row r="152" spans="1:8" ht="24.95" customHeight="1">
      <c r="A152" s="866" t="s">
        <v>656</v>
      </c>
      <c r="B152" s="113" t="s">
        <v>71</v>
      </c>
      <c r="C152" s="114">
        <f>ROUND((C144*C150)/1000,0)</f>
        <v>2497</v>
      </c>
      <c r="D152" s="114">
        <f>ROUND((D144*D150)/1000,0)</f>
        <v>2673</v>
      </c>
      <c r="E152" s="114">
        <f>ROUND((E144*E150)/1000,0)</f>
        <v>2862</v>
      </c>
      <c r="F152" s="114">
        <f>ROUND((F144*F150)/1000,0)</f>
        <v>3028</v>
      </c>
      <c r="G152" s="113"/>
      <c r="H152" s="132"/>
    </row>
    <row r="153" spans="1:8" ht="24.95" customHeight="1">
      <c r="A153" s="866"/>
      <c r="B153" s="113" t="s">
        <v>72</v>
      </c>
      <c r="C153" s="114">
        <f>ROUND((C144*C151)/1000,0)</f>
        <v>3774</v>
      </c>
      <c r="D153" s="114">
        <f>ROUND((D144*D151)/1000,0)</f>
        <v>4035</v>
      </c>
      <c r="E153" s="114">
        <f>ROUND((E144*E151)/1000,0)</f>
        <v>4322</v>
      </c>
      <c r="F153" s="114">
        <f>ROUND((F144*F151)/1000,0)</f>
        <v>4568</v>
      </c>
      <c r="G153" s="113"/>
      <c r="H153" s="132"/>
    </row>
    <row r="154" spans="1:8" ht="24.95" customHeight="1">
      <c r="A154" s="92" t="s">
        <v>666</v>
      </c>
    </row>
    <row r="155" spans="1:8" ht="24.95" customHeight="1">
      <c r="A155" s="867" t="s">
        <v>57</v>
      </c>
      <c r="B155" s="867"/>
      <c r="C155" s="112" t="s">
        <v>616</v>
      </c>
      <c r="D155" s="112" t="s">
        <v>618</v>
      </c>
      <c r="E155" s="112" t="s">
        <v>620</v>
      </c>
      <c r="F155" s="112" t="s">
        <v>622</v>
      </c>
      <c r="G155" s="112" t="s">
        <v>73</v>
      </c>
      <c r="H155" s="119"/>
    </row>
    <row r="156" spans="1:8" ht="24.95" customHeight="1">
      <c r="A156" s="866" t="s">
        <v>652</v>
      </c>
      <c r="B156" s="113" t="s">
        <v>59</v>
      </c>
      <c r="C156" s="114">
        <f>SUM(C157:C158)</f>
        <v>5982</v>
      </c>
      <c r="D156" s="114">
        <f>SUM(D157:D158)</f>
        <v>6107</v>
      </c>
      <c r="E156" s="114">
        <f>SUM(E157:E158)</f>
        <v>6245</v>
      </c>
      <c r="F156" s="114">
        <f>SUM(F157:F158)</f>
        <v>6352</v>
      </c>
      <c r="G156" s="113"/>
      <c r="H156" s="132"/>
    </row>
    <row r="157" spans="1:8" ht="24.95" customHeight="1">
      <c r="A157" s="866"/>
      <c r="B157" s="113" t="s">
        <v>60</v>
      </c>
      <c r="C157" s="114">
        <f>급수분배!S16</f>
        <v>5953</v>
      </c>
      <c r="D157" s="114">
        <f>급수분배!T16</f>
        <v>6078</v>
      </c>
      <c r="E157" s="114">
        <f>급수분배!U16</f>
        <v>6216</v>
      </c>
      <c r="F157" s="114">
        <f>급수분배!V16</f>
        <v>6323</v>
      </c>
      <c r="G157" s="113"/>
      <c r="H157" s="132"/>
    </row>
    <row r="158" spans="1:8" ht="24.95" customHeight="1">
      <c r="A158" s="866"/>
      <c r="B158" s="113" t="s">
        <v>61</v>
      </c>
      <c r="C158" s="113">
        <f>급수분배!S49+급수분배!S81</f>
        <v>29</v>
      </c>
      <c r="D158" s="113">
        <f>급수분배!T49+급수분배!T81</f>
        <v>29</v>
      </c>
      <c r="E158" s="113">
        <f>급수분배!U49+급수분배!U81</f>
        <v>29</v>
      </c>
      <c r="F158" s="113">
        <f>급수분배!V49+급수분배!V81</f>
        <v>29</v>
      </c>
      <c r="G158" s="113"/>
      <c r="H158" s="132"/>
    </row>
    <row r="159" spans="1:8" ht="24.95" customHeight="1">
      <c r="A159" s="866" t="s">
        <v>653</v>
      </c>
      <c r="B159" s="113" t="s">
        <v>60</v>
      </c>
      <c r="C159" s="115">
        <v>0.8</v>
      </c>
      <c r="D159" s="115">
        <v>0.85</v>
      </c>
      <c r="E159" s="115">
        <v>0.9</v>
      </c>
      <c r="F159" s="115">
        <v>0.95</v>
      </c>
      <c r="G159" s="113"/>
      <c r="H159" s="132"/>
    </row>
    <row r="160" spans="1:8" ht="24.95" customHeight="1">
      <c r="A160" s="866"/>
      <c r="B160" s="113" t="s">
        <v>61</v>
      </c>
      <c r="C160" s="115">
        <v>1</v>
      </c>
      <c r="D160" s="115">
        <v>1</v>
      </c>
      <c r="E160" s="115">
        <v>1</v>
      </c>
      <c r="F160" s="115">
        <v>1</v>
      </c>
      <c r="G160" s="113"/>
      <c r="H160" s="132"/>
    </row>
    <row r="161" spans="1:8" ht="24.95" customHeight="1">
      <c r="A161" s="866" t="s">
        <v>654</v>
      </c>
      <c r="B161" s="113" t="s">
        <v>59</v>
      </c>
      <c r="C161" s="114">
        <f>SUM(C162:C163)</f>
        <v>4791</v>
      </c>
      <c r="D161" s="114">
        <f>SUM(D162:D163)</f>
        <v>5195</v>
      </c>
      <c r="E161" s="114">
        <f>SUM(E162:E163)</f>
        <v>5623</v>
      </c>
      <c r="F161" s="114">
        <f>SUM(F162:F163)</f>
        <v>6036</v>
      </c>
      <c r="G161" s="113"/>
      <c r="H161" s="132"/>
    </row>
    <row r="162" spans="1:8" ht="24.95" customHeight="1">
      <c r="A162" s="866"/>
      <c r="B162" s="113" t="s">
        <v>60</v>
      </c>
      <c r="C162" s="114">
        <f t="shared" ref="C162:F163" si="10">ROUND(C157*C159,0)</f>
        <v>4762</v>
      </c>
      <c r="D162" s="114">
        <f t="shared" si="10"/>
        <v>5166</v>
      </c>
      <c r="E162" s="114">
        <f t="shared" si="10"/>
        <v>5594</v>
      </c>
      <c r="F162" s="114">
        <f t="shared" si="10"/>
        <v>6007</v>
      </c>
      <c r="G162" s="113"/>
      <c r="H162" s="132"/>
    </row>
    <row r="163" spans="1:8" ht="24.95" customHeight="1">
      <c r="A163" s="866"/>
      <c r="B163" s="113" t="s">
        <v>61</v>
      </c>
      <c r="C163" s="114">
        <f t="shared" si="10"/>
        <v>29</v>
      </c>
      <c r="D163" s="114">
        <f t="shared" si="10"/>
        <v>29</v>
      </c>
      <c r="E163" s="114">
        <f t="shared" si="10"/>
        <v>29</v>
      </c>
      <c r="F163" s="114">
        <f t="shared" si="10"/>
        <v>29</v>
      </c>
      <c r="G163" s="113"/>
      <c r="H163" s="132"/>
    </row>
    <row r="164" spans="1:8" ht="24.95" customHeight="1">
      <c r="A164" s="866" t="s">
        <v>649</v>
      </c>
      <c r="B164" s="866"/>
      <c r="C164" s="113">
        <v>235</v>
      </c>
      <c r="D164" s="113">
        <v>250</v>
      </c>
      <c r="E164" s="113">
        <v>265</v>
      </c>
      <c r="F164" s="113">
        <v>278</v>
      </c>
      <c r="G164" s="113"/>
      <c r="H164" s="132"/>
    </row>
    <row r="165" spans="1:8" ht="24.95" customHeight="1">
      <c r="A165" s="866" t="s">
        <v>650</v>
      </c>
      <c r="B165" s="866"/>
      <c r="C165" s="115">
        <v>0.65</v>
      </c>
      <c r="D165" s="115">
        <v>0.7</v>
      </c>
      <c r="E165" s="115">
        <v>0.75</v>
      </c>
      <c r="F165" s="115">
        <v>0.8</v>
      </c>
      <c r="G165" s="113"/>
      <c r="H165" s="132"/>
    </row>
    <row r="166" spans="1:8" ht="24.95" customHeight="1">
      <c r="A166" s="866" t="s">
        <v>651</v>
      </c>
      <c r="B166" s="866"/>
      <c r="C166" s="113">
        <v>1.51</v>
      </c>
      <c r="D166" s="113">
        <v>1.51</v>
      </c>
      <c r="E166" s="113">
        <v>1.51</v>
      </c>
      <c r="F166" s="113">
        <v>1.51</v>
      </c>
      <c r="G166" s="113"/>
      <c r="H166" s="132"/>
    </row>
    <row r="167" spans="1:8" ht="24.95" customHeight="1">
      <c r="A167" s="866" t="s">
        <v>655</v>
      </c>
      <c r="B167" s="113" t="s">
        <v>71</v>
      </c>
      <c r="C167" s="113">
        <f>ROUND(C164/C165,0)</f>
        <v>362</v>
      </c>
      <c r="D167" s="113">
        <f>ROUND(D164/D165,0)</f>
        <v>357</v>
      </c>
      <c r="E167" s="113">
        <f>ROUND(E164/E165,0)</f>
        <v>353</v>
      </c>
      <c r="F167" s="113">
        <f>ROUND(F164/F165,0)</f>
        <v>348</v>
      </c>
      <c r="G167" s="113"/>
      <c r="H167" s="132"/>
    </row>
    <row r="168" spans="1:8" ht="24.95" customHeight="1">
      <c r="A168" s="866"/>
      <c r="B168" s="113" t="s">
        <v>72</v>
      </c>
      <c r="C168" s="113">
        <v>547</v>
      </c>
      <c r="D168" s="113">
        <v>539</v>
      </c>
      <c r="E168" s="113">
        <v>533</v>
      </c>
      <c r="F168" s="113">
        <v>525</v>
      </c>
      <c r="G168" s="113"/>
      <c r="H168" s="132"/>
    </row>
    <row r="169" spans="1:8" ht="24.95" customHeight="1">
      <c r="A169" s="866" t="s">
        <v>656</v>
      </c>
      <c r="B169" s="113" t="s">
        <v>71</v>
      </c>
      <c r="C169" s="114">
        <f>ROUND((C161*C167)/1000,0)</f>
        <v>1734</v>
      </c>
      <c r="D169" s="114">
        <f>ROUND((D161*D167)/1000,0)</f>
        <v>1855</v>
      </c>
      <c r="E169" s="114">
        <f>ROUND((E161*E167)/1000,0)</f>
        <v>1985</v>
      </c>
      <c r="F169" s="114">
        <f>ROUND((F161*F167)/1000,0)</f>
        <v>2101</v>
      </c>
      <c r="G169" s="113"/>
      <c r="H169" s="132"/>
    </row>
    <row r="170" spans="1:8" ht="24.95" customHeight="1">
      <c r="A170" s="866"/>
      <c r="B170" s="113" t="s">
        <v>72</v>
      </c>
      <c r="C170" s="114">
        <f>ROUND((C161*C168)/1000,0)</f>
        <v>2621</v>
      </c>
      <c r="D170" s="114">
        <f>ROUND((D161*D168)/1000,0)</f>
        <v>2800</v>
      </c>
      <c r="E170" s="114">
        <f>ROUND((E161*E168)/1000,0)</f>
        <v>2997</v>
      </c>
      <c r="F170" s="114">
        <f>ROUND((F161*F168)/1000,0)</f>
        <v>3169</v>
      </c>
      <c r="G170" s="113"/>
      <c r="H170" s="132"/>
    </row>
    <row r="171" spans="1:8" ht="24.95" customHeight="1"/>
    <row r="172" spans="1:8" ht="24.95" customHeight="1">
      <c r="D172" s="124"/>
      <c r="E172" s="124"/>
      <c r="F172" s="124"/>
      <c r="G172" s="124"/>
      <c r="H172" s="133"/>
    </row>
    <row r="173" spans="1:8" ht="24.95" customHeight="1">
      <c r="A173" s="859" t="s">
        <v>0</v>
      </c>
      <c r="B173" s="859"/>
      <c r="C173" s="859"/>
      <c r="D173" s="120" t="s">
        <v>616</v>
      </c>
      <c r="E173" s="120" t="s">
        <v>618</v>
      </c>
      <c r="F173" s="120" t="s">
        <v>620</v>
      </c>
      <c r="G173" s="120" t="s">
        <v>622</v>
      </c>
      <c r="H173" s="119"/>
    </row>
    <row r="174" spans="1:8" ht="24.95" customHeight="1">
      <c r="A174" s="860" t="s">
        <v>674</v>
      </c>
      <c r="B174" s="861"/>
      <c r="C174" s="862"/>
      <c r="D174" s="123">
        <f>D175+D179+D184+D187</f>
        <v>63363</v>
      </c>
      <c r="E174" s="123">
        <f>E175+E179+E184+E187</f>
        <v>66834</v>
      </c>
      <c r="F174" s="123">
        <f>F175+F179+F184+F187</f>
        <v>70186</v>
      </c>
      <c r="G174" s="123">
        <f>G175+G179+G184+G187</f>
        <v>73109</v>
      </c>
      <c r="H174" s="130"/>
    </row>
    <row r="175" spans="1:8" ht="24.95" customHeight="1">
      <c r="A175" s="858" t="s">
        <v>675</v>
      </c>
      <c r="B175" s="859" t="s">
        <v>676</v>
      </c>
      <c r="C175" s="859"/>
      <c r="D175" s="123">
        <f>SUM(D176:D178)</f>
        <v>39692</v>
      </c>
      <c r="E175" s="123">
        <f>SUM(E176:E178)</f>
        <v>41605</v>
      </c>
      <c r="F175" s="123">
        <f>SUM(F176:F178)</f>
        <v>43240</v>
      </c>
      <c r="G175" s="123">
        <f>SUM(G176:G178)</f>
        <v>44677</v>
      </c>
      <c r="H175" s="130"/>
    </row>
    <row r="176" spans="1:8" ht="24.95" customHeight="1">
      <c r="A176" s="859"/>
      <c r="B176" s="121" t="s">
        <v>677</v>
      </c>
      <c r="C176" s="121" t="s">
        <v>678</v>
      </c>
      <c r="D176" s="122">
        <f>C17</f>
        <v>18657</v>
      </c>
      <c r="E176" s="122">
        <f>D17</f>
        <v>19554</v>
      </c>
      <c r="F176" s="122">
        <f>E17</f>
        <v>20217</v>
      </c>
      <c r="G176" s="122">
        <f>F17</f>
        <v>20804</v>
      </c>
      <c r="H176" s="131"/>
    </row>
    <row r="177" spans="1:8" ht="24.95" customHeight="1">
      <c r="A177" s="859"/>
      <c r="B177" s="121" t="s">
        <v>667</v>
      </c>
      <c r="C177" s="121" t="s">
        <v>642</v>
      </c>
      <c r="D177" s="122">
        <f>C34</f>
        <v>13414</v>
      </c>
      <c r="E177" s="122">
        <f>D34</f>
        <v>13928</v>
      </c>
      <c r="F177" s="122">
        <f>E34</f>
        <v>14349</v>
      </c>
      <c r="G177" s="122">
        <f>F34</f>
        <v>14721</v>
      </c>
      <c r="H177" s="131"/>
    </row>
    <row r="178" spans="1:8" ht="24.95" customHeight="1">
      <c r="A178" s="859"/>
      <c r="B178" s="121" t="s">
        <v>668</v>
      </c>
      <c r="C178" s="121" t="s">
        <v>643</v>
      </c>
      <c r="D178" s="122">
        <f>C51</f>
        <v>7621</v>
      </c>
      <c r="E178" s="122">
        <f>D51</f>
        <v>8123</v>
      </c>
      <c r="F178" s="122">
        <f>E51</f>
        <v>8674</v>
      </c>
      <c r="G178" s="122">
        <f>F51</f>
        <v>9152</v>
      </c>
      <c r="H178" s="131"/>
    </row>
    <row r="179" spans="1:8" ht="24.95" customHeight="1">
      <c r="A179" s="863" t="s">
        <v>679</v>
      </c>
      <c r="B179" s="859" t="s">
        <v>676</v>
      </c>
      <c r="C179" s="859"/>
      <c r="D179" s="123">
        <f>SUM(D180:D183)</f>
        <v>14249</v>
      </c>
      <c r="E179" s="123">
        <f>SUM(E180:E183)</f>
        <v>15165</v>
      </c>
      <c r="F179" s="123">
        <f>SUM(F180:F183)</f>
        <v>16176</v>
      </c>
      <c r="G179" s="123">
        <f>SUM(G180:G183)</f>
        <v>17051</v>
      </c>
      <c r="H179" s="130"/>
    </row>
    <row r="180" spans="1:8" ht="24.95" customHeight="1">
      <c r="A180" s="864"/>
      <c r="B180" s="121" t="s">
        <v>680</v>
      </c>
      <c r="C180" s="121" t="s">
        <v>681</v>
      </c>
      <c r="D180" s="122">
        <f>C68</f>
        <v>9711</v>
      </c>
      <c r="E180" s="122">
        <f>D68</f>
        <v>10361</v>
      </c>
      <c r="F180" s="122">
        <f>E68</f>
        <v>11079</v>
      </c>
      <c r="G180" s="122">
        <f>F68</f>
        <v>11700</v>
      </c>
      <c r="H180" s="131"/>
    </row>
    <row r="181" spans="1:8" ht="24.95" customHeight="1">
      <c r="A181" s="864"/>
      <c r="B181" s="121" t="s">
        <v>680</v>
      </c>
      <c r="C181" s="121" t="s">
        <v>682</v>
      </c>
      <c r="D181" s="122">
        <f>C119</f>
        <v>897</v>
      </c>
      <c r="E181" s="122">
        <f>D119</f>
        <v>958</v>
      </c>
      <c r="F181" s="122">
        <f>E119</f>
        <v>1026</v>
      </c>
      <c r="G181" s="122">
        <f>F119</f>
        <v>1085</v>
      </c>
      <c r="H181" s="131"/>
    </row>
    <row r="182" spans="1:8" ht="24.95" customHeight="1">
      <c r="A182" s="864"/>
      <c r="B182" s="121" t="s">
        <v>683</v>
      </c>
      <c r="C182" s="121" t="s">
        <v>684</v>
      </c>
      <c r="D182" s="122">
        <f>C85</f>
        <v>1132</v>
      </c>
      <c r="E182" s="122">
        <f>D85</f>
        <v>1211</v>
      </c>
      <c r="F182" s="122">
        <f>E85</f>
        <v>1296</v>
      </c>
      <c r="G182" s="122">
        <f>F85</f>
        <v>1371</v>
      </c>
      <c r="H182" s="131"/>
    </row>
    <row r="183" spans="1:8" ht="24.95" customHeight="1">
      <c r="A183" s="864"/>
      <c r="B183" s="121" t="s">
        <v>683</v>
      </c>
      <c r="C183" s="121" t="s">
        <v>685</v>
      </c>
      <c r="D183" s="122">
        <f>C102</f>
        <v>2509</v>
      </c>
      <c r="E183" s="122">
        <f>D102</f>
        <v>2635</v>
      </c>
      <c r="F183" s="122">
        <f>E102</f>
        <v>2775</v>
      </c>
      <c r="G183" s="122">
        <f>F102</f>
        <v>2895</v>
      </c>
      <c r="H183" s="131"/>
    </row>
    <row r="184" spans="1:8" ht="24.95" customHeight="1">
      <c r="A184" s="858" t="s">
        <v>686</v>
      </c>
      <c r="B184" s="859" t="s">
        <v>676</v>
      </c>
      <c r="C184" s="859"/>
      <c r="D184" s="123">
        <f>SUM(D185:D186)</f>
        <v>6801</v>
      </c>
      <c r="E184" s="123">
        <f>SUM(E185:E186)</f>
        <v>7264</v>
      </c>
      <c r="F184" s="123">
        <f>SUM(F185:F186)</f>
        <v>7773</v>
      </c>
      <c r="G184" s="123">
        <f>SUM(G185:G186)</f>
        <v>8212</v>
      </c>
      <c r="H184" s="130"/>
    </row>
    <row r="185" spans="1:8" ht="24.95" customHeight="1">
      <c r="A185" s="859"/>
      <c r="B185" s="121" t="s">
        <v>687</v>
      </c>
      <c r="C185" s="121" t="s">
        <v>688</v>
      </c>
      <c r="D185" s="122">
        <f>C136</f>
        <v>3027</v>
      </c>
      <c r="E185" s="122">
        <f>D136</f>
        <v>3229</v>
      </c>
      <c r="F185" s="122">
        <f>E136</f>
        <v>3451</v>
      </c>
      <c r="G185" s="122">
        <f>F136</f>
        <v>3644</v>
      </c>
      <c r="H185" s="131"/>
    </row>
    <row r="186" spans="1:8" ht="24.95" customHeight="1">
      <c r="A186" s="859"/>
      <c r="B186" s="121" t="s">
        <v>687</v>
      </c>
      <c r="C186" s="121" t="s">
        <v>689</v>
      </c>
      <c r="D186" s="122">
        <f>C153</f>
        <v>3774</v>
      </c>
      <c r="E186" s="122">
        <f>D153</f>
        <v>4035</v>
      </c>
      <c r="F186" s="122">
        <f>E153</f>
        <v>4322</v>
      </c>
      <c r="G186" s="122">
        <f>F153</f>
        <v>4568</v>
      </c>
      <c r="H186" s="131"/>
    </row>
    <row r="187" spans="1:8" ht="24.95" customHeight="1">
      <c r="A187" s="858" t="s">
        <v>690</v>
      </c>
      <c r="B187" s="859" t="s">
        <v>676</v>
      </c>
      <c r="C187" s="859"/>
      <c r="D187" s="123">
        <f>SUM(D188)</f>
        <v>2621</v>
      </c>
      <c r="E187" s="123">
        <f>SUM(E188)</f>
        <v>2800</v>
      </c>
      <c r="F187" s="123">
        <f>SUM(F188)</f>
        <v>2997</v>
      </c>
      <c r="G187" s="123">
        <f>SUM(G188)</f>
        <v>3169</v>
      </c>
      <c r="H187" s="130"/>
    </row>
    <row r="188" spans="1:8" ht="24.95" customHeight="1">
      <c r="A188" s="859"/>
      <c r="B188" s="121" t="s">
        <v>667</v>
      </c>
      <c r="C188" s="121" t="s">
        <v>691</v>
      </c>
      <c r="D188" s="122">
        <f>C170</f>
        <v>2621</v>
      </c>
      <c r="E188" s="122">
        <f>D170</f>
        <v>2800</v>
      </c>
      <c r="F188" s="122">
        <f>E170</f>
        <v>2997</v>
      </c>
      <c r="G188" s="122">
        <f>F170</f>
        <v>3169</v>
      </c>
      <c r="H188" s="131"/>
    </row>
    <row r="189" spans="1:8" ht="24.95" customHeight="1"/>
    <row r="190" spans="1:8" ht="24.95" customHeight="1"/>
    <row r="191" spans="1:8" ht="24.95" customHeight="1">
      <c r="C191" s="138">
        <f>C169+C152+C135+C118+C101+C84+C67+C50+C33+C16</f>
        <v>42826</v>
      </c>
      <c r="D191" s="138">
        <f>D169+D152+D135+D118+D101+D84+D67+D50+D33+D16</f>
        <v>45176</v>
      </c>
      <c r="E191" s="138">
        <f>E169+E152+E135+E118+E101+E84+E67+E50+E33+E16</f>
        <v>47417</v>
      </c>
      <c r="F191" s="138">
        <f>F169+F152+F135+F118+F101+F84+F67+F50+F33+F16</f>
        <v>49394</v>
      </c>
    </row>
    <row r="192" spans="1:8" ht="24.95" customHeight="1"/>
    <row r="193" ht="24.95" customHeight="1"/>
    <row r="194" ht="24.95" customHeight="1"/>
    <row r="195" ht="24.95" customHeight="1"/>
    <row r="196" ht="24.95" customHeight="1"/>
    <row r="197" ht="24.95" customHeight="1"/>
    <row r="198" ht="24.95" customHeight="1"/>
    <row r="199" ht="24.95" customHeight="1"/>
    <row r="200" ht="24.95" customHeight="1"/>
    <row r="201" ht="24.95" customHeight="1"/>
    <row r="202" ht="24.95" customHeight="1"/>
    <row r="203" ht="24.95" customHeight="1"/>
    <row r="204" ht="24.95" customHeight="1"/>
    <row r="205" ht="24.95" customHeight="1"/>
    <row r="206" ht="24.95" customHeight="1"/>
    <row r="207" ht="24.95" customHeight="1"/>
    <row r="208" ht="24.95" customHeight="1"/>
    <row r="209" ht="24.95" customHeight="1"/>
    <row r="210" ht="24.95" customHeight="1"/>
    <row r="211" ht="24.95" customHeight="1"/>
    <row r="212" ht="24.95" customHeight="1"/>
    <row r="213" ht="24.95" customHeight="1"/>
    <row r="214" ht="24.95" customHeight="1"/>
    <row r="215" ht="24.95" customHeight="1"/>
    <row r="216" ht="24.95" customHeight="1"/>
    <row r="217" ht="24.95" customHeight="1"/>
    <row r="218" ht="24.95" customHeight="1"/>
    <row r="219" ht="24.95" customHeight="1"/>
    <row r="220" ht="24.95" customHeight="1"/>
    <row r="221" ht="24.95" customHeight="1"/>
    <row r="222" ht="24.95" customHeight="1"/>
    <row r="223" ht="24.95" customHeight="1"/>
    <row r="224" ht="24.95" customHeight="1"/>
    <row r="225" ht="24.95" customHeight="1"/>
    <row r="226" ht="24.95" customHeight="1"/>
    <row r="227" ht="24.95" customHeight="1"/>
    <row r="228" ht="24.95" customHeight="1"/>
    <row r="229" ht="24.95" customHeight="1"/>
    <row r="230" ht="24.95" customHeight="1"/>
    <row r="231" ht="24.95" customHeight="1"/>
    <row r="232" ht="24.95" customHeight="1"/>
    <row r="233" ht="24.95" customHeight="1"/>
    <row r="234" ht="24.95" customHeight="1"/>
    <row r="235" ht="24.95" customHeight="1"/>
    <row r="236" ht="24.95" customHeight="1"/>
    <row r="237" ht="24.95" customHeight="1"/>
    <row r="238" ht="24.95" customHeight="1"/>
    <row r="239" ht="24.95" customHeight="1"/>
    <row r="240" ht="24.95" customHeight="1"/>
    <row r="241" ht="24.95" customHeight="1"/>
    <row r="242" ht="24.95" customHeight="1"/>
    <row r="243" ht="24.95" customHeight="1"/>
    <row r="244" ht="24.95" customHeight="1"/>
    <row r="245" ht="24.95" customHeight="1"/>
    <row r="246" ht="24.95" customHeight="1"/>
    <row r="247" ht="24.95" customHeight="1"/>
    <row r="248" ht="24.95" customHeight="1"/>
    <row r="249" ht="24.95" customHeight="1"/>
    <row r="250" ht="24.95" customHeight="1"/>
    <row r="251" ht="24.95" customHeight="1"/>
    <row r="252" ht="24.95" customHeight="1"/>
    <row r="253" ht="24.95" customHeight="1"/>
    <row r="254" ht="24.95" customHeight="1"/>
    <row r="255" ht="24.95" customHeight="1"/>
    <row r="256" ht="24.95" customHeight="1"/>
    <row r="257" ht="24.95" customHeight="1"/>
    <row r="258" ht="24.95" customHeight="1"/>
    <row r="259" ht="24.95" customHeight="1"/>
    <row r="260" ht="24.95" customHeight="1"/>
    <row r="261" ht="24.95" customHeight="1"/>
    <row r="262" ht="24.95" customHeight="1"/>
    <row r="263" ht="24.95" customHeight="1"/>
    <row r="264" ht="24.95" customHeight="1"/>
    <row r="265" ht="24.95" customHeight="1"/>
    <row r="266" ht="24.95" customHeight="1"/>
    <row r="267" ht="24.95" customHeight="1"/>
    <row r="268" ht="24.95" customHeight="1"/>
    <row r="269" ht="24.95" customHeight="1"/>
    <row r="270" ht="24.95" customHeight="1"/>
    <row r="271" ht="24.95" customHeight="1"/>
    <row r="272" ht="24.95" customHeight="1"/>
    <row r="273" ht="24.95" customHeight="1"/>
    <row r="274" ht="24.95" customHeight="1"/>
    <row r="275" ht="24.95" customHeight="1"/>
    <row r="276" ht="24.95" customHeight="1"/>
    <row r="277" ht="24.95" customHeight="1"/>
    <row r="278" ht="24.95" customHeight="1"/>
    <row r="279" ht="24.95" customHeight="1"/>
    <row r="280" ht="24.95" customHeight="1"/>
    <row r="281" ht="24.95" customHeight="1"/>
    <row r="282" ht="24.95" customHeight="1"/>
    <row r="283" ht="24.95" customHeight="1"/>
    <row r="284" ht="24.95" customHeight="1"/>
    <row r="285" ht="24.95" customHeight="1"/>
    <row r="286" ht="24.95" customHeight="1"/>
    <row r="287" ht="24.95" customHeight="1"/>
    <row r="288" ht="24.95" customHeight="1"/>
    <row r="289" ht="24.95" customHeight="1"/>
    <row r="290" ht="24.95" customHeight="1"/>
    <row r="291" ht="24.95" customHeight="1"/>
    <row r="292" ht="24.95" customHeight="1"/>
    <row r="293" ht="24.95" customHeight="1"/>
    <row r="294" ht="24.95" customHeight="1"/>
    <row r="295" ht="24.95" customHeight="1"/>
    <row r="296" ht="24.95" customHeight="1"/>
    <row r="297" ht="24.95" customHeight="1"/>
    <row r="298" ht="24.95" customHeight="1"/>
    <row r="299" ht="24.95" customHeight="1"/>
    <row r="300" ht="24.95" customHeight="1"/>
    <row r="301" ht="24.95" customHeight="1"/>
    <row r="302" ht="24.95" customHeight="1"/>
    <row r="303" ht="24.95" customHeight="1"/>
    <row r="304" ht="24.95" customHeight="1"/>
    <row r="305" ht="24.95" customHeight="1"/>
    <row r="306" ht="24.95" customHeight="1"/>
    <row r="307" ht="24.95" customHeight="1"/>
    <row r="308" ht="24.95" customHeight="1"/>
    <row r="309" ht="24.95" customHeight="1"/>
    <row r="310" ht="24.95" customHeight="1"/>
    <row r="311" ht="24.95" customHeight="1"/>
    <row r="312" ht="24.95" customHeight="1"/>
    <row r="313" ht="24.95" customHeight="1"/>
    <row r="314" ht="24.95" customHeight="1"/>
    <row r="315" ht="24.95" customHeight="1"/>
    <row r="316" ht="24.95" customHeight="1"/>
    <row r="317" ht="24.95" customHeight="1"/>
    <row r="318" ht="24.95" customHeight="1"/>
    <row r="319" ht="24.95" customHeight="1"/>
    <row r="320" ht="24.95" customHeight="1"/>
    <row r="321" ht="24.95" customHeight="1"/>
    <row r="322" ht="24.95" customHeight="1"/>
    <row r="323" ht="24.95" customHeight="1"/>
    <row r="324" ht="24.95" customHeight="1"/>
    <row r="325" ht="24.95" customHeight="1"/>
    <row r="326" ht="24.95" customHeight="1"/>
    <row r="327" ht="24.95" customHeight="1"/>
    <row r="328" ht="24.95" customHeight="1"/>
    <row r="329" ht="24.95" customHeight="1"/>
    <row r="330" ht="24.95" customHeight="1"/>
    <row r="331" ht="24.95" customHeight="1"/>
    <row r="332" ht="24.95" customHeight="1"/>
    <row r="333" ht="24.95" customHeight="1"/>
    <row r="334" ht="24.95" customHeight="1"/>
    <row r="335" ht="24.95" customHeight="1"/>
    <row r="336" ht="24.95" customHeight="1"/>
    <row r="337" ht="24.95" customHeight="1"/>
    <row r="338" ht="24.95" customHeight="1"/>
    <row r="339" ht="24.95" customHeight="1"/>
    <row r="340" ht="24.95" customHeight="1"/>
    <row r="341" ht="24.95" customHeight="1"/>
    <row r="342" ht="24.95" customHeight="1"/>
    <row r="343" ht="24.95" customHeight="1"/>
    <row r="344" ht="24.95" customHeight="1"/>
    <row r="345" ht="24.95" customHeight="1"/>
    <row r="346" ht="24.95" customHeight="1"/>
    <row r="347" ht="24.95" customHeight="1"/>
    <row r="348" ht="24.95" customHeight="1"/>
    <row r="349" ht="24.95" customHeight="1"/>
    <row r="350" ht="24.95" customHeight="1"/>
    <row r="351" ht="24.95" customHeight="1"/>
    <row r="352" ht="24.95" customHeight="1"/>
    <row r="353" ht="24.95" customHeight="1"/>
    <row r="354" ht="24.95" customHeight="1"/>
    <row r="355" ht="24.95" customHeight="1"/>
    <row r="356" ht="24.95" customHeight="1"/>
    <row r="357" ht="24.95" customHeight="1"/>
    <row r="358" ht="24.95" customHeight="1"/>
    <row r="359" ht="24.95" customHeight="1"/>
    <row r="360" ht="24.95" customHeight="1"/>
    <row r="361" ht="24.95" customHeight="1"/>
    <row r="362" ht="24.95" customHeight="1"/>
    <row r="363" ht="24.95" customHeight="1"/>
    <row r="364" ht="24.95" customHeight="1"/>
    <row r="365" ht="24.95" customHeight="1"/>
    <row r="366" ht="24.95" customHeight="1"/>
    <row r="367" ht="24.95" customHeight="1"/>
    <row r="368" ht="24.95" customHeight="1"/>
    <row r="369" ht="24.95" customHeight="1"/>
    <row r="370" ht="24.95" customHeight="1"/>
    <row r="371" ht="24.95" customHeight="1"/>
    <row r="372" ht="24.95" customHeight="1"/>
    <row r="373" ht="24.95" customHeight="1"/>
    <row r="374" ht="24.95" customHeight="1"/>
    <row r="375" ht="24.95" customHeight="1"/>
    <row r="376" ht="24.95" customHeight="1"/>
  </sheetData>
  <mergeCells count="120">
    <mergeCell ref="A46:B46"/>
    <mergeCell ref="A31:A32"/>
    <mergeCell ref="A33:A34"/>
    <mergeCell ref="A36:B36"/>
    <mergeCell ref="A37:A39"/>
    <mergeCell ref="A40:A41"/>
    <mergeCell ref="A20:A22"/>
    <mergeCell ref="A23:A24"/>
    <mergeCell ref="A25:A27"/>
    <mergeCell ref="A28:B28"/>
    <mergeCell ref="A29:B29"/>
    <mergeCell ref="A30:B30"/>
    <mergeCell ref="A2:B2"/>
    <mergeCell ref="A59:A61"/>
    <mergeCell ref="A62:B62"/>
    <mergeCell ref="A63:B63"/>
    <mergeCell ref="A64:B64"/>
    <mergeCell ref="A65:A66"/>
    <mergeCell ref="A67:A68"/>
    <mergeCell ref="A47:B47"/>
    <mergeCell ref="A48:A49"/>
    <mergeCell ref="A50:A51"/>
    <mergeCell ref="A53:B53"/>
    <mergeCell ref="A54:A56"/>
    <mergeCell ref="A57:A58"/>
    <mergeCell ref="A14:A15"/>
    <mergeCell ref="A16:A17"/>
    <mergeCell ref="A8:A10"/>
    <mergeCell ref="A6:A7"/>
    <mergeCell ref="A3:A5"/>
    <mergeCell ref="A19:B19"/>
    <mergeCell ref="A11:B11"/>
    <mergeCell ref="A12:B12"/>
    <mergeCell ref="A13:B13"/>
    <mergeCell ref="A42:A44"/>
    <mergeCell ref="A45:B45"/>
    <mergeCell ref="A81:B81"/>
    <mergeCell ref="A82:A83"/>
    <mergeCell ref="A84:A85"/>
    <mergeCell ref="A87:B87"/>
    <mergeCell ref="A88:A90"/>
    <mergeCell ref="A91:A92"/>
    <mergeCell ref="A70:B70"/>
    <mergeCell ref="A71:A73"/>
    <mergeCell ref="A74:A75"/>
    <mergeCell ref="A76:A78"/>
    <mergeCell ref="A79:B79"/>
    <mergeCell ref="A80:B80"/>
    <mergeCell ref="A104:B104"/>
    <mergeCell ref="A105:A107"/>
    <mergeCell ref="A108:A109"/>
    <mergeCell ref="A110:A112"/>
    <mergeCell ref="A113:B113"/>
    <mergeCell ref="A114:B114"/>
    <mergeCell ref="A93:A95"/>
    <mergeCell ref="A96:B96"/>
    <mergeCell ref="A97:B97"/>
    <mergeCell ref="A98:B98"/>
    <mergeCell ref="A99:A100"/>
    <mergeCell ref="A101:A102"/>
    <mergeCell ref="A127:A129"/>
    <mergeCell ref="A130:B130"/>
    <mergeCell ref="A131:B131"/>
    <mergeCell ref="A132:B132"/>
    <mergeCell ref="A133:A134"/>
    <mergeCell ref="A135:A136"/>
    <mergeCell ref="A115:B115"/>
    <mergeCell ref="A116:A117"/>
    <mergeCell ref="A118:A119"/>
    <mergeCell ref="A121:B121"/>
    <mergeCell ref="A122:A124"/>
    <mergeCell ref="A125:A126"/>
    <mergeCell ref="A155:B155"/>
    <mergeCell ref="A156:A158"/>
    <mergeCell ref="A159:A160"/>
    <mergeCell ref="A138:B138"/>
    <mergeCell ref="A139:A141"/>
    <mergeCell ref="A142:A143"/>
    <mergeCell ref="A144:A146"/>
    <mergeCell ref="A147:B147"/>
    <mergeCell ref="A148:B148"/>
    <mergeCell ref="A184:A186"/>
    <mergeCell ref="B184:C184"/>
    <mergeCell ref="A174:C174"/>
    <mergeCell ref="B179:C179"/>
    <mergeCell ref="A179:A183"/>
    <mergeCell ref="A187:A188"/>
    <mergeCell ref="B187:C187"/>
    <mergeCell ref="I20:J20"/>
    <mergeCell ref="H41:H51"/>
    <mergeCell ref="I41:J41"/>
    <mergeCell ref="H52:H57"/>
    <mergeCell ref="I52:J52"/>
    <mergeCell ref="A173:C173"/>
    <mergeCell ref="B175:C175"/>
    <mergeCell ref="A175:A178"/>
    <mergeCell ref="A161:A163"/>
    <mergeCell ref="A164:B164"/>
    <mergeCell ref="A165:B165"/>
    <mergeCell ref="A166:B166"/>
    <mergeCell ref="A167:A168"/>
    <mergeCell ref="A169:A170"/>
    <mergeCell ref="A149:B149"/>
    <mergeCell ref="A150:A151"/>
    <mergeCell ref="A152:A153"/>
    <mergeCell ref="H2:J2"/>
    <mergeCell ref="H3:J3"/>
    <mergeCell ref="I53:I57"/>
    <mergeCell ref="I47:I51"/>
    <mergeCell ref="I42:I46"/>
    <mergeCell ref="I36:I40"/>
    <mergeCell ref="H4:H19"/>
    <mergeCell ref="H20:H40"/>
    <mergeCell ref="I31:I35"/>
    <mergeCell ref="I26:I30"/>
    <mergeCell ref="I21:I25"/>
    <mergeCell ref="I15:I19"/>
    <mergeCell ref="I10:I14"/>
    <mergeCell ref="I5:I9"/>
    <mergeCell ref="I4:J4"/>
  </mergeCells>
  <phoneticPr fontId="3" type="noConversion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>
  <dimension ref="A1:V78"/>
  <sheetViews>
    <sheetView workbookViewId="0"/>
  </sheetViews>
  <sheetFormatPr defaultRowHeight="11.25"/>
  <cols>
    <col min="1" max="3" width="9.109375" style="15" customWidth="1"/>
    <col min="4" max="14" width="5.88671875" style="15" customWidth="1"/>
    <col min="15" max="26" width="9.109375" style="15" customWidth="1"/>
    <col min="27" max="16384" width="8.88671875" style="15"/>
  </cols>
  <sheetData>
    <row r="1" spans="1:14" ht="24.95" customHeight="1"/>
    <row r="2" spans="1:14" ht="24.95" customHeight="1">
      <c r="A2" s="782" t="s">
        <v>55</v>
      </c>
      <c r="B2" s="782"/>
      <c r="C2" s="782"/>
      <c r="D2" s="782" t="s">
        <v>377</v>
      </c>
      <c r="E2" s="782"/>
      <c r="F2" s="782"/>
      <c r="G2" s="782"/>
      <c r="H2" s="782"/>
      <c r="I2" s="782" t="s">
        <v>384</v>
      </c>
      <c r="J2" s="782"/>
      <c r="K2" s="782"/>
      <c r="L2" s="782"/>
      <c r="M2" s="782"/>
      <c r="N2" s="10" t="s">
        <v>74</v>
      </c>
    </row>
    <row r="3" spans="1:14" ht="24.95" customHeight="1">
      <c r="A3" s="782" t="s">
        <v>375</v>
      </c>
      <c r="B3" s="782"/>
      <c r="C3" s="782"/>
      <c r="D3" s="10" t="s">
        <v>378</v>
      </c>
      <c r="E3" s="10" t="s">
        <v>379</v>
      </c>
      <c r="F3" s="10" t="s">
        <v>380</v>
      </c>
      <c r="G3" s="10" t="s">
        <v>381</v>
      </c>
      <c r="H3" s="10" t="s">
        <v>382</v>
      </c>
      <c r="I3" s="10" t="s">
        <v>378</v>
      </c>
      <c r="J3" s="10" t="s">
        <v>379</v>
      </c>
      <c r="K3" s="10" t="s">
        <v>380</v>
      </c>
      <c r="L3" s="10" t="s">
        <v>381</v>
      </c>
      <c r="M3" s="10" t="s">
        <v>382</v>
      </c>
      <c r="N3" s="10"/>
    </row>
    <row r="4" spans="1:14" ht="24.95" customHeight="1">
      <c r="A4" s="782"/>
      <c r="B4" s="782"/>
      <c r="C4" s="782"/>
      <c r="D4" s="10" t="s">
        <v>383</v>
      </c>
      <c r="E4" s="10" t="s">
        <v>114</v>
      </c>
      <c r="F4" s="10" t="s">
        <v>115</v>
      </c>
      <c r="G4" s="10" t="s">
        <v>116</v>
      </c>
      <c r="H4" s="10" t="s">
        <v>117</v>
      </c>
      <c r="I4" s="10" t="s">
        <v>388</v>
      </c>
      <c r="J4" s="10" t="s">
        <v>114</v>
      </c>
      <c r="K4" s="10" t="s">
        <v>115</v>
      </c>
      <c r="L4" s="10" t="s">
        <v>116</v>
      </c>
      <c r="M4" s="10" t="s">
        <v>117</v>
      </c>
      <c r="N4" s="10"/>
    </row>
    <row r="5" spans="1:14" ht="24.95" customHeight="1">
      <c r="A5" s="782" t="s">
        <v>376</v>
      </c>
      <c r="B5" s="782"/>
      <c r="C5" s="782"/>
      <c r="D5" s="782"/>
      <c r="E5" s="782"/>
      <c r="F5" s="782"/>
      <c r="G5" s="782"/>
      <c r="H5" s="782"/>
      <c r="I5" s="782"/>
      <c r="J5" s="782"/>
      <c r="K5" s="782"/>
      <c r="L5" s="782"/>
      <c r="M5" s="782"/>
      <c r="N5" s="10"/>
    </row>
    <row r="6" spans="1:14" ht="24.95" customHeight="1">
      <c r="A6" s="782" t="s">
        <v>385</v>
      </c>
      <c r="B6" s="782"/>
      <c r="C6" s="10" t="s">
        <v>386</v>
      </c>
      <c r="D6" s="6">
        <v>31705</v>
      </c>
      <c r="E6" s="6">
        <v>34966</v>
      </c>
      <c r="F6" s="6">
        <v>33688</v>
      </c>
      <c r="G6" s="6">
        <v>32388</v>
      </c>
      <c r="H6" s="6">
        <v>31088</v>
      </c>
      <c r="I6" s="6">
        <v>32175</v>
      </c>
      <c r="J6" s="6">
        <v>34691</v>
      </c>
      <c r="K6" s="6">
        <v>33452</v>
      </c>
      <c r="L6" s="6">
        <v>32152</v>
      </c>
      <c r="M6" s="6">
        <v>30652</v>
      </c>
      <c r="N6" s="10"/>
    </row>
    <row r="7" spans="1:14" ht="24.95" customHeight="1">
      <c r="A7" s="782"/>
      <c r="B7" s="782"/>
      <c r="C7" s="10" t="s">
        <v>387</v>
      </c>
      <c r="D7" s="70">
        <v>69.8</v>
      </c>
      <c r="E7" s="70">
        <v>84.1</v>
      </c>
      <c r="F7" s="70">
        <v>88.3</v>
      </c>
      <c r="G7" s="70">
        <v>92.3</v>
      </c>
      <c r="H7" s="70">
        <v>96.2</v>
      </c>
      <c r="I7" s="70">
        <v>71.099999999999994</v>
      </c>
      <c r="J7" s="70">
        <v>82.5</v>
      </c>
      <c r="K7" s="70">
        <v>87</v>
      </c>
      <c r="L7" s="70">
        <v>91.4</v>
      </c>
      <c r="M7" s="70">
        <v>95.7</v>
      </c>
      <c r="N7" s="10"/>
    </row>
    <row r="8" spans="1:14" ht="24.95" customHeight="1">
      <c r="A8" s="782"/>
      <c r="B8" s="782"/>
      <c r="C8" s="10" t="s">
        <v>50</v>
      </c>
      <c r="D8" s="6">
        <v>22143</v>
      </c>
      <c r="E8" s="6">
        <v>29406</v>
      </c>
      <c r="F8" s="6">
        <v>29743</v>
      </c>
      <c r="G8" s="6">
        <v>29888</v>
      </c>
      <c r="H8" s="6">
        <v>29903</v>
      </c>
      <c r="I8" s="6">
        <v>22879</v>
      </c>
      <c r="J8" s="6">
        <v>28631</v>
      </c>
      <c r="K8" s="6">
        <v>29117</v>
      </c>
      <c r="L8" s="6">
        <v>29392</v>
      </c>
      <c r="M8" s="6">
        <v>29347</v>
      </c>
      <c r="N8" s="10"/>
    </row>
    <row r="9" spans="1:14" ht="24.95" customHeight="1">
      <c r="A9" s="781" t="s">
        <v>391</v>
      </c>
      <c r="B9" s="781" t="s">
        <v>98</v>
      </c>
      <c r="C9" s="10" t="s">
        <v>392</v>
      </c>
      <c r="D9" s="782" t="s">
        <v>393</v>
      </c>
      <c r="E9" s="782">
        <v>353</v>
      </c>
      <c r="F9" s="782">
        <v>365</v>
      </c>
      <c r="G9" s="782">
        <v>375</v>
      </c>
      <c r="H9" s="782">
        <v>382</v>
      </c>
      <c r="I9" s="782" t="s">
        <v>393</v>
      </c>
      <c r="J9" s="10"/>
      <c r="K9" s="10"/>
      <c r="L9" s="10"/>
      <c r="M9" s="10"/>
      <c r="N9" s="10"/>
    </row>
    <row r="10" spans="1:14" ht="24.95" customHeight="1">
      <c r="A10" s="781"/>
      <c r="B10" s="781"/>
      <c r="C10" s="10" t="s">
        <v>389</v>
      </c>
      <c r="D10" s="782"/>
      <c r="E10" s="782"/>
      <c r="F10" s="782"/>
      <c r="G10" s="782"/>
      <c r="H10" s="782"/>
      <c r="I10" s="782"/>
      <c r="J10" s="10">
        <v>279</v>
      </c>
      <c r="K10" s="10">
        <v>289</v>
      </c>
      <c r="L10" s="10">
        <v>296</v>
      </c>
      <c r="M10" s="10">
        <v>303</v>
      </c>
      <c r="N10" s="10"/>
    </row>
    <row r="11" spans="1:14" ht="24.95" customHeight="1">
      <c r="A11" s="782"/>
      <c r="B11" s="782"/>
      <c r="C11" s="10" t="s">
        <v>90</v>
      </c>
      <c r="D11" s="782"/>
      <c r="E11" s="782"/>
      <c r="F11" s="782"/>
      <c r="G11" s="782"/>
      <c r="H11" s="782"/>
      <c r="I11" s="782"/>
      <c r="J11" s="10">
        <v>235</v>
      </c>
      <c r="K11" s="10">
        <v>250</v>
      </c>
      <c r="L11" s="10">
        <v>265</v>
      </c>
      <c r="M11" s="10">
        <v>278</v>
      </c>
      <c r="N11" s="10"/>
    </row>
    <row r="12" spans="1:14" ht="24.95" customHeight="1">
      <c r="A12" s="782"/>
      <c r="B12" s="782" t="s">
        <v>390</v>
      </c>
      <c r="C12" s="782"/>
      <c r="D12" s="10" t="s">
        <v>393</v>
      </c>
      <c r="E12" s="10">
        <v>70</v>
      </c>
      <c r="F12" s="10">
        <v>75</v>
      </c>
      <c r="G12" s="10">
        <v>80</v>
      </c>
      <c r="H12" s="10">
        <v>85</v>
      </c>
      <c r="I12" s="10" t="s">
        <v>393</v>
      </c>
      <c r="J12" s="10">
        <v>65</v>
      </c>
      <c r="K12" s="10">
        <v>70</v>
      </c>
      <c r="L12" s="10">
        <v>75</v>
      </c>
      <c r="M12" s="10">
        <v>80</v>
      </c>
      <c r="N12" s="10"/>
    </row>
    <row r="13" spans="1:14" ht="24.95" customHeight="1">
      <c r="A13" s="782"/>
      <c r="B13" s="781" t="s">
        <v>93</v>
      </c>
      <c r="C13" s="10" t="s">
        <v>392</v>
      </c>
      <c r="D13" s="782" t="s">
        <v>393</v>
      </c>
      <c r="E13" s="782">
        <v>353</v>
      </c>
      <c r="F13" s="782">
        <v>365</v>
      </c>
      <c r="G13" s="782">
        <v>375</v>
      </c>
      <c r="H13" s="782">
        <v>382</v>
      </c>
      <c r="I13" s="782" t="s">
        <v>393</v>
      </c>
      <c r="J13" s="10"/>
      <c r="K13" s="10"/>
      <c r="L13" s="10"/>
      <c r="M13" s="10"/>
      <c r="N13" s="10"/>
    </row>
    <row r="14" spans="1:14" ht="24.95" customHeight="1">
      <c r="A14" s="782"/>
      <c r="B14" s="781"/>
      <c r="C14" s="10" t="s">
        <v>389</v>
      </c>
      <c r="D14" s="782"/>
      <c r="E14" s="782"/>
      <c r="F14" s="782"/>
      <c r="G14" s="782"/>
      <c r="H14" s="782"/>
      <c r="I14" s="782"/>
      <c r="J14" s="10">
        <v>429</v>
      </c>
      <c r="K14" s="10">
        <v>413</v>
      </c>
      <c r="L14" s="10">
        <v>395</v>
      </c>
      <c r="M14" s="10">
        <v>379</v>
      </c>
      <c r="N14" s="10"/>
    </row>
    <row r="15" spans="1:14" ht="24.95" customHeight="1">
      <c r="A15" s="782"/>
      <c r="B15" s="782"/>
      <c r="C15" s="10" t="s">
        <v>90</v>
      </c>
      <c r="D15" s="782"/>
      <c r="E15" s="782"/>
      <c r="F15" s="782"/>
      <c r="G15" s="782"/>
      <c r="H15" s="782"/>
      <c r="I15" s="782"/>
      <c r="J15" s="10">
        <v>362</v>
      </c>
      <c r="K15" s="10">
        <v>357</v>
      </c>
      <c r="L15" s="10">
        <v>353</v>
      </c>
      <c r="M15" s="10">
        <v>348</v>
      </c>
      <c r="N15" s="10"/>
    </row>
    <row r="16" spans="1:14" ht="24.95" customHeight="1">
      <c r="A16" s="782"/>
      <c r="B16" s="781" t="s">
        <v>94</v>
      </c>
      <c r="C16" s="10" t="s">
        <v>389</v>
      </c>
      <c r="D16" s="782" t="s">
        <v>393</v>
      </c>
      <c r="E16" s="782">
        <v>1.51</v>
      </c>
      <c r="F16" s="782">
        <v>1.51</v>
      </c>
      <c r="G16" s="782">
        <v>1.51</v>
      </c>
      <c r="H16" s="782">
        <v>1.51</v>
      </c>
      <c r="I16" s="782" t="s">
        <v>393</v>
      </c>
      <c r="J16" s="10">
        <v>1.45</v>
      </c>
      <c r="K16" s="10">
        <v>1.45</v>
      </c>
      <c r="L16" s="10">
        <v>1.45</v>
      </c>
      <c r="M16" s="10">
        <v>1.45</v>
      </c>
      <c r="N16" s="10"/>
    </row>
    <row r="17" spans="1:14" ht="24.95" customHeight="1">
      <c r="A17" s="782"/>
      <c r="B17" s="782"/>
      <c r="C17" s="10" t="s">
        <v>90</v>
      </c>
      <c r="D17" s="782"/>
      <c r="E17" s="782"/>
      <c r="F17" s="782"/>
      <c r="G17" s="782"/>
      <c r="H17" s="782"/>
      <c r="I17" s="782"/>
      <c r="J17" s="10">
        <v>1.51</v>
      </c>
      <c r="K17" s="10">
        <v>1.51</v>
      </c>
      <c r="L17" s="10">
        <v>1.51</v>
      </c>
      <c r="M17" s="10">
        <v>1.51</v>
      </c>
      <c r="N17" s="10"/>
    </row>
    <row r="18" spans="1:14" ht="24.95" customHeight="1">
      <c r="A18" s="782"/>
      <c r="B18" s="781" t="s">
        <v>95</v>
      </c>
      <c r="C18" s="10" t="s">
        <v>392</v>
      </c>
      <c r="D18" s="782" t="s">
        <v>393</v>
      </c>
      <c r="E18" s="782">
        <v>533</v>
      </c>
      <c r="F18" s="782">
        <v>551</v>
      </c>
      <c r="G18" s="782">
        <v>566</v>
      </c>
      <c r="H18" s="782">
        <v>577</v>
      </c>
      <c r="I18" s="782" t="s">
        <v>393</v>
      </c>
      <c r="J18" s="10"/>
      <c r="K18" s="10"/>
      <c r="L18" s="10"/>
      <c r="M18" s="10"/>
      <c r="N18" s="10"/>
    </row>
    <row r="19" spans="1:14" ht="24.95" customHeight="1">
      <c r="A19" s="782"/>
      <c r="B19" s="781"/>
      <c r="C19" s="10" t="s">
        <v>389</v>
      </c>
      <c r="D19" s="782"/>
      <c r="E19" s="782"/>
      <c r="F19" s="782"/>
      <c r="G19" s="782"/>
      <c r="H19" s="782"/>
      <c r="I19" s="782"/>
      <c r="J19" s="10">
        <v>622</v>
      </c>
      <c r="K19" s="10">
        <v>599</v>
      </c>
      <c r="L19" s="10">
        <v>573</v>
      </c>
      <c r="M19" s="10">
        <v>550</v>
      </c>
      <c r="N19" s="10"/>
    </row>
    <row r="20" spans="1:14" ht="24.95" customHeight="1">
      <c r="A20" s="782"/>
      <c r="B20" s="782"/>
      <c r="C20" s="10" t="s">
        <v>90</v>
      </c>
      <c r="D20" s="782"/>
      <c r="E20" s="782"/>
      <c r="F20" s="782"/>
      <c r="G20" s="782"/>
      <c r="H20" s="782"/>
      <c r="I20" s="782"/>
      <c r="J20" s="10">
        <v>547</v>
      </c>
      <c r="K20" s="10">
        <v>539</v>
      </c>
      <c r="L20" s="10">
        <v>533</v>
      </c>
      <c r="M20" s="10">
        <v>525</v>
      </c>
      <c r="N20" s="10"/>
    </row>
    <row r="21" spans="1:14" ht="24.95" customHeight="1">
      <c r="A21" s="781" t="s">
        <v>407</v>
      </c>
      <c r="B21" s="781"/>
      <c r="C21" s="10" t="s">
        <v>394</v>
      </c>
      <c r="D21" s="6" t="s">
        <v>393</v>
      </c>
      <c r="E21" s="6">
        <f>SUM(E22:E24)</f>
        <v>38179</v>
      </c>
      <c r="F21" s="6">
        <f>SUM(F22:F24)</f>
        <v>42036</v>
      </c>
      <c r="G21" s="6">
        <f>SUM(G22:G24)</f>
        <v>42781</v>
      </c>
      <c r="H21" s="6">
        <f>SUM(H22:H24)</f>
        <v>43334</v>
      </c>
      <c r="I21" s="6" t="s">
        <v>393</v>
      </c>
      <c r="J21" s="6">
        <f>SUM(J22:J24)</f>
        <v>34019</v>
      </c>
      <c r="K21" s="6">
        <f>SUM(K22:K24)</f>
        <v>36803</v>
      </c>
      <c r="L21" s="6">
        <f>SUM(L22:L24)</f>
        <v>36570</v>
      </c>
      <c r="M21" s="6">
        <f>SUM(M22:M24)</f>
        <v>36189</v>
      </c>
      <c r="N21" s="10"/>
    </row>
    <row r="22" spans="1:14" ht="24.95" customHeight="1">
      <c r="A22" s="781"/>
      <c r="B22" s="781"/>
      <c r="C22" s="10" t="s">
        <v>395</v>
      </c>
      <c r="D22" s="6" t="s">
        <v>393</v>
      </c>
      <c r="E22" s="6">
        <v>15673</v>
      </c>
      <c r="F22" s="6">
        <v>16388</v>
      </c>
      <c r="G22" s="6">
        <v>16917</v>
      </c>
      <c r="H22" s="6">
        <v>17254</v>
      </c>
      <c r="I22" s="6" t="s">
        <v>393</v>
      </c>
      <c r="J22" s="6">
        <v>16724</v>
      </c>
      <c r="K22" s="6">
        <v>16566</v>
      </c>
      <c r="L22" s="6">
        <v>16251</v>
      </c>
      <c r="M22" s="6">
        <v>15773</v>
      </c>
      <c r="N22" s="10"/>
    </row>
    <row r="23" spans="1:14" ht="24.95" customHeight="1">
      <c r="A23" s="781"/>
      <c r="B23" s="781"/>
      <c r="C23" s="10" t="s">
        <v>396</v>
      </c>
      <c r="D23" s="6" t="s">
        <v>393</v>
      </c>
      <c r="E23" s="6">
        <v>1287</v>
      </c>
      <c r="F23" s="6">
        <v>1287</v>
      </c>
      <c r="G23" s="6">
        <v>1287</v>
      </c>
      <c r="H23" s="6">
        <v>1287</v>
      </c>
      <c r="I23" s="6" t="s">
        <v>393</v>
      </c>
      <c r="J23" s="6">
        <v>1189</v>
      </c>
      <c r="K23" s="6">
        <v>1189</v>
      </c>
      <c r="L23" s="6">
        <v>1189</v>
      </c>
      <c r="M23" s="6">
        <v>1189</v>
      </c>
      <c r="N23" s="10"/>
    </row>
    <row r="24" spans="1:14" ht="24.95" customHeight="1">
      <c r="A24" s="781"/>
      <c r="B24" s="781"/>
      <c r="C24" s="10" t="s">
        <v>108</v>
      </c>
      <c r="D24" s="6" t="s">
        <v>143</v>
      </c>
      <c r="E24" s="6">
        <v>21219</v>
      </c>
      <c r="F24" s="6">
        <v>24361</v>
      </c>
      <c r="G24" s="6">
        <v>24577</v>
      </c>
      <c r="H24" s="6">
        <v>24793</v>
      </c>
      <c r="I24" s="6" t="s">
        <v>143</v>
      </c>
      <c r="J24" s="6">
        <v>16106</v>
      </c>
      <c r="K24" s="6">
        <v>19048</v>
      </c>
      <c r="L24" s="6">
        <v>19130</v>
      </c>
      <c r="M24" s="6">
        <v>19227</v>
      </c>
      <c r="N24" s="10"/>
    </row>
    <row r="25" spans="1:14" ht="24.95" customHeight="1">
      <c r="A25" s="781" t="s">
        <v>405</v>
      </c>
      <c r="B25" s="782"/>
      <c r="C25" s="10" t="s">
        <v>397</v>
      </c>
      <c r="D25" s="71">
        <v>23000</v>
      </c>
      <c r="E25" s="71">
        <v>39500</v>
      </c>
      <c r="F25" s="71">
        <v>43500</v>
      </c>
      <c r="G25" s="71">
        <v>43800</v>
      </c>
      <c r="H25" s="71">
        <v>44300</v>
      </c>
      <c r="I25" s="71">
        <v>23000</v>
      </c>
      <c r="J25" s="6">
        <f>SUM(J26:J32)</f>
        <v>36000</v>
      </c>
      <c r="K25" s="6">
        <f>SUM(K26:K32)</f>
        <v>38500</v>
      </c>
      <c r="L25" s="6">
        <f>SUM(L26:L32)</f>
        <v>38500</v>
      </c>
      <c r="M25" s="6">
        <f>SUM(M26:M32)</f>
        <v>38500</v>
      </c>
      <c r="N25" s="10"/>
    </row>
    <row r="26" spans="1:14" ht="24.95" customHeight="1">
      <c r="A26" s="782"/>
      <c r="B26" s="782"/>
      <c r="C26" s="10" t="s">
        <v>398</v>
      </c>
      <c r="D26" s="71">
        <v>12000</v>
      </c>
      <c r="E26" s="71">
        <v>15500</v>
      </c>
      <c r="F26" s="71">
        <v>16500</v>
      </c>
      <c r="G26" s="71">
        <v>16500</v>
      </c>
      <c r="H26" s="71">
        <v>17000</v>
      </c>
      <c r="I26" s="71">
        <v>12000</v>
      </c>
      <c r="J26" s="6">
        <v>14000</v>
      </c>
      <c r="K26" s="6">
        <v>14000</v>
      </c>
      <c r="L26" s="6">
        <v>14000</v>
      </c>
      <c r="M26" s="6">
        <v>14000</v>
      </c>
      <c r="N26" s="10"/>
    </row>
    <row r="27" spans="1:14" ht="24.95" customHeight="1">
      <c r="A27" s="782"/>
      <c r="B27" s="782"/>
      <c r="C27" s="10" t="s">
        <v>399</v>
      </c>
      <c r="D27" s="71">
        <v>3000</v>
      </c>
      <c r="E27" s="71">
        <v>6000</v>
      </c>
      <c r="F27" s="71">
        <v>6000</v>
      </c>
      <c r="G27" s="71">
        <v>6000</v>
      </c>
      <c r="H27" s="71">
        <v>6000</v>
      </c>
      <c r="I27" s="71">
        <v>3000</v>
      </c>
      <c r="J27" s="6">
        <v>6000</v>
      </c>
      <c r="K27" s="6">
        <v>6000</v>
      </c>
      <c r="L27" s="6">
        <v>6000</v>
      </c>
      <c r="M27" s="6">
        <v>6000</v>
      </c>
      <c r="N27" s="10"/>
    </row>
    <row r="28" spans="1:14" ht="24.95" customHeight="1">
      <c r="A28" s="782"/>
      <c r="B28" s="782"/>
      <c r="C28" s="10" t="s">
        <v>400</v>
      </c>
      <c r="D28" s="71">
        <v>2000</v>
      </c>
      <c r="E28" s="71">
        <v>2500</v>
      </c>
      <c r="F28" s="71">
        <v>2500</v>
      </c>
      <c r="G28" s="71">
        <v>2800</v>
      </c>
      <c r="H28" s="71">
        <v>2800</v>
      </c>
      <c r="I28" s="71">
        <v>2000</v>
      </c>
      <c r="J28" s="6">
        <v>2000</v>
      </c>
      <c r="K28" s="6">
        <v>2000</v>
      </c>
      <c r="L28" s="6">
        <v>2000</v>
      </c>
      <c r="M28" s="6">
        <v>2000</v>
      </c>
      <c r="N28" s="10"/>
    </row>
    <row r="29" spans="1:14" ht="24.95" customHeight="1">
      <c r="A29" s="782"/>
      <c r="B29" s="782"/>
      <c r="C29" s="10" t="s">
        <v>401</v>
      </c>
      <c r="D29" s="71">
        <v>3000</v>
      </c>
      <c r="E29" s="71">
        <v>5000</v>
      </c>
      <c r="F29" s="71">
        <v>5500</v>
      </c>
      <c r="G29" s="71">
        <v>5500</v>
      </c>
      <c r="H29" s="71">
        <v>5500</v>
      </c>
      <c r="I29" s="71">
        <v>3000</v>
      </c>
      <c r="J29" s="6">
        <v>4000</v>
      </c>
      <c r="K29" s="6">
        <v>4500</v>
      </c>
      <c r="L29" s="6">
        <v>4500</v>
      </c>
      <c r="M29" s="6">
        <v>4500</v>
      </c>
      <c r="N29" s="10"/>
    </row>
    <row r="30" spans="1:14" ht="24.95" customHeight="1">
      <c r="A30" s="782"/>
      <c r="B30" s="782"/>
      <c r="C30" s="10" t="s">
        <v>402</v>
      </c>
      <c r="D30" s="71">
        <v>2000</v>
      </c>
      <c r="E30" s="869">
        <v>7000</v>
      </c>
      <c r="F30" s="869">
        <v>8500</v>
      </c>
      <c r="G30" s="869">
        <v>8500</v>
      </c>
      <c r="H30" s="869">
        <v>8500</v>
      </c>
      <c r="I30" s="71">
        <v>2000</v>
      </c>
      <c r="J30" s="868">
        <v>7000</v>
      </c>
      <c r="K30" s="868">
        <v>8000</v>
      </c>
      <c r="L30" s="868">
        <v>8000</v>
      </c>
      <c r="M30" s="868">
        <v>8000</v>
      </c>
      <c r="N30" s="782"/>
    </row>
    <row r="31" spans="1:14" ht="24.95" customHeight="1">
      <c r="A31" s="782"/>
      <c r="B31" s="782"/>
      <c r="C31" s="10" t="s">
        <v>403</v>
      </c>
      <c r="D31" s="72" t="s">
        <v>406</v>
      </c>
      <c r="E31" s="869"/>
      <c r="F31" s="869"/>
      <c r="G31" s="869"/>
      <c r="H31" s="869"/>
      <c r="I31" s="72" t="s">
        <v>406</v>
      </c>
      <c r="J31" s="868"/>
      <c r="K31" s="868"/>
      <c r="L31" s="868"/>
      <c r="M31" s="868"/>
      <c r="N31" s="782"/>
    </row>
    <row r="32" spans="1:14" ht="24.95" customHeight="1">
      <c r="A32" s="782"/>
      <c r="B32" s="782"/>
      <c r="C32" s="10" t="s">
        <v>404</v>
      </c>
      <c r="D32" s="71">
        <v>1000</v>
      </c>
      <c r="E32" s="71">
        <v>3500</v>
      </c>
      <c r="F32" s="71">
        <v>4500</v>
      </c>
      <c r="G32" s="71">
        <v>4500</v>
      </c>
      <c r="H32" s="71">
        <v>4500</v>
      </c>
      <c r="I32" s="71">
        <v>1000</v>
      </c>
      <c r="J32" s="6">
        <v>3000</v>
      </c>
      <c r="K32" s="6">
        <v>4000</v>
      </c>
      <c r="L32" s="6">
        <v>4000</v>
      </c>
      <c r="M32" s="6">
        <v>4000</v>
      </c>
      <c r="N32" s="10"/>
    </row>
    <row r="33" spans="1:15" ht="24.95" customHeight="1"/>
    <row r="34" spans="1:15" ht="24.95" customHeight="1"/>
    <row r="35" spans="1:15" ht="24.95" customHeight="1"/>
    <row r="36" spans="1:15" ht="24.95" customHeight="1"/>
    <row r="37" spans="1:15" ht="24.95" customHeight="1"/>
    <row r="38" spans="1:15" ht="24.95" customHeight="1"/>
    <row r="39" spans="1:15" ht="24.95" customHeight="1">
      <c r="A39" s="782" t="s">
        <v>0</v>
      </c>
      <c r="B39" s="782"/>
      <c r="C39" s="782"/>
      <c r="D39" s="782"/>
      <c r="E39" s="782"/>
      <c r="F39" s="782"/>
      <c r="G39" s="782" t="s">
        <v>257</v>
      </c>
      <c r="H39" s="782"/>
      <c r="I39" s="782"/>
      <c r="J39" s="782"/>
      <c r="K39" s="872" t="s">
        <v>58</v>
      </c>
      <c r="L39" s="872"/>
      <c r="M39" s="872"/>
      <c r="N39" s="872"/>
      <c r="O39" s="782" t="s">
        <v>30</v>
      </c>
    </row>
    <row r="40" spans="1:15" ht="24.95" customHeight="1">
      <c r="A40" s="782"/>
      <c r="B40" s="782"/>
      <c r="C40" s="782"/>
      <c r="D40" s="782"/>
      <c r="E40" s="782"/>
      <c r="F40" s="782"/>
      <c r="G40" s="17" t="s">
        <v>119</v>
      </c>
      <c r="H40" s="17" t="s">
        <v>120</v>
      </c>
      <c r="I40" s="17" t="s">
        <v>121</v>
      </c>
      <c r="J40" s="17" t="s">
        <v>122</v>
      </c>
      <c r="K40" s="44" t="s">
        <v>119</v>
      </c>
      <c r="L40" s="44" t="s">
        <v>120</v>
      </c>
      <c r="M40" s="44" t="s">
        <v>121</v>
      </c>
      <c r="N40" s="44" t="s">
        <v>122</v>
      </c>
      <c r="O40" s="782"/>
    </row>
    <row r="41" spans="1:15" ht="24.95" customHeight="1">
      <c r="A41" s="797" t="s">
        <v>375</v>
      </c>
      <c r="B41" s="870"/>
      <c r="C41" s="870"/>
      <c r="D41" s="870"/>
      <c r="E41" s="870"/>
      <c r="F41" s="798"/>
      <c r="G41" s="873"/>
      <c r="H41" s="874"/>
      <c r="I41" s="874"/>
      <c r="J41" s="875"/>
      <c r="K41" s="879"/>
      <c r="L41" s="880"/>
      <c r="M41" s="880"/>
      <c r="N41" s="881"/>
      <c r="O41" s="10"/>
    </row>
    <row r="42" spans="1:15" ht="24.95" customHeight="1">
      <c r="A42" s="801"/>
      <c r="B42" s="871"/>
      <c r="C42" s="871"/>
      <c r="D42" s="871"/>
      <c r="E42" s="871"/>
      <c r="F42" s="802"/>
      <c r="G42" s="876"/>
      <c r="H42" s="877"/>
      <c r="I42" s="877"/>
      <c r="J42" s="878"/>
      <c r="K42" s="882"/>
      <c r="L42" s="883"/>
      <c r="M42" s="883"/>
      <c r="N42" s="884"/>
      <c r="O42" s="10"/>
    </row>
    <row r="43" spans="1:15" ht="24.95" customHeight="1">
      <c r="A43" s="803" t="s">
        <v>376</v>
      </c>
      <c r="B43" s="804"/>
      <c r="C43" s="804"/>
      <c r="D43" s="804"/>
      <c r="E43" s="804"/>
      <c r="F43" s="805"/>
      <c r="G43" s="885"/>
      <c r="H43" s="886"/>
      <c r="I43" s="886"/>
      <c r="J43" s="886"/>
      <c r="K43" s="886"/>
      <c r="L43" s="886"/>
      <c r="M43" s="886"/>
      <c r="N43" s="887"/>
      <c r="O43" s="10"/>
    </row>
    <row r="44" spans="1:15" ht="24.95" customHeight="1">
      <c r="A44" s="782" t="s">
        <v>96</v>
      </c>
      <c r="B44" s="10"/>
      <c r="C44" s="10"/>
      <c r="D44" s="781" t="s">
        <v>97</v>
      </c>
      <c r="E44" s="781" t="s">
        <v>59</v>
      </c>
      <c r="F44" s="781"/>
      <c r="G44" s="43">
        <f>SUM(G45:G47)</f>
        <v>34966</v>
      </c>
      <c r="H44" s="43">
        <f>SUM(H45:H47)</f>
        <v>33688</v>
      </c>
      <c r="I44" s="43">
        <f>SUM(I45:I47)</f>
        <v>32388</v>
      </c>
      <c r="J44" s="43">
        <f>SUM(J45:J47)</f>
        <v>31088</v>
      </c>
      <c r="K44" s="45" t="e">
        <f>SUM(K45:K46)</f>
        <v>#REF!</v>
      </c>
      <c r="L44" s="45" t="e">
        <f>SUM(L45:L46)</f>
        <v>#REF!</v>
      </c>
      <c r="M44" s="45" t="e">
        <f>SUM(M45:M46)</f>
        <v>#REF!</v>
      </c>
      <c r="N44" s="45" t="e">
        <f>SUM(N45:N46)</f>
        <v>#REF!</v>
      </c>
      <c r="O44" s="10"/>
    </row>
    <row r="45" spans="1:15" ht="24.95" customHeight="1">
      <c r="A45" s="782"/>
      <c r="B45" s="10"/>
      <c r="C45" s="10"/>
      <c r="D45" s="782"/>
      <c r="E45" s="781" t="s">
        <v>60</v>
      </c>
      <c r="F45" s="781"/>
      <c r="G45" s="43">
        <v>27800</v>
      </c>
      <c r="H45" s="43">
        <v>26300</v>
      </c>
      <c r="I45" s="43">
        <v>25000</v>
      </c>
      <c r="J45" s="43">
        <v>23700</v>
      </c>
      <c r="K45" s="45" t="e">
        <f>생활용수량!#REF!</f>
        <v>#REF!</v>
      </c>
      <c r="L45" s="45" t="e">
        <f>생활용수량!#REF!</f>
        <v>#REF!</v>
      </c>
      <c r="M45" s="45" t="e">
        <f>생활용수량!#REF!</f>
        <v>#REF!</v>
      </c>
      <c r="N45" s="45" t="e">
        <f>생활용수량!#REF!</f>
        <v>#REF!</v>
      </c>
      <c r="O45" s="10"/>
    </row>
    <row r="46" spans="1:15" ht="24.95" customHeight="1">
      <c r="A46" s="782"/>
      <c r="B46" s="10"/>
      <c r="C46" s="10"/>
      <c r="D46" s="782"/>
      <c r="E46" s="781" t="s">
        <v>61</v>
      </c>
      <c r="F46" s="781"/>
      <c r="G46" s="43">
        <v>5016</v>
      </c>
      <c r="H46" s="43">
        <v>5238</v>
      </c>
      <c r="I46" s="43">
        <v>5238</v>
      </c>
      <c r="J46" s="43">
        <v>5238</v>
      </c>
      <c r="K46" s="45" t="e">
        <f>생활용수량!#REF!</f>
        <v>#REF!</v>
      </c>
      <c r="L46" s="45" t="e">
        <f>생활용수량!#REF!</f>
        <v>#REF!</v>
      </c>
      <c r="M46" s="45" t="e">
        <f>생활용수량!#REF!</f>
        <v>#REF!</v>
      </c>
      <c r="N46" s="45" t="e">
        <f>생활용수량!#REF!</f>
        <v>#REF!</v>
      </c>
      <c r="O46" s="10"/>
    </row>
    <row r="47" spans="1:15" ht="24.95" customHeight="1">
      <c r="A47" s="782"/>
      <c r="B47" s="10"/>
      <c r="C47" s="10"/>
      <c r="D47" s="782"/>
      <c r="E47" s="781" t="s">
        <v>62</v>
      </c>
      <c r="F47" s="781"/>
      <c r="G47" s="43">
        <v>2150</v>
      </c>
      <c r="H47" s="43">
        <v>2150</v>
      </c>
      <c r="I47" s="43">
        <v>2150</v>
      </c>
      <c r="J47" s="43">
        <v>2150</v>
      </c>
      <c r="K47" s="45">
        <v>0</v>
      </c>
      <c r="L47" s="45">
        <v>0</v>
      </c>
      <c r="M47" s="45">
        <v>0</v>
      </c>
      <c r="N47" s="45">
        <v>0</v>
      </c>
      <c r="O47" s="10"/>
    </row>
    <row r="48" spans="1:15" ht="24.95" customHeight="1">
      <c r="A48" s="782"/>
      <c r="B48" s="10"/>
      <c r="C48" s="10"/>
      <c r="D48" s="782" t="s">
        <v>100</v>
      </c>
      <c r="E48" s="781" t="s">
        <v>60</v>
      </c>
      <c r="F48" s="781"/>
      <c r="G48" s="39">
        <v>0.8</v>
      </c>
      <c r="H48" s="39">
        <v>0.85</v>
      </c>
      <c r="I48" s="39">
        <v>0.9</v>
      </c>
      <c r="J48" s="39">
        <v>0.95</v>
      </c>
      <c r="K48" s="46">
        <v>0.8</v>
      </c>
      <c r="L48" s="46">
        <v>0.85</v>
      </c>
      <c r="M48" s="46">
        <v>0.9</v>
      </c>
      <c r="N48" s="46">
        <v>0.95</v>
      </c>
      <c r="O48" s="10"/>
    </row>
    <row r="49" spans="1:15" ht="24.95" customHeight="1">
      <c r="A49" s="782"/>
      <c r="B49" s="10"/>
      <c r="C49" s="10"/>
      <c r="D49" s="782"/>
      <c r="E49" s="781" t="s">
        <v>61</v>
      </c>
      <c r="F49" s="781"/>
      <c r="G49" s="39">
        <v>1</v>
      </c>
      <c r="H49" s="39">
        <v>1</v>
      </c>
      <c r="I49" s="39">
        <v>1</v>
      </c>
      <c r="J49" s="39">
        <v>1</v>
      </c>
      <c r="K49" s="46">
        <v>1</v>
      </c>
      <c r="L49" s="46">
        <v>1</v>
      </c>
      <c r="M49" s="46">
        <v>1</v>
      </c>
      <c r="N49" s="46">
        <v>1</v>
      </c>
      <c r="O49" s="10"/>
    </row>
    <row r="50" spans="1:15" ht="24.95" customHeight="1">
      <c r="A50" s="782"/>
      <c r="B50" s="10"/>
      <c r="C50" s="10"/>
      <c r="D50" s="782"/>
      <c r="E50" s="781" t="s">
        <v>62</v>
      </c>
      <c r="F50" s="781"/>
      <c r="G50" s="39">
        <v>1</v>
      </c>
      <c r="H50" s="39">
        <v>1</v>
      </c>
      <c r="I50" s="39">
        <v>1</v>
      </c>
      <c r="J50" s="39">
        <v>1</v>
      </c>
      <c r="K50" s="45">
        <v>0</v>
      </c>
      <c r="L50" s="45">
        <v>0</v>
      </c>
      <c r="M50" s="45">
        <v>0</v>
      </c>
      <c r="N50" s="45">
        <v>0</v>
      </c>
      <c r="O50" s="10"/>
    </row>
    <row r="51" spans="1:15" ht="24.95" customHeight="1">
      <c r="A51" s="782"/>
      <c r="B51" s="10"/>
      <c r="C51" s="10"/>
      <c r="D51" s="782" t="s">
        <v>102</v>
      </c>
      <c r="E51" s="781" t="s">
        <v>59</v>
      </c>
      <c r="F51" s="781"/>
      <c r="G51" s="43">
        <f>SUM(G52:G54)</f>
        <v>29406</v>
      </c>
      <c r="H51" s="43">
        <f>SUM(H52:H54)</f>
        <v>29743</v>
      </c>
      <c r="I51" s="43">
        <f>SUM(I52:I54)</f>
        <v>29888</v>
      </c>
      <c r="J51" s="43">
        <f>SUM(J52:J54)</f>
        <v>29903</v>
      </c>
      <c r="K51" s="45" t="e">
        <f>SUM(K52:K53)</f>
        <v>#REF!</v>
      </c>
      <c r="L51" s="45" t="e">
        <f>SUM(L52:L53)</f>
        <v>#REF!</v>
      </c>
      <c r="M51" s="45" t="e">
        <f>SUM(M52:M53)</f>
        <v>#REF!</v>
      </c>
      <c r="N51" s="45" t="e">
        <f>SUM(N52:N53)</f>
        <v>#REF!</v>
      </c>
      <c r="O51" s="10"/>
    </row>
    <row r="52" spans="1:15" ht="24.95" customHeight="1">
      <c r="A52" s="782"/>
      <c r="B52" s="10"/>
      <c r="C52" s="10"/>
      <c r="D52" s="782"/>
      <c r="E52" s="781" t="s">
        <v>60</v>
      </c>
      <c r="F52" s="781"/>
      <c r="G52" s="43">
        <v>22240</v>
      </c>
      <c r="H52" s="43">
        <v>22355</v>
      </c>
      <c r="I52" s="43">
        <v>22500</v>
      </c>
      <c r="J52" s="43">
        <v>22515</v>
      </c>
      <c r="K52" s="45" t="e">
        <f t="shared" ref="K52:N53" si="0">ROUND(K45*K48,0)</f>
        <v>#REF!</v>
      </c>
      <c r="L52" s="45" t="e">
        <f t="shared" si="0"/>
        <v>#REF!</v>
      </c>
      <c r="M52" s="45" t="e">
        <f t="shared" si="0"/>
        <v>#REF!</v>
      </c>
      <c r="N52" s="45" t="e">
        <f t="shared" si="0"/>
        <v>#REF!</v>
      </c>
      <c r="O52" s="10"/>
    </row>
    <row r="53" spans="1:15" ht="24.95" customHeight="1">
      <c r="A53" s="782"/>
      <c r="B53" s="10"/>
      <c r="C53" s="10"/>
      <c r="D53" s="782"/>
      <c r="E53" s="781" t="s">
        <v>61</v>
      </c>
      <c r="F53" s="781"/>
      <c r="G53" s="43">
        <v>5016</v>
      </c>
      <c r="H53" s="43">
        <v>5238</v>
      </c>
      <c r="I53" s="43">
        <v>5238</v>
      </c>
      <c r="J53" s="43">
        <v>5238</v>
      </c>
      <c r="K53" s="45" t="e">
        <f t="shared" si="0"/>
        <v>#REF!</v>
      </c>
      <c r="L53" s="45" t="e">
        <f t="shared" si="0"/>
        <v>#REF!</v>
      </c>
      <c r="M53" s="45" t="e">
        <f t="shared" si="0"/>
        <v>#REF!</v>
      </c>
      <c r="N53" s="45" t="e">
        <f t="shared" si="0"/>
        <v>#REF!</v>
      </c>
      <c r="O53" s="10"/>
    </row>
    <row r="54" spans="1:15" ht="24.95" customHeight="1">
      <c r="A54" s="782"/>
      <c r="B54" s="10"/>
      <c r="C54" s="10"/>
      <c r="D54" s="782"/>
      <c r="E54" s="781" t="s">
        <v>62</v>
      </c>
      <c r="F54" s="781"/>
      <c r="G54" s="43">
        <v>2150</v>
      </c>
      <c r="H54" s="43">
        <v>2150</v>
      </c>
      <c r="I54" s="43">
        <v>2150</v>
      </c>
      <c r="J54" s="43">
        <v>2150</v>
      </c>
      <c r="K54" s="45">
        <v>0</v>
      </c>
      <c r="L54" s="45">
        <v>0</v>
      </c>
      <c r="M54" s="45">
        <v>0</v>
      </c>
      <c r="N54" s="45">
        <v>0</v>
      </c>
      <c r="O54" s="10"/>
    </row>
    <row r="55" spans="1:15" ht="24.95" customHeight="1">
      <c r="A55" s="782"/>
      <c r="B55" s="10"/>
      <c r="C55" s="10"/>
      <c r="D55" s="781" t="s">
        <v>373</v>
      </c>
      <c r="E55" s="781" t="s">
        <v>104</v>
      </c>
      <c r="F55" s="10" t="s">
        <v>99</v>
      </c>
      <c r="G55" s="770">
        <v>353</v>
      </c>
      <c r="H55" s="770">
        <v>365</v>
      </c>
      <c r="I55" s="770">
        <v>375</v>
      </c>
      <c r="J55" s="770">
        <v>382</v>
      </c>
      <c r="K55" s="48">
        <v>429</v>
      </c>
      <c r="L55" s="48">
        <v>413</v>
      </c>
      <c r="M55" s="48">
        <v>395</v>
      </c>
      <c r="N55" s="48">
        <v>379</v>
      </c>
      <c r="O55" s="10"/>
    </row>
    <row r="56" spans="1:15" ht="24.95" customHeight="1">
      <c r="A56" s="782"/>
      <c r="B56" s="10"/>
      <c r="C56" s="10"/>
      <c r="D56" s="781"/>
      <c r="E56" s="781"/>
      <c r="F56" s="10" t="s">
        <v>101</v>
      </c>
      <c r="G56" s="770"/>
      <c r="H56" s="770"/>
      <c r="I56" s="770"/>
      <c r="J56" s="770"/>
      <c r="K56" s="48">
        <v>362</v>
      </c>
      <c r="L56" s="48">
        <v>357</v>
      </c>
      <c r="M56" s="48">
        <v>353</v>
      </c>
      <c r="N56" s="48">
        <v>348</v>
      </c>
      <c r="O56" s="10"/>
    </row>
    <row r="57" spans="1:15" ht="24.95" customHeight="1">
      <c r="A57" s="782"/>
      <c r="B57" s="10"/>
      <c r="C57" s="10"/>
      <c r="D57" s="781"/>
      <c r="E57" s="781" t="s">
        <v>105</v>
      </c>
      <c r="F57" s="10" t="s">
        <v>99</v>
      </c>
      <c r="G57" s="770">
        <v>533</v>
      </c>
      <c r="H57" s="770">
        <v>551</v>
      </c>
      <c r="I57" s="770">
        <v>566</v>
      </c>
      <c r="J57" s="770">
        <v>577</v>
      </c>
      <c r="K57" s="45">
        <v>622</v>
      </c>
      <c r="L57" s="45">
        <v>599</v>
      </c>
      <c r="M57" s="45">
        <v>573</v>
      </c>
      <c r="N57" s="45">
        <v>550</v>
      </c>
      <c r="O57" s="10"/>
    </row>
    <row r="58" spans="1:15" ht="24.95" customHeight="1">
      <c r="A58" s="782"/>
      <c r="B58" s="10"/>
      <c r="C58" s="10"/>
      <c r="D58" s="781"/>
      <c r="E58" s="781"/>
      <c r="F58" s="10" t="s">
        <v>101</v>
      </c>
      <c r="G58" s="770"/>
      <c r="H58" s="770"/>
      <c r="I58" s="770"/>
      <c r="J58" s="770"/>
      <c r="K58" s="45">
        <v>547</v>
      </c>
      <c r="L58" s="45">
        <v>539</v>
      </c>
      <c r="M58" s="45">
        <v>533</v>
      </c>
      <c r="N58" s="45">
        <v>525</v>
      </c>
      <c r="O58" s="10"/>
    </row>
    <row r="59" spans="1:15" ht="24.95" customHeight="1">
      <c r="A59" s="782"/>
      <c r="B59" s="10"/>
      <c r="C59" s="10"/>
      <c r="D59" s="782" t="s">
        <v>106</v>
      </c>
      <c r="E59" s="781" t="s">
        <v>104</v>
      </c>
      <c r="F59" s="781"/>
      <c r="G59" s="43">
        <v>10380</v>
      </c>
      <c r="H59" s="43">
        <v>10856</v>
      </c>
      <c r="I59" s="43">
        <v>11208</v>
      </c>
      <c r="J59" s="43">
        <v>11423</v>
      </c>
      <c r="K59" s="47" t="e">
        <f>생활용수량!#REF!</f>
        <v>#REF!</v>
      </c>
      <c r="L59" s="47" t="e">
        <f>생활용수량!#REF!</f>
        <v>#REF!</v>
      </c>
      <c r="M59" s="47" t="e">
        <f>생활용수량!#REF!</f>
        <v>#REF!</v>
      </c>
      <c r="N59" s="47" t="e">
        <f>생활용수량!#REF!</f>
        <v>#REF!</v>
      </c>
      <c r="O59" s="10"/>
    </row>
    <row r="60" spans="1:15" ht="24.95" customHeight="1">
      <c r="A60" s="782"/>
      <c r="B60" s="10"/>
      <c r="C60" s="10"/>
      <c r="D60" s="782"/>
      <c r="E60" s="781" t="s">
        <v>105</v>
      </c>
      <c r="F60" s="781"/>
      <c r="G60" s="43">
        <v>15673</v>
      </c>
      <c r="H60" s="43">
        <v>16388</v>
      </c>
      <c r="I60" s="43">
        <v>16917</v>
      </c>
      <c r="J60" s="43">
        <v>17254</v>
      </c>
      <c r="K60" s="47" t="e">
        <f>생활용수량!#REF!</f>
        <v>#REF!</v>
      </c>
      <c r="L60" s="47" t="e">
        <f>생활용수량!#REF!</f>
        <v>#REF!</v>
      </c>
      <c r="M60" s="47" t="e">
        <f>생활용수량!#REF!</f>
        <v>#REF!</v>
      </c>
      <c r="N60" s="47" t="e">
        <f>생활용수량!#REF!</f>
        <v>#REF!</v>
      </c>
      <c r="O60" s="10"/>
    </row>
    <row r="61" spans="1:15" ht="24.95" customHeight="1">
      <c r="A61" s="782" t="s">
        <v>107</v>
      </c>
      <c r="B61" s="10"/>
      <c r="C61" s="10"/>
      <c r="D61" s="782" t="s">
        <v>106</v>
      </c>
      <c r="E61" s="781" t="s">
        <v>104</v>
      </c>
      <c r="F61" s="781"/>
      <c r="G61" s="4">
        <v>852</v>
      </c>
      <c r="H61" s="4">
        <v>852</v>
      </c>
      <c r="I61" s="4">
        <v>852</v>
      </c>
      <c r="J61" s="4">
        <v>852</v>
      </c>
      <c r="K61" s="47" t="e">
        <f>생활용수량!#REF!</f>
        <v>#REF!</v>
      </c>
      <c r="L61" s="47" t="e">
        <f>생활용수량!#REF!</f>
        <v>#REF!</v>
      </c>
      <c r="M61" s="47" t="e">
        <f>생활용수량!#REF!</f>
        <v>#REF!</v>
      </c>
      <c r="N61" s="47" t="e">
        <f>생활용수량!#REF!</f>
        <v>#REF!</v>
      </c>
      <c r="O61" s="10"/>
    </row>
    <row r="62" spans="1:15" ht="24.95" customHeight="1">
      <c r="A62" s="782"/>
      <c r="B62" s="10"/>
      <c r="C62" s="10"/>
      <c r="D62" s="782"/>
      <c r="E62" s="781" t="s">
        <v>105</v>
      </c>
      <c r="F62" s="781"/>
      <c r="G62" s="43">
        <v>1287</v>
      </c>
      <c r="H62" s="43">
        <v>1287</v>
      </c>
      <c r="I62" s="43">
        <v>1287</v>
      </c>
      <c r="J62" s="43">
        <v>1287</v>
      </c>
      <c r="K62" s="47" t="e">
        <f>생활용수량!#REF!</f>
        <v>#REF!</v>
      </c>
      <c r="L62" s="47" t="e">
        <f>생활용수량!#REF!</f>
        <v>#REF!</v>
      </c>
      <c r="M62" s="47" t="e">
        <f>생활용수량!#REF!</f>
        <v>#REF!</v>
      </c>
      <c r="N62" s="47" t="e">
        <f>생활용수량!#REF!</f>
        <v>#REF!</v>
      </c>
      <c r="O62" s="10"/>
    </row>
    <row r="63" spans="1:15" ht="24.95" customHeight="1">
      <c r="A63" s="782" t="s">
        <v>108</v>
      </c>
      <c r="B63" s="10"/>
      <c r="C63" s="10"/>
      <c r="D63" s="782" t="s">
        <v>109</v>
      </c>
      <c r="E63" s="782"/>
      <c r="F63" s="782"/>
      <c r="G63" s="43">
        <v>5391</v>
      </c>
      <c r="H63" s="43">
        <v>6054</v>
      </c>
      <c r="I63" s="43">
        <v>6270</v>
      </c>
      <c r="J63" s="43">
        <v>6486</v>
      </c>
      <c r="K63" s="47" t="e">
        <f>생활용수량!#REF!</f>
        <v>#REF!</v>
      </c>
      <c r="L63" s="47" t="e">
        <f>생활용수량!#REF!</f>
        <v>#REF!</v>
      </c>
      <c r="M63" s="47" t="e">
        <f>생활용수량!#REF!</f>
        <v>#REF!</v>
      </c>
      <c r="N63" s="47" t="e">
        <f>생활용수량!#REF!</f>
        <v>#REF!</v>
      </c>
      <c r="O63" s="10"/>
    </row>
    <row r="64" spans="1:15" ht="24.95" customHeight="1">
      <c r="A64" s="782"/>
      <c r="B64" s="10"/>
      <c r="C64" s="10"/>
      <c r="D64" s="782" t="s">
        <v>110</v>
      </c>
      <c r="E64" s="782"/>
      <c r="F64" s="782"/>
      <c r="G64" s="43">
        <v>15828</v>
      </c>
      <c r="H64" s="43">
        <v>18307</v>
      </c>
      <c r="I64" s="43">
        <v>18307</v>
      </c>
      <c r="J64" s="43">
        <v>18307</v>
      </c>
      <c r="K64" s="47" t="e">
        <f>생활용수량!#REF!</f>
        <v>#REF!</v>
      </c>
      <c r="L64" s="47" t="e">
        <f>생활용수량!#REF!</f>
        <v>#REF!</v>
      </c>
      <c r="M64" s="47" t="e">
        <f>생활용수량!#REF!</f>
        <v>#REF!</v>
      </c>
      <c r="N64" s="47" t="e">
        <f>생활용수량!#REF!</f>
        <v>#REF!</v>
      </c>
      <c r="O64" s="10"/>
    </row>
    <row r="65" spans="1:22" ht="24.95" customHeight="1">
      <c r="A65" s="782" t="s">
        <v>111</v>
      </c>
      <c r="B65" s="782"/>
      <c r="C65" s="782"/>
      <c r="D65" s="782"/>
      <c r="E65" s="782"/>
      <c r="F65" s="782"/>
      <c r="G65" s="43">
        <v>38179</v>
      </c>
      <c r="H65" s="43">
        <v>42036</v>
      </c>
      <c r="I65" s="43">
        <v>42781</v>
      </c>
      <c r="J65" s="43">
        <v>43334</v>
      </c>
      <c r="K65" s="47" t="e">
        <f>K60+K62+K63+K64</f>
        <v>#REF!</v>
      </c>
      <c r="L65" s="47" t="e">
        <f>L60+L62+L63+L64</f>
        <v>#REF!</v>
      </c>
      <c r="M65" s="47" t="e">
        <f>M60+M62+M63+M64</f>
        <v>#REF!</v>
      </c>
      <c r="N65" s="47" t="e">
        <f>N60+N62+N63+N64</f>
        <v>#REF!</v>
      </c>
      <c r="O65" s="10"/>
    </row>
    <row r="66" spans="1:22" ht="24.95" customHeight="1">
      <c r="Q66" s="791" t="s">
        <v>0</v>
      </c>
      <c r="R66" s="791"/>
      <c r="S66" s="24" t="s">
        <v>119</v>
      </c>
      <c r="T66" s="24" t="s">
        <v>120</v>
      </c>
      <c r="U66" s="24" t="s">
        <v>121</v>
      </c>
      <c r="V66" s="24" t="s">
        <v>122</v>
      </c>
    </row>
    <row r="67" spans="1:22" ht="24.95" customHeight="1">
      <c r="Q67" s="787" t="s">
        <v>98</v>
      </c>
      <c r="R67" s="20" t="s">
        <v>99</v>
      </c>
      <c r="S67" s="19">
        <v>279</v>
      </c>
      <c r="T67" s="19">
        <v>289</v>
      </c>
      <c r="U67" s="19">
        <v>296</v>
      </c>
      <c r="V67" s="19">
        <v>303</v>
      </c>
    </row>
    <row r="68" spans="1:22" ht="24.95" customHeight="1">
      <c r="G68" s="49">
        <f>G63+G64</f>
        <v>21219</v>
      </c>
      <c r="H68" s="49">
        <f t="shared" ref="H68:N68" si="1">H63+H64</f>
        <v>24361</v>
      </c>
      <c r="I68" s="49">
        <f t="shared" si="1"/>
        <v>24577</v>
      </c>
      <c r="J68" s="49">
        <f t="shared" si="1"/>
        <v>24793</v>
      </c>
      <c r="K68" s="49" t="e">
        <f t="shared" si="1"/>
        <v>#REF!</v>
      </c>
      <c r="L68" s="49" t="e">
        <f t="shared" si="1"/>
        <v>#REF!</v>
      </c>
      <c r="M68" s="49" t="e">
        <f t="shared" si="1"/>
        <v>#REF!</v>
      </c>
      <c r="N68" s="49" t="e">
        <f t="shared" si="1"/>
        <v>#REF!</v>
      </c>
      <c r="Q68" s="791"/>
      <c r="R68" s="20" t="s">
        <v>101</v>
      </c>
      <c r="S68" s="19">
        <v>235</v>
      </c>
      <c r="T68" s="19">
        <v>250</v>
      </c>
      <c r="U68" s="19">
        <v>265</v>
      </c>
      <c r="V68" s="19">
        <v>278</v>
      </c>
    </row>
    <row r="69" spans="1:22" ht="24.95" customHeight="1">
      <c r="Q69" s="791" t="s">
        <v>27</v>
      </c>
      <c r="R69" s="791"/>
      <c r="S69" s="21">
        <v>0.65</v>
      </c>
      <c r="T69" s="22">
        <v>0.7</v>
      </c>
      <c r="U69" s="21">
        <v>0.75</v>
      </c>
      <c r="V69" s="21">
        <v>0.8</v>
      </c>
    </row>
    <row r="70" spans="1:22" ht="24.95" customHeight="1">
      <c r="Q70" s="787" t="s">
        <v>373</v>
      </c>
      <c r="R70" s="20" t="s">
        <v>99</v>
      </c>
      <c r="S70" s="19">
        <f>ROUND(S67/S69,0)</f>
        <v>429</v>
      </c>
      <c r="T70" s="19">
        <f>ROUND(T67/T69,0)</f>
        <v>413</v>
      </c>
      <c r="U70" s="19">
        <f>ROUND(U67/U69,0)</f>
        <v>395</v>
      </c>
      <c r="V70" s="19">
        <f>ROUND(V67/V69,0)</f>
        <v>379</v>
      </c>
    </row>
    <row r="71" spans="1:22" ht="24.95" customHeight="1">
      <c r="Q71" s="791"/>
      <c r="R71" s="20" t="s">
        <v>101</v>
      </c>
      <c r="S71" s="19">
        <f>ROUND(S68/S69,0)</f>
        <v>362</v>
      </c>
      <c r="T71" s="19">
        <f>ROUND(T68/T69,0)</f>
        <v>357</v>
      </c>
      <c r="U71" s="19">
        <f>ROUND(U68/U69,0)</f>
        <v>353</v>
      </c>
      <c r="V71" s="19">
        <f>ROUND(V68/V69,0)</f>
        <v>348</v>
      </c>
    </row>
    <row r="72" spans="1:22" ht="24.95" customHeight="1">
      <c r="Q72" s="791" t="s">
        <v>103</v>
      </c>
      <c r="R72" s="20" t="s">
        <v>99</v>
      </c>
      <c r="S72" s="20">
        <v>1.45</v>
      </c>
      <c r="T72" s="20">
        <v>1.45</v>
      </c>
      <c r="U72" s="20">
        <v>1.45</v>
      </c>
      <c r="V72" s="20">
        <v>1.45</v>
      </c>
    </row>
    <row r="73" spans="1:22" ht="24.95" customHeight="1">
      <c r="Q73" s="791"/>
      <c r="R73" s="20" t="s">
        <v>101</v>
      </c>
      <c r="S73" s="20">
        <v>1.51</v>
      </c>
      <c r="T73" s="20">
        <v>1.51</v>
      </c>
      <c r="U73" s="20">
        <v>1.51</v>
      </c>
      <c r="V73" s="20">
        <v>1.51</v>
      </c>
    </row>
    <row r="74" spans="1:22" ht="24.95" customHeight="1">
      <c r="Q74" s="787" t="s">
        <v>374</v>
      </c>
      <c r="R74" s="20" t="s">
        <v>99</v>
      </c>
      <c r="S74" s="20">
        <f t="shared" ref="S74:V75" si="2">ROUND(S70*S72,0)</f>
        <v>622</v>
      </c>
      <c r="T74" s="20">
        <f t="shared" si="2"/>
        <v>599</v>
      </c>
      <c r="U74" s="20">
        <f t="shared" si="2"/>
        <v>573</v>
      </c>
      <c r="V74" s="20">
        <f t="shared" si="2"/>
        <v>550</v>
      </c>
    </row>
    <row r="75" spans="1:22" ht="24.95" customHeight="1">
      <c r="Q75" s="787"/>
      <c r="R75" s="20" t="s">
        <v>101</v>
      </c>
      <c r="S75" s="20">
        <f t="shared" si="2"/>
        <v>547</v>
      </c>
      <c r="T75" s="20">
        <f t="shared" si="2"/>
        <v>539</v>
      </c>
      <c r="U75" s="20">
        <f t="shared" si="2"/>
        <v>533</v>
      </c>
      <c r="V75" s="20">
        <f t="shared" si="2"/>
        <v>525</v>
      </c>
    </row>
    <row r="76" spans="1:22" ht="24.95" customHeight="1"/>
    <row r="77" spans="1:22" ht="24.95" customHeight="1"/>
    <row r="78" spans="1:22" ht="24.95" customHeight="1"/>
  </sheetData>
  <mergeCells count="100">
    <mergeCell ref="O39:O40"/>
    <mergeCell ref="I57:I58"/>
    <mergeCell ref="J57:J58"/>
    <mergeCell ref="J55:J56"/>
    <mergeCell ref="K39:N39"/>
    <mergeCell ref="I55:I56"/>
    <mergeCell ref="G39:J39"/>
    <mergeCell ref="G41:J42"/>
    <mergeCell ref="K41:N42"/>
    <mergeCell ref="H55:H56"/>
    <mergeCell ref="H57:H58"/>
    <mergeCell ref="G55:G56"/>
    <mergeCell ref="G57:G58"/>
    <mergeCell ref="G43:N43"/>
    <mergeCell ref="E59:F59"/>
    <mergeCell ref="E57:E58"/>
    <mergeCell ref="Q74:Q75"/>
    <mergeCell ref="Q66:R66"/>
    <mergeCell ref="Q67:Q68"/>
    <mergeCell ref="Q69:R69"/>
    <mergeCell ref="Q70:Q71"/>
    <mergeCell ref="Q72:Q73"/>
    <mergeCell ref="A65:F65"/>
    <mergeCell ref="A63:A64"/>
    <mergeCell ref="D61:D62"/>
    <mergeCell ref="A61:A62"/>
    <mergeCell ref="E61:F61"/>
    <mergeCell ref="E62:F62"/>
    <mergeCell ref="D63:F63"/>
    <mergeCell ref="D64:F64"/>
    <mergeCell ref="E46:F46"/>
    <mergeCell ref="E47:F47"/>
    <mergeCell ref="E48:F48"/>
    <mergeCell ref="E49:F49"/>
    <mergeCell ref="E50:F50"/>
    <mergeCell ref="E44:F44"/>
    <mergeCell ref="A41:F42"/>
    <mergeCell ref="A44:A60"/>
    <mergeCell ref="E55:E56"/>
    <mergeCell ref="D59:D60"/>
    <mergeCell ref="D55:D58"/>
    <mergeCell ref="D44:D47"/>
    <mergeCell ref="D48:D50"/>
    <mergeCell ref="D51:D54"/>
    <mergeCell ref="E53:F53"/>
    <mergeCell ref="E54:F54"/>
    <mergeCell ref="A43:F43"/>
    <mergeCell ref="E45:F45"/>
    <mergeCell ref="E60:F60"/>
    <mergeCell ref="E52:F52"/>
    <mergeCell ref="E51:F51"/>
    <mergeCell ref="D2:H2"/>
    <mergeCell ref="I2:M2"/>
    <mergeCell ref="D5:M5"/>
    <mergeCell ref="F9:F11"/>
    <mergeCell ref="A39:F40"/>
    <mergeCell ref="A2:C2"/>
    <mergeCell ref="A3:C4"/>
    <mergeCell ref="A5:C5"/>
    <mergeCell ref="A6:B8"/>
    <mergeCell ref="I9:I11"/>
    <mergeCell ref="I13:I15"/>
    <mergeCell ref="I16:I17"/>
    <mergeCell ref="I18:I20"/>
    <mergeCell ref="F13:F15"/>
    <mergeCell ref="G13:G15"/>
    <mergeCell ref="A21:B24"/>
    <mergeCell ref="A25:B32"/>
    <mergeCell ref="E30:E31"/>
    <mergeCell ref="F16:F17"/>
    <mergeCell ref="G16:G17"/>
    <mergeCell ref="B18:B20"/>
    <mergeCell ref="F18:F20"/>
    <mergeCell ref="G18:G20"/>
    <mergeCell ref="B16:B17"/>
    <mergeCell ref="D16:D17"/>
    <mergeCell ref="E16:E17"/>
    <mergeCell ref="A9:A20"/>
    <mergeCell ref="D9:D11"/>
    <mergeCell ref="E9:E11"/>
    <mergeCell ref="D18:D20"/>
    <mergeCell ref="E18:E20"/>
    <mergeCell ref="H16:H17"/>
    <mergeCell ref="H18:H20"/>
    <mergeCell ref="B9:B11"/>
    <mergeCell ref="B12:C12"/>
    <mergeCell ref="B13:B15"/>
    <mergeCell ref="H13:H15"/>
    <mergeCell ref="G9:G11"/>
    <mergeCell ref="H9:H11"/>
    <mergeCell ref="D13:D15"/>
    <mergeCell ref="E13:E15"/>
    <mergeCell ref="L30:L31"/>
    <mergeCell ref="M30:M31"/>
    <mergeCell ref="N30:N31"/>
    <mergeCell ref="F30:F31"/>
    <mergeCell ref="G30:G31"/>
    <mergeCell ref="H30:H31"/>
    <mergeCell ref="J30:J31"/>
    <mergeCell ref="K30:K31"/>
  </mergeCells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dimension ref="A1:E65"/>
  <sheetViews>
    <sheetView workbookViewId="0"/>
  </sheetViews>
  <sheetFormatPr defaultRowHeight="13.5"/>
  <cols>
    <col min="1" max="5" width="10.6640625" style="87" customWidth="1"/>
    <col min="6" max="16384" width="8.88671875" style="87"/>
  </cols>
  <sheetData>
    <row r="1" spans="1:5" ht="30" customHeight="1">
      <c r="A1" s="87" t="s">
        <v>544</v>
      </c>
    </row>
    <row r="2" spans="1:5" ht="30" customHeight="1">
      <c r="A2" s="779" t="s">
        <v>545</v>
      </c>
      <c r="B2" s="779" t="s">
        <v>546</v>
      </c>
      <c r="C2" s="779" t="s">
        <v>547</v>
      </c>
      <c r="D2" s="779"/>
      <c r="E2" s="779" t="s">
        <v>550</v>
      </c>
    </row>
    <row r="3" spans="1:5" ht="30" customHeight="1">
      <c r="A3" s="779"/>
      <c r="B3" s="779"/>
      <c r="C3" s="88" t="s">
        <v>548</v>
      </c>
      <c r="D3" s="88" t="s">
        <v>549</v>
      </c>
      <c r="E3" s="779"/>
    </row>
    <row r="4" spans="1:5" ht="30" customHeight="1">
      <c r="A4" s="88" t="s">
        <v>398</v>
      </c>
      <c r="B4" s="89">
        <v>14894</v>
      </c>
      <c r="C4" s="89">
        <v>2482</v>
      </c>
      <c r="D4" s="89">
        <v>473</v>
      </c>
      <c r="E4" s="89">
        <f>SUM(B4:D4)</f>
        <v>17849</v>
      </c>
    </row>
    <row r="5" spans="1:5" ht="30" customHeight="1">
      <c r="A5" s="88" t="s">
        <v>541</v>
      </c>
      <c r="B5" s="89">
        <v>1131</v>
      </c>
      <c r="C5" s="89">
        <v>0</v>
      </c>
      <c r="D5" s="89">
        <v>29</v>
      </c>
      <c r="E5" s="89">
        <f>SUM(B5:D5)</f>
        <v>1160</v>
      </c>
    </row>
    <row r="6" spans="1:5" ht="30" customHeight="1">
      <c r="A6" s="88" t="s">
        <v>542</v>
      </c>
      <c r="B6" s="89">
        <v>2920</v>
      </c>
      <c r="C6" s="89">
        <v>141</v>
      </c>
      <c r="D6" s="89">
        <v>0</v>
      </c>
      <c r="E6" s="89">
        <f>SUM(B6:D6)</f>
        <v>3061</v>
      </c>
    </row>
    <row r="7" spans="1:5" ht="30" customHeight="1">
      <c r="A7" s="88" t="s">
        <v>543</v>
      </c>
      <c r="B7" s="89">
        <v>5850</v>
      </c>
      <c r="C7" s="89">
        <v>1315</v>
      </c>
      <c r="D7" s="89">
        <v>112</v>
      </c>
      <c r="E7" s="89">
        <f>SUM(B7:D7)</f>
        <v>7277</v>
      </c>
    </row>
    <row r="8" spans="1:5" ht="30" customHeight="1">
      <c r="A8" s="88" t="s">
        <v>551</v>
      </c>
      <c r="B8" s="90">
        <f>SUM(B4:B7)</f>
        <v>24795</v>
      </c>
      <c r="C8" s="90">
        <f>SUM(C4:C7)</f>
        <v>3938</v>
      </c>
      <c r="D8" s="90">
        <f>SUM(D4:D7)</f>
        <v>614</v>
      </c>
      <c r="E8" s="90">
        <f>SUM(E4:E7)</f>
        <v>29347</v>
      </c>
    </row>
    <row r="9" spans="1:5" ht="30" customHeight="1"/>
    <row r="10" spans="1:5" ht="30" customHeight="1"/>
    <row r="11" spans="1:5" ht="30" customHeight="1"/>
    <row r="12" spans="1:5" ht="30" customHeight="1"/>
    <row r="13" spans="1:5" ht="30" customHeight="1"/>
    <row r="14" spans="1:5" ht="30" customHeight="1"/>
    <row r="15" spans="1:5" ht="30" customHeight="1"/>
    <row r="16" spans="1:5" ht="30" customHeight="1"/>
    <row r="17" ht="30" customHeight="1"/>
    <row r="18" ht="30" customHeight="1"/>
    <row r="19" ht="30" customHeight="1"/>
    <row r="20" ht="30" customHeight="1"/>
    <row r="21" ht="30" customHeight="1"/>
    <row r="22" ht="30" customHeight="1"/>
    <row r="23" ht="30" customHeight="1"/>
    <row r="24" ht="30" customHeight="1"/>
    <row r="25" ht="30" customHeight="1"/>
    <row r="26" ht="30" customHeight="1"/>
    <row r="27" ht="30" customHeight="1"/>
    <row r="28" ht="30" customHeight="1"/>
    <row r="29" ht="30" customHeight="1"/>
    <row r="30" ht="30" customHeight="1"/>
    <row r="31" ht="30" customHeight="1"/>
    <row r="32" ht="30" customHeight="1"/>
    <row r="33" ht="30" customHeight="1"/>
    <row r="34" ht="30" customHeight="1"/>
    <row r="35" ht="30" customHeight="1"/>
    <row r="36" ht="30" customHeight="1"/>
    <row r="37" ht="30" customHeight="1"/>
    <row r="38" ht="30" customHeight="1"/>
    <row r="39" ht="30" customHeight="1"/>
    <row r="40" ht="30" customHeight="1"/>
    <row r="41" ht="30" customHeight="1"/>
    <row r="42" ht="30" customHeight="1"/>
    <row r="43" ht="30" customHeight="1"/>
    <row r="44" ht="30" customHeight="1"/>
    <row r="45" ht="30" customHeight="1"/>
    <row r="46" ht="30" customHeight="1"/>
    <row r="47" ht="30" customHeight="1"/>
    <row r="48" ht="30" customHeight="1"/>
    <row r="49" ht="30" customHeight="1"/>
    <row r="50" ht="30" customHeight="1"/>
    <row r="51" ht="30" customHeight="1"/>
    <row r="52" ht="30" customHeight="1"/>
    <row r="53" ht="30" customHeight="1"/>
    <row r="54" ht="30" customHeight="1"/>
    <row r="55" ht="30" customHeight="1"/>
    <row r="56" ht="30" customHeight="1"/>
    <row r="57" ht="30" customHeight="1"/>
    <row r="58" ht="30" customHeight="1"/>
    <row r="59" ht="30" customHeight="1"/>
    <row r="60" ht="30" customHeight="1"/>
    <row r="61" ht="30" customHeight="1"/>
    <row r="62" ht="30" customHeight="1"/>
    <row r="63" ht="30" customHeight="1"/>
    <row r="64" ht="30" customHeight="1"/>
    <row r="65" ht="30" customHeight="1"/>
  </sheetData>
  <mergeCells count="4">
    <mergeCell ref="C2:D2"/>
    <mergeCell ref="B2:B3"/>
    <mergeCell ref="A2:A3"/>
    <mergeCell ref="E2:E3"/>
  </mergeCells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Q238"/>
  <sheetViews>
    <sheetView view="pageBreakPreview" zoomScale="60" zoomScaleNormal="100" workbookViewId="0">
      <selection activeCell="T156" sqref="T156"/>
    </sheetView>
  </sheetViews>
  <sheetFormatPr defaultRowHeight="20.100000000000001" customHeight="1"/>
  <cols>
    <col min="1" max="1" width="2.33203125" style="206" customWidth="1"/>
    <col min="2" max="2" width="7.77734375" style="206" customWidth="1"/>
    <col min="3" max="3" width="2.33203125" style="206" customWidth="1"/>
    <col min="4" max="5" width="6.77734375" style="206" customWidth="1"/>
    <col min="6" max="11" width="8.33203125" style="206" customWidth="1"/>
    <col min="12" max="12" width="8.88671875" style="206"/>
    <col min="13" max="13" width="9.6640625" style="206" customWidth="1"/>
    <col min="14" max="15" width="9" style="206" bestFit="1" customWidth="1"/>
    <col min="16" max="17" width="9.21875" style="206" bestFit="1" customWidth="1"/>
    <col min="18" max="16384" width="8.88671875" style="206"/>
  </cols>
  <sheetData>
    <row r="1" spans="1:13" s="204" customFormat="1" ht="21.95" customHeight="1">
      <c r="A1" s="204" t="s">
        <v>999</v>
      </c>
    </row>
    <row r="2" spans="1:13" s="208" customFormat="1" ht="21.95" customHeight="1">
      <c r="A2" s="207" t="s">
        <v>1815</v>
      </c>
      <c r="B2" s="207"/>
      <c r="H2" s="209"/>
      <c r="I2" s="209"/>
      <c r="K2" s="209"/>
      <c r="L2" s="209"/>
    </row>
    <row r="3" spans="1:13" ht="18" customHeight="1">
      <c r="A3" s="616" t="s">
        <v>1762</v>
      </c>
      <c r="B3" s="616"/>
      <c r="C3" s="616"/>
      <c r="D3" s="616"/>
      <c r="E3" s="616"/>
      <c r="F3" s="616" t="s">
        <v>1243</v>
      </c>
      <c r="G3" s="616"/>
      <c r="H3" s="616"/>
      <c r="I3" s="616"/>
      <c r="J3" s="616"/>
      <c r="K3" s="616" t="s">
        <v>1195</v>
      </c>
      <c r="M3" s="356" t="s">
        <v>1817</v>
      </c>
    </row>
    <row r="4" spans="1:13" ht="18" customHeight="1">
      <c r="A4" s="616"/>
      <c r="B4" s="616"/>
      <c r="C4" s="616"/>
      <c r="D4" s="616"/>
      <c r="E4" s="616"/>
      <c r="F4" s="550" t="s">
        <v>1000</v>
      </c>
      <c r="G4" s="550" t="s">
        <v>114</v>
      </c>
      <c r="H4" s="550" t="s">
        <v>115</v>
      </c>
      <c r="I4" s="550" t="s">
        <v>116</v>
      </c>
      <c r="J4" s="550" t="s">
        <v>117</v>
      </c>
      <c r="K4" s="616"/>
      <c r="M4" s="356">
        <v>0</v>
      </c>
    </row>
    <row r="5" spans="1:13" ht="18" customHeight="1">
      <c r="A5" s="633" t="s">
        <v>698</v>
      </c>
      <c r="B5" s="633"/>
      <c r="C5" s="640" t="s">
        <v>15</v>
      </c>
      <c r="D5" s="640"/>
      <c r="E5" s="640"/>
      <c r="F5" s="372">
        <f>SUM(F6:F10)</f>
        <v>43403</v>
      </c>
      <c r="G5" s="372">
        <f t="shared" ref="G5:J5" si="0">SUM(G6:G10)</f>
        <v>53597</v>
      </c>
      <c r="H5" s="372">
        <f t="shared" si="0"/>
        <v>66868</v>
      </c>
      <c r="I5" s="372">
        <f t="shared" si="0"/>
        <v>71216</v>
      </c>
      <c r="J5" s="372">
        <f t="shared" si="0"/>
        <v>74446</v>
      </c>
      <c r="K5" s="509">
        <f>J5-J8</f>
        <v>69713</v>
      </c>
      <c r="L5" s="463" t="str">
        <f>IF(SUM(F5:J5)=SUM('1.급수구역별 수요량'!F5:J5),"OK","NG")</f>
        <v>OK</v>
      </c>
    </row>
    <row r="6" spans="1:13" ht="18" customHeight="1">
      <c r="A6" s="633"/>
      <c r="B6" s="633"/>
      <c r="C6" s="633" t="s">
        <v>85</v>
      </c>
      <c r="D6" s="633"/>
      <c r="E6" s="633"/>
      <c r="F6" s="368">
        <f t="shared" ref="F6:J10" si="1">F12+F67+F80+F93+F112+F125+F138+F151+F164+F189+F202+F215+F234</f>
        <v>34311</v>
      </c>
      <c r="G6" s="368">
        <f t="shared" si="1"/>
        <v>41526</v>
      </c>
      <c r="H6" s="368">
        <f t="shared" si="1"/>
        <v>51862</v>
      </c>
      <c r="I6" s="368">
        <f t="shared" si="1"/>
        <v>55168</v>
      </c>
      <c r="J6" s="368">
        <f t="shared" si="1"/>
        <v>57947</v>
      </c>
      <c r="K6" s="559"/>
    </row>
    <row r="7" spans="1:13" ht="18" customHeight="1">
      <c r="A7" s="633"/>
      <c r="B7" s="633"/>
      <c r="C7" s="633" t="s">
        <v>78</v>
      </c>
      <c r="D7" s="633"/>
      <c r="E7" s="559" t="s">
        <v>1201</v>
      </c>
      <c r="F7" s="368">
        <f t="shared" si="1"/>
        <v>3857</v>
      </c>
      <c r="G7" s="368">
        <f t="shared" si="1"/>
        <v>6364</v>
      </c>
      <c r="H7" s="368">
        <f t="shared" si="1"/>
        <v>8363</v>
      </c>
      <c r="I7" s="368">
        <f t="shared" si="1"/>
        <v>6233</v>
      </c>
      <c r="J7" s="368">
        <f t="shared" si="1"/>
        <v>5123</v>
      </c>
      <c r="K7" s="559"/>
      <c r="L7" s="578">
        <f>H6-'1.급수구역별 수요량'!H6</f>
        <v>0</v>
      </c>
    </row>
    <row r="8" spans="1:13" ht="18" customHeight="1">
      <c r="A8" s="633"/>
      <c r="B8" s="633"/>
      <c r="C8" s="633"/>
      <c r="D8" s="633"/>
      <c r="E8" s="559" t="s">
        <v>1202</v>
      </c>
      <c r="F8" s="368">
        <f t="shared" si="1"/>
        <v>0</v>
      </c>
      <c r="G8" s="368">
        <f t="shared" si="1"/>
        <v>0</v>
      </c>
      <c r="H8" s="368">
        <f t="shared" si="1"/>
        <v>0</v>
      </c>
      <c r="I8" s="368">
        <f t="shared" si="1"/>
        <v>3172</v>
      </c>
      <c r="J8" s="368">
        <f t="shared" si="1"/>
        <v>4733</v>
      </c>
      <c r="K8" s="559"/>
    </row>
    <row r="9" spans="1:13" ht="18" customHeight="1">
      <c r="A9" s="633"/>
      <c r="B9" s="633"/>
      <c r="C9" s="633" t="s">
        <v>80</v>
      </c>
      <c r="D9" s="633"/>
      <c r="E9" s="633"/>
      <c r="F9" s="368">
        <f t="shared" si="1"/>
        <v>0</v>
      </c>
      <c r="G9" s="368">
        <f t="shared" si="1"/>
        <v>0</v>
      </c>
      <c r="H9" s="368">
        <f t="shared" si="1"/>
        <v>129</v>
      </c>
      <c r="I9" s="368">
        <f t="shared" si="1"/>
        <v>129</v>
      </c>
      <c r="J9" s="368">
        <f t="shared" si="1"/>
        <v>129</v>
      </c>
      <c r="K9" s="559"/>
    </row>
    <row r="10" spans="1:13" ht="18" customHeight="1">
      <c r="A10" s="633"/>
      <c r="B10" s="633"/>
      <c r="C10" s="633" t="s">
        <v>81</v>
      </c>
      <c r="D10" s="633"/>
      <c r="E10" s="633"/>
      <c r="F10" s="368">
        <f t="shared" si="1"/>
        <v>5235</v>
      </c>
      <c r="G10" s="368">
        <f t="shared" si="1"/>
        <v>5707</v>
      </c>
      <c r="H10" s="368">
        <f t="shared" si="1"/>
        <v>6514</v>
      </c>
      <c r="I10" s="368">
        <f t="shared" si="1"/>
        <v>6514</v>
      </c>
      <c r="J10" s="368">
        <f t="shared" si="1"/>
        <v>6514</v>
      </c>
      <c r="K10" s="559"/>
    </row>
    <row r="11" spans="1:13" ht="18" customHeight="1">
      <c r="A11" s="637" t="s">
        <v>1816</v>
      </c>
      <c r="B11" s="638"/>
      <c r="C11" s="639" t="s">
        <v>15</v>
      </c>
      <c r="D11" s="639"/>
      <c r="E11" s="639"/>
      <c r="F11" s="369">
        <f>SUM(F12:F16)</f>
        <v>4960</v>
      </c>
      <c r="G11" s="369">
        <f t="shared" ref="G11:J11" si="2">SUM(G12:G16)</f>
        <v>5726</v>
      </c>
      <c r="H11" s="369">
        <f t="shared" si="2"/>
        <v>8670</v>
      </c>
      <c r="I11" s="369">
        <f t="shared" si="2"/>
        <v>9078</v>
      </c>
      <c r="J11" s="369">
        <f t="shared" si="2"/>
        <v>9370</v>
      </c>
      <c r="K11" s="554"/>
    </row>
    <row r="12" spans="1:13" ht="18" customHeight="1">
      <c r="A12" s="638"/>
      <c r="B12" s="638"/>
      <c r="C12" s="638" t="s">
        <v>85</v>
      </c>
      <c r="D12" s="638"/>
      <c r="E12" s="638"/>
      <c r="F12" s="370">
        <f>F18+F24+F30+F36+F42+F48+F54+F60</f>
        <v>1971</v>
      </c>
      <c r="G12" s="370">
        <f t="shared" ref="G12:J12" si="3">G18+G24+G30+G36+G42+G48+G54+G60</f>
        <v>2737</v>
      </c>
      <c r="H12" s="370">
        <f t="shared" si="3"/>
        <v>4923</v>
      </c>
      <c r="I12" s="370">
        <f t="shared" si="3"/>
        <v>5184</v>
      </c>
      <c r="J12" s="370">
        <f t="shared" si="3"/>
        <v>5250</v>
      </c>
      <c r="K12" s="554"/>
    </row>
    <row r="13" spans="1:13" ht="18" customHeight="1">
      <c r="A13" s="638"/>
      <c r="B13" s="638"/>
      <c r="C13" s="638" t="s">
        <v>78</v>
      </c>
      <c r="D13" s="638"/>
      <c r="E13" s="554" t="s">
        <v>1201</v>
      </c>
      <c r="F13" s="370">
        <f t="shared" ref="F13:J16" si="4">F19+F25+F31+F37+F43+F49+F55+F61</f>
        <v>2989</v>
      </c>
      <c r="G13" s="370">
        <f t="shared" si="4"/>
        <v>2989</v>
      </c>
      <c r="H13" s="370">
        <f t="shared" si="4"/>
        <v>3747</v>
      </c>
      <c r="I13" s="370">
        <f t="shared" si="4"/>
        <v>3185</v>
      </c>
      <c r="J13" s="370">
        <f t="shared" si="4"/>
        <v>3062</v>
      </c>
      <c r="K13" s="554"/>
    </row>
    <row r="14" spans="1:13" ht="18" customHeight="1">
      <c r="A14" s="638"/>
      <c r="B14" s="638"/>
      <c r="C14" s="638"/>
      <c r="D14" s="638"/>
      <c r="E14" s="554" t="s">
        <v>1202</v>
      </c>
      <c r="F14" s="370">
        <f t="shared" si="4"/>
        <v>0</v>
      </c>
      <c r="G14" s="370">
        <f t="shared" si="4"/>
        <v>0</v>
      </c>
      <c r="H14" s="370">
        <f t="shared" si="4"/>
        <v>0</v>
      </c>
      <c r="I14" s="370">
        <f t="shared" si="4"/>
        <v>709</v>
      </c>
      <c r="J14" s="370">
        <f t="shared" si="4"/>
        <v>1058</v>
      </c>
      <c r="K14" s="554"/>
    </row>
    <row r="15" spans="1:13" ht="18" customHeight="1">
      <c r="A15" s="638"/>
      <c r="B15" s="638"/>
      <c r="C15" s="638" t="s">
        <v>80</v>
      </c>
      <c r="D15" s="638"/>
      <c r="E15" s="638"/>
      <c r="F15" s="370">
        <f t="shared" si="4"/>
        <v>0</v>
      </c>
      <c r="G15" s="370">
        <f t="shared" si="4"/>
        <v>0</v>
      </c>
      <c r="H15" s="370">
        <f t="shared" si="4"/>
        <v>0</v>
      </c>
      <c r="I15" s="370">
        <f t="shared" si="4"/>
        <v>0</v>
      </c>
      <c r="J15" s="370">
        <f t="shared" si="4"/>
        <v>0</v>
      </c>
      <c r="K15" s="554"/>
    </row>
    <row r="16" spans="1:13" ht="18" customHeight="1">
      <c r="A16" s="638"/>
      <c r="B16" s="638"/>
      <c r="C16" s="638" t="s">
        <v>81</v>
      </c>
      <c r="D16" s="638"/>
      <c r="E16" s="638"/>
      <c r="F16" s="370">
        <f t="shared" si="4"/>
        <v>0</v>
      </c>
      <c r="G16" s="370">
        <f t="shared" si="4"/>
        <v>0</v>
      </c>
      <c r="H16" s="370">
        <f t="shared" si="4"/>
        <v>0</v>
      </c>
      <c r="I16" s="370">
        <f t="shared" si="4"/>
        <v>0</v>
      </c>
      <c r="J16" s="370">
        <f t="shared" si="4"/>
        <v>0</v>
      </c>
      <c r="K16" s="554"/>
    </row>
    <row r="17" spans="1:11" s="358" customFormat="1" ht="18.600000000000001" customHeight="1">
      <c r="A17" s="557"/>
      <c r="B17" s="641" t="s">
        <v>1901</v>
      </c>
      <c r="C17" s="642" t="s">
        <v>15</v>
      </c>
      <c r="D17" s="642"/>
      <c r="E17" s="642"/>
      <c r="F17" s="352">
        <f>F18+F19+F20+F21+F22</f>
        <v>287</v>
      </c>
      <c r="G17" s="352">
        <f t="shared" ref="G17" si="5">G18+G19+G20+G21+G22</f>
        <v>585</v>
      </c>
      <c r="H17" s="352">
        <f t="shared" ref="H17" si="6">H18+H19+H20+H21+H22</f>
        <v>1006</v>
      </c>
      <c r="I17" s="352">
        <f t="shared" ref="I17" si="7">I18+I19+I20+I21+I22</f>
        <v>1098</v>
      </c>
      <c r="J17" s="352">
        <f t="shared" ref="J17" si="8">J18+J19+J20+J21+J22</f>
        <v>1118</v>
      </c>
      <c r="K17" s="553"/>
    </row>
    <row r="18" spans="1:11" s="358" customFormat="1" ht="18.600000000000001" customHeight="1">
      <c r="A18" s="557"/>
      <c r="B18" s="616"/>
      <c r="C18" s="616" t="s">
        <v>85</v>
      </c>
      <c r="D18" s="616"/>
      <c r="E18" s="616"/>
      <c r="F18" s="229">
        <f>'1.급수구역별 수요량'!F12</f>
        <v>287</v>
      </c>
      <c r="G18" s="229">
        <f>'1.급수구역별 수요량'!G12</f>
        <v>585</v>
      </c>
      <c r="H18" s="229">
        <f>'1.급수구역별 수요량'!H12</f>
        <v>1006</v>
      </c>
      <c r="I18" s="229">
        <f>'1.급수구역별 수요량'!I12</f>
        <v>1098</v>
      </c>
      <c r="J18" s="229">
        <f>'1.급수구역별 수요량'!J12</f>
        <v>1118</v>
      </c>
      <c r="K18" s="553"/>
    </row>
    <row r="19" spans="1:11" s="358" customFormat="1" ht="18.600000000000001" customHeight="1">
      <c r="A19" s="557"/>
      <c r="B19" s="616"/>
      <c r="C19" s="616" t="s">
        <v>78</v>
      </c>
      <c r="D19" s="616"/>
      <c r="E19" s="553" t="s">
        <v>1201</v>
      </c>
      <c r="F19" s="229">
        <f>'1.급수구역별 수요량'!F13</f>
        <v>0</v>
      </c>
      <c r="G19" s="229">
        <f>'1.급수구역별 수요량'!G13</f>
        <v>0</v>
      </c>
      <c r="H19" s="229">
        <f>'1.급수구역별 수요량'!H13</f>
        <v>0</v>
      </c>
      <c r="I19" s="229">
        <f>'1.급수구역별 수요량'!I13</f>
        <v>0</v>
      </c>
      <c r="J19" s="229">
        <f>'1.급수구역별 수요량'!J13</f>
        <v>0</v>
      </c>
      <c r="K19" s="553"/>
    </row>
    <row r="20" spans="1:11" s="358" customFormat="1" ht="18.600000000000001" customHeight="1">
      <c r="A20" s="557"/>
      <c r="B20" s="616"/>
      <c r="C20" s="616" t="s">
        <v>78</v>
      </c>
      <c r="D20" s="616"/>
      <c r="E20" s="553" t="s">
        <v>1202</v>
      </c>
      <c r="F20" s="229">
        <f>'1.급수구역별 수요량'!F14</f>
        <v>0</v>
      </c>
      <c r="G20" s="229">
        <f>'1.급수구역별 수요량'!G14</f>
        <v>0</v>
      </c>
      <c r="H20" s="229">
        <f>'1.급수구역별 수요량'!H14</f>
        <v>0</v>
      </c>
      <c r="I20" s="229">
        <f>'1.급수구역별 수요량'!I14</f>
        <v>0</v>
      </c>
      <c r="J20" s="229">
        <f>'1.급수구역별 수요량'!J14</f>
        <v>0</v>
      </c>
      <c r="K20" s="553"/>
    </row>
    <row r="21" spans="1:11" s="358" customFormat="1" ht="18.600000000000001" customHeight="1">
      <c r="A21" s="557"/>
      <c r="B21" s="616"/>
      <c r="C21" s="616" t="s">
        <v>80</v>
      </c>
      <c r="D21" s="616"/>
      <c r="E21" s="616"/>
      <c r="F21" s="229">
        <f>'1.급수구역별 수요량'!F15</f>
        <v>0</v>
      </c>
      <c r="G21" s="229">
        <f>'1.급수구역별 수요량'!G15</f>
        <v>0</v>
      </c>
      <c r="H21" s="229">
        <f>'1.급수구역별 수요량'!H15</f>
        <v>0</v>
      </c>
      <c r="I21" s="229">
        <f>'1.급수구역별 수요량'!I15</f>
        <v>0</v>
      </c>
      <c r="J21" s="229">
        <f>'1.급수구역별 수요량'!J15</f>
        <v>0</v>
      </c>
      <c r="K21" s="553"/>
    </row>
    <row r="22" spans="1:11" s="358" customFormat="1" ht="18.600000000000001" customHeight="1">
      <c r="A22" s="557"/>
      <c r="B22" s="616"/>
      <c r="C22" s="616" t="s">
        <v>81</v>
      </c>
      <c r="D22" s="616"/>
      <c r="E22" s="616"/>
      <c r="F22" s="229">
        <f>'1.급수구역별 수요량'!F16</f>
        <v>0</v>
      </c>
      <c r="G22" s="229">
        <f>'1.급수구역별 수요량'!G16</f>
        <v>0</v>
      </c>
      <c r="H22" s="229">
        <f>'1.급수구역별 수요량'!H16</f>
        <v>0</v>
      </c>
      <c r="I22" s="229">
        <f>'1.급수구역별 수요량'!I16</f>
        <v>0</v>
      </c>
      <c r="J22" s="229">
        <f>'1.급수구역별 수요량'!J16</f>
        <v>0</v>
      </c>
      <c r="K22" s="553"/>
    </row>
    <row r="23" spans="1:11" s="358" customFormat="1" ht="18.600000000000001" customHeight="1">
      <c r="A23" s="557"/>
      <c r="B23" s="607" t="s">
        <v>1905</v>
      </c>
      <c r="C23" s="642" t="s">
        <v>15</v>
      </c>
      <c r="D23" s="642"/>
      <c r="E23" s="642"/>
      <c r="F23" s="352">
        <f>F24+F25+F26+F27+F28</f>
        <v>765</v>
      </c>
      <c r="G23" s="352">
        <f t="shared" ref="G23" si="9">G24+G25+G26+G27+G28</f>
        <v>857</v>
      </c>
      <c r="H23" s="352">
        <f t="shared" ref="H23" si="10">H24+H25+H26+H27+H28</f>
        <v>911</v>
      </c>
      <c r="I23" s="352">
        <f t="shared" ref="I23" si="11">I24+I25+I26+I27+I28</f>
        <v>996</v>
      </c>
      <c r="J23" s="352">
        <f t="shared" ref="J23" si="12">J24+J25+J26+J27+J28</f>
        <v>1013</v>
      </c>
      <c r="K23" s="553"/>
    </row>
    <row r="24" spans="1:11" s="358" customFormat="1" ht="18.600000000000001" customHeight="1">
      <c r="A24" s="557"/>
      <c r="B24" s="608"/>
      <c r="C24" s="616" t="s">
        <v>85</v>
      </c>
      <c r="D24" s="616"/>
      <c r="E24" s="616"/>
      <c r="F24" s="229">
        <f>'1.급수구역별 수요량'!F104</f>
        <v>765</v>
      </c>
      <c r="G24" s="229">
        <f>'1.급수구역별 수요량'!G104</f>
        <v>857</v>
      </c>
      <c r="H24" s="229">
        <f>'1.급수구역별 수요량'!H104</f>
        <v>911</v>
      </c>
      <c r="I24" s="229">
        <f>'1.급수구역별 수요량'!I104</f>
        <v>996</v>
      </c>
      <c r="J24" s="229">
        <f>'1.급수구역별 수요량'!J104</f>
        <v>1013</v>
      </c>
      <c r="K24" s="553"/>
    </row>
    <row r="25" spans="1:11" s="358" customFormat="1" ht="18.600000000000001" customHeight="1">
      <c r="A25" s="557"/>
      <c r="B25" s="608"/>
      <c r="C25" s="616" t="s">
        <v>78</v>
      </c>
      <c r="D25" s="616"/>
      <c r="E25" s="553" t="s">
        <v>1201</v>
      </c>
      <c r="F25" s="229">
        <f>'1.급수구역별 수요량'!F105</f>
        <v>0</v>
      </c>
      <c r="G25" s="229">
        <f>'1.급수구역별 수요량'!G105</f>
        <v>0</v>
      </c>
      <c r="H25" s="229">
        <f>'1.급수구역별 수요량'!H105</f>
        <v>0</v>
      </c>
      <c r="I25" s="229">
        <f>'1.급수구역별 수요량'!I105</f>
        <v>0</v>
      </c>
      <c r="J25" s="229">
        <f>'1.급수구역별 수요량'!J105</f>
        <v>0</v>
      </c>
      <c r="K25" s="553"/>
    </row>
    <row r="26" spans="1:11" s="358" customFormat="1" ht="18.600000000000001" customHeight="1">
      <c r="A26" s="557"/>
      <c r="B26" s="608"/>
      <c r="C26" s="616" t="s">
        <v>78</v>
      </c>
      <c r="D26" s="616"/>
      <c r="E26" s="553" t="s">
        <v>1202</v>
      </c>
      <c r="F26" s="229">
        <f>'1.급수구역별 수요량'!F106</f>
        <v>0</v>
      </c>
      <c r="G26" s="229">
        <f>'1.급수구역별 수요량'!G106</f>
        <v>0</v>
      </c>
      <c r="H26" s="229">
        <f>'1.급수구역별 수요량'!H106</f>
        <v>0</v>
      </c>
      <c r="I26" s="229">
        <f>'1.급수구역별 수요량'!I106</f>
        <v>0</v>
      </c>
      <c r="J26" s="229">
        <f>'1.급수구역별 수요량'!J106</f>
        <v>0</v>
      </c>
      <c r="K26" s="553"/>
    </row>
    <row r="27" spans="1:11" s="358" customFormat="1" ht="18.600000000000001" customHeight="1">
      <c r="A27" s="557"/>
      <c r="B27" s="608"/>
      <c r="C27" s="616" t="s">
        <v>80</v>
      </c>
      <c r="D27" s="616"/>
      <c r="E27" s="616"/>
      <c r="F27" s="229">
        <f>'1.급수구역별 수요량'!F107</f>
        <v>0</v>
      </c>
      <c r="G27" s="229">
        <f>'1.급수구역별 수요량'!G107</f>
        <v>0</v>
      </c>
      <c r="H27" s="229">
        <f>'1.급수구역별 수요량'!H107</f>
        <v>0</v>
      </c>
      <c r="I27" s="229">
        <f>'1.급수구역별 수요량'!I107</f>
        <v>0</v>
      </c>
      <c r="J27" s="229">
        <f>'1.급수구역별 수요량'!J107</f>
        <v>0</v>
      </c>
      <c r="K27" s="553"/>
    </row>
    <row r="28" spans="1:11" s="358" customFormat="1" ht="18.600000000000001" customHeight="1">
      <c r="A28" s="557"/>
      <c r="B28" s="609"/>
      <c r="C28" s="616" t="s">
        <v>81</v>
      </c>
      <c r="D28" s="616"/>
      <c r="E28" s="616"/>
      <c r="F28" s="229">
        <f>'1.급수구역별 수요량'!F108</f>
        <v>0</v>
      </c>
      <c r="G28" s="229">
        <f>'1.급수구역별 수요량'!G108</f>
        <v>0</v>
      </c>
      <c r="H28" s="229">
        <f>'1.급수구역별 수요량'!H108</f>
        <v>0</v>
      </c>
      <c r="I28" s="229">
        <f>'1.급수구역별 수요량'!I108</f>
        <v>0</v>
      </c>
      <c r="J28" s="229">
        <f>'1.급수구역별 수요량'!J108</f>
        <v>0</v>
      </c>
      <c r="K28" s="553"/>
    </row>
    <row r="29" spans="1:11" s="403" customFormat="1" ht="18.600000000000001" customHeight="1">
      <c r="A29" s="557"/>
      <c r="B29" s="607" t="s">
        <v>1906</v>
      </c>
      <c r="C29" s="642" t="s">
        <v>15</v>
      </c>
      <c r="D29" s="642"/>
      <c r="E29" s="642"/>
      <c r="F29" s="352">
        <f>F30+F31+F32+F33+F34</f>
        <v>176</v>
      </c>
      <c r="G29" s="352">
        <f t="shared" ref="G29:J29" si="13">G30+G31+G32+G33+G34</f>
        <v>176</v>
      </c>
      <c r="H29" s="352">
        <f t="shared" si="13"/>
        <v>189</v>
      </c>
      <c r="I29" s="352">
        <f t="shared" si="13"/>
        <v>208</v>
      </c>
      <c r="J29" s="352">
        <f t="shared" si="13"/>
        <v>210</v>
      </c>
      <c r="K29" s="553"/>
    </row>
    <row r="30" spans="1:11" s="403" customFormat="1" ht="18.600000000000001" customHeight="1">
      <c r="A30" s="557"/>
      <c r="B30" s="608"/>
      <c r="C30" s="616" t="s">
        <v>85</v>
      </c>
      <c r="D30" s="616"/>
      <c r="E30" s="616"/>
      <c r="F30" s="229">
        <f>'1.급수구역별 수요량'!F110</f>
        <v>176</v>
      </c>
      <c r="G30" s="229">
        <f>'1.급수구역별 수요량'!G110</f>
        <v>176</v>
      </c>
      <c r="H30" s="229">
        <f>'1.급수구역별 수요량'!H110</f>
        <v>189</v>
      </c>
      <c r="I30" s="229">
        <f>'1.급수구역별 수요량'!I110</f>
        <v>208</v>
      </c>
      <c r="J30" s="229">
        <f>'1.급수구역별 수요량'!J110</f>
        <v>210</v>
      </c>
      <c r="K30" s="553"/>
    </row>
    <row r="31" spans="1:11" s="403" customFormat="1" ht="18.600000000000001" customHeight="1">
      <c r="A31" s="557"/>
      <c r="B31" s="608"/>
      <c r="C31" s="616" t="s">
        <v>78</v>
      </c>
      <c r="D31" s="616"/>
      <c r="E31" s="553" t="s">
        <v>1201</v>
      </c>
      <c r="F31" s="229">
        <f>'1.급수구역별 수요량'!F111</f>
        <v>0</v>
      </c>
      <c r="G31" s="229">
        <f>'1.급수구역별 수요량'!G111</f>
        <v>0</v>
      </c>
      <c r="H31" s="229">
        <f>'1.급수구역별 수요량'!H111</f>
        <v>0</v>
      </c>
      <c r="I31" s="229">
        <f>'1.급수구역별 수요량'!I111</f>
        <v>0</v>
      </c>
      <c r="J31" s="229">
        <f>'1.급수구역별 수요량'!J111</f>
        <v>0</v>
      </c>
      <c r="K31" s="553"/>
    </row>
    <row r="32" spans="1:11" s="403" customFormat="1" ht="18.600000000000001" customHeight="1">
      <c r="A32" s="557"/>
      <c r="B32" s="608"/>
      <c r="C32" s="616" t="s">
        <v>78</v>
      </c>
      <c r="D32" s="616"/>
      <c r="E32" s="553" t="s">
        <v>1202</v>
      </c>
      <c r="F32" s="229">
        <f>'1.급수구역별 수요량'!F112</f>
        <v>0</v>
      </c>
      <c r="G32" s="229">
        <f>'1.급수구역별 수요량'!G112</f>
        <v>0</v>
      </c>
      <c r="H32" s="229">
        <f>'1.급수구역별 수요량'!H112</f>
        <v>0</v>
      </c>
      <c r="I32" s="229">
        <f>'1.급수구역별 수요량'!I112</f>
        <v>0</v>
      </c>
      <c r="J32" s="229">
        <f>'1.급수구역별 수요량'!J112</f>
        <v>0</v>
      </c>
      <c r="K32" s="553"/>
    </row>
    <row r="33" spans="1:15" s="403" customFormat="1" ht="18.600000000000001" customHeight="1">
      <c r="A33" s="557"/>
      <c r="B33" s="608"/>
      <c r="C33" s="616" t="s">
        <v>80</v>
      </c>
      <c r="D33" s="616"/>
      <c r="E33" s="616"/>
      <c r="F33" s="229">
        <f>'1.급수구역별 수요량'!F113</f>
        <v>0</v>
      </c>
      <c r="G33" s="229">
        <f>'1.급수구역별 수요량'!G113</f>
        <v>0</v>
      </c>
      <c r="H33" s="229">
        <f>'1.급수구역별 수요량'!H113</f>
        <v>0</v>
      </c>
      <c r="I33" s="229">
        <f>'1.급수구역별 수요량'!I113</f>
        <v>0</v>
      </c>
      <c r="J33" s="229">
        <f>'1.급수구역별 수요량'!J113</f>
        <v>0</v>
      </c>
      <c r="K33" s="553"/>
    </row>
    <row r="34" spans="1:15" s="403" customFormat="1" ht="18.600000000000001" customHeight="1">
      <c r="A34" s="557"/>
      <c r="B34" s="609"/>
      <c r="C34" s="616" t="s">
        <v>81</v>
      </c>
      <c r="D34" s="616"/>
      <c r="E34" s="616"/>
      <c r="F34" s="229">
        <f>'1.급수구역별 수요량'!F114</f>
        <v>0</v>
      </c>
      <c r="G34" s="229">
        <f>'1.급수구역별 수요량'!G114</f>
        <v>0</v>
      </c>
      <c r="H34" s="229">
        <f>'1.급수구역별 수요량'!H114</f>
        <v>0</v>
      </c>
      <c r="I34" s="229">
        <f>'1.급수구역별 수요량'!I114</f>
        <v>0</v>
      </c>
      <c r="J34" s="229">
        <f>'1.급수구역별 수요량'!J114</f>
        <v>0</v>
      </c>
      <c r="K34" s="553"/>
    </row>
    <row r="35" spans="1:15" s="403" customFormat="1" ht="18.600000000000001" customHeight="1">
      <c r="A35" s="557"/>
      <c r="B35" s="641" t="s">
        <v>1797</v>
      </c>
      <c r="C35" s="642" t="s">
        <v>15</v>
      </c>
      <c r="D35" s="642"/>
      <c r="E35" s="642"/>
      <c r="F35" s="352">
        <f>F36+F37+F38+F39+F40</f>
        <v>743</v>
      </c>
      <c r="G35" s="352">
        <f t="shared" ref="G35:J35" si="14">G36+G37+G38+G39+G40</f>
        <v>1119</v>
      </c>
      <c r="H35" s="352">
        <f t="shared" si="14"/>
        <v>1193</v>
      </c>
      <c r="I35" s="352">
        <f t="shared" si="14"/>
        <v>1258</v>
      </c>
      <c r="J35" s="352">
        <f t="shared" si="14"/>
        <v>1285</v>
      </c>
      <c r="K35" s="553"/>
      <c r="N35" s="387">
        <f>F35+F201</f>
        <v>5216</v>
      </c>
      <c r="O35" s="437">
        <f>N35*1.5</f>
        <v>7824</v>
      </c>
    </row>
    <row r="36" spans="1:15" s="403" customFormat="1" ht="18.600000000000001" customHeight="1">
      <c r="A36" s="557"/>
      <c r="B36" s="616"/>
      <c r="C36" s="616" t="s">
        <v>85</v>
      </c>
      <c r="D36" s="616"/>
      <c r="E36" s="616"/>
      <c r="F36" s="229">
        <f>'1.급수구역별 수요량'!F152</f>
        <v>743</v>
      </c>
      <c r="G36" s="229">
        <f>'1.급수구역별 수요량'!G152</f>
        <v>1119</v>
      </c>
      <c r="H36" s="229">
        <f>'1.급수구역별 수요량'!H152</f>
        <v>1193</v>
      </c>
      <c r="I36" s="229">
        <f>'1.급수구역별 수요량'!I152</f>
        <v>1258</v>
      </c>
      <c r="J36" s="229">
        <f>'1.급수구역별 수요량'!J152</f>
        <v>1285</v>
      </c>
      <c r="K36" s="553"/>
      <c r="O36" s="436">
        <f>6500+986</f>
        <v>7486</v>
      </c>
    </row>
    <row r="37" spans="1:15" s="403" customFormat="1" ht="18.600000000000001" customHeight="1">
      <c r="A37" s="557"/>
      <c r="B37" s="616"/>
      <c r="C37" s="616" t="s">
        <v>78</v>
      </c>
      <c r="D37" s="616"/>
      <c r="E37" s="553" t="s">
        <v>1201</v>
      </c>
      <c r="F37" s="229">
        <f>'1.급수구역별 수요량'!F153</f>
        <v>0</v>
      </c>
      <c r="G37" s="229">
        <f>'1.급수구역별 수요량'!G153</f>
        <v>0</v>
      </c>
      <c r="H37" s="229">
        <f>'1.급수구역별 수요량'!H153</f>
        <v>0</v>
      </c>
      <c r="I37" s="229">
        <f>'1.급수구역별 수요량'!I153</f>
        <v>0</v>
      </c>
      <c r="J37" s="229">
        <f>'1.급수구역별 수요량'!J153</f>
        <v>0</v>
      </c>
      <c r="K37" s="553"/>
    </row>
    <row r="38" spans="1:15" s="403" customFormat="1" ht="18.600000000000001" customHeight="1">
      <c r="A38" s="557"/>
      <c r="B38" s="616"/>
      <c r="C38" s="616" t="s">
        <v>78</v>
      </c>
      <c r="D38" s="616"/>
      <c r="E38" s="553" t="s">
        <v>1202</v>
      </c>
      <c r="F38" s="229">
        <f>'1.급수구역별 수요량'!F154</f>
        <v>0</v>
      </c>
      <c r="G38" s="229">
        <f>'1.급수구역별 수요량'!G154</f>
        <v>0</v>
      </c>
      <c r="H38" s="229">
        <f>'1.급수구역별 수요량'!H154</f>
        <v>0</v>
      </c>
      <c r="I38" s="229">
        <f>'1.급수구역별 수요량'!I154</f>
        <v>0</v>
      </c>
      <c r="J38" s="229">
        <f>'1.급수구역별 수요량'!J154</f>
        <v>0</v>
      </c>
      <c r="K38" s="553"/>
    </row>
    <row r="39" spans="1:15" s="403" customFormat="1" ht="18.600000000000001" customHeight="1">
      <c r="A39" s="557"/>
      <c r="B39" s="616"/>
      <c r="C39" s="616" t="s">
        <v>80</v>
      </c>
      <c r="D39" s="616"/>
      <c r="E39" s="616"/>
      <c r="F39" s="229">
        <f>'1.급수구역별 수요량'!F155</f>
        <v>0</v>
      </c>
      <c r="G39" s="229">
        <f>'1.급수구역별 수요량'!G155</f>
        <v>0</v>
      </c>
      <c r="H39" s="229">
        <f>'1.급수구역별 수요량'!H155</f>
        <v>0</v>
      </c>
      <c r="I39" s="229">
        <f>'1.급수구역별 수요량'!I155</f>
        <v>0</v>
      </c>
      <c r="J39" s="229">
        <f>'1.급수구역별 수요량'!J155</f>
        <v>0</v>
      </c>
      <c r="K39" s="553"/>
    </row>
    <row r="40" spans="1:15" s="403" customFormat="1" ht="18.600000000000001" customHeight="1">
      <c r="A40" s="558"/>
      <c r="B40" s="616"/>
      <c r="C40" s="616" t="s">
        <v>81</v>
      </c>
      <c r="D40" s="616"/>
      <c r="E40" s="616"/>
      <c r="F40" s="229">
        <f>'1.급수구역별 수요량'!F156</f>
        <v>0</v>
      </c>
      <c r="G40" s="229">
        <f>'1.급수구역별 수요량'!G156</f>
        <v>0</v>
      </c>
      <c r="H40" s="229">
        <f>'1.급수구역별 수요량'!H156</f>
        <v>0</v>
      </c>
      <c r="I40" s="229">
        <f>'1.급수구역별 수요량'!I156</f>
        <v>0</v>
      </c>
      <c r="J40" s="229">
        <f>'1.급수구역별 수요량'!J156</f>
        <v>0</v>
      </c>
      <c r="K40" s="553"/>
    </row>
    <row r="41" spans="1:15" s="403" customFormat="1" ht="18" customHeight="1">
      <c r="A41" s="552"/>
      <c r="B41" s="641" t="s">
        <v>1803</v>
      </c>
      <c r="C41" s="642" t="s">
        <v>15</v>
      </c>
      <c r="D41" s="642"/>
      <c r="E41" s="642"/>
      <c r="F41" s="352">
        <f>F42+F43+F44+F45+F46</f>
        <v>1533</v>
      </c>
      <c r="G41" s="352">
        <f t="shared" ref="G41:J41" si="15">G42+G43+G44+G45+G46</f>
        <v>1533</v>
      </c>
      <c r="H41" s="352">
        <f t="shared" si="15"/>
        <v>1533</v>
      </c>
      <c r="I41" s="352">
        <f t="shared" si="15"/>
        <v>1533</v>
      </c>
      <c r="J41" s="352">
        <f t="shared" si="15"/>
        <v>1533</v>
      </c>
      <c r="K41" s="553"/>
    </row>
    <row r="42" spans="1:15" s="403" customFormat="1" ht="18" customHeight="1">
      <c r="A42" s="557"/>
      <c r="B42" s="616"/>
      <c r="C42" s="616" t="s">
        <v>85</v>
      </c>
      <c r="D42" s="616"/>
      <c r="E42" s="616"/>
      <c r="F42" s="229">
        <f>'1.급수구역별 수요량'!F198</f>
        <v>0</v>
      </c>
      <c r="G42" s="229">
        <f>'1.급수구역별 수요량'!G198</f>
        <v>0</v>
      </c>
      <c r="H42" s="229">
        <f>'1.급수구역별 수요량'!H198</f>
        <v>0</v>
      </c>
      <c r="I42" s="229">
        <f>'1.급수구역별 수요량'!I198</f>
        <v>0</v>
      </c>
      <c r="J42" s="229">
        <f>'1.급수구역별 수요량'!J198</f>
        <v>0</v>
      </c>
      <c r="K42" s="553"/>
    </row>
    <row r="43" spans="1:15" s="403" customFormat="1" ht="18" customHeight="1">
      <c r="A43" s="557"/>
      <c r="B43" s="616"/>
      <c r="C43" s="616" t="s">
        <v>78</v>
      </c>
      <c r="D43" s="616"/>
      <c r="E43" s="553" t="s">
        <v>1201</v>
      </c>
      <c r="F43" s="229">
        <f>'1.급수구역별 수요량'!F199</f>
        <v>1533</v>
      </c>
      <c r="G43" s="229">
        <f>'1.급수구역별 수요량'!G199</f>
        <v>1533</v>
      </c>
      <c r="H43" s="229">
        <f>'1.급수구역별 수요량'!H199</f>
        <v>1533</v>
      </c>
      <c r="I43" s="229">
        <f>'1.급수구역별 수요량'!I199</f>
        <v>824</v>
      </c>
      <c r="J43" s="229">
        <f>'1.급수구역별 수요량'!J199</f>
        <v>475</v>
      </c>
      <c r="K43" s="553"/>
    </row>
    <row r="44" spans="1:15" s="403" customFormat="1" ht="18" customHeight="1">
      <c r="A44" s="557"/>
      <c r="B44" s="616"/>
      <c r="C44" s="616" t="s">
        <v>78</v>
      </c>
      <c r="D44" s="616"/>
      <c r="E44" s="553" t="s">
        <v>1202</v>
      </c>
      <c r="F44" s="229">
        <f>'1.급수구역별 수요량'!F202</f>
        <v>0</v>
      </c>
      <c r="G44" s="229">
        <f>'1.급수구역별 수요량'!G202</f>
        <v>0</v>
      </c>
      <c r="H44" s="229">
        <f>'1.급수구역별 수요량'!H202</f>
        <v>0</v>
      </c>
      <c r="I44" s="229">
        <f>'1.급수구역별 수요량'!I202</f>
        <v>709</v>
      </c>
      <c r="J44" s="229">
        <f>'1.급수구역별 수요량'!J202</f>
        <v>1058</v>
      </c>
      <c r="K44" s="553"/>
    </row>
    <row r="45" spans="1:15" s="403" customFormat="1" ht="18" customHeight="1">
      <c r="A45" s="557"/>
      <c r="B45" s="616"/>
      <c r="C45" s="616" t="s">
        <v>80</v>
      </c>
      <c r="D45" s="616"/>
      <c r="E45" s="616"/>
      <c r="F45" s="229">
        <f>'1.급수구역별 수요량'!F205</f>
        <v>0</v>
      </c>
      <c r="G45" s="229">
        <f>'1.급수구역별 수요량'!G205</f>
        <v>0</v>
      </c>
      <c r="H45" s="229">
        <f>'1.급수구역별 수요량'!H205</f>
        <v>0</v>
      </c>
      <c r="I45" s="229">
        <f>'1.급수구역별 수요량'!I205</f>
        <v>0</v>
      </c>
      <c r="J45" s="229">
        <f>'1.급수구역별 수요량'!J205</f>
        <v>0</v>
      </c>
      <c r="K45" s="553"/>
    </row>
    <row r="46" spans="1:15" s="403" customFormat="1" ht="18" customHeight="1">
      <c r="A46" s="557"/>
      <c r="B46" s="616"/>
      <c r="C46" s="616" t="s">
        <v>81</v>
      </c>
      <c r="D46" s="616"/>
      <c r="E46" s="616"/>
      <c r="F46" s="229">
        <f>'1.급수구역별 수요량'!F206</f>
        <v>0</v>
      </c>
      <c r="G46" s="229">
        <f>'1.급수구역별 수요량'!G206</f>
        <v>0</v>
      </c>
      <c r="H46" s="229">
        <f>'1.급수구역별 수요량'!H206</f>
        <v>0</v>
      </c>
      <c r="I46" s="229">
        <f>'1.급수구역별 수요량'!I206</f>
        <v>0</v>
      </c>
      <c r="J46" s="229">
        <f>'1.급수구역별 수요량'!J206</f>
        <v>0</v>
      </c>
      <c r="K46" s="553"/>
    </row>
    <row r="47" spans="1:15" s="358" customFormat="1" ht="18" customHeight="1">
      <c r="A47" s="557"/>
      <c r="B47" s="641" t="s">
        <v>1910</v>
      </c>
      <c r="C47" s="642" t="s">
        <v>15</v>
      </c>
      <c r="D47" s="642"/>
      <c r="E47" s="642"/>
      <c r="F47" s="352">
        <f>F48+F49+F50+F51+F52</f>
        <v>1456</v>
      </c>
      <c r="G47" s="352">
        <f t="shared" ref="G47" si="16">G48+G49+G50+G51+G52</f>
        <v>1456</v>
      </c>
      <c r="H47" s="352">
        <f t="shared" ref="H47" si="17">H48+H49+H50+H51+H52</f>
        <v>1456</v>
      </c>
      <c r="I47" s="352">
        <f t="shared" ref="I47" si="18">I48+I49+I50+I51+I52</f>
        <v>1456</v>
      </c>
      <c r="J47" s="352">
        <f t="shared" ref="J47" si="19">J48+J49+J50+J51+J52</f>
        <v>1456</v>
      </c>
      <c r="K47" s="553"/>
    </row>
    <row r="48" spans="1:15" s="358" customFormat="1" ht="18" customHeight="1">
      <c r="A48" s="557"/>
      <c r="B48" s="616"/>
      <c r="C48" s="616" t="s">
        <v>85</v>
      </c>
      <c r="D48" s="616"/>
      <c r="E48" s="616"/>
      <c r="F48" s="229">
        <f>'1.급수구역별 수요량'!F208</f>
        <v>0</v>
      </c>
      <c r="G48" s="229">
        <f>'1.급수구역별 수요량'!G208</f>
        <v>0</v>
      </c>
      <c r="H48" s="229">
        <f>'1.급수구역별 수요량'!H208</f>
        <v>0</v>
      </c>
      <c r="I48" s="229">
        <f>'1.급수구역별 수요량'!I208</f>
        <v>0</v>
      </c>
      <c r="J48" s="229">
        <f>'1.급수구역별 수요량'!J208</f>
        <v>0</v>
      </c>
      <c r="K48" s="553"/>
    </row>
    <row r="49" spans="1:17" s="358" customFormat="1" ht="18" customHeight="1">
      <c r="A49" s="557"/>
      <c r="B49" s="616"/>
      <c r="C49" s="616" t="s">
        <v>78</v>
      </c>
      <c r="D49" s="616"/>
      <c r="E49" s="553" t="s">
        <v>1201</v>
      </c>
      <c r="F49" s="229">
        <f>'1.급수구역별 수요량'!F209</f>
        <v>1456</v>
      </c>
      <c r="G49" s="229">
        <f>'1.급수구역별 수요량'!G209</f>
        <v>1456</v>
      </c>
      <c r="H49" s="229">
        <f>'1.급수구역별 수요량'!H209</f>
        <v>1456</v>
      </c>
      <c r="I49" s="229">
        <f>'1.급수구역별 수요량'!I209</f>
        <v>1456</v>
      </c>
      <c r="J49" s="229">
        <f>'1.급수구역별 수요량'!J209</f>
        <v>1456</v>
      </c>
      <c r="K49" s="553"/>
    </row>
    <row r="50" spans="1:17" s="358" customFormat="1" ht="18" customHeight="1">
      <c r="A50" s="557"/>
      <c r="B50" s="616"/>
      <c r="C50" s="616" t="s">
        <v>78</v>
      </c>
      <c r="D50" s="616"/>
      <c r="E50" s="553" t="s">
        <v>1202</v>
      </c>
      <c r="F50" s="229">
        <f>'1.급수구역별 수요량'!F211</f>
        <v>0</v>
      </c>
      <c r="G50" s="229">
        <f>'1.급수구역별 수요량'!G211</f>
        <v>0</v>
      </c>
      <c r="H50" s="229">
        <f>'1.급수구역별 수요량'!H211</f>
        <v>0</v>
      </c>
      <c r="I50" s="229">
        <f>'1.급수구역별 수요량'!I211</f>
        <v>0</v>
      </c>
      <c r="J50" s="229">
        <f>'1.급수구역별 수요량'!J211</f>
        <v>0</v>
      </c>
      <c r="K50" s="553"/>
    </row>
    <row r="51" spans="1:17" s="358" customFormat="1" ht="18" customHeight="1">
      <c r="A51" s="557"/>
      <c r="B51" s="616"/>
      <c r="C51" s="616" t="s">
        <v>80</v>
      </c>
      <c r="D51" s="616"/>
      <c r="E51" s="616"/>
      <c r="F51" s="229">
        <f>'1.급수구역별 수요량'!F213</f>
        <v>0</v>
      </c>
      <c r="G51" s="229">
        <f>'1.급수구역별 수요량'!G213</f>
        <v>0</v>
      </c>
      <c r="H51" s="229">
        <f>'1.급수구역별 수요량'!H213</f>
        <v>0</v>
      </c>
      <c r="I51" s="229">
        <f>'1.급수구역별 수요량'!I213</f>
        <v>0</v>
      </c>
      <c r="J51" s="229">
        <f>'1.급수구역별 수요량'!J213</f>
        <v>0</v>
      </c>
      <c r="K51" s="553"/>
    </row>
    <row r="52" spans="1:17" s="358" customFormat="1" ht="18" customHeight="1">
      <c r="A52" s="557"/>
      <c r="B52" s="616"/>
      <c r="C52" s="616" t="s">
        <v>81</v>
      </c>
      <c r="D52" s="616"/>
      <c r="E52" s="616"/>
      <c r="F52" s="229">
        <f>'1.급수구역별 수요량'!F214</f>
        <v>0</v>
      </c>
      <c r="G52" s="229">
        <f>'1.급수구역별 수요량'!G214</f>
        <v>0</v>
      </c>
      <c r="H52" s="229">
        <f>'1.급수구역별 수요량'!H214</f>
        <v>0</v>
      </c>
      <c r="I52" s="229">
        <f>'1.급수구역별 수요량'!I214</f>
        <v>0</v>
      </c>
      <c r="J52" s="229">
        <f>'1.급수구역별 수요량'!J214</f>
        <v>0</v>
      </c>
      <c r="K52" s="553"/>
    </row>
    <row r="53" spans="1:17" s="358" customFormat="1" ht="18" customHeight="1">
      <c r="A53" s="557"/>
      <c r="B53" s="641" t="s">
        <v>1810</v>
      </c>
      <c r="C53" s="642" t="s">
        <v>15</v>
      </c>
      <c r="D53" s="642"/>
      <c r="E53" s="642"/>
      <c r="F53" s="352">
        <f>F54+F55+F56+F57+F58</f>
        <v>0</v>
      </c>
      <c r="G53" s="352">
        <f t="shared" ref="G53" si="20">G54+G55+G56+G57+G58</f>
        <v>0</v>
      </c>
      <c r="H53" s="352">
        <f t="shared" ref="H53" si="21">H54+H55+H56+H57+H58</f>
        <v>758</v>
      </c>
      <c r="I53" s="352">
        <f t="shared" ref="I53" si="22">I54+I55+I56+I57+I58</f>
        <v>905</v>
      </c>
      <c r="J53" s="352">
        <f t="shared" ref="J53" si="23">J54+J55+J56+J57+J58</f>
        <v>1131</v>
      </c>
      <c r="K53" s="553"/>
    </row>
    <row r="54" spans="1:17" s="358" customFormat="1" ht="18" customHeight="1">
      <c r="A54" s="557"/>
      <c r="B54" s="641"/>
      <c r="C54" s="616" t="s">
        <v>85</v>
      </c>
      <c r="D54" s="616"/>
      <c r="E54" s="616"/>
      <c r="F54" s="229">
        <f>'1.급수구역별 수요량'!F184</f>
        <v>0</v>
      </c>
      <c r="G54" s="229">
        <f>'1.급수구역별 수요량'!G184</f>
        <v>0</v>
      </c>
      <c r="H54" s="229">
        <f>'1.급수구역별 수요량'!H184</f>
        <v>0</v>
      </c>
      <c r="I54" s="229">
        <f>'1.급수구역별 수요량'!I184</f>
        <v>0</v>
      </c>
      <c r="J54" s="229">
        <f>'1.급수구역별 수요량'!J184</f>
        <v>0</v>
      </c>
      <c r="K54" s="553"/>
    </row>
    <row r="55" spans="1:17" s="358" customFormat="1" ht="18" customHeight="1">
      <c r="A55" s="557"/>
      <c r="B55" s="641"/>
      <c r="C55" s="616" t="s">
        <v>78</v>
      </c>
      <c r="D55" s="616"/>
      <c r="E55" s="553" t="s">
        <v>1201</v>
      </c>
      <c r="F55" s="229">
        <f>'1.급수구역별 수요량'!F185</f>
        <v>0</v>
      </c>
      <c r="G55" s="229">
        <f>'1.급수구역별 수요량'!G185</f>
        <v>0</v>
      </c>
      <c r="H55" s="229">
        <f>'1.급수구역별 수요량'!H185</f>
        <v>758</v>
      </c>
      <c r="I55" s="229">
        <f>'1.급수구역별 수요량'!I185</f>
        <v>905</v>
      </c>
      <c r="J55" s="229">
        <f>'1.급수구역별 수요량'!J185</f>
        <v>1131</v>
      </c>
      <c r="K55" s="553"/>
    </row>
    <row r="56" spans="1:17" s="358" customFormat="1" ht="18" customHeight="1">
      <c r="A56" s="557"/>
      <c r="B56" s="641"/>
      <c r="C56" s="616" t="s">
        <v>78</v>
      </c>
      <c r="D56" s="616"/>
      <c r="E56" s="553" t="s">
        <v>1202</v>
      </c>
      <c r="F56" s="229">
        <f>'1.급수구역별 수요량'!F187</f>
        <v>0</v>
      </c>
      <c r="G56" s="229">
        <f>'1.급수구역별 수요량'!G187</f>
        <v>0</v>
      </c>
      <c r="H56" s="229">
        <f>'1.급수구역별 수요량'!H187</f>
        <v>0</v>
      </c>
      <c r="I56" s="229">
        <f>'1.급수구역별 수요량'!I187</f>
        <v>0</v>
      </c>
      <c r="J56" s="229">
        <f>'1.급수구역별 수요량'!J187</f>
        <v>0</v>
      </c>
      <c r="K56" s="553"/>
    </row>
    <row r="57" spans="1:17" s="358" customFormat="1" ht="18" customHeight="1">
      <c r="A57" s="557"/>
      <c r="B57" s="641"/>
      <c r="C57" s="616" t="s">
        <v>80</v>
      </c>
      <c r="D57" s="616"/>
      <c r="E57" s="616"/>
      <c r="F57" s="229">
        <f>'1.급수구역별 수요량'!F189</f>
        <v>0</v>
      </c>
      <c r="G57" s="229">
        <f>'1.급수구역별 수요량'!G189</f>
        <v>0</v>
      </c>
      <c r="H57" s="229">
        <f>'1.급수구역별 수요량'!H189</f>
        <v>0</v>
      </c>
      <c r="I57" s="229">
        <f>'1.급수구역별 수요량'!I189</f>
        <v>0</v>
      </c>
      <c r="J57" s="229">
        <f>'1.급수구역별 수요량'!J189</f>
        <v>0</v>
      </c>
      <c r="K57" s="553"/>
      <c r="M57" s="638" t="s">
        <v>1827</v>
      </c>
      <c r="N57" s="638"/>
      <c r="O57" s="638"/>
      <c r="P57" s="638"/>
      <c r="Q57" s="638"/>
    </row>
    <row r="58" spans="1:17" s="358" customFormat="1" ht="18" customHeight="1">
      <c r="A58" s="557"/>
      <c r="B58" s="641"/>
      <c r="C58" s="616" t="s">
        <v>81</v>
      </c>
      <c r="D58" s="616"/>
      <c r="E58" s="616"/>
      <c r="F58" s="229">
        <f>'1.급수구역별 수요량'!F190</f>
        <v>0</v>
      </c>
      <c r="G58" s="229">
        <f>'1.급수구역별 수요량'!G190</f>
        <v>0</v>
      </c>
      <c r="H58" s="229">
        <f>'1.급수구역별 수요량'!H190</f>
        <v>0</v>
      </c>
      <c r="I58" s="229">
        <f>'1.급수구역별 수요량'!I190</f>
        <v>0</v>
      </c>
      <c r="J58" s="229">
        <f>'1.급수구역별 수요량'!J190</f>
        <v>0</v>
      </c>
      <c r="K58" s="553"/>
      <c r="M58" s="367">
        <v>2013</v>
      </c>
      <c r="N58" s="367">
        <v>2015</v>
      </c>
      <c r="O58" s="367">
        <v>2020</v>
      </c>
      <c r="P58" s="367">
        <v>2025</v>
      </c>
      <c r="Q58" s="367">
        <v>2030</v>
      </c>
    </row>
    <row r="59" spans="1:17" s="549" customFormat="1" ht="18" customHeight="1">
      <c r="A59" s="557"/>
      <c r="B59" s="641" t="s">
        <v>2606</v>
      </c>
      <c r="C59" s="642" t="s">
        <v>15</v>
      </c>
      <c r="D59" s="642"/>
      <c r="E59" s="642"/>
      <c r="F59" s="352">
        <f>F60+F61+F62+F63+F64</f>
        <v>0</v>
      </c>
      <c r="G59" s="352">
        <f t="shared" ref="G59:J59" si="24">G60+G61+G62+G63+G64</f>
        <v>0</v>
      </c>
      <c r="H59" s="352">
        <f t="shared" si="24"/>
        <v>1624</v>
      </c>
      <c r="I59" s="352">
        <f t="shared" si="24"/>
        <v>1624</v>
      </c>
      <c r="J59" s="352">
        <f t="shared" si="24"/>
        <v>1624</v>
      </c>
      <c r="K59" s="553"/>
    </row>
    <row r="60" spans="1:17" s="549" customFormat="1" ht="18" customHeight="1">
      <c r="A60" s="557"/>
      <c r="B60" s="641"/>
      <c r="C60" s="616" t="s">
        <v>85</v>
      </c>
      <c r="D60" s="616"/>
      <c r="E60" s="616"/>
      <c r="F60" s="229">
        <f>'1.급수구역별 수요량'!F146</f>
        <v>0</v>
      </c>
      <c r="G60" s="229">
        <f>'1.급수구역별 수요량'!G146</f>
        <v>0</v>
      </c>
      <c r="H60" s="229">
        <f>'1.급수구역별 수요량'!H146</f>
        <v>1624</v>
      </c>
      <c r="I60" s="229">
        <f>'1.급수구역별 수요량'!I146</f>
        <v>1624</v>
      </c>
      <c r="J60" s="229">
        <f>'1.급수구역별 수요량'!J146</f>
        <v>1624</v>
      </c>
      <c r="K60" s="553"/>
    </row>
    <row r="61" spans="1:17" s="549" customFormat="1" ht="18" customHeight="1">
      <c r="A61" s="557"/>
      <c r="B61" s="641"/>
      <c r="C61" s="616" t="s">
        <v>78</v>
      </c>
      <c r="D61" s="616"/>
      <c r="E61" s="553" t="s">
        <v>1201</v>
      </c>
      <c r="F61" s="229">
        <f>'1.급수구역별 수요량'!F147</f>
        <v>0</v>
      </c>
      <c r="G61" s="229">
        <f>'1.급수구역별 수요량'!G147</f>
        <v>0</v>
      </c>
      <c r="H61" s="229">
        <f>'1.급수구역별 수요량'!H147</f>
        <v>0</v>
      </c>
      <c r="I61" s="229">
        <f>'1.급수구역별 수요량'!I147</f>
        <v>0</v>
      </c>
      <c r="J61" s="229">
        <f>'1.급수구역별 수요량'!J147</f>
        <v>0</v>
      </c>
      <c r="K61" s="553"/>
    </row>
    <row r="62" spans="1:17" s="549" customFormat="1" ht="18" customHeight="1">
      <c r="A62" s="557"/>
      <c r="B62" s="641"/>
      <c r="C62" s="616" t="s">
        <v>78</v>
      </c>
      <c r="D62" s="616"/>
      <c r="E62" s="553" t="s">
        <v>1202</v>
      </c>
      <c r="F62" s="229">
        <f>'1.급수구역별 수요량'!F148</f>
        <v>0</v>
      </c>
      <c r="G62" s="229">
        <f>'1.급수구역별 수요량'!G148</f>
        <v>0</v>
      </c>
      <c r="H62" s="229">
        <f>'1.급수구역별 수요량'!H148</f>
        <v>0</v>
      </c>
      <c r="I62" s="229">
        <f>'1.급수구역별 수요량'!I148</f>
        <v>0</v>
      </c>
      <c r="J62" s="229">
        <f>'1.급수구역별 수요량'!J148</f>
        <v>0</v>
      </c>
      <c r="K62" s="553"/>
    </row>
    <row r="63" spans="1:17" s="549" customFormat="1" ht="18" customHeight="1">
      <c r="A63" s="557"/>
      <c r="B63" s="641"/>
      <c r="C63" s="616" t="s">
        <v>80</v>
      </c>
      <c r="D63" s="616"/>
      <c r="E63" s="616"/>
      <c r="F63" s="229">
        <f>'1.급수구역별 수요량'!F149</f>
        <v>0</v>
      </c>
      <c r="G63" s="229">
        <f>'1.급수구역별 수요량'!G149</f>
        <v>0</v>
      </c>
      <c r="H63" s="229">
        <f>'1.급수구역별 수요량'!H149</f>
        <v>0</v>
      </c>
      <c r="I63" s="229">
        <f>'1.급수구역별 수요량'!I149</f>
        <v>0</v>
      </c>
      <c r="J63" s="229">
        <f>'1.급수구역별 수요량'!J149</f>
        <v>0</v>
      </c>
      <c r="K63" s="553"/>
      <c r="M63" s="638" t="s">
        <v>1827</v>
      </c>
      <c r="N63" s="638"/>
      <c r="O63" s="638"/>
      <c r="P63" s="638"/>
      <c r="Q63" s="638"/>
    </row>
    <row r="64" spans="1:17" s="549" customFormat="1" ht="18" customHeight="1">
      <c r="A64" s="558"/>
      <c r="B64" s="641"/>
      <c r="C64" s="616" t="s">
        <v>81</v>
      </c>
      <c r="D64" s="616"/>
      <c r="E64" s="616"/>
      <c r="F64" s="229">
        <f>'1.급수구역별 수요량'!F150</f>
        <v>0</v>
      </c>
      <c r="G64" s="229">
        <f>'1.급수구역별 수요량'!G150</f>
        <v>0</v>
      </c>
      <c r="H64" s="229">
        <f>'1.급수구역별 수요량'!H150</f>
        <v>0</v>
      </c>
      <c r="I64" s="229">
        <f>'1.급수구역별 수요량'!I150</f>
        <v>0</v>
      </c>
      <c r="J64" s="229">
        <f>'1.급수구역별 수요량'!J150</f>
        <v>0</v>
      </c>
      <c r="K64" s="553"/>
      <c r="M64" s="548">
        <v>2013</v>
      </c>
      <c r="N64" s="548">
        <v>2015</v>
      </c>
      <c r="O64" s="548">
        <v>2020</v>
      </c>
      <c r="P64" s="548">
        <v>2025</v>
      </c>
      <c r="Q64" s="548">
        <v>2030</v>
      </c>
    </row>
    <row r="65" spans="1:17" s="403" customFormat="1" ht="18" customHeight="1">
      <c r="A65" s="620" t="s">
        <v>1829</v>
      </c>
      <c r="B65" s="621"/>
      <c r="C65" s="639" t="s">
        <v>1826</v>
      </c>
      <c r="D65" s="639"/>
      <c r="E65" s="639"/>
      <c r="F65" s="369">
        <v>800</v>
      </c>
      <c r="G65" s="369">
        <v>800</v>
      </c>
      <c r="H65" s="369">
        <v>800</v>
      </c>
      <c r="I65" s="369">
        <v>800</v>
      </c>
      <c r="J65" s="369">
        <v>800</v>
      </c>
      <c r="K65" s="554"/>
      <c r="M65" s="375">
        <f t="shared" ref="M65" si="25">ROUND(F65/F66*24,1)</f>
        <v>14.1</v>
      </c>
      <c r="N65" s="375">
        <f t="shared" ref="N65" si="26">ROUND(G65/G66*24,1)</f>
        <v>13.4</v>
      </c>
      <c r="O65" s="375">
        <f t="shared" ref="O65" si="27">ROUND(H65/H66*24,1)</f>
        <v>12.6</v>
      </c>
      <c r="P65" s="375">
        <f t="shared" ref="P65" si="28">ROUND(I65/I66*24,1)</f>
        <v>12.2</v>
      </c>
      <c r="Q65" s="375">
        <f t="shared" ref="Q65" si="29">ROUND(J65/J66*24,1)</f>
        <v>12</v>
      </c>
    </row>
    <row r="66" spans="1:17" ht="18" customHeight="1">
      <c r="A66" s="622"/>
      <c r="B66" s="623"/>
      <c r="C66" s="639" t="s">
        <v>15</v>
      </c>
      <c r="D66" s="639"/>
      <c r="E66" s="639"/>
      <c r="F66" s="369">
        <f>SUM(F67:F71)</f>
        <v>1357</v>
      </c>
      <c r="G66" s="369">
        <f t="shared" ref="G66:J66" si="30">SUM(G67:G71)</f>
        <v>1432</v>
      </c>
      <c r="H66" s="369">
        <f t="shared" si="30"/>
        <v>1520</v>
      </c>
      <c r="I66" s="369">
        <f t="shared" si="30"/>
        <v>1574</v>
      </c>
      <c r="J66" s="369">
        <f t="shared" si="30"/>
        <v>1601</v>
      </c>
      <c r="K66" s="554"/>
    </row>
    <row r="67" spans="1:17" ht="18" customHeight="1">
      <c r="A67" s="622"/>
      <c r="B67" s="623"/>
      <c r="C67" s="638" t="s">
        <v>85</v>
      </c>
      <c r="D67" s="638"/>
      <c r="E67" s="638"/>
      <c r="F67" s="370">
        <f>F73</f>
        <v>1357</v>
      </c>
      <c r="G67" s="370">
        <f t="shared" ref="G67:J67" si="31">G73</f>
        <v>1432</v>
      </c>
      <c r="H67" s="370">
        <f t="shared" si="31"/>
        <v>1520</v>
      </c>
      <c r="I67" s="370">
        <f t="shared" si="31"/>
        <v>1574</v>
      </c>
      <c r="J67" s="370">
        <f t="shared" si="31"/>
        <v>1601</v>
      </c>
      <c r="K67" s="554"/>
    </row>
    <row r="68" spans="1:17" ht="18" customHeight="1">
      <c r="A68" s="622"/>
      <c r="B68" s="623"/>
      <c r="C68" s="638" t="s">
        <v>78</v>
      </c>
      <c r="D68" s="638"/>
      <c r="E68" s="554" t="s">
        <v>1201</v>
      </c>
      <c r="F68" s="370">
        <f t="shared" ref="F68:J71" si="32">F74</f>
        <v>0</v>
      </c>
      <c r="G68" s="370">
        <f t="shared" si="32"/>
        <v>0</v>
      </c>
      <c r="H68" s="370">
        <f t="shared" si="32"/>
        <v>0</v>
      </c>
      <c r="I68" s="370">
        <f t="shared" si="32"/>
        <v>0</v>
      </c>
      <c r="J68" s="370">
        <f t="shared" si="32"/>
        <v>0</v>
      </c>
      <c r="K68" s="554"/>
    </row>
    <row r="69" spans="1:17" ht="18" customHeight="1">
      <c r="A69" s="622"/>
      <c r="B69" s="623"/>
      <c r="C69" s="638"/>
      <c r="D69" s="638"/>
      <c r="E69" s="554" t="s">
        <v>1202</v>
      </c>
      <c r="F69" s="370">
        <f t="shared" si="32"/>
        <v>0</v>
      </c>
      <c r="G69" s="370">
        <f t="shared" si="32"/>
        <v>0</v>
      </c>
      <c r="H69" s="370">
        <f t="shared" si="32"/>
        <v>0</v>
      </c>
      <c r="I69" s="370">
        <f t="shared" si="32"/>
        <v>0</v>
      </c>
      <c r="J69" s="370">
        <f t="shared" si="32"/>
        <v>0</v>
      </c>
      <c r="K69" s="554"/>
    </row>
    <row r="70" spans="1:17" ht="18" customHeight="1">
      <c r="A70" s="622"/>
      <c r="B70" s="623"/>
      <c r="C70" s="638" t="s">
        <v>80</v>
      </c>
      <c r="D70" s="638"/>
      <c r="E70" s="638"/>
      <c r="F70" s="370">
        <f t="shared" si="32"/>
        <v>0</v>
      </c>
      <c r="G70" s="370">
        <f t="shared" si="32"/>
        <v>0</v>
      </c>
      <c r="H70" s="370">
        <f t="shared" si="32"/>
        <v>0</v>
      </c>
      <c r="I70" s="370">
        <f t="shared" si="32"/>
        <v>0</v>
      </c>
      <c r="J70" s="370">
        <f t="shared" si="32"/>
        <v>0</v>
      </c>
      <c r="K70" s="554"/>
    </row>
    <row r="71" spans="1:17" ht="18" customHeight="1">
      <c r="A71" s="624"/>
      <c r="B71" s="625"/>
      <c r="C71" s="638" t="s">
        <v>81</v>
      </c>
      <c r="D71" s="638"/>
      <c r="E71" s="638"/>
      <c r="F71" s="370">
        <f t="shared" si="32"/>
        <v>0</v>
      </c>
      <c r="G71" s="370">
        <f t="shared" si="32"/>
        <v>0</v>
      </c>
      <c r="H71" s="370">
        <f t="shared" si="32"/>
        <v>0</v>
      </c>
      <c r="I71" s="370">
        <f t="shared" si="32"/>
        <v>0</v>
      </c>
      <c r="J71" s="370">
        <f t="shared" si="32"/>
        <v>0</v>
      </c>
      <c r="K71" s="554"/>
    </row>
    <row r="72" spans="1:17" s="403" customFormat="1" ht="18" customHeight="1">
      <c r="A72" s="557"/>
      <c r="B72" s="641" t="s">
        <v>1802</v>
      </c>
      <c r="C72" s="642" t="s">
        <v>15</v>
      </c>
      <c r="D72" s="642"/>
      <c r="E72" s="642"/>
      <c r="F72" s="352">
        <f>F73+F74+F75+F76+F77</f>
        <v>1357</v>
      </c>
      <c r="G72" s="352">
        <f t="shared" ref="G72:J72" si="33">G73+G74+G75+G76+G77</f>
        <v>1432</v>
      </c>
      <c r="H72" s="352">
        <f t="shared" si="33"/>
        <v>1520</v>
      </c>
      <c r="I72" s="352">
        <f t="shared" si="33"/>
        <v>1574</v>
      </c>
      <c r="J72" s="352">
        <f t="shared" si="33"/>
        <v>1601</v>
      </c>
      <c r="K72" s="553"/>
    </row>
    <row r="73" spans="1:17" s="403" customFormat="1" ht="18" customHeight="1">
      <c r="A73" s="557"/>
      <c r="B73" s="641"/>
      <c r="C73" s="616" t="s">
        <v>85</v>
      </c>
      <c r="D73" s="616"/>
      <c r="E73" s="616"/>
      <c r="F73" s="229">
        <f>'1.급수구역별 수요량'!F18</f>
        <v>1357</v>
      </c>
      <c r="G73" s="229">
        <f>'1.급수구역별 수요량'!G18</f>
        <v>1432</v>
      </c>
      <c r="H73" s="229">
        <f>'1.급수구역별 수요량'!H18</f>
        <v>1520</v>
      </c>
      <c r="I73" s="229">
        <f>'1.급수구역별 수요량'!I18</f>
        <v>1574</v>
      </c>
      <c r="J73" s="229">
        <f>'1.급수구역별 수요량'!J18</f>
        <v>1601</v>
      </c>
      <c r="K73" s="553"/>
    </row>
    <row r="74" spans="1:17" s="403" customFormat="1" ht="18" customHeight="1">
      <c r="A74" s="557"/>
      <c r="B74" s="641"/>
      <c r="C74" s="616" t="s">
        <v>78</v>
      </c>
      <c r="D74" s="616"/>
      <c r="E74" s="553" t="s">
        <v>1201</v>
      </c>
      <c r="F74" s="229">
        <f>'1.급수구역별 수요량'!F19</f>
        <v>0</v>
      </c>
      <c r="G74" s="229">
        <f>'1.급수구역별 수요량'!G19</f>
        <v>0</v>
      </c>
      <c r="H74" s="229">
        <f>'1.급수구역별 수요량'!H19</f>
        <v>0</v>
      </c>
      <c r="I74" s="229">
        <f>'1.급수구역별 수요량'!I19</f>
        <v>0</v>
      </c>
      <c r="J74" s="229">
        <f>'1.급수구역별 수요량'!J19</f>
        <v>0</v>
      </c>
      <c r="K74" s="553"/>
    </row>
    <row r="75" spans="1:17" s="403" customFormat="1" ht="18" customHeight="1">
      <c r="A75" s="557"/>
      <c r="B75" s="641"/>
      <c r="C75" s="616" t="s">
        <v>78</v>
      </c>
      <c r="D75" s="616"/>
      <c r="E75" s="553" t="s">
        <v>1202</v>
      </c>
      <c r="F75" s="229">
        <f>'1.급수구역별 수요량'!F20*$M$4</f>
        <v>0</v>
      </c>
      <c r="G75" s="229">
        <f>'1.급수구역별 수요량'!G20*$M$4</f>
        <v>0</v>
      </c>
      <c r="H75" s="229">
        <f>'1.급수구역별 수요량'!H20*$M$4</f>
        <v>0</v>
      </c>
      <c r="I75" s="229">
        <f>'1.급수구역별 수요량'!I20*$M$4</f>
        <v>0</v>
      </c>
      <c r="J75" s="229">
        <f>'1.급수구역별 수요량'!J20*$M$4</f>
        <v>0</v>
      </c>
      <c r="K75" s="553"/>
    </row>
    <row r="76" spans="1:17" s="403" customFormat="1" ht="18" customHeight="1">
      <c r="A76" s="557"/>
      <c r="B76" s="641"/>
      <c r="C76" s="616" t="s">
        <v>80</v>
      </c>
      <c r="D76" s="616"/>
      <c r="E76" s="616"/>
      <c r="F76" s="229">
        <f>'1.급수구역별 수요량'!F21</f>
        <v>0</v>
      </c>
      <c r="G76" s="229">
        <f>'1.급수구역별 수요량'!G21</f>
        <v>0</v>
      </c>
      <c r="H76" s="229">
        <f>'1.급수구역별 수요량'!H21</f>
        <v>0</v>
      </c>
      <c r="I76" s="229">
        <f>'1.급수구역별 수요량'!I21</f>
        <v>0</v>
      </c>
      <c r="J76" s="229">
        <f>'1.급수구역별 수요량'!J21</f>
        <v>0</v>
      </c>
      <c r="K76" s="553"/>
      <c r="M76" s="638" t="s">
        <v>1827</v>
      </c>
      <c r="N76" s="638"/>
      <c r="O76" s="638"/>
      <c r="P76" s="638"/>
      <c r="Q76" s="638"/>
    </row>
    <row r="77" spans="1:17" s="403" customFormat="1" ht="18" customHeight="1">
      <c r="A77" s="558"/>
      <c r="B77" s="641"/>
      <c r="C77" s="616" t="s">
        <v>81</v>
      </c>
      <c r="D77" s="616"/>
      <c r="E77" s="616"/>
      <c r="F77" s="229">
        <f>'1.급수구역별 수요량'!F22</f>
        <v>0</v>
      </c>
      <c r="G77" s="229">
        <f>'1.급수구역별 수요량'!G22</f>
        <v>0</v>
      </c>
      <c r="H77" s="229">
        <f>'1.급수구역별 수요량'!H22</f>
        <v>0</v>
      </c>
      <c r="I77" s="229">
        <f>'1.급수구역별 수요량'!I22</f>
        <v>0</v>
      </c>
      <c r="J77" s="229">
        <f>'1.급수구역별 수요량'!J22</f>
        <v>0</v>
      </c>
      <c r="K77" s="553"/>
      <c r="M77" s="402">
        <v>2013</v>
      </c>
      <c r="N77" s="402">
        <v>2015</v>
      </c>
      <c r="O77" s="402">
        <v>2020</v>
      </c>
      <c r="P77" s="402">
        <v>2025</v>
      </c>
      <c r="Q77" s="402">
        <v>2030</v>
      </c>
    </row>
    <row r="78" spans="1:17" s="403" customFormat="1" ht="17.100000000000001" customHeight="1">
      <c r="A78" s="637" t="s">
        <v>1820</v>
      </c>
      <c r="B78" s="637"/>
      <c r="C78" s="639" t="s">
        <v>1826</v>
      </c>
      <c r="D78" s="639"/>
      <c r="E78" s="639"/>
      <c r="F78" s="369">
        <v>1500</v>
      </c>
      <c r="G78" s="369">
        <v>1500</v>
      </c>
      <c r="H78" s="369">
        <v>1500</v>
      </c>
      <c r="I78" s="369">
        <v>1500</v>
      </c>
      <c r="J78" s="369">
        <v>1500</v>
      </c>
      <c r="K78" s="554"/>
      <c r="M78" s="375">
        <f>ROUND(F78/F79*24,1)</f>
        <v>19.2</v>
      </c>
      <c r="N78" s="375">
        <f t="shared" ref="N78" si="34">ROUND(G78/G79*24,1)</f>
        <v>17.399999999999999</v>
      </c>
      <c r="O78" s="375">
        <f t="shared" ref="O78" si="35">ROUND(H78/H79*24,1)</f>
        <v>15.9</v>
      </c>
      <c r="P78" s="375">
        <f t="shared" ref="P78" si="36">ROUND(I78/I79*24,1)</f>
        <v>15</v>
      </c>
      <c r="Q78" s="375">
        <f t="shared" ref="Q78" si="37">ROUND(J78/J79*24,1)</f>
        <v>14</v>
      </c>
    </row>
    <row r="79" spans="1:17" ht="17.100000000000001" customHeight="1">
      <c r="A79" s="637"/>
      <c r="B79" s="637"/>
      <c r="C79" s="639" t="s">
        <v>1240</v>
      </c>
      <c r="D79" s="639"/>
      <c r="E79" s="639"/>
      <c r="F79" s="369">
        <f>SUM(F80:F84)</f>
        <v>1876</v>
      </c>
      <c r="G79" s="369">
        <f t="shared" ref="G79:J79" si="38">SUM(G80:G84)</f>
        <v>2074</v>
      </c>
      <c r="H79" s="369">
        <f t="shared" si="38"/>
        <v>2258</v>
      </c>
      <c r="I79" s="369">
        <f t="shared" si="38"/>
        <v>2401</v>
      </c>
      <c r="J79" s="369">
        <f t="shared" si="38"/>
        <v>2578</v>
      </c>
      <c r="K79" s="554"/>
    </row>
    <row r="80" spans="1:17" ht="17.100000000000001" customHeight="1">
      <c r="A80" s="637"/>
      <c r="B80" s="637"/>
      <c r="C80" s="638" t="s">
        <v>85</v>
      </c>
      <c r="D80" s="638"/>
      <c r="E80" s="638"/>
      <c r="F80" s="370">
        <f>F86</f>
        <v>1876</v>
      </c>
      <c r="G80" s="370">
        <f t="shared" ref="G80:J80" si="39">G86</f>
        <v>2074</v>
      </c>
      <c r="H80" s="370">
        <f t="shared" si="39"/>
        <v>2258</v>
      </c>
      <c r="I80" s="370">
        <f t="shared" si="39"/>
        <v>2401</v>
      </c>
      <c r="J80" s="370">
        <f t="shared" si="39"/>
        <v>2578</v>
      </c>
      <c r="K80" s="554"/>
    </row>
    <row r="81" spans="1:17" ht="17.100000000000001" customHeight="1">
      <c r="A81" s="637"/>
      <c r="B81" s="637"/>
      <c r="C81" s="638" t="s">
        <v>78</v>
      </c>
      <c r="D81" s="638"/>
      <c r="E81" s="554" t="s">
        <v>1201</v>
      </c>
      <c r="F81" s="370">
        <f t="shared" ref="F81:J84" si="40">F87</f>
        <v>0</v>
      </c>
      <c r="G81" s="370">
        <f t="shared" si="40"/>
        <v>0</v>
      </c>
      <c r="H81" s="370">
        <f t="shared" si="40"/>
        <v>0</v>
      </c>
      <c r="I81" s="370">
        <f t="shared" si="40"/>
        <v>0</v>
      </c>
      <c r="J81" s="370">
        <f t="shared" si="40"/>
        <v>0</v>
      </c>
      <c r="K81" s="554"/>
    </row>
    <row r="82" spans="1:17" ht="17.100000000000001" customHeight="1">
      <c r="A82" s="637"/>
      <c r="B82" s="637"/>
      <c r="C82" s="638"/>
      <c r="D82" s="638"/>
      <c r="E82" s="554" t="s">
        <v>1202</v>
      </c>
      <c r="F82" s="370">
        <f t="shared" si="40"/>
        <v>0</v>
      </c>
      <c r="G82" s="370">
        <f t="shared" si="40"/>
        <v>0</v>
      </c>
      <c r="H82" s="370">
        <f t="shared" si="40"/>
        <v>0</v>
      </c>
      <c r="I82" s="370">
        <f t="shared" si="40"/>
        <v>0</v>
      </c>
      <c r="J82" s="370">
        <f t="shared" si="40"/>
        <v>0</v>
      </c>
      <c r="K82" s="554"/>
    </row>
    <row r="83" spans="1:17" ht="17.100000000000001" customHeight="1">
      <c r="A83" s="637"/>
      <c r="B83" s="637"/>
      <c r="C83" s="638" t="s">
        <v>80</v>
      </c>
      <c r="D83" s="638"/>
      <c r="E83" s="638"/>
      <c r="F83" s="370">
        <f t="shared" si="40"/>
        <v>0</v>
      </c>
      <c r="G83" s="370">
        <f t="shared" si="40"/>
        <v>0</v>
      </c>
      <c r="H83" s="370">
        <f t="shared" si="40"/>
        <v>0</v>
      </c>
      <c r="I83" s="370">
        <f t="shared" si="40"/>
        <v>0</v>
      </c>
      <c r="J83" s="370">
        <f t="shared" si="40"/>
        <v>0</v>
      </c>
      <c r="K83" s="554"/>
    </row>
    <row r="84" spans="1:17" ht="17.100000000000001" customHeight="1">
      <c r="A84" s="637"/>
      <c r="B84" s="637"/>
      <c r="C84" s="638" t="s">
        <v>81</v>
      </c>
      <c r="D84" s="638"/>
      <c r="E84" s="638"/>
      <c r="F84" s="370">
        <f t="shared" si="40"/>
        <v>0</v>
      </c>
      <c r="G84" s="370">
        <f t="shared" si="40"/>
        <v>0</v>
      </c>
      <c r="H84" s="370">
        <f t="shared" si="40"/>
        <v>0</v>
      </c>
      <c r="I84" s="370">
        <f t="shared" si="40"/>
        <v>0</v>
      </c>
      <c r="J84" s="370">
        <f t="shared" si="40"/>
        <v>0</v>
      </c>
      <c r="K84" s="554"/>
    </row>
    <row r="85" spans="1:17" s="403" customFormat="1" ht="17.100000000000001" customHeight="1">
      <c r="A85" s="552"/>
      <c r="B85" s="641" t="s">
        <v>1902</v>
      </c>
      <c r="C85" s="642" t="s">
        <v>15</v>
      </c>
      <c r="D85" s="642"/>
      <c r="E85" s="642"/>
      <c r="F85" s="352">
        <f>F86+F87+F88+F89+F90</f>
        <v>1876</v>
      </c>
      <c r="G85" s="352">
        <f t="shared" ref="G85:J85" si="41">G86+G87+G88+G89+G90</f>
        <v>2074</v>
      </c>
      <c r="H85" s="352">
        <f t="shared" si="41"/>
        <v>2258</v>
      </c>
      <c r="I85" s="352">
        <f t="shared" si="41"/>
        <v>2401</v>
      </c>
      <c r="J85" s="352">
        <f t="shared" si="41"/>
        <v>2578</v>
      </c>
      <c r="K85" s="553"/>
    </row>
    <row r="86" spans="1:17" s="403" customFormat="1" ht="17.100000000000001" customHeight="1">
      <c r="A86" s="557"/>
      <c r="B86" s="641"/>
      <c r="C86" s="616" t="s">
        <v>85</v>
      </c>
      <c r="D86" s="616"/>
      <c r="E86" s="616"/>
      <c r="F86" s="229">
        <f>'1.급수구역별 수요량'!F24</f>
        <v>1876</v>
      </c>
      <c r="G86" s="229">
        <f>'1.급수구역별 수요량'!G24</f>
        <v>2074</v>
      </c>
      <c r="H86" s="229">
        <f>'1.급수구역별 수요량'!H24</f>
        <v>2258</v>
      </c>
      <c r="I86" s="229">
        <f>'1.급수구역별 수요량'!I24</f>
        <v>2401</v>
      </c>
      <c r="J86" s="229">
        <f>'1.급수구역별 수요량'!J24</f>
        <v>2578</v>
      </c>
      <c r="K86" s="553"/>
    </row>
    <row r="87" spans="1:17" s="403" customFormat="1" ht="17.100000000000001" customHeight="1">
      <c r="A87" s="557"/>
      <c r="B87" s="641"/>
      <c r="C87" s="616" t="s">
        <v>78</v>
      </c>
      <c r="D87" s="616"/>
      <c r="E87" s="553" t="s">
        <v>1201</v>
      </c>
      <c r="F87" s="229">
        <f>'1.급수구역별 수요량'!F25</f>
        <v>0</v>
      </c>
      <c r="G87" s="229">
        <f>'1.급수구역별 수요량'!G25</f>
        <v>0</v>
      </c>
      <c r="H87" s="229">
        <f>'1.급수구역별 수요량'!H25</f>
        <v>0</v>
      </c>
      <c r="I87" s="229">
        <f>'1.급수구역별 수요량'!I25</f>
        <v>0</v>
      </c>
      <c r="J87" s="229">
        <f>'1.급수구역별 수요량'!J25</f>
        <v>0</v>
      </c>
      <c r="K87" s="553"/>
    </row>
    <row r="88" spans="1:17" s="403" customFormat="1" ht="17.100000000000001" customHeight="1">
      <c r="A88" s="557"/>
      <c r="B88" s="641"/>
      <c r="C88" s="616" t="s">
        <v>78</v>
      </c>
      <c r="D88" s="616"/>
      <c r="E88" s="553" t="s">
        <v>1202</v>
      </c>
      <c r="F88" s="229">
        <f>'1.급수구역별 수요량'!F26*$M$4</f>
        <v>0</v>
      </c>
      <c r="G88" s="229">
        <f>'1.급수구역별 수요량'!G26*$M$4</f>
        <v>0</v>
      </c>
      <c r="H88" s="229">
        <f>'1.급수구역별 수요량'!H26*$M$4</f>
        <v>0</v>
      </c>
      <c r="I88" s="229">
        <f>'1.급수구역별 수요량'!I26*$M$4</f>
        <v>0</v>
      </c>
      <c r="J88" s="229">
        <f>'1.급수구역별 수요량'!J26*$M$4</f>
        <v>0</v>
      </c>
      <c r="K88" s="553"/>
    </row>
    <row r="89" spans="1:17" s="403" customFormat="1" ht="17.100000000000001" customHeight="1">
      <c r="A89" s="557"/>
      <c r="B89" s="641"/>
      <c r="C89" s="616" t="s">
        <v>80</v>
      </c>
      <c r="D89" s="616"/>
      <c r="E89" s="616"/>
      <c r="F89" s="229">
        <f>'1.급수구역별 수요량'!F27</f>
        <v>0</v>
      </c>
      <c r="G89" s="229">
        <f>'1.급수구역별 수요량'!G27</f>
        <v>0</v>
      </c>
      <c r="H89" s="229">
        <f>'1.급수구역별 수요량'!H27</f>
        <v>0</v>
      </c>
      <c r="I89" s="229">
        <f>'1.급수구역별 수요량'!I27</f>
        <v>0</v>
      </c>
      <c r="J89" s="229">
        <f>'1.급수구역별 수요량'!J27</f>
        <v>0</v>
      </c>
      <c r="K89" s="553"/>
      <c r="M89" s="638" t="s">
        <v>1827</v>
      </c>
      <c r="N89" s="638"/>
      <c r="O89" s="638"/>
      <c r="P89" s="638"/>
      <c r="Q89" s="638"/>
    </row>
    <row r="90" spans="1:17" s="403" customFormat="1" ht="17.100000000000001" customHeight="1">
      <c r="A90" s="558"/>
      <c r="B90" s="641"/>
      <c r="C90" s="616" t="s">
        <v>81</v>
      </c>
      <c r="D90" s="616"/>
      <c r="E90" s="616"/>
      <c r="F90" s="229">
        <f>'1.급수구역별 수요량'!F28</f>
        <v>0</v>
      </c>
      <c r="G90" s="229">
        <f>'1.급수구역별 수요량'!G28</f>
        <v>0</v>
      </c>
      <c r="H90" s="229">
        <f>'1.급수구역별 수요량'!H28</f>
        <v>0</v>
      </c>
      <c r="I90" s="229">
        <f>'1.급수구역별 수요량'!I28</f>
        <v>0</v>
      </c>
      <c r="J90" s="229">
        <f>'1.급수구역별 수요량'!J28</f>
        <v>0</v>
      </c>
      <c r="K90" s="553"/>
      <c r="M90" s="402">
        <v>2013</v>
      </c>
      <c r="N90" s="402">
        <v>2015</v>
      </c>
      <c r="O90" s="402">
        <v>2020</v>
      </c>
      <c r="P90" s="402">
        <v>2025</v>
      </c>
      <c r="Q90" s="402">
        <v>2030</v>
      </c>
    </row>
    <row r="91" spans="1:17" ht="17.100000000000001" customHeight="1">
      <c r="A91" s="637" t="s">
        <v>1818</v>
      </c>
      <c r="B91" s="637"/>
      <c r="C91" s="639" t="s">
        <v>1826</v>
      </c>
      <c r="D91" s="639"/>
      <c r="E91" s="639"/>
      <c r="F91" s="374">
        <v>6425</v>
      </c>
      <c r="G91" s="374">
        <v>6425</v>
      </c>
      <c r="H91" s="400">
        <v>14000</v>
      </c>
      <c r="I91" s="400">
        <v>14000</v>
      </c>
      <c r="J91" s="400">
        <v>14000</v>
      </c>
      <c r="K91" s="375"/>
      <c r="M91" s="375">
        <f>ROUND(F91/F92*24,1)</f>
        <v>7.4</v>
      </c>
      <c r="N91" s="375">
        <f t="shared" ref="N91:Q91" si="42">ROUND(G91/G92*24,1)</f>
        <v>6.7</v>
      </c>
      <c r="O91" s="375">
        <f t="shared" si="42"/>
        <v>13.8</v>
      </c>
      <c r="P91" s="375">
        <f t="shared" si="42"/>
        <v>13</v>
      </c>
      <c r="Q91" s="375">
        <f t="shared" si="42"/>
        <v>12.2</v>
      </c>
    </row>
    <row r="92" spans="1:17" ht="17.100000000000001" customHeight="1">
      <c r="A92" s="637"/>
      <c r="B92" s="637"/>
      <c r="C92" s="639" t="s">
        <v>1240</v>
      </c>
      <c r="D92" s="639"/>
      <c r="E92" s="639"/>
      <c r="F92" s="369">
        <f>SUM(F93:F97)+F111</f>
        <v>20726</v>
      </c>
      <c r="G92" s="369">
        <f>SUM(G93:G97)+G111</f>
        <v>22918</v>
      </c>
      <c r="H92" s="369">
        <f>SUM(H93:H97)+H111</f>
        <v>24317</v>
      </c>
      <c r="I92" s="369">
        <f>SUM(I93:I97)+I111</f>
        <v>25896</v>
      </c>
      <c r="J92" s="369">
        <f>SUM(J93:J97)+J111</f>
        <v>27607</v>
      </c>
      <c r="K92" s="554"/>
    </row>
    <row r="93" spans="1:17" ht="17.100000000000001" customHeight="1">
      <c r="A93" s="637"/>
      <c r="B93" s="637"/>
      <c r="C93" s="638" t="s">
        <v>85</v>
      </c>
      <c r="D93" s="638"/>
      <c r="E93" s="638"/>
      <c r="F93" s="370">
        <f>F99+F105</f>
        <v>16008</v>
      </c>
      <c r="G93" s="370">
        <f t="shared" ref="G93:J93" si="43">G99+G105</f>
        <v>18155</v>
      </c>
      <c r="H93" s="370">
        <f t="shared" si="43"/>
        <v>20598</v>
      </c>
      <c r="I93" s="370">
        <f t="shared" si="43"/>
        <v>21910</v>
      </c>
      <c r="J93" s="370">
        <f t="shared" si="43"/>
        <v>23307</v>
      </c>
      <c r="K93" s="554"/>
    </row>
    <row r="94" spans="1:17" ht="17.100000000000001" customHeight="1">
      <c r="A94" s="637"/>
      <c r="B94" s="637"/>
      <c r="C94" s="638" t="s">
        <v>78</v>
      </c>
      <c r="D94" s="638"/>
      <c r="E94" s="554" t="s">
        <v>1201</v>
      </c>
      <c r="F94" s="370">
        <f t="shared" ref="F94:J94" si="44">F100+F106</f>
        <v>406</v>
      </c>
      <c r="G94" s="370">
        <f t="shared" si="44"/>
        <v>406</v>
      </c>
      <c r="H94" s="370">
        <f t="shared" si="44"/>
        <v>406</v>
      </c>
      <c r="I94" s="370">
        <f t="shared" si="44"/>
        <v>406</v>
      </c>
      <c r="J94" s="370">
        <f t="shared" si="44"/>
        <v>406</v>
      </c>
      <c r="K94" s="554"/>
    </row>
    <row r="95" spans="1:17" ht="17.100000000000001" customHeight="1">
      <c r="A95" s="637"/>
      <c r="B95" s="637"/>
      <c r="C95" s="638"/>
      <c r="D95" s="638"/>
      <c r="E95" s="554" t="s">
        <v>1202</v>
      </c>
      <c r="F95" s="370">
        <f t="shared" ref="F95:J95" si="45">F101+F107</f>
        <v>0</v>
      </c>
      <c r="G95" s="370">
        <f t="shared" si="45"/>
        <v>0</v>
      </c>
      <c r="H95" s="370">
        <f t="shared" si="45"/>
        <v>0</v>
      </c>
      <c r="I95" s="370">
        <f t="shared" si="45"/>
        <v>0</v>
      </c>
      <c r="J95" s="370">
        <f t="shared" si="45"/>
        <v>0</v>
      </c>
      <c r="K95" s="554"/>
    </row>
    <row r="96" spans="1:17" ht="17.100000000000001" customHeight="1">
      <c r="A96" s="637"/>
      <c r="B96" s="637"/>
      <c r="C96" s="638" t="s">
        <v>80</v>
      </c>
      <c r="D96" s="638"/>
      <c r="E96" s="638"/>
      <c r="F96" s="370">
        <f t="shared" ref="F96:J96" si="46">F102+F108</f>
        <v>0</v>
      </c>
      <c r="G96" s="370">
        <f t="shared" si="46"/>
        <v>0</v>
      </c>
      <c r="H96" s="370">
        <f t="shared" si="46"/>
        <v>129</v>
      </c>
      <c r="I96" s="370">
        <f t="shared" si="46"/>
        <v>129</v>
      </c>
      <c r="J96" s="370">
        <f t="shared" si="46"/>
        <v>129</v>
      </c>
      <c r="K96" s="554"/>
    </row>
    <row r="97" spans="1:17" ht="17.100000000000001" customHeight="1">
      <c r="A97" s="637"/>
      <c r="B97" s="637"/>
      <c r="C97" s="638" t="s">
        <v>81</v>
      </c>
      <c r="D97" s="638"/>
      <c r="E97" s="638"/>
      <c r="F97" s="370">
        <f t="shared" ref="F97:J97" si="47">F103+F109</f>
        <v>0</v>
      </c>
      <c r="G97" s="370">
        <f t="shared" si="47"/>
        <v>0</v>
      </c>
      <c r="H97" s="370">
        <f t="shared" si="47"/>
        <v>0</v>
      </c>
      <c r="I97" s="370">
        <f t="shared" si="47"/>
        <v>0</v>
      </c>
      <c r="J97" s="370">
        <f t="shared" si="47"/>
        <v>0</v>
      </c>
      <c r="K97" s="554"/>
    </row>
    <row r="98" spans="1:17" s="358" customFormat="1" ht="17.100000000000001" customHeight="1">
      <c r="A98" s="551"/>
      <c r="B98" s="641" t="s">
        <v>1789</v>
      </c>
      <c r="C98" s="642" t="s">
        <v>15</v>
      </c>
      <c r="D98" s="642"/>
      <c r="E98" s="642"/>
      <c r="F98" s="352">
        <f>F99+F100+F101+F102+F103</f>
        <v>12459</v>
      </c>
      <c r="G98" s="352">
        <f t="shared" ref="G98:J98" si="48">G99+G100+G101+G102+G103</f>
        <v>13127</v>
      </c>
      <c r="H98" s="352">
        <f t="shared" si="48"/>
        <v>14185</v>
      </c>
      <c r="I98" s="352">
        <f t="shared" si="48"/>
        <v>15096</v>
      </c>
      <c r="J98" s="352">
        <f t="shared" si="48"/>
        <v>16203</v>
      </c>
      <c r="K98" s="553"/>
    </row>
    <row r="99" spans="1:17" s="358" customFormat="1" ht="17.100000000000001" customHeight="1">
      <c r="A99" s="555"/>
      <c r="B99" s="616"/>
      <c r="C99" s="616" t="s">
        <v>85</v>
      </c>
      <c r="D99" s="616"/>
      <c r="E99" s="616"/>
      <c r="F99" s="229">
        <f>'1.급수구역별 수요량'!F36</f>
        <v>12459</v>
      </c>
      <c r="G99" s="229">
        <f>'1.급수구역별 수요량'!G36</f>
        <v>13127</v>
      </c>
      <c r="H99" s="229">
        <f>'1.급수구역별 수요량'!H36</f>
        <v>14185</v>
      </c>
      <c r="I99" s="229">
        <f>'1.급수구역별 수요량'!I36</f>
        <v>15096</v>
      </c>
      <c r="J99" s="229">
        <f>'1.급수구역별 수요량'!J36</f>
        <v>16203</v>
      </c>
      <c r="K99" s="553"/>
    </row>
    <row r="100" spans="1:17" s="358" customFormat="1" ht="17.100000000000001" customHeight="1">
      <c r="A100" s="555"/>
      <c r="B100" s="616"/>
      <c r="C100" s="616" t="s">
        <v>78</v>
      </c>
      <c r="D100" s="616"/>
      <c r="E100" s="553" t="s">
        <v>1201</v>
      </c>
      <c r="F100" s="229">
        <f>'1.급수구역별 수요량'!F37</f>
        <v>0</v>
      </c>
      <c r="G100" s="229">
        <f>'1.급수구역별 수요량'!G37</f>
        <v>0</v>
      </c>
      <c r="H100" s="229">
        <f>'1.급수구역별 수요량'!H37</f>
        <v>0</v>
      </c>
      <c r="I100" s="229">
        <f>'1.급수구역별 수요량'!I37</f>
        <v>0</v>
      </c>
      <c r="J100" s="229">
        <f>'1.급수구역별 수요량'!J37</f>
        <v>0</v>
      </c>
      <c r="K100" s="553"/>
    </row>
    <row r="101" spans="1:17" s="358" customFormat="1" ht="17.100000000000001" customHeight="1">
      <c r="A101" s="555"/>
      <c r="B101" s="616"/>
      <c r="C101" s="616" t="s">
        <v>78</v>
      </c>
      <c r="D101" s="616"/>
      <c r="E101" s="553" t="s">
        <v>1202</v>
      </c>
      <c r="F101" s="229">
        <f>'1.급수구역별 수요량'!F38*$M$4</f>
        <v>0</v>
      </c>
      <c r="G101" s="229">
        <f>'1.급수구역별 수요량'!G38*$M$4</f>
        <v>0</v>
      </c>
      <c r="H101" s="229">
        <f>'1.급수구역별 수요량'!H38*$M$4</f>
        <v>0</v>
      </c>
      <c r="I101" s="229">
        <f>'1.급수구역별 수요량'!I38*$M$4</f>
        <v>0</v>
      </c>
      <c r="J101" s="229">
        <f>'1.급수구역별 수요량'!J38*$M$4</f>
        <v>0</v>
      </c>
      <c r="K101" s="553"/>
    </row>
    <row r="102" spans="1:17" s="358" customFormat="1" ht="17.100000000000001" customHeight="1">
      <c r="A102" s="555"/>
      <c r="B102" s="616"/>
      <c r="C102" s="616" t="s">
        <v>80</v>
      </c>
      <c r="D102" s="616"/>
      <c r="E102" s="616"/>
      <c r="F102" s="229">
        <f>'1.급수구역별 수요량'!F39</f>
        <v>0</v>
      </c>
      <c r="G102" s="229">
        <f>'1.급수구역별 수요량'!G39</f>
        <v>0</v>
      </c>
      <c r="H102" s="229">
        <f>'1.급수구역별 수요량'!H39</f>
        <v>0</v>
      </c>
      <c r="I102" s="229">
        <f>'1.급수구역별 수요량'!I39</f>
        <v>0</v>
      </c>
      <c r="J102" s="229">
        <f>'1.급수구역별 수요량'!J39</f>
        <v>0</v>
      </c>
      <c r="K102" s="553"/>
      <c r="M102" s="385"/>
      <c r="N102" s="385"/>
      <c r="O102" s="385"/>
      <c r="P102" s="385"/>
      <c r="Q102" s="385"/>
    </row>
    <row r="103" spans="1:17" s="358" customFormat="1" ht="17.100000000000001" customHeight="1">
      <c r="A103" s="555"/>
      <c r="B103" s="616"/>
      <c r="C103" s="616" t="s">
        <v>81</v>
      </c>
      <c r="D103" s="616"/>
      <c r="E103" s="616"/>
      <c r="F103" s="229">
        <f>'1.급수구역별 수요량'!F40</f>
        <v>0</v>
      </c>
      <c r="G103" s="229">
        <f>'1.급수구역별 수요량'!G40</f>
        <v>0</v>
      </c>
      <c r="H103" s="229">
        <f>'1.급수구역별 수요량'!H40</f>
        <v>0</v>
      </c>
      <c r="I103" s="229">
        <f>'1.급수구역별 수요량'!I40</f>
        <v>0</v>
      </c>
      <c r="J103" s="229">
        <f>'1.급수구역별 수요량'!J40</f>
        <v>0</v>
      </c>
      <c r="K103" s="553"/>
      <c r="M103" s="385"/>
      <c r="N103" s="385"/>
      <c r="O103" s="385"/>
      <c r="P103" s="385"/>
      <c r="Q103" s="385"/>
    </row>
    <row r="104" spans="1:17" s="385" customFormat="1" ht="17.100000000000001" customHeight="1">
      <c r="A104" s="555"/>
      <c r="B104" s="641" t="s">
        <v>2432</v>
      </c>
      <c r="C104" s="642" t="s">
        <v>15</v>
      </c>
      <c r="D104" s="642"/>
      <c r="E104" s="642"/>
      <c r="F104" s="352">
        <f>F105+F106+F107+F108+F109</f>
        <v>3955</v>
      </c>
      <c r="G104" s="352">
        <f t="shared" ref="G104" si="49">G105+G106+G107+G108+G109</f>
        <v>5434</v>
      </c>
      <c r="H104" s="352">
        <f t="shared" ref="H104" si="50">H105+H106+H107+H108+H109</f>
        <v>6948</v>
      </c>
      <c r="I104" s="352">
        <f t="shared" ref="I104" si="51">I105+I106+I107+I108+I109</f>
        <v>7349</v>
      </c>
      <c r="J104" s="352">
        <f t="shared" ref="J104" si="52">J105+J106+J107+J108+J109</f>
        <v>7639</v>
      </c>
      <c r="K104" s="553"/>
    </row>
    <row r="105" spans="1:17" s="385" customFormat="1" ht="17.100000000000001" customHeight="1">
      <c r="A105" s="557"/>
      <c r="B105" s="616"/>
      <c r="C105" s="616" t="s">
        <v>85</v>
      </c>
      <c r="D105" s="616"/>
      <c r="E105" s="616"/>
      <c r="F105" s="229">
        <f>'1.급수구역별 수요량'!F54</f>
        <v>3549</v>
      </c>
      <c r="G105" s="229">
        <f>'1.급수구역별 수요량'!G54</f>
        <v>5028</v>
      </c>
      <c r="H105" s="229">
        <f>'1.급수구역별 수요량'!H54</f>
        <v>6413</v>
      </c>
      <c r="I105" s="229">
        <f>'1.급수구역별 수요량'!I54</f>
        <v>6814</v>
      </c>
      <c r="J105" s="229">
        <f>'1.급수구역별 수요량'!J54</f>
        <v>7104</v>
      </c>
      <c r="K105" s="553"/>
    </row>
    <row r="106" spans="1:17" s="385" customFormat="1" ht="17.100000000000001" customHeight="1">
      <c r="A106" s="557"/>
      <c r="B106" s="616"/>
      <c r="C106" s="616" t="s">
        <v>78</v>
      </c>
      <c r="D106" s="616"/>
      <c r="E106" s="553" t="s">
        <v>1201</v>
      </c>
      <c r="F106" s="229">
        <f>'1.급수구역별 수요량'!F55</f>
        <v>406</v>
      </c>
      <c r="G106" s="229">
        <f>'1.급수구역별 수요량'!G55</f>
        <v>406</v>
      </c>
      <c r="H106" s="229">
        <f>'1.급수구역별 수요량'!H55</f>
        <v>406</v>
      </c>
      <c r="I106" s="229">
        <f>'1.급수구역별 수요량'!I55</f>
        <v>406</v>
      </c>
      <c r="J106" s="229">
        <f>'1.급수구역별 수요량'!J55</f>
        <v>406</v>
      </c>
      <c r="K106" s="553"/>
    </row>
    <row r="107" spans="1:17" s="385" customFormat="1" ht="17.100000000000001" customHeight="1">
      <c r="A107" s="557"/>
      <c r="B107" s="616"/>
      <c r="C107" s="616" t="s">
        <v>78</v>
      </c>
      <c r="D107" s="616"/>
      <c r="E107" s="553" t="s">
        <v>1202</v>
      </c>
      <c r="F107" s="229">
        <f>'1.급수구역별 수요량'!F58*$M$4</f>
        <v>0</v>
      </c>
      <c r="G107" s="229">
        <f>'1.급수구역별 수요량'!G58*$M$4</f>
        <v>0</v>
      </c>
      <c r="H107" s="229">
        <f>'1.급수구역별 수요량'!H58*$M$4</f>
        <v>0</v>
      </c>
      <c r="I107" s="229">
        <f>'1.급수구역별 수요량'!I58*$M$4</f>
        <v>0</v>
      </c>
      <c r="J107" s="229">
        <f>'1.급수구역별 수요량'!J58*$M$4</f>
        <v>0</v>
      </c>
      <c r="K107" s="553"/>
    </row>
    <row r="108" spans="1:17" s="385" customFormat="1" ht="17.100000000000001" customHeight="1">
      <c r="A108" s="557"/>
      <c r="B108" s="616"/>
      <c r="C108" s="616" t="s">
        <v>80</v>
      </c>
      <c r="D108" s="616"/>
      <c r="E108" s="616"/>
      <c r="F108" s="229">
        <f>'1.급수구역별 수요량'!F61</f>
        <v>0</v>
      </c>
      <c r="G108" s="229">
        <f>'1.급수구역별 수요량'!G61</f>
        <v>0</v>
      </c>
      <c r="H108" s="229">
        <f>'1.급수구역별 수요량'!H61</f>
        <v>129</v>
      </c>
      <c r="I108" s="229">
        <f>'1.급수구역별 수요량'!I61</f>
        <v>129</v>
      </c>
      <c r="J108" s="229">
        <f>'1.급수구역별 수요량'!J61</f>
        <v>129</v>
      </c>
      <c r="K108" s="553"/>
      <c r="M108" s="638" t="s">
        <v>1827</v>
      </c>
      <c r="N108" s="638"/>
      <c r="O108" s="638"/>
      <c r="P108" s="638"/>
      <c r="Q108" s="638"/>
    </row>
    <row r="109" spans="1:17" s="385" customFormat="1" ht="17.100000000000001" customHeight="1">
      <c r="A109" s="558"/>
      <c r="B109" s="616"/>
      <c r="C109" s="616" t="s">
        <v>81</v>
      </c>
      <c r="D109" s="616"/>
      <c r="E109" s="616"/>
      <c r="F109" s="229">
        <f>'1.급수구역별 수요량'!F62</f>
        <v>0</v>
      </c>
      <c r="G109" s="229">
        <f>'1.급수구역별 수요량'!G62</f>
        <v>0</v>
      </c>
      <c r="H109" s="229">
        <f>'1.급수구역별 수요량'!H62</f>
        <v>0</v>
      </c>
      <c r="I109" s="229">
        <f>'1.급수구역별 수요량'!I62</f>
        <v>0</v>
      </c>
      <c r="J109" s="229">
        <f>'1.급수구역별 수요량'!J62</f>
        <v>0</v>
      </c>
      <c r="K109" s="553"/>
      <c r="M109" s="384">
        <v>2013</v>
      </c>
      <c r="N109" s="384">
        <v>2015</v>
      </c>
      <c r="O109" s="384">
        <v>2020</v>
      </c>
      <c r="P109" s="384">
        <v>2025</v>
      </c>
      <c r="Q109" s="384">
        <v>2030</v>
      </c>
    </row>
    <row r="110" spans="1:17" s="358" customFormat="1" ht="17.100000000000001" customHeight="1">
      <c r="A110" s="637" t="s">
        <v>1819</v>
      </c>
      <c r="B110" s="637"/>
      <c r="C110" s="639" t="s">
        <v>1826</v>
      </c>
      <c r="D110" s="639"/>
      <c r="E110" s="639"/>
      <c r="F110" s="369">
        <v>1904</v>
      </c>
      <c r="G110" s="369">
        <v>1904</v>
      </c>
      <c r="H110" s="369">
        <v>1904</v>
      </c>
      <c r="I110" s="369">
        <v>1904</v>
      </c>
      <c r="J110" s="369">
        <v>1904</v>
      </c>
      <c r="K110" s="554"/>
      <c r="M110" s="375">
        <f>ROUND(F110/F111*24,1)</f>
        <v>10.6</v>
      </c>
      <c r="N110" s="375">
        <f t="shared" ref="N110" si="53">ROUND(G110/G111*24,1)</f>
        <v>10.5</v>
      </c>
      <c r="O110" s="375">
        <f t="shared" ref="O110" si="54">ROUND(H110/H111*24,1)</f>
        <v>14.4</v>
      </c>
      <c r="P110" s="375">
        <f t="shared" ref="P110" si="55">ROUND(I110/I111*24,1)</f>
        <v>13.2</v>
      </c>
      <c r="Q110" s="375">
        <f t="shared" ref="Q110" si="56">ROUND(J110/J111*24,1)</f>
        <v>12.1</v>
      </c>
    </row>
    <row r="111" spans="1:17" ht="17.100000000000001" customHeight="1">
      <c r="A111" s="637"/>
      <c r="B111" s="637"/>
      <c r="C111" s="639" t="s">
        <v>1240</v>
      </c>
      <c r="D111" s="639"/>
      <c r="E111" s="639"/>
      <c r="F111" s="369">
        <f>SUM(F112:F116)</f>
        <v>4312</v>
      </c>
      <c r="G111" s="369">
        <f t="shared" ref="G111" si="57">SUM(G112:G116)</f>
        <v>4357</v>
      </c>
      <c r="H111" s="369">
        <f t="shared" ref="H111" si="58">SUM(H112:H116)</f>
        <v>3184</v>
      </c>
      <c r="I111" s="369">
        <f t="shared" ref="I111" si="59">SUM(I112:I116)</f>
        <v>3451</v>
      </c>
      <c r="J111" s="369">
        <f t="shared" ref="J111" si="60">SUM(J112:J116)</f>
        <v>3765</v>
      </c>
      <c r="K111" s="554"/>
    </row>
    <row r="112" spans="1:17" ht="17.100000000000001" customHeight="1">
      <c r="A112" s="637"/>
      <c r="B112" s="637"/>
      <c r="C112" s="638" t="s">
        <v>85</v>
      </c>
      <c r="D112" s="638"/>
      <c r="E112" s="638"/>
      <c r="F112" s="370">
        <f>F118</f>
        <v>4312</v>
      </c>
      <c r="G112" s="370">
        <f t="shared" ref="G112:J112" si="61">G118</f>
        <v>4357</v>
      </c>
      <c r="H112" s="370">
        <f t="shared" si="61"/>
        <v>3184</v>
      </c>
      <c r="I112" s="370">
        <f t="shared" si="61"/>
        <v>3451</v>
      </c>
      <c r="J112" s="370">
        <f t="shared" si="61"/>
        <v>3765</v>
      </c>
      <c r="K112" s="554"/>
    </row>
    <row r="113" spans="1:17" ht="17.100000000000001" customHeight="1">
      <c r="A113" s="637"/>
      <c r="B113" s="637"/>
      <c r="C113" s="638" t="s">
        <v>78</v>
      </c>
      <c r="D113" s="638"/>
      <c r="E113" s="554" t="s">
        <v>1201</v>
      </c>
      <c r="F113" s="370">
        <f t="shared" ref="F113:J116" si="62">F119</f>
        <v>0</v>
      </c>
      <c r="G113" s="370">
        <f t="shared" si="62"/>
        <v>0</v>
      </c>
      <c r="H113" s="370">
        <f t="shared" si="62"/>
        <v>0</v>
      </c>
      <c r="I113" s="370">
        <f t="shared" si="62"/>
        <v>0</v>
      </c>
      <c r="J113" s="370">
        <f t="shared" si="62"/>
        <v>0</v>
      </c>
      <c r="K113" s="554"/>
    </row>
    <row r="114" spans="1:17" ht="17.100000000000001" customHeight="1">
      <c r="A114" s="637"/>
      <c r="B114" s="637"/>
      <c r="C114" s="638"/>
      <c r="D114" s="638"/>
      <c r="E114" s="554" t="s">
        <v>1202</v>
      </c>
      <c r="F114" s="370">
        <f t="shared" si="62"/>
        <v>0</v>
      </c>
      <c r="G114" s="370">
        <f t="shared" si="62"/>
        <v>0</v>
      </c>
      <c r="H114" s="370">
        <f t="shared" si="62"/>
        <v>0</v>
      </c>
      <c r="I114" s="370">
        <f t="shared" si="62"/>
        <v>0</v>
      </c>
      <c r="J114" s="370">
        <f t="shared" si="62"/>
        <v>0</v>
      </c>
      <c r="K114" s="554"/>
    </row>
    <row r="115" spans="1:17" ht="17.100000000000001" customHeight="1">
      <c r="A115" s="637"/>
      <c r="B115" s="637"/>
      <c r="C115" s="638" t="s">
        <v>80</v>
      </c>
      <c r="D115" s="638"/>
      <c r="E115" s="638"/>
      <c r="F115" s="370">
        <f t="shared" si="62"/>
        <v>0</v>
      </c>
      <c r="G115" s="370">
        <f t="shared" si="62"/>
        <v>0</v>
      </c>
      <c r="H115" s="370">
        <f t="shared" si="62"/>
        <v>0</v>
      </c>
      <c r="I115" s="370">
        <f t="shared" si="62"/>
        <v>0</v>
      </c>
      <c r="J115" s="370">
        <f t="shared" si="62"/>
        <v>0</v>
      </c>
      <c r="K115" s="554"/>
    </row>
    <row r="116" spans="1:17" ht="17.100000000000001" customHeight="1">
      <c r="A116" s="637"/>
      <c r="B116" s="637"/>
      <c r="C116" s="638" t="s">
        <v>81</v>
      </c>
      <c r="D116" s="638"/>
      <c r="E116" s="638"/>
      <c r="F116" s="370">
        <f t="shared" si="62"/>
        <v>0</v>
      </c>
      <c r="G116" s="370">
        <f t="shared" si="62"/>
        <v>0</v>
      </c>
      <c r="H116" s="370">
        <f t="shared" si="62"/>
        <v>0</v>
      </c>
      <c r="I116" s="370">
        <f t="shared" si="62"/>
        <v>0</v>
      </c>
      <c r="J116" s="370">
        <f t="shared" si="62"/>
        <v>0</v>
      </c>
      <c r="K116" s="554"/>
    </row>
    <row r="117" spans="1:17" s="358" customFormat="1" ht="17.45" customHeight="1">
      <c r="A117" s="551"/>
      <c r="B117" s="641" t="s">
        <v>1911</v>
      </c>
      <c r="C117" s="642" t="s">
        <v>15</v>
      </c>
      <c r="D117" s="642"/>
      <c r="E117" s="642"/>
      <c r="F117" s="352">
        <f>F118+F119+F120+F121+F122</f>
        <v>4312</v>
      </c>
      <c r="G117" s="352">
        <f t="shared" ref="G117:J117" si="63">G118+G119+G120+G121+G122</f>
        <v>4357</v>
      </c>
      <c r="H117" s="352">
        <f t="shared" si="63"/>
        <v>3184</v>
      </c>
      <c r="I117" s="352">
        <f t="shared" si="63"/>
        <v>3451</v>
      </c>
      <c r="J117" s="352">
        <f t="shared" si="63"/>
        <v>3765</v>
      </c>
      <c r="K117" s="553"/>
    </row>
    <row r="118" spans="1:17" s="358" customFormat="1" ht="17.45" customHeight="1">
      <c r="A118" s="555"/>
      <c r="B118" s="616"/>
      <c r="C118" s="616" t="s">
        <v>85</v>
      </c>
      <c r="D118" s="616"/>
      <c r="E118" s="616"/>
      <c r="F118" s="229">
        <f>'1.급수구역별 수요량'!F42</f>
        <v>4312</v>
      </c>
      <c r="G118" s="229">
        <f>'1.급수구역별 수요량'!G42</f>
        <v>4357</v>
      </c>
      <c r="H118" s="229">
        <f>'1.급수구역별 수요량'!H42</f>
        <v>3184</v>
      </c>
      <c r="I118" s="229">
        <f>'1.급수구역별 수요량'!I42</f>
        <v>3451</v>
      </c>
      <c r="J118" s="229">
        <f>'1.급수구역별 수요량'!J42</f>
        <v>3765</v>
      </c>
      <c r="K118" s="553"/>
    </row>
    <row r="119" spans="1:17" s="358" customFormat="1" ht="17.45" customHeight="1">
      <c r="A119" s="555"/>
      <c r="B119" s="616"/>
      <c r="C119" s="616" t="s">
        <v>78</v>
      </c>
      <c r="D119" s="616"/>
      <c r="E119" s="553" t="s">
        <v>1201</v>
      </c>
      <c r="F119" s="229">
        <f>'1.급수구역별 수요량'!F43</f>
        <v>0</v>
      </c>
      <c r="G119" s="229">
        <f>'1.급수구역별 수요량'!G43</f>
        <v>0</v>
      </c>
      <c r="H119" s="229">
        <f>'1.급수구역별 수요량'!H43</f>
        <v>0</v>
      </c>
      <c r="I119" s="229">
        <f>'1.급수구역별 수요량'!I43</f>
        <v>0</v>
      </c>
      <c r="J119" s="229">
        <f>'1.급수구역별 수요량'!J43</f>
        <v>0</v>
      </c>
      <c r="K119" s="553"/>
    </row>
    <row r="120" spans="1:17" s="358" customFormat="1" ht="17.45" customHeight="1">
      <c r="A120" s="555"/>
      <c r="B120" s="616"/>
      <c r="C120" s="616" t="s">
        <v>78</v>
      </c>
      <c r="D120" s="616"/>
      <c r="E120" s="553" t="s">
        <v>1202</v>
      </c>
      <c r="F120" s="229">
        <f>'1.급수구역별 수요량'!F44*$M$4</f>
        <v>0</v>
      </c>
      <c r="G120" s="229">
        <f>'1.급수구역별 수요량'!G44*$M$4</f>
        <v>0</v>
      </c>
      <c r="H120" s="229">
        <f>'1.급수구역별 수요량'!H44*$M$4</f>
        <v>0</v>
      </c>
      <c r="I120" s="229">
        <f>'1.급수구역별 수요량'!I44*$M$4</f>
        <v>0</v>
      </c>
      <c r="J120" s="229">
        <f>'1.급수구역별 수요량'!J44*$M$4</f>
        <v>0</v>
      </c>
      <c r="K120" s="553"/>
    </row>
    <row r="121" spans="1:17" s="358" customFormat="1" ht="17.45" customHeight="1">
      <c r="A121" s="555"/>
      <c r="B121" s="616"/>
      <c r="C121" s="616" t="s">
        <v>80</v>
      </c>
      <c r="D121" s="616"/>
      <c r="E121" s="616"/>
      <c r="F121" s="229">
        <f>'1.급수구역별 수요량'!F45</f>
        <v>0</v>
      </c>
      <c r="G121" s="229">
        <f>'1.급수구역별 수요량'!G45</f>
        <v>0</v>
      </c>
      <c r="H121" s="229">
        <f>'1.급수구역별 수요량'!H45</f>
        <v>0</v>
      </c>
      <c r="I121" s="229">
        <f>'1.급수구역별 수요량'!I45</f>
        <v>0</v>
      </c>
      <c r="J121" s="229">
        <f>'1.급수구역별 수요량'!J45</f>
        <v>0</v>
      </c>
      <c r="K121" s="553"/>
      <c r="M121" s="638" t="s">
        <v>1827</v>
      </c>
      <c r="N121" s="638"/>
      <c r="O121" s="638"/>
      <c r="P121" s="638"/>
      <c r="Q121" s="638"/>
    </row>
    <row r="122" spans="1:17" s="358" customFormat="1" ht="17.45" customHeight="1">
      <c r="A122" s="556"/>
      <c r="B122" s="616"/>
      <c r="C122" s="616" t="s">
        <v>81</v>
      </c>
      <c r="D122" s="616"/>
      <c r="E122" s="616"/>
      <c r="F122" s="229">
        <f>'1.급수구역별 수요량'!F46</f>
        <v>0</v>
      </c>
      <c r="G122" s="229">
        <f>'1.급수구역별 수요량'!G46</f>
        <v>0</v>
      </c>
      <c r="H122" s="229">
        <f>'1.급수구역별 수요량'!H46</f>
        <v>0</v>
      </c>
      <c r="I122" s="229">
        <f>'1.급수구역별 수요량'!I46</f>
        <v>0</v>
      </c>
      <c r="J122" s="229">
        <f>'1.급수구역별 수요량'!J46</f>
        <v>0</v>
      </c>
      <c r="K122" s="553"/>
      <c r="M122" s="367">
        <v>2013</v>
      </c>
      <c r="N122" s="367">
        <v>2015</v>
      </c>
      <c r="O122" s="367">
        <v>2020</v>
      </c>
      <c r="P122" s="367">
        <v>2025</v>
      </c>
      <c r="Q122" s="367">
        <v>2030</v>
      </c>
    </row>
    <row r="123" spans="1:17" s="403" customFormat="1" ht="17.100000000000001" customHeight="1">
      <c r="A123" s="637" t="s">
        <v>1840</v>
      </c>
      <c r="B123" s="637"/>
      <c r="C123" s="639" t="s">
        <v>1826</v>
      </c>
      <c r="D123" s="639"/>
      <c r="E123" s="639"/>
      <c r="F123" s="369">
        <v>0</v>
      </c>
      <c r="G123" s="369">
        <v>2500</v>
      </c>
      <c r="H123" s="369">
        <v>2500</v>
      </c>
      <c r="I123" s="369">
        <v>2500</v>
      </c>
      <c r="J123" s="369">
        <v>2500</v>
      </c>
      <c r="K123" s="554"/>
      <c r="M123" s="375" t="e">
        <f>ROUND(F123/F124*24,1)</f>
        <v>#DIV/0!</v>
      </c>
      <c r="N123" s="375">
        <f t="shared" ref="N123" si="64">ROUND(G123/G124*24,1)</f>
        <v>110.3</v>
      </c>
      <c r="O123" s="375">
        <f t="shared" ref="O123" si="65">ROUND(H123/H124*24,1)</f>
        <v>16.899999999999999</v>
      </c>
      <c r="P123" s="375">
        <f t="shared" ref="P123" si="66">ROUND(I123/I124*24,1)</f>
        <v>16.399999999999999</v>
      </c>
      <c r="Q123" s="375">
        <f t="shared" ref="Q123" si="67">ROUND(J123/J124*24,1)</f>
        <v>15.6</v>
      </c>
    </row>
    <row r="124" spans="1:17" ht="17.100000000000001" customHeight="1">
      <c r="A124" s="637"/>
      <c r="B124" s="637"/>
      <c r="C124" s="639" t="s">
        <v>1240</v>
      </c>
      <c r="D124" s="639"/>
      <c r="E124" s="639"/>
      <c r="F124" s="369">
        <f>SUM(F125:F129)</f>
        <v>0</v>
      </c>
      <c r="G124" s="369">
        <f t="shared" ref="G124:J124" si="68">SUM(G125:G129)</f>
        <v>544</v>
      </c>
      <c r="H124" s="369">
        <f t="shared" si="68"/>
        <v>3548</v>
      </c>
      <c r="I124" s="369">
        <f t="shared" si="68"/>
        <v>3665</v>
      </c>
      <c r="J124" s="369">
        <f t="shared" si="68"/>
        <v>3839</v>
      </c>
      <c r="K124" s="554"/>
    </row>
    <row r="125" spans="1:17" ht="17.100000000000001" customHeight="1">
      <c r="A125" s="637"/>
      <c r="B125" s="637"/>
      <c r="C125" s="638" t="s">
        <v>85</v>
      </c>
      <c r="D125" s="638"/>
      <c r="E125" s="638"/>
      <c r="F125" s="370">
        <f>F131</f>
        <v>0</v>
      </c>
      <c r="G125" s="370">
        <f t="shared" ref="G125:J125" si="69">G131</f>
        <v>544</v>
      </c>
      <c r="H125" s="370">
        <f t="shared" si="69"/>
        <v>3548</v>
      </c>
      <c r="I125" s="370">
        <f t="shared" si="69"/>
        <v>3665</v>
      </c>
      <c r="J125" s="370">
        <f t="shared" si="69"/>
        <v>3839</v>
      </c>
      <c r="K125" s="554"/>
    </row>
    <row r="126" spans="1:17" ht="17.100000000000001" customHeight="1">
      <c r="A126" s="637"/>
      <c r="B126" s="637"/>
      <c r="C126" s="638" t="s">
        <v>78</v>
      </c>
      <c r="D126" s="638"/>
      <c r="E126" s="554" t="s">
        <v>1201</v>
      </c>
      <c r="F126" s="370">
        <f t="shared" ref="F126:J126" si="70">F132</f>
        <v>0</v>
      </c>
      <c r="G126" s="370">
        <f t="shared" si="70"/>
        <v>0</v>
      </c>
      <c r="H126" s="370">
        <f t="shared" si="70"/>
        <v>0</v>
      </c>
      <c r="I126" s="370">
        <f t="shared" si="70"/>
        <v>0</v>
      </c>
      <c r="J126" s="370">
        <f t="shared" si="70"/>
        <v>0</v>
      </c>
      <c r="K126" s="554"/>
    </row>
    <row r="127" spans="1:17" ht="17.100000000000001" customHeight="1">
      <c r="A127" s="637"/>
      <c r="B127" s="637"/>
      <c r="C127" s="638"/>
      <c r="D127" s="638"/>
      <c r="E127" s="554" t="s">
        <v>1202</v>
      </c>
      <c r="F127" s="370">
        <f t="shared" ref="F127:J127" si="71">F133</f>
        <v>0</v>
      </c>
      <c r="G127" s="370">
        <f t="shared" si="71"/>
        <v>0</v>
      </c>
      <c r="H127" s="370">
        <f t="shared" si="71"/>
        <v>0</v>
      </c>
      <c r="I127" s="370">
        <f t="shared" si="71"/>
        <v>0</v>
      </c>
      <c r="J127" s="370">
        <f t="shared" si="71"/>
        <v>0</v>
      </c>
      <c r="K127" s="554"/>
    </row>
    <row r="128" spans="1:17" ht="17.100000000000001" customHeight="1">
      <c r="A128" s="637"/>
      <c r="B128" s="637"/>
      <c r="C128" s="638" t="s">
        <v>80</v>
      </c>
      <c r="D128" s="638"/>
      <c r="E128" s="638"/>
      <c r="F128" s="370">
        <f t="shared" ref="F128:J128" si="72">F134</f>
        <v>0</v>
      </c>
      <c r="G128" s="370">
        <f t="shared" si="72"/>
        <v>0</v>
      </c>
      <c r="H128" s="370">
        <f t="shared" si="72"/>
        <v>0</v>
      </c>
      <c r="I128" s="370">
        <f t="shared" si="72"/>
        <v>0</v>
      </c>
      <c r="J128" s="370">
        <f t="shared" si="72"/>
        <v>0</v>
      </c>
      <c r="K128" s="554"/>
    </row>
    <row r="129" spans="1:17" ht="17.100000000000001" customHeight="1">
      <c r="A129" s="637"/>
      <c r="B129" s="637"/>
      <c r="C129" s="638" t="s">
        <v>81</v>
      </c>
      <c r="D129" s="638"/>
      <c r="E129" s="638"/>
      <c r="F129" s="370">
        <f t="shared" ref="F129:J129" si="73">F135</f>
        <v>0</v>
      </c>
      <c r="G129" s="370">
        <f t="shared" si="73"/>
        <v>0</v>
      </c>
      <c r="H129" s="370">
        <f t="shared" si="73"/>
        <v>0</v>
      </c>
      <c r="I129" s="370">
        <f t="shared" si="73"/>
        <v>0</v>
      </c>
      <c r="J129" s="370">
        <f t="shared" si="73"/>
        <v>0</v>
      </c>
      <c r="K129" s="554"/>
    </row>
    <row r="130" spans="1:17" s="403" customFormat="1" ht="17.100000000000001" customHeight="1">
      <c r="A130" s="551"/>
      <c r="B130" s="641" t="s">
        <v>1903</v>
      </c>
      <c r="C130" s="642" t="s">
        <v>15</v>
      </c>
      <c r="D130" s="642"/>
      <c r="E130" s="642"/>
      <c r="F130" s="352">
        <f>F131+F132+F133+F134+F135</f>
        <v>0</v>
      </c>
      <c r="G130" s="352">
        <f t="shared" ref="G130:J130" si="74">G131+G132+G133+G134+G135</f>
        <v>544</v>
      </c>
      <c r="H130" s="352">
        <f t="shared" si="74"/>
        <v>3548</v>
      </c>
      <c r="I130" s="352">
        <f t="shared" si="74"/>
        <v>3665</v>
      </c>
      <c r="J130" s="352">
        <f t="shared" si="74"/>
        <v>3839</v>
      </c>
      <c r="K130" s="553"/>
    </row>
    <row r="131" spans="1:17" s="403" customFormat="1" ht="17.100000000000001" customHeight="1">
      <c r="A131" s="555"/>
      <c r="B131" s="616"/>
      <c r="C131" s="616" t="s">
        <v>85</v>
      </c>
      <c r="D131" s="616"/>
      <c r="E131" s="616"/>
      <c r="F131" s="229">
        <f>'1.급수구역별 수요량'!F48</f>
        <v>0</v>
      </c>
      <c r="G131" s="229">
        <f>'1.급수구역별 수요량'!G48</f>
        <v>544</v>
      </c>
      <c r="H131" s="229">
        <f>'1.급수구역별 수요량'!H48</f>
        <v>3548</v>
      </c>
      <c r="I131" s="229">
        <f>'1.급수구역별 수요량'!I48</f>
        <v>3665</v>
      </c>
      <c r="J131" s="229">
        <f>'1.급수구역별 수요량'!J48</f>
        <v>3839</v>
      </c>
      <c r="K131" s="553"/>
    </row>
    <row r="132" spans="1:17" s="403" customFormat="1" ht="17.100000000000001" customHeight="1">
      <c r="A132" s="555"/>
      <c r="B132" s="616"/>
      <c r="C132" s="616" t="s">
        <v>78</v>
      </c>
      <c r="D132" s="616"/>
      <c r="E132" s="553" t="s">
        <v>1201</v>
      </c>
      <c r="F132" s="229">
        <f>'1.급수구역별 수요량'!F49</f>
        <v>0</v>
      </c>
      <c r="G132" s="229">
        <f>'1.급수구역별 수요량'!G49</f>
        <v>0</v>
      </c>
      <c r="H132" s="229">
        <f>'1.급수구역별 수요량'!H49</f>
        <v>0</v>
      </c>
      <c r="I132" s="229">
        <f>'1.급수구역별 수요량'!I49</f>
        <v>0</v>
      </c>
      <c r="J132" s="229">
        <f>'1.급수구역별 수요량'!J49</f>
        <v>0</v>
      </c>
      <c r="K132" s="553"/>
    </row>
    <row r="133" spans="1:17" s="403" customFormat="1" ht="17.100000000000001" customHeight="1">
      <c r="A133" s="555"/>
      <c r="B133" s="616"/>
      <c r="C133" s="616" t="s">
        <v>78</v>
      </c>
      <c r="D133" s="616"/>
      <c r="E133" s="553" t="s">
        <v>1202</v>
      </c>
      <c r="F133" s="229">
        <f>'1.급수구역별 수요량'!F50*$M$4</f>
        <v>0</v>
      </c>
      <c r="G133" s="229">
        <f>'1.급수구역별 수요량'!G50*$M$4</f>
        <v>0</v>
      </c>
      <c r="H133" s="229">
        <f>'1.급수구역별 수요량'!H50*$M$4</f>
        <v>0</v>
      </c>
      <c r="I133" s="229">
        <f>'1.급수구역별 수요량'!I50*$M$4</f>
        <v>0</v>
      </c>
      <c r="J133" s="229">
        <f>'1.급수구역별 수요량'!J50*$M$4</f>
        <v>0</v>
      </c>
      <c r="K133" s="553"/>
    </row>
    <row r="134" spans="1:17" s="403" customFormat="1" ht="17.100000000000001" customHeight="1">
      <c r="A134" s="555"/>
      <c r="B134" s="616"/>
      <c r="C134" s="616" t="s">
        <v>80</v>
      </c>
      <c r="D134" s="616"/>
      <c r="E134" s="616"/>
      <c r="F134" s="229">
        <f>'1.급수구역별 수요량'!F51</f>
        <v>0</v>
      </c>
      <c r="G134" s="229">
        <f>'1.급수구역별 수요량'!G51</f>
        <v>0</v>
      </c>
      <c r="H134" s="229">
        <f>'1.급수구역별 수요량'!H51</f>
        <v>0</v>
      </c>
      <c r="I134" s="229">
        <f>'1.급수구역별 수요량'!I51</f>
        <v>0</v>
      </c>
      <c r="J134" s="229">
        <f>'1.급수구역별 수요량'!J51</f>
        <v>0</v>
      </c>
      <c r="K134" s="553"/>
      <c r="M134" s="638" t="s">
        <v>1827</v>
      </c>
      <c r="N134" s="638"/>
      <c r="O134" s="638"/>
      <c r="P134" s="638"/>
      <c r="Q134" s="638"/>
    </row>
    <row r="135" spans="1:17" s="403" customFormat="1" ht="17.100000000000001" customHeight="1">
      <c r="A135" s="556"/>
      <c r="B135" s="616"/>
      <c r="C135" s="616" t="s">
        <v>81</v>
      </c>
      <c r="D135" s="616"/>
      <c r="E135" s="616"/>
      <c r="F135" s="229">
        <f>'1.급수구역별 수요량'!F52</f>
        <v>0</v>
      </c>
      <c r="G135" s="229">
        <f>'1.급수구역별 수요량'!G52</f>
        <v>0</v>
      </c>
      <c r="H135" s="229">
        <f>'1.급수구역별 수요량'!H52</f>
        <v>0</v>
      </c>
      <c r="I135" s="229">
        <f>'1.급수구역별 수요량'!I52</f>
        <v>0</v>
      </c>
      <c r="J135" s="229">
        <f>'1.급수구역별 수요량'!J52</f>
        <v>0</v>
      </c>
      <c r="K135" s="553"/>
      <c r="M135" s="402">
        <v>2013</v>
      </c>
      <c r="N135" s="402">
        <v>2015</v>
      </c>
      <c r="O135" s="402">
        <v>2020</v>
      </c>
      <c r="P135" s="402">
        <v>2025</v>
      </c>
      <c r="Q135" s="402">
        <v>2030</v>
      </c>
    </row>
    <row r="136" spans="1:17" s="358" customFormat="1" ht="17.100000000000001" customHeight="1">
      <c r="A136" s="637" t="s">
        <v>1821</v>
      </c>
      <c r="B136" s="637"/>
      <c r="C136" s="639" t="s">
        <v>1826</v>
      </c>
      <c r="D136" s="639"/>
      <c r="E136" s="639"/>
      <c r="F136" s="369">
        <v>3636</v>
      </c>
      <c r="G136" s="369">
        <v>3636</v>
      </c>
      <c r="H136" s="369">
        <v>3636</v>
      </c>
      <c r="I136" s="401">
        <v>6200</v>
      </c>
      <c r="J136" s="401">
        <v>6200</v>
      </c>
      <c r="K136" s="554"/>
      <c r="M136" s="375">
        <f>ROUND(F136/F137*24,1)</f>
        <v>10</v>
      </c>
      <c r="N136" s="375">
        <f t="shared" ref="N136" si="75">ROUND(G136/G137*24,1)</f>
        <v>7.2</v>
      </c>
      <c r="O136" s="375">
        <f t="shared" ref="O136" si="76">ROUND(H136/H137*24,1)</f>
        <v>6.3</v>
      </c>
      <c r="P136" s="375">
        <f t="shared" ref="P136" si="77">ROUND(I136/I137*24,1)</f>
        <v>12</v>
      </c>
      <c r="Q136" s="375">
        <f t="shared" ref="Q136" si="78">ROUND(J136/J137*24,1)</f>
        <v>12.7</v>
      </c>
    </row>
    <row r="137" spans="1:17" ht="17.100000000000001" customHeight="1">
      <c r="A137" s="637"/>
      <c r="B137" s="637"/>
      <c r="C137" s="639" t="s">
        <v>1240</v>
      </c>
      <c r="D137" s="639"/>
      <c r="E137" s="639"/>
      <c r="F137" s="369">
        <f>SUM(F138:F142)</f>
        <v>8759</v>
      </c>
      <c r="G137" s="369">
        <f t="shared" ref="G137" si="79">SUM(G138:G142)</f>
        <v>12174</v>
      </c>
      <c r="H137" s="369">
        <f t="shared" ref="H137" si="80">SUM(H138:H142)</f>
        <v>13853</v>
      </c>
      <c r="I137" s="369">
        <f t="shared" ref="I137" si="81">SUM(I138:I142)</f>
        <v>12423</v>
      </c>
      <c r="J137" s="369">
        <f t="shared" ref="J137" si="82">SUM(J138:J142)</f>
        <v>11690</v>
      </c>
      <c r="K137" s="554"/>
    </row>
    <row r="138" spans="1:17" ht="17.100000000000001" customHeight="1">
      <c r="A138" s="637"/>
      <c r="B138" s="637"/>
      <c r="C138" s="638" t="s">
        <v>85</v>
      </c>
      <c r="D138" s="638"/>
      <c r="E138" s="638"/>
      <c r="F138" s="370">
        <f>F144+F157</f>
        <v>3062</v>
      </c>
      <c r="G138" s="370">
        <f>G144+G157</f>
        <v>4202</v>
      </c>
      <c r="H138" s="370">
        <f>H144+H157</f>
        <v>4777</v>
      </c>
      <c r="I138" s="370">
        <f>I144+I157</f>
        <v>5125</v>
      </c>
      <c r="J138" s="370">
        <f>J144+J157</f>
        <v>5379</v>
      </c>
      <c r="K138" s="554"/>
    </row>
    <row r="139" spans="1:17" ht="17.100000000000001" customHeight="1">
      <c r="A139" s="637"/>
      <c r="B139" s="637"/>
      <c r="C139" s="638" t="s">
        <v>78</v>
      </c>
      <c r="D139" s="638"/>
      <c r="E139" s="554" t="s">
        <v>1201</v>
      </c>
      <c r="F139" s="370">
        <f>F145+F158</f>
        <v>462</v>
      </c>
      <c r="G139" s="370">
        <f t="shared" ref="G139:J139" si="83">G145+G158</f>
        <v>2265</v>
      </c>
      <c r="H139" s="370">
        <f t="shared" si="83"/>
        <v>3369</v>
      </c>
      <c r="I139" s="370">
        <f t="shared" si="83"/>
        <v>1591</v>
      </c>
      <c r="J139" s="370">
        <f t="shared" si="83"/>
        <v>604</v>
      </c>
      <c r="K139" s="554"/>
    </row>
    <row r="140" spans="1:17" ht="17.100000000000001" customHeight="1">
      <c r="A140" s="637"/>
      <c r="B140" s="637"/>
      <c r="C140" s="638"/>
      <c r="D140" s="638"/>
      <c r="E140" s="554" t="s">
        <v>1202</v>
      </c>
      <c r="F140" s="370">
        <f>F146+F159</f>
        <v>0</v>
      </c>
      <c r="G140" s="370">
        <f t="shared" ref="G140:J140" si="84">G146+G159</f>
        <v>0</v>
      </c>
      <c r="H140" s="370">
        <f t="shared" si="84"/>
        <v>0</v>
      </c>
      <c r="I140" s="370">
        <f t="shared" si="84"/>
        <v>0</v>
      </c>
      <c r="J140" s="370">
        <f t="shared" si="84"/>
        <v>0</v>
      </c>
      <c r="K140" s="554"/>
    </row>
    <row r="141" spans="1:17" ht="17.100000000000001" customHeight="1">
      <c r="A141" s="637"/>
      <c r="B141" s="637"/>
      <c r="C141" s="638" t="s">
        <v>80</v>
      </c>
      <c r="D141" s="638"/>
      <c r="E141" s="638"/>
      <c r="F141" s="370">
        <f>F147+F160</f>
        <v>0</v>
      </c>
      <c r="G141" s="370">
        <f t="shared" ref="G141:J141" si="85">G147+G160</f>
        <v>0</v>
      </c>
      <c r="H141" s="370">
        <f t="shared" si="85"/>
        <v>0</v>
      </c>
      <c r="I141" s="370">
        <f t="shared" si="85"/>
        <v>0</v>
      </c>
      <c r="J141" s="370">
        <f t="shared" si="85"/>
        <v>0</v>
      </c>
      <c r="K141" s="554"/>
    </row>
    <row r="142" spans="1:17" ht="17.100000000000001" customHeight="1">
      <c r="A142" s="637"/>
      <c r="B142" s="637"/>
      <c r="C142" s="638" t="s">
        <v>81</v>
      </c>
      <c r="D142" s="638"/>
      <c r="E142" s="638"/>
      <c r="F142" s="370">
        <f>F148+F161</f>
        <v>5235</v>
      </c>
      <c r="G142" s="370">
        <f t="shared" ref="G142:J142" si="86">G148+G161</f>
        <v>5707</v>
      </c>
      <c r="H142" s="370">
        <f t="shared" si="86"/>
        <v>5707</v>
      </c>
      <c r="I142" s="370">
        <f t="shared" si="86"/>
        <v>5707</v>
      </c>
      <c r="J142" s="370">
        <f t="shared" si="86"/>
        <v>5707</v>
      </c>
      <c r="K142" s="554"/>
    </row>
    <row r="143" spans="1:17" s="358" customFormat="1" ht="17.100000000000001" customHeight="1">
      <c r="A143" s="552"/>
      <c r="B143" s="641" t="s">
        <v>1794</v>
      </c>
      <c r="C143" s="642" t="s">
        <v>15</v>
      </c>
      <c r="D143" s="642"/>
      <c r="E143" s="642"/>
      <c r="F143" s="352">
        <f>F144+F145+F146+F147+F148</f>
        <v>8759</v>
      </c>
      <c r="G143" s="352">
        <f t="shared" ref="G143" si="87">G144+G145+G146+G147+G148</f>
        <v>12174</v>
      </c>
      <c r="H143" s="352">
        <f t="shared" ref="H143" si="88">H144+H145+H146+H147+H148</f>
        <v>13392</v>
      </c>
      <c r="I143" s="352">
        <f t="shared" ref="I143" si="89">I144+I145+I146+I147+I148</f>
        <v>11949</v>
      </c>
      <c r="J143" s="352">
        <f t="shared" ref="J143" si="90">J144+J145+J146+J147+J148</f>
        <v>11205</v>
      </c>
      <c r="K143" s="553"/>
    </row>
    <row r="144" spans="1:17" s="358" customFormat="1" ht="17.100000000000001" customHeight="1">
      <c r="A144" s="557"/>
      <c r="B144" s="616"/>
      <c r="C144" s="616" t="s">
        <v>85</v>
      </c>
      <c r="D144" s="616"/>
      <c r="E144" s="616"/>
      <c r="F144" s="229">
        <f>'1.급수구역별 수요량'!F70</f>
        <v>3062</v>
      </c>
      <c r="G144" s="229">
        <f>'1.급수구역별 수요량'!G70</f>
        <v>4202</v>
      </c>
      <c r="H144" s="229">
        <f>'1.급수구역별 수요량'!H70</f>
        <v>4316</v>
      </c>
      <c r="I144" s="229">
        <f>'1.급수구역별 수요량'!I70</f>
        <v>4651</v>
      </c>
      <c r="J144" s="229">
        <f>'1.급수구역별 수요량'!J70</f>
        <v>4894</v>
      </c>
      <c r="K144" s="553"/>
    </row>
    <row r="145" spans="1:17" s="358" customFormat="1" ht="17.100000000000001" customHeight="1">
      <c r="A145" s="557"/>
      <c r="B145" s="616"/>
      <c r="C145" s="616" t="s">
        <v>78</v>
      </c>
      <c r="D145" s="616"/>
      <c r="E145" s="553" t="s">
        <v>1201</v>
      </c>
      <c r="F145" s="229">
        <f>'1.급수구역별 수요량'!F71</f>
        <v>462</v>
      </c>
      <c r="G145" s="229">
        <f>'1.급수구역별 수요량'!G71</f>
        <v>2265</v>
      </c>
      <c r="H145" s="229">
        <f>'1.급수구역별 수요량'!H71</f>
        <v>3369</v>
      </c>
      <c r="I145" s="229">
        <f>'1.급수구역별 수요량'!I71</f>
        <v>1591</v>
      </c>
      <c r="J145" s="229">
        <f>'1.급수구역별 수요량'!J71</f>
        <v>604</v>
      </c>
      <c r="K145" s="553"/>
    </row>
    <row r="146" spans="1:17" s="358" customFormat="1" ht="17.100000000000001" customHeight="1">
      <c r="A146" s="557"/>
      <c r="B146" s="616"/>
      <c r="C146" s="616" t="s">
        <v>78</v>
      </c>
      <c r="D146" s="616"/>
      <c r="E146" s="553" t="s">
        <v>1202</v>
      </c>
      <c r="F146" s="229">
        <f>'1.급수구역별 수요량'!F80*$M$4</f>
        <v>0</v>
      </c>
      <c r="G146" s="229">
        <f>'1.급수구역별 수요량'!G80*$M$4</f>
        <v>0</v>
      </c>
      <c r="H146" s="229">
        <f>'1.급수구역별 수요량'!H80*$M$4</f>
        <v>0</v>
      </c>
      <c r="I146" s="229">
        <f>'1.급수구역별 수요량'!I80*$M$4</f>
        <v>0</v>
      </c>
      <c r="J146" s="229">
        <f>'1.급수구역별 수요량'!J80*$M$4</f>
        <v>0</v>
      </c>
      <c r="K146" s="553"/>
    </row>
    <row r="147" spans="1:17" s="358" customFormat="1" ht="17.100000000000001" customHeight="1">
      <c r="A147" s="557"/>
      <c r="B147" s="616"/>
      <c r="C147" s="616" t="s">
        <v>80</v>
      </c>
      <c r="D147" s="616"/>
      <c r="E147" s="616"/>
      <c r="F147" s="229">
        <f>'1.급수구역별 수요량'!F89</f>
        <v>0</v>
      </c>
      <c r="G147" s="229">
        <f>'1.급수구역별 수요량'!G89</f>
        <v>0</v>
      </c>
      <c r="H147" s="229">
        <f>'1.급수구역별 수요량'!H89</f>
        <v>0</v>
      </c>
      <c r="I147" s="229">
        <f>'1.급수구역별 수요량'!I89</f>
        <v>0</v>
      </c>
      <c r="J147" s="229">
        <f>'1.급수구역별 수요량'!J89</f>
        <v>0</v>
      </c>
      <c r="K147" s="553"/>
      <c r="M147" s="638" t="s">
        <v>1827</v>
      </c>
      <c r="N147" s="638"/>
      <c r="O147" s="638"/>
      <c r="P147" s="638"/>
      <c r="Q147" s="638"/>
    </row>
    <row r="148" spans="1:17" s="358" customFormat="1" ht="17.100000000000001" customHeight="1">
      <c r="A148" s="558"/>
      <c r="B148" s="616"/>
      <c r="C148" s="616" t="s">
        <v>81</v>
      </c>
      <c r="D148" s="616"/>
      <c r="E148" s="616"/>
      <c r="F148" s="229">
        <f>'1.급수구역별 수요량'!F90</f>
        <v>5235</v>
      </c>
      <c r="G148" s="229">
        <f>'1.급수구역별 수요량'!G90</f>
        <v>5707</v>
      </c>
      <c r="H148" s="229">
        <f>'1.급수구역별 수요량'!H90</f>
        <v>5707</v>
      </c>
      <c r="I148" s="229">
        <f>'1.급수구역별 수요량'!I90</f>
        <v>5707</v>
      </c>
      <c r="J148" s="229">
        <f>'1.급수구역별 수요량'!J90</f>
        <v>5707</v>
      </c>
      <c r="K148" s="553"/>
      <c r="M148" s="367">
        <v>2013</v>
      </c>
      <c r="N148" s="367">
        <v>2015</v>
      </c>
      <c r="O148" s="367">
        <v>2020</v>
      </c>
      <c r="P148" s="367">
        <v>2025</v>
      </c>
      <c r="Q148" s="367">
        <v>2030</v>
      </c>
    </row>
    <row r="149" spans="1:17" s="358" customFormat="1" ht="17.100000000000001" hidden="1" customHeight="1">
      <c r="A149" s="637" t="s">
        <v>1825</v>
      </c>
      <c r="B149" s="637"/>
      <c r="C149" s="639" t="s">
        <v>1826</v>
      </c>
      <c r="D149" s="639"/>
      <c r="E149" s="639"/>
      <c r="F149" s="369">
        <v>300</v>
      </c>
      <c r="G149" s="369">
        <v>300</v>
      </c>
      <c r="H149" s="369">
        <v>300</v>
      </c>
      <c r="I149" s="369">
        <v>300</v>
      </c>
      <c r="J149" s="369">
        <v>300</v>
      </c>
      <c r="K149" s="554"/>
      <c r="M149" s="375" t="e">
        <f>ROUND(F149/F150*24,1)</f>
        <v>#DIV/0!</v>
      </c>
      <c r="N149" s="375" t="e">
        <f t="shared" ref="N149" si="91">ROUND(G149/G150*24,1)</f>
        <v>#DIV/0!</v>
      </c>
      <c r="O149" s="375" t="e">
        <f t="shared" ref="O149" si="92">ROUND(H149/H150*24,1)</f>
        <v>#DIV/0!</v>
      </c>
      <c r="P149" s="375" t="e">
        <f t="shared" ref="P149" si="93">ROUND(I149/I150*24,1)</f>
        <v>#DIV/0!</v>
      </c>
      <c r="Q149" s="375" t="e">
        <f t="shared" ref="Q149" si="94">ROUND(J149/J150*24,1)</f>
        <v>#DIV/0!</v>
      </c>
    </row>
    <row r="150" spans="1:17" ht="17.100000000000001" hidden="1" customHeight="1">
      <c r="A150" s="637"/>
      <c r="B150" s="637"/>
      <c r="C150" s="639" t="s">
        <v>1240</v>
      </c>
      <c r="D150" s="639"/>
      <c r="E150" s="639"/>
      <c r="F150" s="369">
        <f>SUM(F151:F155)</f>
        <v>0</v>
      </c>
      <c r="G150" s="369">
        <f t="shared" ref="G150" si="95">SUM(G151:G155)</f>
        <v>0</v>
      </c>
      <c r="H150" s="369">
        <f t="shared" ref="H150" si="96">SUM(H151:H155)</f>
        <v>0</v>
      </c>
      <c r="I150" s="369">
        <f t="shared" ref="I150" si="97">SUM(I151:I155)</f>
        <v>0</v>
      </c>
      <c r="J150" s="369">
        <f t="shared" ref="J150" si="98">SUM(J151:J155)</f>
        <v>0</v>
      </c>
      <c r="K150" s="554"/>
    </row>
    <row r="151" spans="1:17" ht="17.100000000000001" hidden="1" customHeight="1">
      <c r="A151" s="637"/>
      <c r="B151" s="637"/>
      <c r="C151" s="638" t="s">
        <v>85</v>
      </c>
      <c r="D151" s="638"/>
      <c r="E151" s="638"/>
      <c r="F151" s="370"/>
      <c r="G151" s="370"/>
      <c r="H151" s="370"/>
      <c r="I151" s="370"/>
      <c r="J151" s="370"/>
      <c r="K151" s="554"/>
    </row>
    <row r="152" spans="1:17" ht="17.100000000000001" hidden="1" customHeight="1">
      <c r="A152" s="637"/>
      <c r="B152" s="637"/>
      <c r="C152" s="638" t="s">
        <v>78</v>
      </c>
      <c r="D152" s="638"/>
      <c r="E152" s="554" t="s">
        <v>1201</v>
      </c>
      <c r="F152" s="370"/>
      <c r="G152" s="370"/>
      <c r="H152" s="370"/>
      <c r="I152" s="370"/>
      <c r="J152" s="370"/>
      <c r="K152" s="554"/>
    </row>
    <row r="153" spans="1:17" ht="17.100000000000001" hidden="1" customHeight="1">
      <c r="A153" s="637"/>
      <c r="B153" s="637"/>
      <c r="C153" s="638"/>
      <c r="D153" s="638"/>
      <c r="E153" s="554" t="s">
        <v>1202</v>
      </c>
      <c r="F153" s="370"/>
      <c r="G153" s="370"/>
      <c r="H153" s="370"/>
      <c r="I153" s="370"/>
      <c r="J153" s="370"/>
      <c r="K153" s="554"/>
    </row>
    <row r="154" spans="1:17" ht="17.100000000000001" hidden="1" customHeight="1">
      <c r="A154" s="637"/>
      <c r="B154" s="637"/>
      <c r="C154" s="638" t="s">
        <v>80</v>
      </c>
      <c r="D154" s="638"/>
      <c r="E154" s="638"/>
      <c r="F154" s="370"/>
      <c r="G154" s="370"/>
      <c r="H154" s="370"/>
      <c r="I154" s="370"/>
      <c r="J154" s="370"/>
      <c r="K154" s="554"/>
    </row>
    <row r="155" spans="1:17" ht="17.100000000000001" hidden="1" customHeight="1">
      <c r="A155" s="637"/>
      <c r="B155" s="637"/>
      <c r="C155" s="638" t="s">
        <v>81</v>
      </c>
      <c r="D155" s="638"/>
      <c r="E155" s="638"/>
      <c r="F155" s="370"/>
      <c r="G155" s="370"/>
      <c r="H155" s="370"/>
      <c r="I155" s="370"/>
      <c r="J155" s="370"/>
      <c r="K155" s="554"/>
    </row>
    <row r="156" spans="1:17" s="358" customFormat="1" ht="17.100000000000001" customHeight="1">
      <c r="A156" s="552"/>
      <c r="B156" s="641" t="s">
        <v>1809</v>
      </c>
      <c r="C156" s="642" t="s">
        <v>15</v>
      </c>
      <c r="D156" s="642"/>
      <c r="E156" s="642"/>
      <c r="F156" s="352">
        <f>F157+F158+F159+F160+F161</f>
        <v>0</v>
      </c>
      <c r="G156" s="352">
        <f t="shared" ref="G156:J156" si="99">G157+G158+G159+G160+G161</f>
        <v>0</v>
      </c>
      <c r="H156" s="352">
        <f t="shared" si="99"/>
        <v>461</v>
      </c>
      <c r="I156" s="352">
        <f t="shared" si="99"/>
        <v>474</v>
      </c>
      <c r="J156" s="352">
        <f t="shared" si="99"/>
        <v>485</v>
      </c>
      <c r="K156" s="553"/>
    </row>
    <row r="157" spans="1:17" s="358" customFormat="1" ht="17.100000000000001" customHeight="1">
      <c r="A157" s="557"/>
      <c r="B157" s="616"/>
      <c r="C157" s="616" t="s">
        <v>85</v>
      </c>
      <c r="D157" s="616"/>
      <c r="E157" s="616"/>
      <c r="F157" s="229">
        <f>'1.급수구역별 수요량'!F92</f>
        <v>0</v>
      </c>
      <c r="G157" s="229">
        <f>'1.급수구역별 수요량'!G92</f>
        <v>0</v>
      </c>
      <c r="H157" s="229">
        <f>'1.급수구역별 수요량'!H92</f>
        <v>461</v>
      </c>
      <c r="I157" s="229">
        <f>'1.급수구역별 수요량'!I92</f>
        <v>474</v>
      </c>
      <c r="J157" s="229">
        <f>'1.급수구역별 수요량'!J92</f>
        <v>485</v>
      </c>
      <c r="K157" s="553"/>
    </row>
    <row r="158" spans="1:17" s="358" customFormat="1" ht="17.100000000000001" customHeight="1">
      <c r="A158" s="557"/>
      <c r="B158" s="616"/>
      <c r="C158" s="616" t="s">
        <v>78</v>
      </c>
      <c r="D158" s="616"/>
      <c r="E158" s="553" t="s">
        <v>1201</v>
      </c>
      <c r="F158" s="229">
        <f>'1.급수구역별 수요량'!F93</f>
        <v>0</v>
      </c>
      <c r="G158" s="229">
        <f>'1.급수구역별 수요량'!G93</f>
        <v>0</v>
      </c>
      <c r="H158" s="229">
        <f>'1.급수구역별 수요량'!H93</f>
        <v>0</v>
      </c>
      <c r="I158" s="229">
        <f>'1.급수구역별 수요량'!I93</f>
        <v>0</v>
      </c>
      <c r="J158" s="229">
        <f>'1.급수구역별 수요량'!J93</f>
        <v>0</v>
      </c>
      <c r="K158" s="553"/>
    </row>
    <row r="159" spans="1:17" s="358" customFormat="1" ht="17.100000000000001" customHeight="1">
      <c r="A159" s="557"/>
      <c r="B159" s="616"/>
      <c r="C159" s="616" t="s">
        <v>78</v>
      </c>
      <c r="D159" s="616"/>
      <c r="E159" s="553" t="s">
        <v>1202</v>
      </c>
      <c r="F159" s="229">
        <f>'1.급수구역별 수요량'!F94*$M$4</f>
        <v>0</v>
      </c>
      <c r="G159" s="229">
        <f>'1.급수구역별 수요량'!G94*$M$4</f>
        <v>0</v>
      </c>
      <c r="H159" s="229">
        <f>'1.급수구역별 수요량'!H94*$M$4</f>
        <v>0</v>
      </c>
      <c r="I159" s="229">
        <f>'1.급수구역별 수요량'!I94*$M$4</f>
        <v>0</v>
      </c>
      <c r="J159" s="229">
        <f>'1.급수구역별 수요량'!J94</f>
        <v>0</v>
      </c>
      <c r="K159" s="553"/>
    </row>
    <row r="160" spans="1:17" s="358" customFormat="1" ht="17.100000000000001" customHeight="1">
      <c r="A160" s="557"/>
      <c r="B160" s="616"/>
      <c r="C160" s="616" t="s">
        <v>80</v>
      </c>
      <c r="D160" s="616"/>
      <c r="E160" s="616"/>
      <c r="F160" s="229">
        <f>'1.급수구역별 수요량'!F95</f>
        <v>0</v>
      </c>
      <c r="G160" s="229">
        <f>'1.급수구역별 수요량'!G95</f>
        <v>0</v>
      </c>
      <c r="H160" s="229">
        <f>'1.급수구역별 수요량'!H95</f>
        <v>0</v>
      </c>
      <c r="I160" s="229">
        <f>'1.급수구역별 수요량'!I95</f>
        <v>0</v>
      </c>
      <c r="J160" s="229">
        <f>'1.급수구역별 수요량'!J95</f>
        <v>0</v>
      </c>
      <c r="K160" s="553"/>
      <c r="M160" s="638" t="s">
        <v>1827</v>
      </c>
      <c r="N160" s="638"/>
      <c r="O160" s="638"/>
      <c r="P160" s="638"/>
      <c r="Q160" s="638"/>
    </row>
    <row r="161" spans="1:17" s="358" customFormat="1" ht="17.100000000000001" customHeight="1">
      <c r="A161" s="558"/>
      <c r="B161" s="616"/>
      <c r="C161" s="616" t="s">
        <v>81</v>
      </c>
      <c r="D161" s="616"/>
      <c r="E161" s="616"/>
      <c r="F161" s="229">
        <f>'1.급수구역별 수요량'!F96</f>
        <v>0</v>
      </c>
      <c r="G161" s="229">
        <f>'1.급수구역별 수요량'!G96</f>
        <v>0</v>
      </c>
      <c r="H161" s="229">
        <f>'1.급수구역별 수요량'!H96</f>
        <v>0</v>
      </c>
      <c r="I161" s="229">
        <f>'1.급수구역별 수요량'!I96</f>
        <v>0</v>
      </c>
      <c r="J161" s="229">
        <f>'1.급수구역별 수요량'!J96</f>
        <v>0</v>
      </c>
      <c r="K161" s="553"/>
      <c r="M161" s="367">
        <v>2013</v>
      </c>
      <c r="N161" s="367">
        <v>2015</v>
      </c>
      <c r="O161" s="367">
        <v>2020</v>
      </c>
      <c r="P161" s="367">
        <v>2025</v>
      </c>
      <c r="Q161" s="367">
        <v>2030</v>
      </c>
    </row>
    <row r="162" spans="1:17" s="403" customFormat="1" ht="17.45" customHeight="1">
      <c r="A162" s="620" t="s">
        <v>1823</v>
      </c>
      <c r="B162" s="621"/>
      <c r="C162" s="639" t="s">
        <v>1826</v>
      </c>
      <c r="D162" s="639"/>
      <c r="E162" s="639"/>
      <c r="F162" s="369">
        <v>900</v>
      </c>
      <c r="G162" s="369">
        <v>900</v>
      </c>
      <c r="H162" s="401">
        <v>2500</v>
      </c>
      <c r="I162" s="401">
        <v>2500</v>
      </c>
      <c r="J162" s="401">
        <v>2500</v>
      </c>
      <c r="K162" s="554"/>
      <c r="M162" s="375">
        <f>ROUND(F162/F163*24,1)</f>
        <v>17.3</v>
      </c>
      <c r="N162" s="375">
        <f t="shared" ref="N162" si="100">ROUND(G162/G163*24,1)</f>
        <v>9.1</v>
      </c>
      <c r="O162" s="375">
        <f t="shared" ref="O162" si="101">ROUND(H162/H163*24,1)</f>
        <v>13.7</v>
      </c>
      <c r="P162" s="375">
        <f t="shared" ref="P162" si="102">ROUND(I162/I163*24,1)</f>
        <v>12.9</v>
      </c>
      <c r="Q162" s="375">
        <f t="shared" ref="Q162" si="103">ROUND(J162/J163*24,1)</f>
        <v>12.6</v>
      </c>
    </row>
    <row r="163" spans="1:17" ht="17.45" customHeight="1">
      <c r="A163" s="622"/>
      <c r="B163" s="623"/>
      <c r="C163" s="639" t="s">
        <v>15</v>
      </c>
      <c r="D163" s="639"/>
      <c r="E163" s="639"/>
      <c r="F163" s="369">
        <f>SUM(F164:F168)</f>
        <v>1252</v>
      </c>
      <c r="G163" s="369">
        <f t="shared" ref="G163:J163" si="104">SUM(G164:G168)</f>
        <v>2385</v>
      </c>
      <c r="H163" s="369">
        <f t="shared" si="104"/>
        <v>4375</v>
      </c>
      <c r="I163" s="369">
        <f t="shared" si="104"/>
        <v>4669</v>
      </c>
      <c r="J163" s="369">
        <f t="shared" si="104"/>
        <v>4747</v>
      </c>
      <c r="K163" s="554"/>
    </row>
    <row r="164" spans="1:17" ht="17.45" customHeight="1">
      <c r="A164" s="622"/>
      <c r="B164" s="623"/>
      <c r="C164" s="638" t="s">
        <v>85</v>
      </c>
      <c r="D164" s="638"/>
      <c r="E164" s="638"/>
      <c r="F164" s="370">
        <f t="shared" ref="F164:I168" si="105">F170+F182+F176</f>
        <v>1252</v>
      </c>
      <c r="G164" s="370">
        <f t="shared" si="105"/>
        <v>2385</v>
      </c>
      <c r="H164" s="370">
        <f t="shared" si="105"/>
        <v>4294</v>
      </c>
      <c r="I164" s="370">
        <f t="shared" si="105"/>
        <v>4588</v>
      </c>
      <c r="J164" s="370">
        <f>J170+J182+J176</f>
        <v>4666</v>
      </c>
      <c r="K164" s="554"/>
    </row>
    <row r="165" spans="1:17" ht="17.45" customHeight="1">
      <c r="A165" s="622"/>
      <c r="B165" s="623"/>
      <c r="C165" s="638" t="s">
        <v>78</v>
      </c>
      <c r="D165" s="638"/>
      <c r="E165" s="554" t="s">
        <v>1201</v>
      </c>
      <c r="F165" s="370">
        <f t="shared" si="105"/>
        <v>0</v>
      </c>
      <c r="G165" s="370">
        <f t="shared" si="105"/>
        <v>0</v>
      </c>
      <c r="H165" s="370">
        <f t="shared" si="105"/>
        <v>0</v>
      </c>
      <c r="I165" s="370">
        <f t="shared" si="105"/>
        <v>0</v>
      </c>
      <c r="J165" s="370">
        <f>J171+J183+J177</f>
        <v>0</v>
      </c>
      <c r="K165" s="554"/>
    </row>
    <row r="166" spans="1:17" ht="17.45" customHeight="1">
      <c r="A166" s="622"/>
      <c r="B166" s="623"/>
      <c r="C166" s="638"/>
      <c r="D166" s="638"/>
      <c r="E166" s="554" t="s">
        <v>1202</v>
      </c>
      <c r="F166" s="370">
        <f t="shared" si="105"/>
        <v>0</v>
      </c>
      <c r="G166" s="370">
        <f t="shared" si="105"/>
        <v>0</v>
      </c>
      <c r="H166" s="370">
        <f t="shared" si="105"/>
        <v>0</v>
      </c>
      <c r="I166" s="370">
        <f t="shared" si="105"/>
        <v>0</v>
      </c>
      <c r="J166" s="370">
        <f>J172+J184+J178</f>
        <v>0</v>
      </c>
      <c r="K166" s="554"/>
    </row>
    <row r="167" spans="1:17" ht="17.45" customHeight="1">
      <c r="A167" s="622"/>
      <c r="B167" s="623"/>
      <c r="C167" s="638" t="s">
        <v>80</v>
      </c>
      <c r="D167" s="638"/>
      <c r="E167" s="638"/>
      <c r="F167" s="370">
        <f t="shared" si="105"/>
        <v>0</v>
      </c>
      <c r="G167" s="370">
        <f t="shared" si="105"/>
        <v>0</v>
      </c>
      <c r="H167" s="370">
        <f t="shared" si="105"/>
        <v>0</v>
      </c>
      <c r="I167" s="370">
        <f t="shared" si="105"/>
        <v>0</v>
      </c>
      <c r="J167" s="370">
        <f>J173+J185+J179</f>
        <v>0</v>
      </c>
      <c r="K167" s="554"/>
    </row>
    <row r="168" spans="1:17" ht="17.45" customHeight="1">
      <c r="A168" s="624"/>
      <c r="B168" s="625"/>
      <c r="C168" s="638" t="s">
        <v>81</v>
      </c>
      <c r="D168" s="638"/>
      <c r="E168" s="638"/>
      <c r="F168" s="370">
        <f t="shared" si="105"/>
        <v>0</v>
      </c>
      <c r="G168" s="370">
        <f t="shared" si="105"/>
        <v>0</v>
      </c>
      <c r="H168" s="370">
        <f t="shared" si="105"/>
        <v>81</v>
      </c>
      <c r="I168" s="370">
        <f t="shared" si="105"/>
        <v>81</v>
      </c>
      <c r="J168" s="370">
        <f>J174+J186+J180</f>
        <v>81</v>
      </c>
      <c r="K168" s="554"/>
    </row>
    <row r="169" spans="1:17" s="403" customFormat="1" ht="17.45" customHeight="1">
      <c r="A169" s="552"/>
      <c r="B169" s="641" t="s">
        <v>1799</v>
      </c>
      <c r="C169" s="642" t="s">
        <v>15</v>
      </c>
      <c r="D169" s="642"/>
      <c r="E169" s="642"/>
      <c r="F169" s="352">
        <f>F170+F171+F172+F173+F174</f>
        <v>1158</v>
      </c>
      <c r="G169" s="352">
        <f t="shared" ref="G169:J169" si="106">G170+G171+G172+G173+G174</f>
        <v>1180</v>
      </c>
      <c r="H169" s="352">
        <f t="shared" si="106"/>
        <v>1831</v>
      </c>
      <c r="I169" s="352">
        <f t="shared" si="106"/>
        <v>1997</v>
      </c>
      <c r="J169" s="352">
        <f t="shared" si="106"/>
        <v>2036</v>
      </c>
      <c r="K169" s="553"/>
    </row>
    <row r="170" spans="1:17" s="403" customFormat="1" ht="17.45" customHeight="1">
      <c r="A170" s="557"/>
      <c r="B170" s="616"/>
      <c r="C170" s="616" t="s">
        <v>85</v>
      </c>
      <c r="D170" s="616"/>
      <c r="E170" s="616"/>
      <c r="F170" s="229">
        <f>'1.급수구역별 수요량'!F122</f>
        <v>1158</v>
      </c>
      <c r="G170" s="229">
        <f>'1.급수구역별 수요량'!G122</f>
        <v>1180</v>
      </c>
      <c r="H170" s="229">
        <f>'1.급수구역별 수요량'!H122</f>
        <v>1831</v>
      </c>
      <c r="I170" s="229">
        <f>'1.급수구역별 수요량'!I122</f>
        <v>1997</v>
      </c>
      <c r="J170" s="229">
        <f>'1.급수구역별 수요량'!J122</f>
        <v>2036</v>
      </c>
      <c r="K170" s="553"/>
    </row>
    <row r="171" spans="1:17" s="403" customFormat="1" ht="17.45" customHeight="1">
      <c r="A171" s="557"/>
      <c r="B171" s="616"/>
      <c r="C171" s="616" t="s">
        <v>78</v>
      </c>
      <c r="D171" s="616"/>
      <c r="E171" s="553" t="s">
        <v>1201</v>
      </c>
      <c r="F171" s="229">
        <f>'1.급수구역별 수요량'!F123</f>
        <v>0</v>
      </c>
      <c r="G171" s="229">
        <f>'1.급수구역별 수요량'!G123</f>
        <v>0</v>
      </c>
      <c r="H171" s="229">
        <f>'1.급수구역별 수요량'!H123</f>
        <v>0</v>
      </c>
      <c r="I171" s="229">
        <f>'1.급수구역별 수요량'!I123</f>
        <v>0</v>
      </c>
      <c r="J171" s="229">
        <f>'1.급수구역별 수요량'!J123</f>
        <v>0</v>
      </c>
      <c r="K171" s="553"/>
    </row>
    <row r="172" spans="1:17" s="403" customFormat="1" ht="17.45" customHeight="1">
      <c r="A172" s="557"/>
      <c r="B172" s="616"/>
      <c r="C172" s="616" t="s">
        <v>78</v>
      </c>
      <c r="D172" s="616"/>
      <c r="E172" s="553" t="s">
        <v>1202</v>
      </c>
      <c r="F172" s="229">
        <f>'1.급수구역별 수요량'!F124*$M$4</f>
        <v>0</v>
      </c>
      <c r="G172" s="229">
        <f>'1.급수구역별 수요량'!G124*$M$4</f>
        <v>0</v>
      </c>
      <c r="H172" s="229">
        <f>'1.급수구역별 수요량'!H124*$M$4</f>
        <v>0</v>
      </c>
      <c r="I172" s="229">
        <f>'1.급수구역별 수요량'!I124*$M$4</f>
        <v>0</v>
      </c>
      <c r="J172" s="229">
        <f>'1.급수구역별 수요량'!J124*$M$4</f>
        <v>0</v>
      </c>
      <c r="K172" s="553"/>
    </row>
    <row r="173" spans="1:17" s="403" customFormat="1" ht="17.45" customHeight="1">
      <c r="A173" s="557"/>
      <c r="B173" s="616"/>
      <c r="C173" s="616" t="s">
        <v>80</v>
      </c>
      <c r="D173" s="616"/>
      <c r="E173" s="616"/>
      <c r="F173" s="229">
        <f>'1.급수구역별 수요량'!F125</f>
        <v>0</v>
      </c>
      <c r="G173" s="229">
        <f>'1.급수구역별 수요량'!G125</f>
        <v>0</v>
      </c>
      <c r="H173" s="229">
        <f>'1.급수구역별 수요량'!H125</f>
        <v>0</v>
      </c>
      <c r="I173" s="229">
        <f>'1.급수구역별 수요량'!I125</f>
        <v>0</v>
      </c>
      <c r="J173" s="229">
        <f>'1.급수구역별 수요량'!J125</f>
        <v>0</v>
      </c>
      <c r="K173" s="553"/>
    </row>
    <row r="174" spans="1:17" s="403" customFormat="1" ht="17.45" customHeight="1">
      <c r="A174" s="557"/>
      <c r="B174" s="616"/>
      <c r="C174" s="616" t="s">
        <v>81</v>
      </c>
      <c r="D174" s="616"/>
      <c r="E174" s="616"/>
      <c r="F174" s="229">
        <f>'1.급수구역별 수요량'!F126</f>
        <v>0</v>
      </c>
      <c r="G174" s="229">
        <f>'1.급수구역별 수요량'!G126</f>
        <v>0</v>
      </c>
      <c r="H174" s="229">
        <f>'1.급수구역별 수요량'!H126</f>
        <v>0</v>
      </c>
      <c r="I174" s="229">
        <f>'1.급수구역별 수요량'!I126</f>
        <v>0</v>
      </c>
      <c r="J174" s="229">
        <f>'1.급수구역별 수요량'!J126</f>
        <v>0</v>
      </c>
      <c r="K174" s="553"/>
    </row>
    <row r="175" spans="1:17" ht="17.45" customHeight="1">
      <c r="A175" s="557"/>
      <c r="B175" s="641" t="s">
        <v>1806</v>
      </c>
      <c r="C175" s="642" t="s">
        <v>15</v>
      </c>
      <c r="D175" s="642"/>
      <c r="E175" s="642"/>
      <c r="F175" s="352">
        <f>F176+F177+F178+F179+F180</f>
        <v>0</v>
      </c>
      <c r="G175" s="352">
        <f t="shared" ref="G175:J175" si="107">G176+G177+G178+G179+G180</f>
        <v>0</v>
      </c>
      <c r="H175" s="352">
        <f t="shared" si="107"/>
        <v>824</v>
      </c>
      <c r="I175" s="352">
        <f t="shared" si="107"/>
        <v>894</v>
      </c>
      <c r="J175" s="352">
        <f t="shared" si="107"/>
        <v>905</v>
      </c>
      <c r="K175" s="553"/>
    </row>
    <row r="176" spans="1:17" ht="17.45" customHeight="1">
      <c r="A176" s="557"/>
      <c r="B176" s="616"/>
      <c r="C176" s="616" t="s">
        <v>85</v>
      </c>
      <c r="D176" s="616"/>
      <c r="E176" s="616"/>
      <c r="F176" s="229">
        <f>'1.급수구역별 수요량'!F128</f>
        <v>0</v>
      </c>
      <c r="G176" s="229">
        <f>'1.급수구역별 수요량'!G128</f>
        <v>0</v>
      </c>
      <c r="H176" s="229">
        <f>'1.급수구역별 수요량'!H128</f>
        <v>743</v>
      </c>
      <c r="I176" s="229">
        <f>'1.급수구역별 수요량'!I128</f>
        <v>813</v>
      </c>
      <c r="J176" s="229">
        <f>'1.급수구역별 수요량'!J128</f>
        <v>824</v>
      </c>
      <c r="K176" s="553"/>
    </row>
    <row r="177" spans="1:17" ht="17.45" customHeight="1">
      <c r="A177" s="557"/>
      <c r="B177" s="616"/>
      <c r="C177" s="616" t="s">
        <v>78</v>
      </c>
      <c r="D177" s="616"/>
      <c r="E177" s="553" t="s">
        <v>1201</v>
      </c>
      <c r="F177" s="229">
        <f>'1.급수구역별 수요량'!F129</f>
        <v>0</v>
      </c>
      <c r="G177" s="229">
        <f>'1.급수구역별 수요량'!G129</f>
        <v>0</v>
      </c>
      <c r="H177" s="229">
        <f>'1.급수구역별 수요량'!H129</f>
        <v>0</v>
      </c>
      <c r="I177" s="229">
        <f>'1.급수구역별 수요량'!I129</f>
        <v>0</v>
      </c>
      <c r="J177" s="229">
        <f>'1.급수구역별 수요량'!J129</f>
        <v>0</v>
      </c>
      <c r="K177" s="553"/>
    </row>
    <row r="178" spans="1:17" ht="17.45" customHeight="1">
      <c r="A178" s="557"/>
      <c r="B178" s="616"/>
      <c r="C178" s="616" t="s">
        <v>78</v>
      </c>
      <c r="D178" s="616"/>
      <c r="E178" s="553" t="s">
        <v>1202</v>
      </c>
      <c r="F178" s="229">
        <f>'1.급수구역별 수요량'!F130</f>
        <v>0</v>
      </c>
      <c r="G178" s="229">
        <f>'1.급수구역별 수요량'!G130</f>
        <v>0</v>
      </c>
      <c r="H178" s="229">
        <f>'1.급수구역별 수요량'!H130</f>
        <v>0</v>
      </c>
      <c r="I178" s="229">
        <f>'1.급수구역별 수요량'!I130</f>
        <v>0</v>
      </c>
      <c r="J178" s="229">
        <f>'1.급수구역별 수요량'!J130</f>
        <v>0</v>
      </c>
      <c r="K178" s="553"/>
    </row>
    <row r="179" spans="1:17" ht="17.45" customHeight="1">
      <c r="A179" s="557"/>
      <c r="B179" s="616"/>
      <c r="C179" s="616" t="s">
        <v>80</v>
      </c>
      <c r="D179" s="616"/>
      <c r="E179" s="616"/>
      <c r="F179" s="229">
        <f>'1.급수구역별 수요량'!F131</f>
        <v>0</v>
      </c>
      <c r="G179" s="229">
        <f>'1.급수구역별 수요량'!G131</f>
        <v>0</v>
      </c>
      <c r="H179" s="229">
        <f>'1.급수구역별 수요량'!H131</f>
        <v>0</v>
      </c>
      <c r="I179" s="229">
        <f>'1.급수구역별 수요량'!I131</f>
        <v>0</v>
      </c>
      <c r="J179" s="229">
        <f>'1.급수구역별 수요량'!J131</f>
        <v>0</v>
      </c>
      <c r="K179" s="553"/>
      <c r="M179" s="638" t="s">
        <v>1827</v>
      </c>
      <c r="N179" s="638"/>
      <c r="O179" s="638"/>
      <c r="P179" s="638"/>
      <c r="Q179" s="638"/>
    </row>
    <row r="180" spans="1:17" ht="17.45" customHeight="1">
      <c r="A180" s="557"/>
      <c r="B180" s="616"/>
      <c r="C180" s="616" t="s">
        <v>81</v>
      </c>
      <c r="D180" s="616"/>
      <c r="E180" s="616"/>
      <c r="F180" s="229">
        <f>'1.급수구역별 수요량'!F132</f>
        <v>0</v>
      </c>
      <c r="G180" s="229">
        <f>'1.급수구역별 수요량'!G132</f>
        <v>0</v>
      </c>
      <c r="H180" s="229">
        <f>'1.급수구역별 수요량'!H132</f>
        <v>81</v>
      </c>
      <c r="I180" s="229">
        <f>'1.급수구역별 수요량'!I132</f>
        <v>81</v>
      </c>
      <c r="J180" s="229">
        <f>'1.급수구역별 수요량'!J132</f>
        <v>81</v>
      </c>
      <c r="K180" s="553"/>
      <c r="M180" s="467">
        <v>2013</v>
      </c>
      <c r="N180" s="467">
        <v>2015</v>
      </c>
      <c r="O180" s="467">
        <v>2020</v>
      </c>
      <c r="P180" s="467">
        <v>2025</v>
      </c>
      <c r="Q180" s="467">
        <v>2030</v>
      </c>
    </row>
    <row r="181" spans="1:17" s="403" customFormat="1" ht="17.45" customHeight="1">
      <c r="A181" s="557"/>
      <c r="B181" s="641" t="s">
        <v>1800</v>
      </c>
      <c r="C181" s="642" t="s">
        <v>15</v>
      </c>
      <c r="D181" s="642"/>
      <c r="E181" s="642"/>
      <c r="F181" s="352">
        <f>F182+F183+F184+F185+F186</f>
        <v>94</v>
      </c>
      <c r="G181" s="352">
        <f t="shared" ref="G181:J181" si="108">G182+G183+G184+G185+G186</f>
        <v>1205</v>
      </c>
      <c r="H181" s="352">
        <f t="shared" si="108"/>
        <v>1720</v>
      </c>
      <c r="I181" s="352">
        <f t="shared" si="108"/>
        <v>1778</v>
      </c>
      <c r="J181" s="352">
        <f t="shared" si="108"/>
        <v>1806</v>
      </c>
      <c r="K181" s="553"/>
    </row>
    <row r="182" spans="1:17" s="403" customFormat="1" ht="17.45" customHeight="1">
      <c r="A182" s="557"/>
      <c r="B182" s="616"/>
      <c r="C182" s="616" t="s">
        <v>85</v>
      </c>
      <c r="D182" s="616"/>
      <c r="E182" s="616"/>
      <c r="F182" s="229">
        <f>'1.급수구역별 수요량'!F134</f>
        <v>94</v>
      </c>
      <c r="G182" s="229">
        <f>'1.급수구역별 수요량'!G134</f>
        <v>1205</v>
      </c>
      <c r="H182" s="229">
        <f>'1.급수구역별 수요량'!H134</f>
        <v>1720</v>
      </c>
      <c r="I182" s="229">
        <f>'1.급수구역별 수요량'!I134</f>
        <v>1778</v>
      </c>
      <c r="J182" s="229">
        <f>'1.급수구역별 수요량'!J134</f>
        <v>1806</v>
      </c>
      <c r="K182" s="553"/>
    </row>
    <row r="183" spans="1:17" s="403" customFormat="1" ht="17.45" customHeight="1">
      <c r="A183" s="557"/>
      <c r="B183" s="616"/>
      <c r="C183" s="616" t="s">
        <v>78</v>
      </c>
      <c r="D183" s="616"/>
      <c r="E183" s="553" t="s">
        <v>1201</v>
      </c>
      <c r="F183" s="229">
        <f>'1.급수구역별 수요량'!F135</f>
        <v>0</v>
      </c>
      <c r="G183" s="229">
        <f>'1.급수구역별 수요량'!G135</f>
        <v>0</v>
      </c>
      <c r="H183" s="229">
        <f>'1.급수구역별 수요량'!H135</f>
        <v>0</v>
      </c>
      <c r="I183" s="229">
        <f>'1.급수구역별 수요량'!I135</f>
        <v>0</v>
      </c>
      <c r="J183" s="229">
        <f>'1.급수구역별 수요량'!J135</f>
        <v>0</v>
      </c>
      <c r="K183" s="553"/>
    </row>
    <row r="184" spans="1:17" s="403" customFormat="1" ht="17.45" customHeight="1">
      <c r="A184" s="557"/>
      <c r="B184" s="616"/>
      <c r="C184" s="616" t="s">
        <v>78</v>
      </c>
      <c r="D184" s="616"/>
      <c r="E184" s="553" t="s">
        <v>1202</v>
      </c>
      <c r="F184" s="229">
        <f>'1.급수구역별 수요량'!F136*$M$4</f>
        <v>0</v>
      </c>
      <c r="G184" s="229">
        <f>'1.급수구역별 수요량'!G136*$M$4</f>
        <v>0</v>
      </c>
      <c r="H184" s="229">
        <f>'1.급수구역별 수요량'!H136*$M$4</f>
        <v>0</v>
      </c>
      <c r="I184" s="229">
        <f>'1.급수구역별 수요량'!I136*$M$4</f>
        <v>0</v>
      </c>
      <c r="J184" s="229">
        <f>'1.급수구역별 수요량'!J136*$M$4</f>
        <v>0</v>
      </c>
      <c r="K184" s="553"/>
    </row>
    <row r="185" spans="1:17" s="403" customFormat="1" ht="17.45" customHeight="1">
      <c r="A185" s="557"/>
      <c r="B185" s="616"/>
      <c r="C185" s="616" t="s">
        <v>80</v>
      </c>
      <c r="D185" s="616"/>
      <c r="E185" s="616"/>
      <c r="F185" s="229">
        <f>'1.급수구역별 수요량'!F137</f>
        <v>0</v>
      </c>
      <c r="G185" s="229">
        <f>'1.급수구역별 수요량'!G137</f>
        <v>0</v>
      </c>
      <c r="H185" s="229">
        <f>'1.급수구역별 수요량'!H137</f>
        <v>0</v>
      </c>
      <c r="I185" s="229">
        <f>'1.급수구역별 수요량'!I137</f>
        <v>0</v>
      </c>
      <c r="J185" s="229">
        <f>'1.급수구역별 수요량'!J137</f>
        <v>0</v>
      </c>
      <c r="K185" s="553"/>
      <c r="M185" s="638" t="s">
        <v>1827</v>
      </c>
      <c r="N185" s="638"/>
      <c r="O185" s="638"/>
      <c r="P185" s="638"/>
      <c r="Q185" s="638"/>
    </row>
    <row r="186" spans="1:17" s="403" customFormat="1" ht="17.45" customHeight="1">
      <c r="A186" s="557"/>
      <c r="B186" s="616"/>
      <c r="C186" s="616" t="s">
        <v>81</v>
      </c>
      <c r="D186" s="616"/>
      <c r="E186" s="616"/>
      <c r="F186" s="229">
        <f>'1.급수구역별 수요량'!F138</f>
        <v>0</v>
      </c>
      <c r="G186" s="229">
        <f>'1.급수구역별 수요량'!G138</f>
        <v>0</v>
      </c>
      <c r="H186" s="229">
        <f>'1.급수구역별 수요량'!H138</f>
        <v>0</v>
      </c>
      <c r="I186" s="229">
        <f>'1.급수구역별 수요량'!I138</f>
        <v>0</v>
      </c>
      <c r="J186" s="229">
        <f>'1.급수구역별 수요량'!J138</f>
        <v>0</v>
      </c>
      <c r="K186" s="553"/>
      <c r="M186" s="402">
        <v>2013</v>
      </c>
      <c r="N186" s="402">
        <v>2015</v>
      </c>
      <c r="O186" s="402">
        <v>2020</v>
      </c>
      <c r="P186" s="402">
        <v>2025</v>
      </c>
      <c r="Q186" s="402">
        <v>2030</v>
      </c>
    </row>
    <row r="187" spans="1:17" s="403" customFormat="1" ht="17.45" customHeight="1">
      <c r="A187" s="620" t="s">
        <v>1912</v>
      </c>
      <c r="B187" s="621"/>
      <c r="C187" s="639" t="s">
        <v>1826</v>
      </c>
      <c r="D187" s="639"/>
      <c r="E187" s="639"/>
      <c r="F187" s="369"/>
      <c r="G187" s="369"/>
      <c r="H187" s="401">
        <v>400</v>
      </c>
      <c r="I187" s="401">
        <v>400</v>
      </c>
      <c r="J187" s="401">
        <v>400</v>
      </c>
      <c r="K187" s="554"/>
      <c r="M187" s="375"/>
      <c r="N187" s="375"/>
      <c r="O187" s="375">
        <f t="shared" ref="O187" si="109">ROUND(H187/H188*24,1)</f>
        <v>12.9</v>
      </c>
      <c r="P187" s="375">
        <f t="shared" ref="P187" si="110">ROUND(I187/I188*24,1)</f>
        <v>12.5</v>
      </c>
      <c r="Q187" s="375">
        <f t="shared" ref="Q187" si="111">ROUND(J187/J188*24,1)</f>
        <v>12.3</v>
      </c>
    </row>
    <row r="188" spans="1:17" ht="17.45" customHeight="1">
      <c r="A188" s="622"/>
      <c r="B188" s="623"/>
      <c r="C188" s="639" t="s">
        <v>15</v>
      </c>
      <c r="D188" s="639"/>
      <c r="E188" s="639"/>
      <c r="F188" s="369">
        <f>SUM(F189:F193)</f>
        <v>0</v>
      </c>
      <c r="G188" s="369">
        <f t="shared" ref="G188:J188" si="112">SUM(G189:G193)</f>
        <v>0</v>
      </c>
      <c r="H188" s="369">
        <f t="shared" si="112"/>
        <v>742</v>
      </c>
      <c r="I188" s="369">
        <f t="shared" si="112"/>
        <v>765</v>
      </c>
      <c r="J188" s="369">
        <f t="shared" si="112"/>
        <v>781</v>
      </c>
      <c r="K188" s="554"/>
    </row>
    <row r="189" spans="1:17" ht="17.45" customHeight="1">
      <c r="A189" s="622"/>
      <c r="B189" s="623"/>
      <c r="C189" s="638" t="s">
        <v>85</v>
      </c>
      <c r="D189" s="638"/>
      <c r="E189" s="638"/>
      <c r="F189" s="370">
        <f>F195</f>
        <v>0</v>
      </c>
      <c r="G189" s="370">
        <f t="shared" ref="G189:J189" si="113">G195</f>
        <v>0</v>
      </c>
      <c r="H189" s="370">
        <f t="shared" si="113"/>
        <v>742</v>
      </c>
      <c r="I189" s="370">
        <f t="shared" si="113"/>
        <v>765</v>
      </c>
      <c r="J189" s="370">
        <f t="shared" si="113"/>
        <v>781</v>
      </c>
      <c r="K189" s="554"/>
    </row>
    <row r="190" spans="1:17" ht="17.45" customHeight="1">
      <c r="A190" s="622"/>
      <c r="B190" s="623"/>
      <c r="C190" s="638" t="s">
        <v>78</v>
      </c>
      <c r="D190" s="638"/>
      <c r="E190" s="554" t="s">
        <v>1201</v>
      </c>
      <c r="F190" s="370">
        <f t="shared" ref="F190:J193" si="114">F196</f>
        <v>0</v>
      </c>
      <c r="G190" s="370">
        <f t="shared" si="114"/>
        <v>0</v>
      </c>
      <c r="H190" s="370">
        <f t="shared" si="114"/>
        <v>0</v>
      </c>
      <c r="I190" s="370">
        <f t="shared" si="114"/>
        <v>0</v>
      </c>
      <c r="J190" s="370">
        <f t="shared" si="114"/>
        <v>0</v>
      </c>
      <c r="K190" s="554"/>
    </row>
    <row r="191" spans="1:17" ht="17.45" customHeight="1">
      <c r="A191" s="622"/>
      <c r="B191" s="623"/>
      <c r="C191" s="638"/>
      <c r="D191" s="638"/>
      <c r="E191" s="554" t="s">
        <v>1202</v>
      </c>
      <c r="F191" s="370">
        <f t="shared" si="114"/>
        <v>0</v>
      </c>
      <c r="G191" s="370">
        <f t="shared" si="114"/>
        <v>0</v>
      </c>
      <c r="H191" s="370">
        <f t="shared" si="114"/>
        <v>0</v>
      </c>
      <c r="I191" s="370">
        <f t="shared" si="114"/>
        <v>0</v>
      </c>
      <c r="J191" s="370">
        <f t="shared" si="114"/>
        <v>0</v>
      </c>
      <c r="K191" s="554"/>
    </row>
    <row r="192" spans="1:17" ht="17.45" customHeight="1">
      <c r="A192" s="622"/>
      <c r="B192" s="623"/>
      <c r="C192" s="638" t="s">
        <v>80</v>
      </c>
      <c r="D192" s="638"/>
      <c r="E192" s="638"/>
      <c r="F192" s="370">
        <f t="shared" si="114"/>
        <v>0</v>
      </c>
      <c r="G192" s="370">
        <f t="shared" si="114"/>
        <v>0</v>
      </c>
      <c r="H192" s="370">
        <f t="shared" si="114"/>
        <v>0</v>
      </c>
      <c r="I192" s="370">
        <f t="shared" si="114"/>
        <v>0</v>
      </c>
      <c r="J192" s="370">
        <f t="shared" si="114"/>
        <v>0</v>
      </c>
      <c r="K192" s="554"/>
    </row>
    <row r="193" spans="1:17" ht="17.45" customHeight="1">
      <c r="A193" s="624"/>
      <c r="B193" s="625"/>
      <c r="C193" s="638" t="s">
        <v>81</v>
      </c>
      <c r="D193" s="638"/>
      <c r="E193" s="638"/>
      <c r="F193" s="370">
        <f t="shared" si="114"/>
        <v>0</v>
      </c>
      <c r="G193" s="370">
        <f t="shared" si="114"/>
        <v>0</v>
      </c>
      <c r="H193" s="370">
        <f t="shared" si="114"/>
        <v>0</v>
      </c>
      <c r="I193" s="370">
        <f t="shared" si="114"/>
        <v>0</v>
      </c>
      <c r="J193" s="370">
        <f t="shared" si="114"/>
        <v>0</v>
      </c>
      <c r="K193" s="554"/>
    </row>
    <row r="194" spans="1:17" s="403" customFormat="1" ht="17.45" customHeight="1">
      <c r="A194" s="552"/>
      <c r="B194" s="641" t="s">
        <v>1801</v>
      </c>
      <c r="C194" s="642" t="s">
        <v>15</v>
      </c>
      <c r="D194" s="642"/>
      <c r="E194" s="642"/>
      <c r="F194" s="352">
        <f>F195+F196+F197+F198+F199</f>
        <v>0</v>
      </c>
      <c r="G194" s="352">
        <f t="shared" ref="G194:J194" si="115">G195+G196+G197+G198+G199</f>
        <v>0</v>
      </c>
      <c r="H194" s="352">
        <f t="shared" si="115"/>
        <v>742</v>
      </c>
      <c r="I194" s="352">
        <f t="shared" si="115"/>
        <v>765</v>
      </c>
      <c r="J194" s="352">
        <f t="shared" si="115"/>
        <v>781</v>
      </c>
      <c r="K194" s="553"/>
    </row>
    <row r="195" spans="1:17" s="403" customFormat="1" ht="17.45" customHeight="1">
      <c r="A195" s="557"/>
      <c r="B195" s="616"/>
      <c r="C195" s="616" t="s">
        <v>85</v>
      </c>
      <c r="D195" s="616"/>
      <c r="E195" s="616"/>
      <c r="F195" s="229">
        <f>'1.급수구역별 수요량'!F140</f>
        <v>0</v>
      </c>
      <c r="G195" s="229">
        <f>'1.급수구역별 수요량'!G140</f>
        <v>0</v>
      </c>
      <c r="H195" s="229">
        <f>'1.급수구역별 수요량'!H140</f>
        <v>742</v>
      </c>
      <c r="I195" s="229">
        <f>'1.급수구역별 수요량'!I140</f>
        <v>765</v>
      </c>
      <c r="J195" s="229">
        <f>'1.급수구역별 수요량'!J140</f>
        <v>781</v>
      </c>
      <c r="K195" s="553"/>
    </row>
    <row r="196" spans="1:17" s="403" customFormat="1" ht="17.45" customHeight="1">
      <c r="A196" s="557"/>
      <c r="B196" s="616"/>
      <c r="C196" s="616" t="s">
        <v>78</v>
      </c>
      <c r="D196" s="616"/>
      <c r="E196" s="553" t="s">
        <v>1201</v>
      </c>
      <c r="F196" s="229">
        <f>'1.급수구역별 수요량'!F141</f>
        <v>0</v>
      </c>
      <c r="G196" s="229">
        <f>'1.급수구역별 수요량'!G141</f>
        <v>0</v>
      </c>
      <c r="H196" s="229">
        <f>'1.급수구역별 수요량'!H141</f>
        <v>0</v>
      </c>
      <c r="I196" s="229">
        <f>'1.급수구역별 수요량'!I141</f>
        <v>0</v>
      </c>
      <c r="J196" s="229">
        <f>'1.급수구역별 수요량'!J141</f>
        <v>0</v>
      </c>
      <c r="K196" s="553"/>
    </row>
    <row r="197" spans="1:17" s="403" customFormat="1" ht="17.45" customHeight="1">
      <c r="A197" s="557"/>
      <c r="B197" s="616"/>
      <c r="C197" s="616" t="s">
        <v>78</v>
      </c>
      <c r="D197" s="616"/>
      <c r="E197" s="553" t="s">
        <v>1202</v>
      </c>
      <c r="F197" s="229">
        <f>'1.급수구역별 수요량'!F142*$M$4</f>
        <v>0</v>
      </c>
      <c r="G197" s="229">
        <f>'1.급수구역별 수요량'!G142*$M$4</f>
        <v>0</v>
      </c>
      <c r="H197" s="229">
        <f>'1.급수구역별 수요량'!H142*$M$4</f>
        <v>0</v>
      </c>
      <c r="I197" s="229">
        <f>'1.급수구역별 수요량'!I142*$M$4</f>
        <v>0</v>
      </c>
      <c r="J197" s="229">
        <f>'1.급수구역별 수요량'!J142*$M$4</f>
        <v>0</v>
      </c>
      <c r="K197" s="553"/>
    </row>
    <row r="198" spans="1:17" s="403" customFormat="1" ht="17.45" customHeight="1">
      <c r="A198" s="557"/>
      <c r="B198" s="616"/>
      <c r="C198" s="616" t="s">
        <v>80</v>
      </c>
      <c r="D198" s="616"/>
      <c r="E198" s="616"/>
      <c r="F198" s="229">
        <f>'1.급수구역별 수요량'!F143</f>
        <v>0</v>
      </c>
      <c r="G198" s="229">
        <f>'1.급수구역별 수요량'!G143</f>
        <v>0</v>
      </c>
      <c r="H198" s="229">
        <f>'1.급수구역별 수요량'!H143</f>
        <v>0</v>
      </c>
      <c r="I198" s="229">
        <f>'1.급수구역별 수요량'!I143</f>
        <v>0</v>
      </c>
      <c r="J198" s="229">
        <f>'1.급수구역별 수요량'!J143</f>
        <v>0</v>
      </c>
      <c r="K198" s="553"/>
      <c r="M198" s="638" t="s">
        <v>1827</v>
      </c>
      <c r="N198" s="638"/>
      <c r="O198" s="638"/>
      <c r="P198" s="638"/>
      <c r="Q198" s="638"/>
    </row>
    <row r="199" spans="1:17" s="403" customFormat="1" ht="17.45" customHeight="1">
      <c r="A199" s="558"/>
      <c r="B199" s="616"/>
      <c r="C199" s="616" t="s">
        <v>81</v>
      </c>
      <c r="D199" s="616"/>
      <c r="E199" s="616"/>
      <c r="F199" s="229">
        <f>'1.급수구역별 수요량'!F144</f>
        <v>0</v>
      </c>
      <c r="G199" s="229">
        <f>'1.급수구역별 수요량'!G144</f>
        <v>0</v>
      </c>
      <c r="H199" s="229">
        <f>'1.급수구역별 수요량'!H144</f>
        <v>0</v>
      </c>
      <c r="I199" s="229">
        <f>'1.급수구역별 수요량'!I144</f>
        <v>0</v>
      </c>
      <c r="J199" s="229">
        <f>'1.급수구역별 수요량'!J144</f>
        <v>0</v>
      </c>
      <c r="K199" s="553"/>
      <c r="M199" s="402">
        <v>2013</v>
      </c>
      <c r="N199" s="402">
        <v>2015</v>
      </c>
      <c r="O199" s="402">
        <v>2020</v>
      </c>
      <c r="P199" s="402">
        <v>2025</v>
      </c>
      <c r="Q199" s="402">
        <v>2030</v>
      </c>
    </row>
    <row r="200" spans="1:17" s="358" customFormat="1" ht="17.45" customHeight="1">
      <c r="A200" s="620" t="s">
        <v>1822</v>
      </c>
      <c r="B200" s="621"/>
      <c r="C200" s="639" t="s">
        <v>1826</v>
      </c>
      <c r="D200" s="639"/>
      <c r="E200" s="639"/>
      <c r="F200" s="369">
        <v>2404</v>
      </c>
      <c r="G200" s="369">
        <v>2404</v>
      </c>
      <c r="H200" s="369">
        <v>2404</v>
      </c>
      <c r="I200" s="401">
        <v>3100</v>
      </c>
      <c r="J200" s="401">
        <v>3100</v>
      </c>
      <c r="K200" s="554"/>
      <c r="M200" s="375">
        <f>ROUND(F200/F201*24,1)</f>
        <v>12.9</v>
      </c>
      <c r="N200" s="375">
        <f t="shared" ref="N200" si="116">ROUND(G200/G201*24,1)</f>
        <v>11.8</v>
      </c>
      <c r="O200" s="375">
        <f t="shared" ref="O200" si="117">ROUND(H200/H201*24,1)</f>
        <v>10.9</v>
      </c>
      <c r="P200" s="375">
        <f t="shared" ref="P200" si="118">ROUND(I200/I201*24,1)</f>
        <v>12.8</v>
      </c>
      <c r="Q200" s="375">
        <f t="shared" ref="Q200" si="119">ROUND(J200/J201*24,1)</f>
        <v>12.3</v>
      </c>
    </row>
    <row r="201" spans="1:17" ht="17.45" customHeight="1">
      <c r="A201" s="622"/>
      <c r="B201" s="623"/>
      <c r="C201" s="639" t="s">
        <v>15</v>
      </c>
      <c r="D201" s="639"/>
      <c r="E201" s="639"/>
      <c r="F201" s="369">
        <f>SUM(F202:F206)</f>
        <v>4473</v>
      </c>
      <c r="G201" s="369">
        <f t="shared" ref="G201" si="120">SUM(G202:G206)</f>
        <v>4886</v>
      </c>
      <c r="H201" s="369">
        <f t="shared" ref="H201" si="121">SUM(H202:H206)</f>
        <v>5270</v>
      </c>
      <c r="I201" s="369">
        <f t="shared" ref="I201" si="122">SUM(I202:I206)</f>
        <v>5821</v>
      </c>
      <c r="J201" s="369">
        <f t="shared" ref="J201" si="123">SUM(J202:J206)</f>
        <v>6063</v>
      </c>
      <c r="K201" s="554"/>
    </row>
    <row r="202" spans="1:17" ht="17.45" customHeight="1">
      <c r="A202" s="622"/>
      <c r="B202" s="623"/>
      <c r="C202" s="638" t="s">
        <v>85</v>
      </c>
      <c r="D202" s="638"/>
      <c r="E202" s="638"/>
      <c r="F202" s="370">
        <f>F208</f>
        <v>4473</v>
      </c>
      <c r="G202" s="370">
        <f t="shared" ref="G202:J202" si="124">G208</f>
        <v>4182</v>
      </c>
      <c r="H202" s="370">
        <f t="shared" si="124"/>
        <v>4429</v>
      </c>
      <c r="I202" s="370">
        <f t="shared" si="124"/>
        <v>4770</v>
      </c>
      <c r="J202" s="370">
        <f t="shared" si="124"/>
        <v>5012</v>
      </c>
      <c r="K202" s="554"/>
    </row>
    <row r="203" spans="1:17" ht="17.45" customHeight="1">
      <c r="A203" s="622"/>
      <c r="B203" s="623"/>
      <c r="C203" s="638" t="s">
        <v>78</v>
      </c>
      <c r="D203" s="638"/>
      <c r="E203" s="554" t="s">
        <v>1201</v>
      </c>
      <c r="F203" s="370">
        <f t="shared" ref="F203:J206" si="125">F209</f>
        <v>0</v>
      </c>
      <c r="G203" s="370">
        <f t="shared" si="125"/>
        <v>704</v>
      </c>
      <c r="H203" s="370">
        <f t="shared" si="125"/>
        <v>841</v>
      </c>
      <c r="I203" s="370">
        <f t="shared" si="125"/>
        <v>1051</v>
      </c>
      <c r="J203" s="370">
        <f t="shared" si="125"/>
        <v>1051</v>
      </c>
      <c r="K203" s="554"/>
    </row>
    <row r="204" spans="1:17" ht="17.45" customHeight="1">
      <c r="A204" s="622"/>
      <c r="B204" s="623"/>
      <c r="C204" s="638"/>
      <c r="D204" s="638"/>
      <c r="E204" s="554" t="s">
        <v>1202</v>
      </c>
      <c r="F204" s="370">
        <f t="shared" si="125"/>
        <v>0</v>
      </c>
      <c r="G204" s="370">
        <f t="shared" si="125"/>
        <v>0</v>
      </c>
      <c r="H204" s="370">
        <f t="shared" si="125"/>
        <v>0</v>
      </c>
      <c r="I204" s="370">
        <f t="shared" si="125"/>
        <v>0</v>
      </c>
      <c r="J204" s="370">
        <f t="shared" si="125"/>
        <v>0</v>
      </c>
      <c r="K204" s="554"/>
    </row>
    <row r="205" spans="1:17" ht="17.45" customHeight="1">
      <c r="A205" s="622"/>
      <c r="B205" s="623"/>
      <c r="C205" s="638" t="s">
        <v>80</v>
      </c>
      <c r="D205" s="638"/>
      <c r="E205" s="638"/>
      <c r="F205" s="370">
        <f t="shared" si="125"/>
        <v>0</v>
      </c>
      <c r="G205" s="370">
        <f t="shared" si="125"/>
        <v>0</v>
      </c>
      <c r="H205" s="370">
        <f t="shared" si="125"/>
        <v>0</v>
      </c>
      <c r="I205" s="370">
        <f t="shared" si="125"/>
        <v>0</v>
      </c>
      <c r="J205" s="370">
        <f t="shared" si="125"/>
        <v>0</v>
      </c>
      <c r="K205" s="554"/>
    </row>
    <row r="206" spans="1:17" ht="17.45" customHeight="1">
      <c r="A206" s="624"/>
      <c r="B206" s="625"/>
      <c r="C206" s="638" t="s">
        <v>81</v>
      </c>
      <c r="D206" s="638"/>
      <c r="E206" s="638"/>
      <c r="F206" s="370">
        <f t="shared" si="125"/>
        <v>0</v>
      </c>
      <c r="G206" s="370">
        <f t="shared" si="125"/>
        <v>0</v>
      </c>
      <c r="H206" s="370">
        <f t="shared" si="125"/>
        <v>0</v>
      </c>
      <c r="I206" s="370">
        <f t="shared" si="125"/>
        <v>0</v>
      </c>
      <c r="J206" s="370">
        <f t="shared" si="125"/>
        <v>0</v>
      </c>
      <c r="K206" s="554"/>
    </row>
    <row r="207" spans="1:17" s="358" customFormat="1" ht="17.45" customHeight="1">
      <c r="A207" s="552"/>
      <c r="B207" s="641" t="s">
        <v>1796</v>
      </c>
      <c r="C207" s="642" t="s">
        <v>15</v>
      </c>
      <c r="D207" s="642"/>
      <c r="E207" s="642"/>
      <c r="F207" s="352">
        <f>F208+F209+F210+F211+F212</f>
        <v>4473</v>
      </c>
      <c r="G207" s="352">
        <f t="shared" ref="G207" si="126">G208+G209+G210+G211+G212</f>
        <v>4886</v>
      </c>
      <c r="H207" s="352">
        <f t="shared" ref="H207" si="127">H208+H209+H210+H211+H212</f>
        <v>5270</v>
      </c>
      <c r="I207" s="352">
        <f t="shared" ref="I207" si="128">I208+I209+I210+I211+I212</f>
        <v>5821</v>
      </c>
      <c r="J207" s="352">
        <f t="shared" ref="J207" si="129">J208+J209+J210+J211+J212</f>
        <v>6063</v>
      </c>
      <c r="K207" s="553"/>
    </row>
    <row r="208" spans="1:17" s="358" customFormat="1" ht="17.45" customHeight="1">
      <c r="A208" s="557"/>
      <c r="B208" s="616"/>
      <c r="C208" s="616" t="s">
        <v>85</v>
      </c>
      <c r="D208" s="616"/>
      <c r="E208" s="616"/>
      <c r="F208" s="229">
        <f>'1.급수구역별 수요량'!F158</f>
        <v>4473</v>
      </c>
      <c r="G208" s="229">
        <f>'1.급수구역별 수요량'!G158</f>
        <v>4182</v>
      </c>
      <c r="H208" s="229">
        <f>'1.급수구역별 수요량'!H158</f>
        <v>4429</v>
      </c>
      <c r="I208" s="229">
        <f>'1.급수구역별 수요량'!I158</f>
        <v>4770</v>
      </c>
      <c r="J208" s="229">
        <f>'1.급수구역별 수요량'!J158</f>
        <v>5012</v>
      </c>
      <c r="K208" s="553"/>
    </row>
    <row r="209" spans="1:17" s="358" customFormat="1" ht="17.45" customHeight="1">
      <c r="A209" s="557"/>
      <c r="B209" s="616"/>
      <c r="C209" s="616" t="s">
        <v>78</v>
      </c>
      <c r="D209" s="616"/>
      <c r="E209" s="553" t="s">
        <v>1201</v>
      </c>
      <c r="F209" s="229">
        <f>'1.급수구역별 수요량'!F159</f>
        <v>0</v>
      </c>
      <c r="G209" s="229">
        <f>'1.급수구역별 수요량'!G159</f>
        <v>704</v>
      </c>
      <c r="H209" s="229">
        <f>'1.급수구역별 수요량'!H159</f>
        <v>841</v>
      </c>
      <c r="I209" s="229">
        <f>'1.급수구역별 수요량'!I159</f>
        <v>1051</v>
      </c>
      <c r="J209" s="229">
        <f>'1.급수구역별 수요량'!J159</f>
        <v>1051</v>
      </c>
      <c r="K209" s="553"/>
    </row>
    <row r="210" spans="1:17" s="358" customFormat="1" ht="17.45" customHeight="1">
      <c r="A210" s="557"/>
      <c r="B210" s="616"/>
      <c r="C210" s="616" t="s">
        <v>78</v>
      </c>
      <c r="D210" s="616"/>
      <c r="E210" s="553" t="s">
        <v>1202</v>
      </c>
      <c r="F210" s="229">
        <f>'1.급수구역별 수요량'!F161</f>
        <v>0</v>
      </c>
      <c r="G210" s="229">
        <f>'1.급수구역별 수요량'!G161</f>
        <v>0</v>
      </c>
      <c r="H210" s="229">
        <f>'1.급수구역별 수요량'!H161</f>
        <v>0</v>
      </c>
      <c r="I210" s="229">
        <f>'1.급수구역별 수요량'!I161</f>
        <v>0</v>
      </c>
      <c r="J210" s="229">
        <f>'1.급수구역별 수요량'!J161</f>
        <v>0</v>
      </c>
      <c r="K210" s="553"/>
    </row>
    <row r="211" spans="1:17" s="358" customFormat="1" ht="17.45" customHeight="1">
      <c r="A211" s="557"/>
      <c r="B211" s="616"/>
      <c r="C211" s="616" t="s">
        <v>80</v>
      </c>
      <c r="D211" s="616"/>
      <c r="E211" s="616"/>
      <c r="F211" s="229">
        <f>'1.급수구역별 수요량'!F163</f>
        <v>0</v>
      </c>
      <c r="G211" s="229">
        <f>'1.급수구역별 수요량'!G163</f>
        <v>0</v>
      </c>
      <c r="H211" s="229">
        <f>'1.급수구역별 수요량'!H163</f>
        <v>0</v>
      </c>
      <c r="I211" s="229">
        <f>'1.급수구역별 수요량'!I163</f>
        <v>0</v>
      </c>
      <c r="J211" s="229">
        <f>'1.급수구역별 수요량'!J163</f>
        <v>0</v>
      </c>
      <c r="K211" s="553"/>
      <c r="M211" s="638" t="s">
        <v>1827</v>
      </c>
      <c r="N211" s="638"/>
      <c r="O211" s="638"/>
      <c r="P211" s="638"/>
      <c r="Q211" s="638"/>
    </row>
    <row r="212" spans="1:17" s="358" customFormat="1" ht="17.45" customHeight="1">
      <c r="A212" s="558"/>
      <c r="B212" s="616"/>
      <c r="C212" s="616" t="s">
        <v>81</v>
      </c>
      <c r="D212" s="616"/>
      <c r="E212" s="616"/>
      <c r="F212" s="229">
        <f>'1.급수구역별 수요량'!F164</f>
        <v>0</v>
      </c>
      <c r="G212" s="229">
        <f>'1.급수구역별 수요량'!G164</f>
        <v>0</v>
      </c>
      <c r="H212" s="229">
        <f>'1.급수구역별 수요량'!H164</f>
        <v>0</v>
      </c>
      <c r="I212" s="229">
        <f>'1.급수구역별 수요량'!I164</f>
        <v>0</v>
      </c>
      <c r="J212" s="229">
        <f>'1.급수구역별 수요량'!J164</f>
        <v>0</v>
      </c>
      <c r="K212" s="553"/>
      <c r="M212" s="367">
        <v>2013</v>
      </c>
      <c r="N212" s="367">
        <v>2015</v>
      </c>
      <c r="O212" s="367">
        <v>2020</v>
      </c>
      <c r="P212" s="367">
        <v>2025</v>
      </c>
      <c r="Q212" s="367">
        <v>2030</v>
      </c>
    </row>
    <row r="213" spans="1:17" s="358" customFormat="1" ht="17.45" customHeight="1">
      <c r="A213" s="620" t="s">
        <v>1824</v>
      </c>
      <c r="B213" s="621"/>
      <c r="C213" s="639" t="s">
        <v>1826</v>
      </c>
      <c r="D213" s="639"/>
      <c r="E213" s="639"/>
      <c r="F213" s="369">
        <v>0</v>
      </c>
      <c r="G213" s="369">
        <v>900</v>
      </c>
      <c r="H213" s="369">
        <v>900</v>
      </c>
      <c r="I213" s="401">
        <v>1300</v>
      </c>
      <c r="J213" s="401">
        <v>1300</v>
      </c>
      <c r="K213" s="554"/>
      <c r="M213" s="375"/>
      <c r="N213" s="375">
        <f t="shared" ref="N213" si="130">ROUND(G213/G214*24,1)</f>
        <v>14.8</v>
      </c>
      <c r="O213" s="375">
        <f t="shared" ref="O213" si="131">ROUND(H213/H214*24,1)</f>
        <v>9.3000000000000007</v>
      </c>
      <c r="P213" s="375">
        <f t="shared" ref="P213" si="132">ROUND(I213/I214*24,1)</f>
        <v>12.7</v>
      </c>
      <c r="Q213" s="375">
        <f t="shared" ref="Q213" si="133">ROUND(J213/J214*24,1)</f>
        <v>12.5</v>
      </c>
    </row>
    <row r="214" spans="1:17" ht="17.45" customHeight="1">
      <c r="A214" s="622"/>
      <c r="B214" s="623"/>
      <c r="C214" s="639" t="s">
        <v>15</v>
      </c>
      <c r="D214" s="639"/>
      <c r="E214" s="639"/>
      <c r="F214" s="369">
        <f>SUM(F215:F219)</f>
        <v>0</v>
      </c>
      <c r="G214" s="369">
        <f t="shared" ref="G214" si="134">SUM(G215:G219)</f>
        <v>1458</v>
      </c>
      <c r="H214" s="369">
        <f t="shared" ref="H214" si="135">SUM(H215:H219)</f>
        <v>2315</v>
      </c>
      <c r="I214" s="369">
        <f t="shared" ref="I214" si="136">SUM(I215:I219)</f>
        <v>2461</v>
      </c>
      <c r="J214" s="369">
        <f t="shared" ref="J214" si="137">SUM(J215:J219)</f>
        <v>2495</v>
      </c>
      <c r="K214" s="554"/>
    </row>
    <row r="215" spans="1:17" ht="17.45" customHeight="1">
      <c r="A215" s="622"/>
      <c r="B215" s="623"/>
      <c r="C215" s="638" t="s">
        <v>85</v>
      </c>
      <c r="D215" s="638"/>
      <c r="E215" s="638"/>
      <c r="F215" s="370">
        <f t="shared" ref="F215:I219" si="138">F221+F227</f>
        <v>0</v>
      </c>
      <c r="G215" s="370">
        <f t="shared" si="138"/>
        <v>1458</v>
      </c>
      <c r="H215" s="370">
        <f t="shared" si="138"/>
        <v>1589</v>
      </c>
      <c r="I215" s="370">
        <f t="shared" si="138"/>
        <v>1735</v>
      </c>
      <c r="J215" s="370">
        <f>J221+J227</f>
        <v>1769</v>
      </c>
      <c r="K215" s="554"/>
    </row>
    <row r="216" spans="1:17" ht="17.45" customHeight="1">
      <c r="A216" s="622"/>
      <c r="B216" s="623"/>
      <c r="C216" s="638" t="s">
        <v>78</v>
      </c>
      <c r="D216" s="638"/>
      <c r="E216" s="554" t="s">
        <v>1201</v>
      </c>
      <c r="F216" s="370">
        <f t="shared" si="138"/>
        <v>0</v>
      </c>
      <c r="G216" s="370">
        <f t="shared" si="138"/>
        <v>0</v>
      </c>
      <c r="H216" s="370">
        <f t="shared" si="138"/>
        <v>0</v>
      </c>
      <c r="I216" s="370">
        <f t="shared" si="138"/>
        <v>0</v>
      </c>
      <c r="J216" s="370">
        <f t="shared" ref="J216:J219" si="139">J222+J228</f>
        <v>0</v>
      </c>
      <c r="K216" s="554"/>
    </row>
    <row r="217" spans="1:17" ht="17.45" customHeight="1">
      <c r="A217" s="622"/>
      <c r="B217" s="623"/>
      <c r="C217" s="638"/>
      <c r="D217" s="638"/>
      <c r="E217" s="554" t="s">
        <v>1202</v>
      </c>
      <c r="F217" s="370">
        <f t="shared" si="138"/>
        <v>0</v>
      </c>
      <c r="G217" s="370">
        <f t="shared" si="138"/>
        <v>0</v>
      </c>
      <c r="H217" s="370">
        <f t="shared" si="138"/>
        <v>0</v>
      </c>
      <c r="I217" s="370">
        <f t="shared" si="138"/>
        <v>0</v>
      </c>
      <c r="J217" s="370">
        <f t="shared" si="139"/>
        <v>0</v>
      </c>
      <c r="K217" s="554"/>
    </row>
    <row r="218" spans="1:17" ht="17.45" customHeight="1">
      <c r="A218" s="622"/>
      <c r="B218" s="623"/>
      <c r="C218" s="638" t="s">
        <v>80</v>
      </c>
      <c r="D218" s="638"/>
      <c r="E218" s="638"/>
      <c r="F218" s="370">
        <f t="shared" si="138"/>
        <v>0</v>
      </c>
      <c r="G218" s="370">
        <f t="shared" si="138"/>
        <v>0</v>
      </c>
      <c r="H218" s="370">
        <f t="shared" si="138"/>
        <v>0</v>
      </c>
      <c r="I218" s="370">
        <f t="shared" si="138"/>
        <v>0</v>
      </c>
      <c r="J218" s="370">
        <f t="shared" si="139"/>
        <v>0</v>
      </c>
      <c r="K218" s="554"/>
    </row>
    <row r="219" spans="1:17" ht="17.45" customHeight="1">
      <c r="A219" s="624"/>
      <c r="B219" s="625"/>
      <c r="C219" s="638" t="s">
        <v>81</v>
      </c>
      <c r="D219" s="638"/>
      <c r="E219" s="638"/>
      <c r="F219" s="370">
        <f t="shared" si="138"/>
        <v>0</v>
      </c>
      <c r="G219" s="370">
        <f t="shared" si="138"/>
        <v>0</v>
      </c>
      <c r="H219" s="370">
        <f t="shared" si="138"/>
        <v>726</v>
      </c>
      <c r="I219" s="370">
        <f t="shared" si="138"/>
        <v>726</v>
      </c>
      <c r="J219" s="370">
        <f t="shared" si="139"/>
        <v>726</v>
      </c>
      <c r="K219" s="554"/>
    </row>
    <row r="220" spans="1:17" s="358" customFormat="1" ht="17.45" customHeight="1">
      <c r="A220" s="552"/>
      <c r="B220" s="641" t="s">
        <v>1805</v>
      </c>
      <c r="C220" s="642" t="s">
        <v>15</v>
      </c>
      <c r="D220" s="642"/>
      <c r="E220" s="642"/>
      <c r="F220" s="352">
        <f>F221+F222+F223+F224+F225</f>
        <v>0</v>
      </c>
      <c r="G220" s="352">
        <f t="shared" ref="G220" si="140">G221+G222+G223+G224+G225</f>
        <v>871</v>
      </c>
      <c r="H220" s="352">
        <f t="shared" ref="H220" si="141">H221+H222+H223+H224+H225</f>
        <v>2315</v>
      </c>
      <c r="I220" s="352">
        <f t="shared" ref="I220" si="142">I221+I222+I223+I224+I225</f>
        <v>2461</v>
      </c>
      <c r="J220" s="352">
        <f t="shared" ref="J220" si="143">J221+J222+J223+J224+J225</f>
        <v>2495</v>
      </c>
      <c r="K220" s="553"/>
    </row>
    <row r="221" spans="1:17" s="358" customFormat="1" ht="17.45" customHeight="1">
      <c r="A221" s="557"/>
      <c r="B221" s="616"/>
      <c r="C221" s="616" t="s">
        <v>85</v>
      </c>
      <c r="D221" s="616"/>
      <c r="E221" s="616"/>
      <c r="F221" s="229">
        <f>'1.급수구역별 수요량'!F172</f>
        <v>0</v>
      </c>
      <c r="G221" s="229">
        <f>'1.급수구역별 수요량'!G172</f>
        <v>871</v>
      </c>
      <c r="H221" s="229">
        <f>'1.급수구역별 수요량'!H172</f>
        <v>1589</v>
      </c>
      <c r="I221" s="229">
        <f>'1.급수구역별 수요량'!I172</f>
        <v>1735</v>
      </c>
      <c r="J221" s="229">
        <f>'1.급수구역별 수요량'!J172</f>
        <v>1769</v>
      </c>
      <c r="K221" s="553"/>
    </row>
    <row r="222" spans="1:17" s="358" customFormat="1" ht="17.45" customHeight="1">
      <c r="A222" s="557"/>
      <c r="B222" s="616"/>
      <c r="C222" s="616" t="s">
        <v>78</v>
      </c>
      <c r="D222" s="616"/>
      <c r="E222" s="553" t="s">
        <v>1201</v>
      </c>
      <c r="F222" s="229">
        <f>'1.급수구역별 수요량'!F173</f>
        <v>0</v>
      </c>
      <c r="G222" s="229">
        <f>'1.급수구역별 수요량'!G173</f>
        <v>0</v>
      </c>
      <c r="H222" s="229">
        <f>'1.급수구역별 수요량'!H173</f>
        <v>0</v>
      </c>
      <c r="I222" s="229">
        <f>'1.급수구역별 수요량'!I173</f>
        <v>0</v>
      </c>
      <c r="J222" s="229">
        <f>'1.급수구역별 수요량'!J173</f>
        <v>0</v>
      </c>
      <c r="K222" s="553"/>
    </row>
    <row r="223" spans="1:17" s="358" customFormat="1" ht="17.45" customHeight="1">
      <c r="A223" s="557"/>
      <c r="B223" s="616"/>
      <c r="C223" s="616" t="s">
        <v>78</v>
      </c>
      <c r="D223" s="616"/>
      <c r="E223" s="553" t="s">
        <v>1202</v>
      </c>
      <c r="F223" s="229">
        <f>'1.급수구역별 수요량'!F174*$M$4</f>
        <v>0</v>
      </c>
      <c r="G223" s="229">
        <f>'1.급수구역별 수요량'!G174*$M$4</f>
        <v>0</v>
      </c>
      <c r="H223" s="229">
        <f>'1.급수구역별 수요량'!H174*$M$4</f>
        <v>0</v>
      </c>
      <c r="I223" s="229">
        <f>'1.급수구역별 수요량'!I174*$M$4</f>
        <v>0</v>
      </c>
      <c r="J223" s="229">
        <f>'1.급수구역별 수요량'!J174*$M$4</f>
        <v>0</v>
      </c>
      <c r="K223" s="553"/>
    </row>
    <row r="224" spans="1:17" s="358" customFormat="1" ht="17.45" customHeight="1">
      <c r="A224" s="557"/>
      <c r="B224" s="616"/>
      <c r="C224" s="616" t="s">
        <v>80</v>
      </c>
      <c r="D224" s="616"/>
      <c r="E224" s="616"/>
      <c r="F224" s="229">
        <f>'1.급수구역별 수요량'!F175</f>
        <v>0</v>
      </c>
      <c r="G224" s="229">
        <f>'1.급수구역별 수요량'!G175</f>
        <v>0</v>
      </c>
      <c r="H224" s="229">
        <f>'1.급수구역별 수요량'!H175</f>
        <v>0</v>
      </c>
      <c r="I224" s="229">
        <f>'1.급수구역별 수요량'!I175</f>
        <v>0</v>
      </c>
      <c r="J224" s="229">
        <f>'1.급수구역별 수요량'!J175</f>
        <v>0</v>
      </c>
      <c r="K224" s="553"/>
      <c r="M224" s="403"/>
      <c r="N224" s="403"/>
      <c r="O224" s="403"/>
      <c r="P224" s="403"/>
      <c r="Q224" s="403"/>
    </row>
    <row r="225" spans="1:17" s="358" customFormat="1" ht="17.45" customHeight="1">
      <c r="A225" s="557"/>
      <c r="B225" s="616"/>
      <c r="C225" s="616" t="s">
        <v>81</v>
      </c>
      <c r="D225" s="616"/>
      <c r="E225" s="616"/>
      <c r="F225" s="229">
        <f>'1.급수구역별 수요량'!F176</f>
        <v>0</v>
      </c>
      <c r="G225" s="229">
        <f>'1.급수구역별 수요량'!G176</f>
        <v>0</v>
      </c>
      <c r="H225" s="229">
        <f>'1.급수구역별 수요량'!H176</f>
        <v>726</v>
      </c>
      <c r="I225" s="229">
        <f>'1.급수구역별 수요량'!I176</f>
        <v>726</v>
      </c>
      <c r="J225" s="229">
        <f>'1.급수구역별 수요량'!J176</f>
        <v>726</v>
      </c>
      <c r="K225" s="553"/>
      <c r="M225" s="403"/>
      <c r="N225" s="403"/>
      <c r="O225" s="565"/>
      <c r="P225" s="403"/>
      <c r="Q225" s="403"/>
    </row>
    <row r="226" spans="1:17" ht="17.45" customHeight="1">
      <c r="A226" s="557"/>
      <c r="B226" s="641" t="s">
        <v>1806</v>
      </c>
      <c r="C226" s="642" t="s">
        <v>15</v>
      </c>
      <c r="D226" s="642"/>
      <c r="E226" s="642"/>
      <c r="F226" s="352">
        <f>F227+F228+F229+F230+F231</f>
        <v>0</v>
      </c>
      <c r="G226" s="352">
        <f t="shared" ref="G226:J226" si="144">G227+G228+G229+G230+G231</f>
        <v>587</v>
      </c>
      <c r="H226" s="352">
        <f t="shared" si="144"/>
        <v>0</v>
      </c>
      <c r="I226" s="352">
        <f t="shared" si="144"/>
        <v>0</v>
      </c>
      <c r="J226" s="352">
        <f t="shared" si="144"/>
        <v>0</v>
      </c>
      <c r="K226" s="553"/>
    </row>
    <row r="227" spans="1:17" ht="17.45" customHeight="1">
      <c r="A227" s="557"/>
      <c r="B227" s="616"/>
      <c r="C227" s="616" t="s">
        <v>85</v>
      </c>
      <c r="D227" s="616"/>
      <c r="E227" s="616"/>
      <c r="F227" s="229">
        <f>'1.급수구역별 수요량'!F178</f>
        <v>0</v>
      </c>
      <c r="G227" s="229">
        <f>'1.급수구역별 수요량'!G178</f>
        <v>587</v>
      </c>
      <c r="H227" s="229">
        <f>'1.급수구역별 수요량'!H178</f>
        <v>0</v>
      </c>
      <c r="I227" s="229">
        <f>'1.급수구역별 수요량'!I178</f>
        <v>0</v>
      </c>
      <c r="J227" s="229">
        <f>'1.급수구역별 수요량'!J178</f>
        <v>0</v>
      </c>
      <c r="K227" s="553"/>
    </row>
    <row r="228" spans="1:17" ht="17.45" customHeight="1">
      <c r="A228" s="557"/>
      <c r="B228" s="616"/>
      <c r="C228" s="616" t="s">
        <v>78</v>
      </c>
      <c r="D228" s="616"/>
      <c r="E228" s="553" t="s">
        <v>1201</v>
      </c>
      <c r="F228" s="229">
        <f>'1.급수구역별 수요량'!F179</f>
        <v>0</v>
      </c>
      <c r="G228" s="229">
        <f>'1.급수구역별 수요량'!G179</f>
        <v>0</v>
      </c>
      <c r="H228" s="229">
        <f>'1.급수구역별 수요량'!H179</f>
        <v>0</v>
      </c>
      <c r="I228" s="229">
        <f>'1.급수구역별 수요량'!I179</f>
        <v>0</v>
      </c>
      <c r="J228" s="229">
        <f>'1.급수구역별 수요량'!J179</f>
        <v>0</v>
      </c>
      <c r="K228" s="553"/>
    </row>
    <row r="229" spans="1:17" ht="17.45" customHeight="1">
      <c r="A229" s="557"/>
      <c r="B229" s="616"/>
      <c r="C229" s="616" t="s">
        <v>78</v>
      </c>
      <c r="D229" s="616"/>
      <c r="E229" s="553" t="s">
        <v>1202</v>
      </c>
      <c r="F229" s="229">
        <f>'1.급수구역별 수요량'!F180</f>
        <v>0</v>
      </c>
      <c r="G229" s="229">
        <f>'1.급수구역별 수요량'!G180</f>
        <v>0</v>
      </c>
      <c r="H229" s="229">
        <f>'1.급수구역별 수요량'!H180</f>
        <v>0</v>
      </c>
      <c r="I229" s="229">
        <f>'1.급수구역별 수요량'!I180</f>
        <v>0</v>
      </c>
      <c r="J229" s="229">
        <f>'1.급수구역별 수요량'!J180</f>
        <v>0</v>
      </c>
      <c r="K229" s="553"/>
    </row>
    <row r="230" spans="1:17" ht="17.45" customHeight="1">
      <c r="A230" s="557"/>
      <c r="B230" s="616"/>
      <c r="C230" s="616" t="s">
        <v>80</v>
      </c>
      <c r="D230" s="616"/>
      <c r="E230" s="616"/>
      <c r="F230" s="229">
        <f>'1.급수구역별 수요량'!F181</f>
        <v>0</v>
      </c>
      <c r="G230" s="229">
        <f>'1.급수구역별 수요량'!G181</f>
        <v>0</v>
      </c>
      <c r="H230" s="229">
        <f>'1.급수구역별 수요량'!H181</f>
        <v>0</v>
      </c>
      <c r="I230" s="229">
        <f>'1.급수구역별 수요량'!I181</f>
        <v>0</v>
      </c>
      <c r="J230" s="229">
        <f>'1.급수구역별 수요량'!J181</f>
        <v>0</v>
      </c>
      <c r="K230" s="553"/>
      <c r="M230" s="638" t="s">
        <v>1827</v>
      </c>
      <c r="N230" s="638"/>
      <c r="O230" s="638"/>
      <c r="P230" s="638"/>
      <c r="Q230" s="638"/>
    </row>
    <row r="231" spans="1:17" ht="17.45" customHeight="1">
      <c r="A231" s="558"/>
      <c r="B231" s="616"/>
      <c r="C231" s="616" t="s">
        <v>81</v>
      </c>
      <c r="D231" s="616"/>
      <c r="E231" s="616"/>
      <c r="F231" s="229">
        <f>'1.급수구역별 수요량'!F182</f>
        <v>0</v>
      </c>
      <c r="G231" s="229">
        <f>'1.급수구역별 수요량'!G182</f>
        <v>0</v>
      </c>
      <c r="H231" s="229">
        <f>'1.급수구역별 수요량'!H182</f>
        <v>0</v>
      </c>
      <c r="I231" s="229">
        <f>'1.급수구역별 수요량'!I182</f>
        <v>0</v>
      </c>
      <c r="J231" s="229">
        <f>'1.급수구역별 수요량'!J182</f>
        <v>0</v>
      </c>
      <c r="K231" s="553"/>
      <c r="M231" s="461">
        <v>2013</v>
      </c>
      <c r="N231" s="461">
        <v>2015</v>
      </c>
      <c r="O231" s="461">
        <v>2020</v>
      </c>
      <c r="P231" s="461">
        <v>2025</v>
      </c>
      <c r="Q231" s="461">
        <v>2030</v>
      </c>
    </row>
    <row r="232" spans="1:17" ht="17.100000000000001" customHeight="1">
      <c r="A232" s="620" t="s">
        <v>2435</v>
      </c>
      <c r="B232" s="621"/>
      <c r="C232" s="639" t="s">
        <v>1826</v>
      </c>
      <c r="D232" s="639"/>
      <c r="E232" s="639"/>
      <c r="F232" s="369">
        <v>0</v>
      </c>
      <c r="G232" s="369">
        <v>0</v>
      </c>
      <c r="H232" s="369">
        <v>0</v>
      </c>
      <c r="I232" s="401">
        <v>1900</v>
      </c>
      <c r="J232" s="401">
        <v>1900</v>
      </c>
      <c r="K232" s="554"/>
      <c r="M232" s="375"/>
      <c r="N232" s="375"/>
      <c r="O232" s="375" t="e">
        <f t="shared" ref="O232" si="145">ROUND(H232/H233*24,1)</f>
        <v>#DIV/0!</v>
      </c>
      <c r="P232" s="375">
        <f t="shared" ref="P232" si="146">ROUND(I232/I233*24,1)</f>
        <v>18.5</v>
      </c>
      <c r="Q232" s="375">
        <f t="shared" ref="Q232" si="147">ROUND(J232/J233*24,1)</f>
        <v>12.4</v>
      </c>
    </row>
    <row r="233" spans="1:17" ht="17.100000000000001" customHeight="1">
      <c r="A233" s="622"/>
      <c r="B233" s="623"/>
      <c r="C233" s="639" t="s">
        <v>15</v>
      </c>
      <c r="D233" s="639"/>
      <c r="E233" s="639"/>
      <c r="F233" s="369">
        <f>SUM(F234:F238)</f>
        <v>0</v>
      </c>
      <c r="G233" s="369">
        <f t="shared" ref="G233:J233" si="148">SUM(G234:G238)</f>
        <v>0</v>
      </c>
      <c r="H233" s="369">
        <f t="shared" si="148"/>
        <v>0</v>
      </c>
      <c r="I233" s="369">
        <f t="shared" si="148"/>
        <v>2463</v>
      </c>
      <c r="J233" s="369">
        <f t="shared" si="148"/>
        <v>3675</v>
      </c>
      <c r="K233" s="554"/>
    </row>
    <row r="234" spans="1:17" ht="17.100000000000001" customHeight="1">
      <c r="A234" s="622"/>
      <c r="B234" s="623"/>
      <c r="C234" s="638" t="s">
        <v>85</v>
      </c>
      <c r="D234" s="638"/>
      <c r="E234" s="638"/>
      <c r="F234" s="370"/>
      <c r="G234" s="370"/>
      <c r="H234" s="370"/>
      <c r="I234" s="370"/>
      <c r="J234" s="370"/>
      <c r="K234" s="554"/>
    </row>
    <row r="235" spans="1:17" ht="17.100000000000001" customHeight="1">
      <c r="A235" s="622"/>
      <c r="B235" s="623"/>
      <c r="C235" s="638" t="s">
        <v>78</v>
      </c>
      <c r="D235" s="638"/>
      <c r="E235" s="554" t="s">
        <v>1201</v>
      </c>
      <c r="F235" s="370"/>
      <c r="G235" s="370"/>
      <c r="H235" s="370"/>
      <c r="I235" s="370"/>
      <c r="J235" s="370"/>
      <c r="K235" s="554"/>
    </row>
    <row r="236" spans="1:17" ht="17.100000000000001" customHeight="1">
      <c r="A236" s="622"/>
      <c r="B236" s="623"/>
      <c r="C236" s="638"/>
      <c r="D236" s="638"/>
      <c r="E236" s="554" t="s">
        <v>1202</v>
      </c>
      <c r="F236" s="370">
        <f>'1.급수구역별 수요량'!F80</f>
        <v>0</v>
      </c>
      <c r="G236" s="370">
        <f>'1.급수구역별 수요량'!G80</f>
        <v>0</v>
      </c>
      <c r="H236" s="370">
        <f>'1.급수구역별 수요량'!H80</f>
        <v>0</v>
      </c>
      <c r="I236" s="370">
        <f>'1.급수구역별 수요량'!I80</f>
        <v>2463</v>
      </c>
      <c r="J236" s="370">
        <f>'1.급수구역별 수요량'!J80</f>
        <v>3675</v>
      </c>
      <c r="K236" s="554"/>
    </row>
    <row r="237" spans="1:17" ht="17.100000000000001" customHeight="1">
      <c r="A237" s="622"/>
      <c r="B237" s="623"/>
      <c r="C237" s="638" t="s">
        <v>80</v>
      </c>
      <c r="D237" s="638"/>
      <c r="E237" s="638"/>
      <c r="F237" s="370"/>
      <c r="G237" s="370"/>
      <c r="H237" s="370"/>
      <c r="I237" s="370"/>
      <c r="J237" s="370"/>
      <c r="K237" s="554"/>
    </row>
    <row r="238" spans="1:17" ht="17.100000000000001" customHeight="1">
      <c r="A238" s="624"/>
      <c r="B238" s="625"/>
      <c r="C238" s="638" t="s">
        <v>81</v>
      </c>
      <c r="D238" s="638"/>
      <c r="E238" s="638"/>
      <c r="F238" s="370"/>
      <c r="G238" s="370"/>
      <c r="H238" s="370"/>
      <c r="I238" s="370"/>
      <c r="J238" s="370"/>
      <c r="K238" s="554"/>
    </row>
  </sheetData>
  <mergeCells count="274">
    <mergeCell ref="A136:B142"/>
    <mergeCell ref="C136:E136"/>
    <mergeCell ref="C149:E149"/>
    <mergeCell ref="B130:B135"/>
    <mergeCell ref="C130:E130"/>
    <mergeCell ref="C131:E131"/>
    <mergeCell ref="C132:D132"/>
    <mergeCell ref="C133:D133"/>
    <mergeCell ref="C134:E134"/>
    <mergeCell ref="A162:B168"/>
    <mergeCell ref="C162:E162"/>
    <mergeCell ref="C163:E163"/>
    <mergeCell ref="C164:E164"/>
    <mergeCell ref="C165:D166"/>
    <mergeCell ref="C167:E167"/>
    <mergeCell ref="C168:E168"/>
    <mergeCell ref="B143:B148"/>
    <mergeCell ref="C144:E144"/>
    <mergeCell ref="C145:D145"/>
    <mergeCell ref="C146:D146"/>
    <mergeCell ref="C147:E147"/>
    <mergeCell ref="C148:E148"/>
    <mergeCell ref="A123:B129"/>
    <mergeCell ref="C123:E123"/>
    <mergeCell ref="C124:E124"/>
    <mergeCell ref="C125:E125"/>
    <mergeCell ref="C126:D127"/>
    <mergeCell ref="C128:E128"/>
    <mergeCell ref="C129:E129"/>
    <mergeCell ref="M108:Q108"/>
    <mergeCell ref="C109:E109"/>
    <mergeCell ref="B117:B122"/>
    <mergeCell ref="C117:E117"/>
    <mergeCell ref="C118:E118"/>
    <mergeCell ref="C119:D119"/>
    <mergeCell ref="C120:D120"/>
    <mergeCell ref="C121:E121"/>
    <mergeCell ref="C122:E122"/>
    <mergeCell ref="M121:Q121"/>
    <mergeCell ref="B59:B64"/>
    <mergeCell ref="C59:E59"/>
    <mergeCell ref="C60:E60"/>
    <mergeCell ref="C61:D61"/>
    <mergeCell ref="C62:D62"/>
    <mergeCell ref="C63:E63"/>
    <mergeCell ref="M76:Q76"/>
    <mergeCell ref="C77:E77"/>
    <mergeCell ref="A78:B84"/>
    <mergeCell ref="C78:E78"/>
    <mergeCell ref="C79:E79"/>
    <mergeCell ref="C80:E80"/>
    <mergeCell ref="C81:D82"/>
    <mergeCell ref="C83:E83"/>
    <mergeCell ref="C84:E84"/>
    <mergeCell ref="A65:B71"/>
    <mergeCell ref="C65:E65"/>
    <mergeCell ref="C66:E66"/>
    <mergeCell ref="M63:Q63"/>
    <mergeCell ref="C64:E64"/>
    <mergeCell ref="B72:B77"/>
    <mergeCell ref="C72:E72"/>
    <mergeCell ref="C73:E73"/>
    <mergeCell ref="C74:D74"/>
    <mergeCell ref="C27:E27"/>
    <mergeCell ref="C46:E46"/>
    <mergeCell ref="C34:E34"/>
    <mergeCell ref="M147:Q147"/>
    <mergeCell ref="M160:Q160"/>
    <mergeCell ref="C157:E157"/>
    <mergeCell ref="C158:D158"/>
    <mergeCell ref="C159:D159"/>
    <mergeCell ref="C155:E155"/>
    <mergeCell ref="C160:E160"/>
    <mergeCell ref="C154:E154"/>
    <mergeCell ref="C137:E137"/>
    <mergeCell ref="C138:E138"/>
    <mergeCell ref="C139:D140"/>
    <mergeCell ref="C141:E141"/>
    <mergeCell ref="C142:E142"/>
    <mergeCell ref="C150:E150"/>
    <mergeCell ref="C151:E151"/>
    <mergeCell ref="C152:D153"/>
    <mergeCell ref="C143:E143"/>
    <mergeCell ref="C135:E135"/>
    <mergeCell ref="B85:B90"/>
    <mergeCell ref="C85:E85"/>
    <mergeCell ref="C86:E86"/>
    <mergeCell ref="C87:D87"/>
    <mergeCell ref="K3:K4"/>
    <mergeCell ref="A5:B10"/>
    <mergeCell ref="C5:E5"/>
    <mergeCell ref="C6:E6"/>
    <mergeCell ref="C7:D8"/>
    <mergeCell ref="C9:E9"/>
    <mergeCell ref="C10:E10"/>
    <mergeCell ref="A11:B16"/>
    <mergeCell ref="C11:E11"/>
    <mergeCell ref="C12:E12"/>
    <mergeCell ref="C13:D14"/>
    <mergeCell ref="C15:E15"/>
    <mergeCell ref="C16:E16"/>
    <mergeCell ref="A3:E4"/>
    <mergeCell ref="F3:J3"/>
    <mergeCell ref="B23:B28"/>
    <mergeCell ref="C23:E23"/>
    <mergeCell ref="C24:E24"/>
    <mergeCell ref="C25:D25"/>
    <mergeCell ref="C26:D26"/>
    <mergeCell ref="C17:E17"/>
    <mergeCell ref="C18:E18"/>
    <mergeCell ref="C19:D19"/>
    <mergeCell ref="M134:Q134"/>
    <mergeCell ref="C67:E67"/>
    <mergeCell ref="C68:D69"/>
    <mergeCell ref="C70:E70"/>
    <mergeCell ref="C71:E71"/>
    <mergeCell ref="C115:E115"/>
    <mergeCell ref="C116:E116"/>
    <mergeCell ref="C20:D20"/>
    <mergeCell ref="M89:Q89"/>
    <mergeCell ref="C21:E21"/>
    <mergeCell ref="C22:E22"/>
    <mergeCell ref="C28:E28"/>
    <mergeCell ref="C75:D75"/>
    <mergeCell ref="C76:E76"/>
    <mergeCell ref="C111:E111"/>
    <mergeCell ref="C112:E112"/>
    <mergeCell ref="C113:D114"/>
    <mergeCell ref="C88:D88"/>
    <mergeCell ref="C89:E89"/>
    <mergeCell ref="C90:E90"/>
    <mergeCell ref="M57:Q57"/>
    <mergeCell ref="C175:E175"/>
    <mergeCell ref="C187:E187"/>
    <mergeCell ref="C188:E188"/>
    <mergeCell ref="C189:E189"/>
    <mergeCell ref="C176:E176"/>
    <mergeCell ref="C177:D177"/>
    <mergeCell ref="C178:D178"/>
    <mergeCell ref="C179:E179"/>
    <mergeCell ref="B17:B22"/>
    <mergeCell ref="C102:E102"/>
    <mergeCell ref="C103:E103"/>
    <mergeCell ref="C108:E108"/>
    <mergeCell ref="B98:B103"/>
    <mergeCell ref="C98:E98"/>
    <mergeCell ref="C99:E99"/>
    <mergeCell ref="C100:D100"/>
    <mergeCell ref="C101:D101"/>
    <mergeCell ref="B104:B109"/>
    <mergeCell ref="C104:E104"/>
    <mergeCell ref="C105:E105"/>
    <mergeCell ref="C106:D106"/>
    <mergeCell ref="C107:D107"/>
    <mergeCell ref="C32:D32"/>
    <mergeCell ref="C33:E33"/>
    <mergeCell ref="C170:E170"/>
    <mergeCell ref="C171:D171"/>
    <mergeCell ref="C172:D172"/>
    <mergeCell ref="C173:E173"/>
    <mergeCell ref="C174:E174"/>
    <mergeCell ref="B194:B199"/>
    <mergeCell ref="C194:E194"/>
    <mergeCell ref="C195:E195"/>
    <mergeCell ref="C196:D196"/>
    <mergeCell ref="C197:D197"/>
    <mergeCell ref="C198:E198"/>
    <mergeCell ref="C199:E199"/>
    <mergeCell ref="B181:B186"/>
    <mergeCell ref="C181:E181"/>
    <mergeCell ref="B169:B174"/>
    <mergeCell ref="C169:E169"/>
    <mergeCell ref="C192:E192"/>
    <mergeCell ref="C193:E193"/>
    <mergeCell ref="C182:E182"/>
    <mergeCell ref="C183:D183"/>
    <mergeCell ref="C184:D184"/>
    <mergeCell ref="C185:E185"/>
    <mergeCell ref="C186:E186"/>
    <mergeCell ref="B175:B180"/>
    <mergeCell ref="B47:B52"/>
    <mergeCell ref="C47:E47"/>
    <mergeCell ref="C48:E48"/>
    <mergeCell ref="C49:D49"/>
    <mergeCell ref="C50:D50"/>
    <mergeCell ref="C51:E51"/>
    <mergeCell ref="C52:E52"/>
    <mergeCell ref="B29:B34"/>
    <mergeCell ref="C29:E29"/>
    <mergeCell ref="C30:E30"/>
    <mergeCell ref="C31:D31"/>
    <mergeCell ref="C38:D38"/>
    <mergeCell ref="C39:E39"/>
    <mergeCell ref="C40:E40"/>
    <mergeCell ref="B41:B46"/>
    <mergeCell ref="C41:E41"/>
    <mergeCell ref="C42:E42"/>
    <mergeCell ref="C43:D43"/>
    <mergeCell ref="C44:D44"/>
    <mergeCell ref="C45:E45"/>
    <mergeCell ref="B35:B40"/>
    <mergeCell ref="C35:E35"/>
    <mergeCell ref="C36:E36"/>
    <mergeCell ref="C37:D37"/>
    <mergeCell ref="B53:B58"/>
    <mergeCell ref="C53:E53"/>
    <mergeCell ref="C54:E54"/>
    <mergeCell ref="C55:D55"/>
    <mergeCell ref="C56:D56"/>
    <mergeCell ref="C57:E57"/>
    <mergeCell ref="C58:E58"/>
    <mergeCell ref="C201:E201"/>
    <mergeCell ref="C202:E202"/>
    <mergeCell ref="A200:B206"/>
    <mergeCell ref="C200:E200"/>
    <mergeCell ref="B156:B161"/>
    <mergeCell ref="C156:E156"/>
    <mergeCell ref="C161:E161"/>
    <mergeCell ref="A149:B155"/>
    <mergeCell ref="C92:E92"/>
    <mergeCell ref="C93:E93"/>
    <mergeCell ref="C94:D95"/>
    <mergeCell ref="C96:E96"/>
    <mergeCell ref="C97:E97"/>
    <mergeCell ref="A91:B97"/>
    <mergeCell ref="C91:E91"/>
    <mergeCell ref="A110:B116"/>
    <mergeCell ref="C110:E110"/>
    <mergeCell ref="A232:B238"/>
    <mergeCell ref="C232:E232"/>
    <mergeCell ref="C233:E233"/>
    <mergeCell ref="C234:E234"/>
    <mergeCell ref="C235:D236"/>
    <mergeCell ref="C237:E237"/>
    <mergeCell ref="C238:E238"/>
    <mergeCell ref="B207:B212"/>
    <mergeCell ref="C207:E207"/>
    <mergeCell ref="C208:E208"/>
    <mergeCell ref="B220:B225"/>
    <mergeCell ref="C220:E220"/>
    <mergeCell ref="C221:E221"/>
    <mergeCell ref="C222:D222"/>
    <mergeCell ref="C223:D223"/>
    <mergeCell ref="C224:E224"/>
    <mergeCell ref="C225:E225"/>
    <mergeCell ref="C214:E214"/>
    <mergeCell ref="C215:E215"/>
    <mergeCell ref="C216:D217"/>
    <mergeCell ref="C218:E218"/>
    <mergeCell ref="C219:E219"/>
    <mergeCell ref="A213:B219"/>
    <mergeCell ref="C213:E213"/>
    <mergeCell ref="M179:Q179"/>
    <mergeCell ref="C180:E180"/>
    <mergeCell ref="M230:Q230"/>
    <mergeCell ref="B226:B231"/>
    <mergeCell ref="C226:E226"/>
    <mergeCell ref="C227:E227"/>
    <mergeCell ref="C228:D228"/>
    <mergeCell ref="C229:D229"/>
    <mergeCell ref="C230:E230"/>
    <mergeCell ref="C231:E231"/>
    <mergeCell ref="C209:D209"/>
    <mergeCell ref="C210:D210"/>
    <mergeCell ref="C211:E211"/>
    <mergeCell ref="C212:E212"/>
    <mergeCell ref="M211:Q211"/>
    <mergeCell ref="M185:Q185"/>
    <mergeCell ref="M198:Q198"/>
    <mergeCell ref="A187:B193"/>
    <mergeCell ref="C203:D204"/>
    <mergeCell ref="C205:E205"/>
    <mergeCell ref="C206:E206"/>
    <mergeCell ref="C190:D191"/>
  </mergeCells>
  <phoneticPr fontId="3" type="noConversion"/>
  <printOptions horizontalCentered="1"/>
  <pageMargins left="0.62992125984251968" right="0.62992125984251968" top="0.62992125984251968" bottom="0.62992125984251968" header="0.31496062992125984" footer="0.31496062992125984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AB476"/>
  <sheetViews>
    <sheetView workbookViewId="0"/>
  </sheetViews>
  <sheetFormatPr defaultRowHeight="11.25"/>
  <cols>
    <col min="1" max="17" width="9.44140625" style="1" customWidth="1"/>
    <col min="18" max="16384" width="8.88671875" style="1"/>
  </cols>
  <sheetData>
    <row r="1" spans="1:28" ht="24.95" customHeight="1">
      <c r="A1" s="61" t="s">
        <v>558</v>
      </c>
      <c r="K1" s="61" t="s">
        <v>559</v>
      </c>
      <c r="S1" s="61" t="s">
        <v>560</v>
      </c>
    </row>
    <row r="2" spans="1:28" ht="24.95" customHeight="1">
      <c r="A2" s="661" t="s">
        <v>561</v>
      </c>
      <c r="B2" s="661"/>
      <c r="C2" s="661" t="s">
        <v>562</v>
      </c>
      <c r="D2" s="661"/>
      <c r="E2" s="661" t="s">
        <v>563</v>
      </c>
      <c r="F2" s="661"/>
      <c r="G2" s="661"/>
      <c r="H2" s="661"/>
      <c r="I2" s="661" t="s">
        <v>564</v>
      </c>
      <c r="K2" s="661" t="s">
        <v>561</v>
      </c>
      <c r="L2" s="661"/>
      <c r="M2" s="661" t="s">
        <v>563</v>
      </c>
      <c r="N2" s="661"/>
      <c r="O2" s="661"/>
      <c r="P2" s="661"/>
      <c r="Q2" s="661" t="s">
        <v>564</v>
      </c>
      <c r="S2" s="844" t="s">
        <v>561</v>
      </c>
      <c r="T2" s="845"/>
      <c r="U2" s="661" t="s">
        <v>563</v>
      </c>
      <c r="V2" s="661"/>
      <c r="W2" s="661"/>
      <c r="X2" s="661"/>
      <c r="Y2" s="661" t="s">
        <v>565</v>
      </c>
      <c r="Z2" s="661"/>
      <c r="AA2" s="661"/>
      <c r="AB2" s="661"/>
    </row>
    <row r="3" spans="1:28" ht="24.95" customHeight="1">
      <c r="A3" s="661"/>
      <c r="B3" s="661"/>
      <c r="C3" s="2" t="s">
        <v>566</v>
      </c>
      <c r="D3" s="2" t="s">
        <v>567</v>
      </c>
      <c r="E3" s="2" t="s">
        <v>568</v>
      </c>
      <c r="F3" s="2" t="s">
        <v>569</v>
      </c>
      <c r="G3" s="2" t="s">
        <v>570</v>
      </c>
      <c r="H3" s="2" t="s">
        <v>571</v>
      </c>
      <c r="I3" s="661"/>
      <c r="K3" s="661"/>
      <c r="L3" s="661"/>
      <c r="M3" s="2" t="s">
        <v>568</v>
      </c>
      <c r="N3" s="2" t="s">
        <v>569</v>
      </c>
      <c r="O3" s="2" t="s">
        <v>570</v>
      </c>
      <c r="P3" s="2" t="s">
        <v>571</v>
      </c>
      <c r="Q3" s="661"/>
      <c r="S3" s="846"/>
      <c r="T3" s="847"/>
      <c r="U3" s="84" t="s">
        <v>568</v>
      </c>
      <c r="V3" s="84" t="s">
        <v>569</v>
      </c>
      <c r="W3" s="84" t="s">
        <v>570</v>
      </c>
      <c r="X3" s="84" t="s">
        <v>571</v>
      </c>
      <c r="Y3" s="84" t="s">
        <v>568</v>
      </c>
      <c r="Z3" s="84" t="s">
        <v>569</v>
      </c>
      <c r="AA3" s="84" t="s">
        <v>570</v>
      </c>
      <c r="AB3" s="84" t="s">
        <v>571</v>
      </c>
    </row>
    <row r="4" spans="1:28" ht="24.95" customHeight="1">
      <c r="A4" s="661" t="s">
        <v>572</v>
      </c>
      <c r="B4" s="661"/>
      <c r="C4" s="5">
        <f>C5+C26+C42+C60+C76+C85</f>
        <v>31842</v>
      </c>
      <c r="D4" s="54">
        <v>1</v>
      </c>
      <c r="E4" s="5">
        <f>E5+E26+E42+E60+E76+E85</f>
        <v>130469</v>
      </c>
      <c r="F4" s="5">
        <f>F5+F26+F42+F60+F76+F85</f>
        <v>133200</v>
      </c>
      <c r="G4" s="5">
        <f>G5+G26+G42+G60+G76+G85</f>
        <v>136220</v>
      </c>
      <c r="H4" s="5">
        <f>H5+H26+H42+H60+H76+H85</f>
        <v>138560</v>
      </c>
      <c r="I4" s="2"/>
      <c r="K4" s="661" t="s">
        <v>573</v>
      </c>
      <c r="L4" s="661"/>
      <c r="M4" s="11">
        <f>M5+M24+M40</f>
        <v>78374</v>
      </c>
      <c r="N4" s="11">
        <f>N5+N24+N40</f>
        <v>80014</v>
      </c>
      <c r="O4" s="11">
        <f>O5+O24+O40</f>
        <v>81824</v>
      </c>
      <c r="P4" s="11">
        <f>P5+P24+P40</f>
        <v>83230</v>
      </c>
      <c r="Q4" s="2"/>
      <c r="S4" s="770" t="s">
        <v>574</v>
      </c>
      <c r="T4" s="2" t="s">
        <v>575</v>
      </c>
      <c r="U4" s="11">
        <f t="shared" ref="U4:AB4" si="0">SUM(U5:U7)</f>
        <v>78374</v>
      </c>
      <c r="V4" s="11">
        <f t="shared" si="0"/>
        <v>80014</v>
      </c>
      <c r="W4" s="11">
        <f t="shared" si="0"/>
        <v>81824</v>
      </c>
      <c r="X4" s="11">
        <f t="shared" si="0"/>
        <v>83230</v>
      </c>
      <c r="Y4" s="11">
        <f t="shared" si="0"/>
        <v>62699</v>
      </c>
      <c r="Z4" s="11">
        <f t="shared" si="0"/>
        <v>68011</v>
      </c>
      <c r="AA4" s="11">
        <f t="shared" si="0"/>
        <v>73642</v>
      </c>
      <c r="AB4" s="11">
        <f t="shared" si="0"/>
        <v>79069</v>
      </c>
    </row>
    <row r="5" spans="1:28" ht="24.95" customHeight="1">
      <c r="A5" s="661" t="s">
        <v>576</v>
      </c>
      <c r="B5" s="2" t="s">
        <v>575</v>
      </c>
      <c r="C5" s="5">
        <f>SUM(C6:C25)</f>
        <v>9570</v>
      </c>
      <c r="D5" s="38">
        <f>C5/$C$4</f>
        <v>0.30054644808743169</v>
      </c>
      <c r="E5" s="5">
        <f>'행정구역별 장래인구'!D4</f>
        <v>39154</v>
      </c>
      <c r="F5" s="5">
        <f>'행정구역별 장래인구'!E4</f>
        <v>39973</v>
      </c>
      <c r="G5" s="5">
        <f>'행정구역별 장래인구'!F4</f>
        <v>40879</v>
      </c>
      <c r="H5" s="5">
        <f>'행정구역별 장래인구'!G4</f>
        <v>41581</v>
      </c>
      <c r="I5" s="2"/>
      <c r="K5" s="661" t="s">
        <v>576</v>
      </c>
      <c r="L5" s="2" t="s">
        <v>575</v>
      </c>
      <c r="M5" s="11">
        <f>SUM(M6:M23)</f>
        <v>36730</v>
      </c>
      <c r="N5" s="11">
        <f>SUM(N6:N23)</f>
        <v>37497</v>
      </c>
      <c r="O5" s="11">
        <f>SUM(O6:O23)</f>
        <v>38344</v>
      </c>
      <c r="P5" s="11">
        <f>SUM(P6:P23)</f>
        <v>39004</v>
      </c>
      <c r="Q5" s="2"/>
      <c r="S5" s="661"/>
      <c r="T5" s="2" t="s">
        <v>577</v>
      </c>
      <c r="U5" s="11">
        <f>M5</f>
        <v>36730</v>
      </c>
      <c r="V5" s="11">
        <f>N5</f>
        <v>37497</v>
      </c>
      <c r="W5" s="11">
        <f>O5</f>
        <v>38344</v>
      </c>
      <c r="X5" s="11">
        <f>P5</f>
        <v>39004</v>
      </c>
      <c r="Y5" s="5">
        <f>ROUND(U5*0.8,0)</f>
        <v>29384</v>
      </c>
      <c r="Z5" s="5">
        <f>ROUND(V5*0.85,0)</f>
        <v>31872</v>
      </c>
      <c r="AA5" s="5">
        <f>ROUND(W5*0.9,0)</f>
        <v>34510</v>
      </c>
      <c r="AB5" s="5">
        <f>ROUND(X5*0.95,0)</f>
        <v>37054</v>
      </c>
    </row>
    <row r="6" spans="1:28" ht="24.95" customHeight="1">
      <c r="A6" s="661"/>
      <c r="B6" s="2" t="s">
        <v>421</v>
      </c>
      <c r="C6" s="5">
        <v>1595</v>
      </c>
      <c r="D6" s="38">
        <f t="shared" ref="D6:D25" si="1">C6/$C$5</f>
        <v>0.16666666666666666</v>
      </c>
      <c r="E6" s="5">
        <f t="shared" ref="E6:E25" si="2">ROUND($E$5*D6,0)</f>
        <v>6526</v>
      </c>
      <c r="F6" s="5">
        <f>ROUND($F$5*D6,0)-1</f>
        <v>6661</v>
      </c>
      <c r="G6" s="5">
        <f>ROUND($G$5*D6,0)-2</f>
        <v>6811</v>
      </c>
      <c r="H6" s="5">
        <f>ROUND($H$5*D6,0)-1</f>
        <v>6929</v>
      </c>
      <c r="I6" s="2"/>
      <c r="K6" s="661"/>
      <c r="L6" s="2" t="s">
        <v>421</v>
      </c>
      <c r="M6" s="11">
        <f t="shared" ref="M6:M22" si="3">E6</f>
        <v>6526</v>
      </c>
      <c r="N6" s="11">
        <f t="shared" ref="N6:N22" si="4">F6</f>
        <v>6661</v>
      </c>
      <c r="O6" s="11">
        <f t="shared" ref="O6:O22" si="5">G6</f>
        <v>6811</v>
      </c>
      <c r="P6" s="11">
        <f t="shared" ref="P6:P22" si="6">H6</f>
        <v>6929</v>
      </c>
      <c r="Q6" s="2"/>
      <c r="S6" s="661"/>
      <c r="T6" s="2" t="s">
        <v>578</v>
      </c>
      <c r="U6" s="11">
        <f>M40</f>
        <v>24879</v>
      </c>
      <c r="V6" s="11">
        <f>N40</f>
        <v>25399</v>
      </c>
      <c r="W6" s="11">
        <f>O40</f>
        <v>25977</v>
      </c>
      <c r="X6" s="11">
        <f>P40</f>
        <v>26423</v>
      </c>
      <c r="Y6" s="5">
        <f>ROUND(U6*0.8,0)</f>
        <v>19903</v>
      </c>
      <c r="Z6" s="5">
        <f>ROUND(V6*0.85,0)</f>
        <v>21589</v>
      </c>
      <c r="AA6" s="5">
        <f>ROUND(W6*0.9,0)</f>
        <v>23379</v>
      </c>
      <c r="AB6" s="5">
        <f>ROUND(X6*0.95,0)</f>
        <v>25102</v>
      </c>
    </row>
    <row r="7" spans="1:28" ht="24.95" customHeight="1">
      <c r="A7" s="661"/>
      <c r="B7" s="2" t="s">
        <v>422</v>
      </c>
      <c r="C7" s="5">
        <v>546</v>
      </c>
      <c r="D7" s="38">
        <f t="shared" si="1"/>
        <v>5.7053291536050155E-2</v>
      </c>
      <c r="E7" s="5">
        <f t="shared" si="2"/>
        <v>2234</v>
      </c>
      <c r="F7" s="5">
        <f t="shared" ref="F7:F25" si="7">ROUND($F$5*D7,0)</f>
        <v>2281</v>
      </c>
      <c r="G7" s="5">
        <f t="shared" ref="G7:G25" si="8">ROUND($G$5*D7,0)</f>
        <v>2332</v>
      </c>
      <c r="H7" s="5">
        <f t="shared" ref="H7:H25" si="9">ROUND($H$5*D7,0)</f>
        <v>2372</v>
      </c>
      <c r="I7" s="2"/>
      <c r="K7" s="661"/>
      <c r="L7" s="2" t="s">
        <v>422</v>
      </c>
      <c r="M7" s="11">
        <f t="shared" si="3"/>
        <v>2234</v>
      </c>
      <c r="N7" s="11">
        <f t="shared" si="4"/>
        <v>2281</v>
      </c>
      <c r="O7" s="11">
        <f t="shared" si="5"/>
        <v>2332</v>
      </c>
      <c r="P7" s="11">
        <f t="shared" si="6"/>
        <v>2372</v>
      </c>
      <c r="Q7" s="2"/>
      <c r="S7" s="661"/>
      <c r="T7" s="2" t="s">
        <v>579</v>
      </c>
      <c r="U7" s="11">
        <f>M24</f>
        <v>16765</v>
      </c>
      <c r="V7" s="11">
        <f>N24</f>
        <v>17118</v>
      </c>
      <c r="W7" s="11">
        <f>O24</f>
        <v>17503</v>
      </c>
      <c r="X7" s="11">
        <f>P24</f>
        <v>17803</v>
      </c>
      <c r="Y7" s="5">
        <f>ROUND(U7*0.8,0)</f>
        <v>13412</v>
      </c>
      <c r="Z7" s="5">
        <f>ROUND(V7*0.85,0)</f>
        <v>14550</v>
      </c>
      <c r="AA7" s="5">
        <f>ROUND(W7*0.9,0)</f>
        <v>15753</v>
      </c>
      <c r="AB7" s="5">
        <f>ROUND(X7*0.95,0)</f>
        <v>16913</v>
      </c>
    </row>
    <row r="8" spans="1:28" ht="24.95" customHeight="1">
      <c r="A8" s="661"/>
      <c r="B8" s="2" t="s">
        <v>423</v>
      </c>
      <c r="C8" s="5">
        <v>661</v>
      </c>
      <c r="D8" s="38">
        <f t="shared" si="1"/>
        <v>6.907001044932079E-2</v>
      </c>
      <c r="E8" s="5">
        <f t="shared" si="2"/>
        <v>2704</v>
      </c>
      <c r="F8" s="5">
        <f t="shared" si="7"/>
        <v>2761</v>
      </c>
      <c r="G8" s="5">
        <f t="shared" si="8"/>
        <v>2824</v>
      </c>
      <c r="H8" s="5">
        <f t="shared" si="9"/>
        <v>2872</v>
      </c>
      <c r="I8" s="2"/>
      <c r="K8" s="661"/>
      <c r="L8" s="2" t="s">
        <v>423</v>
      </c>
      <c r="M8" s="11">
        <f t="shared" si="3"/>
        <v>2704</v>
      </c>
      <c r="N8" s="11">
        <f t="shared" si="4"/>
        <v>2761</v>
      </c>
      <c r="O8" s="11">
        <f t="shared" si="5"/>
        <v>2824</v>
      </c>
      <c r="P8" s="11">
        <f t="shared" si="6"/>
        <v>2872</v>
      </c>
      <c r="Q8" s="2"/>
      <c r="S8" s="770" t="s">
        <v>580</v>
      </c>
      <c r="T8" s="2" t="s">
        <v>575</v>
      </c>
      <c r="U8" s="11">
        <f t="shared" ref="U8:AB8" si="10">SUM(U9:U11)</f>
        <v>30778</v>
      </c>
      <c r="V8" s="11">
        <f t="shared" si="10"/>
        <v>31421</v>
      </c>
      <c r="W8" s="11">
        <f t="shared" si="10"/>
        <v>32135</v>
      </c>
      <c r="X8" s="11">
        <f t="shared" si="10"/>
        <v>32686</v>
      </c>
      <c r="Y8" s="11">
        <f t="shared" si="10"/>
        <v>24622</v>
      </c>
      <c r="Z8" s="11">
        <f t="shared" si="10"/>
        <v>26708</v>
      </c>
      <c r="AA8" s="11">
        <f t="shared" si="10"/>
        <v>28922</v>
      </c>
      <c r="AB8" s="11">
        <f t="shared" si="10"/>
        <v>31052</v>
      </c>
    </row>
    <row r="9" spans="1:28" ht="24.95" customHeight="1">
      <c r="A9" s="661"/>
      <c r="B9" s="2" t="s">
        <v>424</v>
      </c>
      <c r="C9" s="5">
        <v>1071</v>
      </c>
      <c r="D9" s="38">
        <f t="shared" si="1"/>
        <v>0.11191222570532916</v>
      </c>
      <c r="E9" s="5">
        <f t="shared" si="2"/>
        <v>4382</v>
      </c>
      <c r="F9" s="5">
        <f t="shared" si="7"/>
        <v>4473</v>
      </c>
      <c r="G9" s="5">
        <f t="shared" si="8"/>
        <v>4575</v>
      </c>
      <c r="H9" s="5">
        <f t="shared" si="9"/>
        <v>4653</v>
      </c>
      <c r="I9" s="2"/>
      <c r="K9" s="661"/>
      <c r="L9" s="2" t="s">
        <v>424</v>
      </c>
      <c r="M9" s="11">
        <f t="shared" si="3"/>
        <v>4382</v>
      </c>
      <c r="N9" s="11">
        <f t="shared" si="4"/>
        <v>4473</v>
      </c>
      <c r="O9" s="11">
        <f t="shared" si="5"/>
        <v>4575</v>
      </c>
      <c r="P9" s="11">
        <f t="shared" si="6"/>
        <v>4653</v>
      </c>
      <c r="Q9" s="2"/>
      <c r="S9" s="661"/>
      <c r="T9" s="2" t="s">
        <v>581</v>
      </c>
      <c r="U9" s="11">
        <f>M58+M84</f>
        <v>23745</v>
      </c>
      <c r="V9" s="11">
        <f>N58+N84</f>
        <v>24240</v>
      </c>
      <c r="W9" s="11">
        <f>O58+O84</f>
        <v>24793</v>
      </c>
      <c r="X9" s="11">
        <f>P58+P84</f>
        <v>25217</v>
      </c>
      <c r="Y9" s="5">
        <f>ROUND(U9*0.8,0)</f>
        <v>18996</v>
      </c>
      <c r="Z9" s="5">
        <f>ROUND(V9*0.85,0)</f>
        <v>20604</v>
      </c>
      <c r="AA9" s="5">
        <f>ROUND(W9*0.9,0)</f>
        <v>22314</v>
      </c>
      <c r="AB9" s="5">
        <f>ROUND(X9*0.95,0)</f>
        <v>23956</v>
      </c>
    </row>
    <row r="10" spans="1:28" ht="24.95" customHeight="1">
      <c r="A10" s="661"/>
      <c r="B10" s="2" t="s">
        <v>425</v>
      </c>
      <c r="C10" s="5">
        <v>501</v>
      </c>
      <c r="D10" s="38">
        <f t="shared" si="1"/>
        <v>5.2351097178683387E-2</v>
      </c>
      <c r="E10" s="5">
        <f t="shared" si="2"/>
        <v>2050</v>
      </c>
      <c r="F10" s="5">
        <f t="shared" si="7"/>
        <v>2093</v>
      </c>
      <c r="G10" s="5">
        <f t="shared" si="8"/>
        <v>2140</v>
      </c>
      <c r="H10" s="5">
        <f t="shared" si="9"/>
        <v>2177</v>
      </c>
      <c r="I10" s="2"/>
      <c r="K10" s="661"/>
      <c r="L10" s="2" t="s">
        <v>425</v>
      </c>
      <c r="M10" s="11">
        <f t="shared" si="3"/>
        <v>2050</v>
      </c>
      <c r="N10" s="11">
        <f t="shared" si="4"/>
        <v>2093</v>
      </c>
      <c r="O10" s="11">
        <f t="shared" si="5"/>
        <v>2140</v>
      </c>
      <c r="P10" s="11">
        <f t="shared" si="6"/>
        <v>2177</v>
      </c>
      <c r="Q10" s="2"/>
      <c r="S10" s="661"/>
      <c r="T10" s="2" t="s">
        <v>582</v>
      </c>
      <c r="U10" s="11">
        <f>M79+M80+M81</f>
        <v>2588</v>
      </c>
      <c r="V10" s="11">
        <f>N79+N80+N81</f>
        <v>2642</v>
      </c>
      <c r="W10" s="11">
        <f>O79+O80+O81</f>
        <v>2702</v>
      </c>
      <c r="X10" s="11">
        <f>P79+P80+P81</f>
        <v>2748</v>
      </c>
      <c r="Y10" s="5">
        <f>ROUND(U10*0.8,0)</f>
        <v>2070</v>
      </c>
      <c r="Z10" s="5">
        <f>ROUND(V10*0.85,0)</f>
        <v>2246</v>
      </c>
      <c r="AA10" s="5">
        <f>ROUND(W10*0.9,0)</f>
        <v>2432</v>
      </c>
      <c r="AB10" s="5">
        <f>ROUND(X10*0.95,0)</f>
        <v>2611</v>
      </c>
    </row>
    <row r="11" spans="1:28" ht="24.95" customHeight="1">
      <c r="A11" s="661"/>
      <c r="B11" s="2" t="s">
        <v>426</v>
      </c>
      <c r="C11" s="5">
        <v>619</v>
      </c>
      <c r="D11" s="38">
        <f t="shared" si="1"/>
        <v>6.4681295715778478E-2</v>
      </c>
      <c r="E11" s="5">
        <f t="shared" si="2"/>
        <v>2533</v>
      </c>
      <c r="F11" s="5">
        <f t="shared" si="7"/>
        <v>2586</v>
      </c>
      <c r="G11" s="5">
        <f t="shared" si="8"/>
        <v>2644</v>
      </c>
      <c r="H11" s="5">
        <f t="shared" si="9"/>
        <v>2690</v>
      </c>
      <c r="I11" s="2"/>
      <c r="K11" s="661"/>
      <c r="L11" s="2" t="s">
        <v>426</v>
      </c>
      <c r="M11" s="11">
        <f t="shared" si="3"/>
        <v>2533</v>
      </c>
      <c r="N11" s="11">
        <f t="shared" si="4"/>
        <v>2586</v>
      </c>
      <c r="O11" s="11">
        <f t="shared" si="5"/>
        <v>2644</v>
      </c>
      <c r="P11" s="11">
        <f t="shared" si="6"/>
        <v>2690</v>
      </c>
      <c r="Q11" s="2"/>
      <c r="S11" s="661"/>
      <c r="T11" s="2" t="s">
        <v>583</v>
      </c>
      <c r="U11" s="11">
        <f>M75+M76+M77+M78+M82+M83</f>
        <v>4445</v>
      </c>
      <c r="V11" s="11">
        <f>N75+N76+N77+N78+N82+N83</f>
        <v>4539</v>
      </c>
      <c r="W11" s="11">
        <f>O75+O76+O77+O78+O82+O83</f>
        <v>4640</v>
      </c>
      <c r="X11" s="11">
        <f>P75+P76+P77+P78+P82+P83</f>
        <v>4721</v>
      </c>
      <c r="Y11" s="5">
        <f>ROUND(U11*0.8,0)</f>
        <v>3556</v>
      </c>
      <c r="Z11" s="5">
        <f>ROUND(V11*0.85,0)</f>
        <v>3858</v>
      </c>
      <c r="AA11" s="5">
        <f>ROUND(W11*0.9,0)</f>
        <v>4176</v>
      </c>
      <c r="AB11" s="5">
        <f>ROUND(X11*0.95,0)</f>
        <v>4485</v>
      </c>
    </row>
    <row r="12" spans="1:28" ht="24.95" customHeight="1">
      <c r="A12" s="661"/>
      <c r="B12" s="2" t="s">
        <v>427</v>
      </c>
      <c r="C12" s="5">
        <v>456</v>
      </c>
      <c r="D12" s="38">
        <f t="shared" si="1"/>
        <v>4.7648902821316612E-2</v>
      </c>
      <c r="E12" s="5">
        <f t="shared" si="2"/>
        <v>1866</v>
      </c>
      <c r="F12" s="5">
        <f t="shared" si="7"/>
        <v>1905</v>
      </c>
      <c r="G12" s="5">
        <f t="shared" si="8"/>
        <v>1948</v>
      </c>
      <c r="H12" s="5">
        <f t="shared" si="9"/>
        <v>1981</v>
      </c>
      <c r="I12" s="2"/>
      <c r="K12" s="661"/>
      <c r="L12" s="2" t="s">
        <v>427</v>
      </c>
      <c r="M12" s="11">
        <f t="shared" si="3"/>
        <v>1866</v>
      </c>
      <c r="N12" s="11">
        <f t="shared" si="4"/>
        <v>1905</v>
      </c>
      <c r="O12" s="11">
        <f t="shared" si="5"/>
        <v>1948</v>
      </c>
      <c r="P12" s="11">
        <f t="shared" si="6"/>
        <v>1981</v>
      </c>
      <c r="Q12" s="2"/>
      <c r="S12" s="661" t="s">
        <v>584</v>
      </c>
      <c r="T12" s="2" t="s">
        <v>575</v>
      </c>
      <c r="U12" s="11">
        <f t="shared" ref="U12:AB12" si="11">SUM(U13:U14)</f>
        <v>15364</v>
      </c>
      <c r="V12" s="11">
        <f t="shared" si="11"/>
        <v>15689</v>
      </c>
      <c r="W12" s="11">
        <f t="shared" si="11"/>
        <v>16046</v>
      </c>
      <c r="X12" s="11">
        <f t="shared" si="11"/>
        <v>16317</v>
      </c>
      <c r="Y12" s="11">
        <f t="shared" si="11"/>
        <v>12291</v>
      </c>
      <c r="Z12" s="11">
        <f t="shared" si="11"/>
        <v>13336</v>
      </c>
      <c r="AA12" s="11">
        <f t="shared" si="11"/>
        <v>14441</v>
      </c>
      <c r="AB12" s="11">
        <f t="shared" si="11"/>
        <v>15501</v>
      </c>
    </row>
    <row r="13" spans="1:28" ht="24.95" customHeight="1">
      <c r="A13" s="661"/>
      <c r="B13" s="2" t="s">
        <v>428</v>
      </c>
      <c r="C13" s="5">
        <v>376</v>
      </c>
      <c r="D13" s="38">
        <f t="shared" si="1"/>
        <v>3.928944618599791E-2</v>
      </c>
      <c r="E13" s="5">
        <f t="shared" si="2"/>
        <v>1538</v>
      </c>
      <c r="F13" s="5">
        <f t="shared" si="7"/>
        <v>1571</v>
      </c>
      <c r="G13" s="5">
        <f t="shared" si="8"/>
        <v>1606</v>
      </c>
      <c r="H13" s="5">
        <f t="shared" si="9"/>
        <v>1634</v>
      </c>
      <c r="I13" s="2"/>
      <c r="K13" s="661"/>
      <c r="L13" s="2" t="s">
        <v>428</v>
      </c>
      <c r="M13" s="11">
        <f t="shared" si="3"/>
        <v>1538</v>
      </c>
      <c r="N13" s="11">
        <f t="shared" si="4"/>
        <v>1571</v>
      </c>
      <c r="O13" s="11">
        <f t="shared" si="5"/>
        <v>1606</v>
      </c>
      <c r="P13" s="11">
        <f t="shared" si="6"/>
        <v>1634</v>
      </c>
      <c r="Q13" s="2"/>
      <c r="S13" s="661"/>
      <c r="T13" s="2" t="s">
        <v>585</v>
      </c>
      <c r="U13" s="11">
        <f>M99+M100</f>
        <v>2880</v>
      </c>
      <c r="V13" s="11">
        <f>N99+N100</f>
        <v>2940</v>
      </c>
      <c r="W13" s="11">
        <f>O99+O100</f>
        <v>3007</v>
      </c>
      <c r="X13" s="11">
        <f>P99+P100</f>
        <v>3059</v>
      </c>
      <c r="Y13" s="5">
        <f>ROUND(U13*0.8,0)</f>
        <v>2304</v>
      </c>
      <c r="Z13" s="5">
        <f>ROUND(V13*0.85,0)</f>
        <v>2499</v>
      </c>
      <c r="AA13" s="5">
        <f>ROUND(W13*0.9,0)</f>
        <v>2706</v>
      </c>
      <c r="AB13" s="5">
        <f>ROUND(X13*0.95,0)</f>
        <v>2906</v>
      </c>
    </row>
    <row r="14" spans="1:28" ht="24.95" customHeight="1">
      <c r="A14" s="661"/>
      <c r="B14" s="2" t="s">
        <v>429</v>
      </c>
      <c r="C14" s="5">
        <v>495</v>
      </c>
      <c r="D14" s="38">
        <f t="shared" si="1"/>
        <v>5.1724137931034482E-2</v>
      </c>
      <c r="E14" s="5">
        <f t="shared" si="2"/>
        <v>2025</v>
      </c>
      <c r="F14" s="5">
        <f t="shared" si="7"/>
        <v>2068</v>
      </c>
      <c r="G14" s="5">
        <f t="shared" si="8"/>
        <v>2114</v>
      </c>
      <c r="H14" s="5">
        <f t="shared" si="9"/>
        <v>2151</v>
      </c>
      <c r="I14" s="2"/>
      <c r="K14" s="661"/>
      <c r="L14" s="2" t="s">
        <v>429</v>
      </c>
      <c r="M14" s="11">
        <f t="shared" si="3"/>
        <v>2025</v>
      </c>
      <c r="N14" s="11">
        <f t="shared" si="4"/>
        <v>2068</v>
      </c>
      <c r="O14" s="11">
        <f t="shared" si="5"/>
        <v>2114</v>
      </c>
      <c r="P14" s="11">
        <f t="shared" si="6"/>
        <v>2151</v>
      </c>
      <c r="Q14" s="2"/>
      <c r="S14" s="661"/>
      <c r="T14" s="2" t="s">
        <v>586</v>
      </c>
      <c r="U14" s="11">
        <f>M93+M94+M95+M96+M97+M98+M101</f>
        <v>12484</v>
      </c>
      <c r="V14" s="11">
        <f>N93+N94+N95+N96+N97+N98+N101</f>
        <v>12749</v>
      </c>
      <c r="W14" s="11">
        <f>O93+O94+O95+O96+O97+O98+O101</f>
        <v>13039</v>
      </c>
      <c r="X14" s="11">
        <f>P93+P94+P95+P96+P97+P98+P101</f>
        <v>13258</v>
      </c>
      <c r="Y14" s="5">
        <f>ROUND(U14*0.8,0)</f>
        <v>9987</v>
      </c>
      <c r="Z14" s="5">
        <f>ROUND(V14*0.85,0)</f>
        <v>10837</v>
      </c>
      <c r="AA14" s="5">
        <f>ROUND(W14*0.9,0)</f>
        <v>11735</v>
      </c>
      <c r="AB14" s="5">
        <f>ROUND(X14*0.95,0)</f>
        <v>12595</v>
      </c>
    </row>
    <row r="15" spans="1:28" ht="24.95" customHeight="1">
      <c r="A15" s="661"/>
      <c r="B15" s="2" t="s">
        <v>430</v>
      </c>
      <c r="C15" s="5">
        <v>129</v>
      </c>
      <c r="D15" s="38">
        <f t="shared" si="1"/>
        <v>1.3479623824451411E-2</v>
      </c>
      <c r="E15" s="5">
        <f t="shared" si="2"/>
        <v>528</v>
      </c>
      <c r="F15" s="5">
        <f t="shared" si="7"/>
        <v>539</v>
      </c>
      <c r="G15" s="5">
        <f t="shared" si="8"/>
        <v>551</v>
      </c>
      <c r="H15" s="5">
        <f t="shared" si="9"/>
        <v>560</v>
      </c>
      <c r="I15" s="2"/>
      <c r="K15" s="661"/>
      <c r="L15" s="2" t="s">
        <v>430</v>
      </c>
      <c r="M15" s="11">
        <f t="shared" si="3"/>
        <v>528</v>
      </c>
      <c r="N15" s="11">
        <f t="shared" si="4"/>
        <v>539</v>
      </c>
      <c r="O15" s="11">
        <f t="shared" si="5"/>
        <v>551</v>
      </c>
      <c r="P15" s="11">
        <f t="shared" si="6"/>
        <v>560</v>
      </c>
      <c r="Q15" s="2"/>
      <c r="S15" s="2" t="s">
        <v>587</v>
      </c>
      <c r="T15" s="2" t="s">
        <v>588</v>
      </c>
      <c r="U15" s="11">
        <f>M108</f>
        <v>5953</v>
      </c>
      <c r="V15" s="11">
        <f>N108</f>
        <v>6078</v>
      </c>
      <c r="W15" s="11">
        <f>O108</f>
        <v>6216</v>
      </c>
      <c r="X15" s="11">
        <f>P108</f>
        <v>6323</v>
      </c>
      <c r="Y15" s="5">
        <f>ROUND(U15*0.8,0)</f>
        <v>4762</v>
      </c>
      <c r="Z15" s="5">
        <f>ROUND(V15*0.85,0)</f>
        <v>5166</v>
      </c>
      <c r="AA15" s="5">
        <f>ROUND(W15*0.9,0)</f>
        <v>5594</v>
      </c>
      <c r="AB15" s="5">
        <f>ROUND(X15*0.95,0)</f>
        <v>6007</v>
      </c>
    </row>
    <row r="16" spans="1:28" ht="24.95" customHeight="1">
      <c r="A16" s="661"/>
      <c r="B16" s="2" t="s">
        <v>431</v>
      </c>
      <c r="C16" s="5">
        <v>237</v>
      </c>
      <c r="D16" s="38">
        <f t="shared" si="1"/>
        <v>2.4764890282131663E-2</v>
      </c>
      <c r="E16" s="5">
        <f t="shared" si="2"/>
        <v>970</v>
      </c>
      <c r="F16" s="5">
        <f t="shared" si="7"/>
        <v>990</v>
      </c>
      <c r="G16" s="5">
        <f t="shared" si="8"/>
        <v>1012</v>
      </c>
      <c r="H16" s="5">
        <f t="shared" si="9"/>
        <v>1030</v>
      </c>
      <c r="I16" s="2"/>
      <c r="K16" s="661"/>
      <c r="L16" s="2" t="s">
        <v>431</v>
      </c>
      <c r="M16" s="11">
        <f t="shared" si="3"/>
        <v>970</v>
      </c>
      <c r="N16" s="11">
        <f t="shared" si="4"/>
        <v>990</v>
      </c>
      <c r="O16" s="11">
        <f t="shared" si="5"/>
        <v>1012</v>
      </c>
      <c r="P16" s="11">
        <f t="shared" si="6"/>
        <v>1030</v>
      </c>
      <c r="Q16" s="2"/>
      <c r="S16" s="661" t="s">
        <v>575</v>
      </c>
      <c r="T16" s="661"/>
      <c r="U16" s="11">
        <f t="shared" ref="U16:AB16" si="12">U4+U8+U12+U15</f>
        <v>130469</v>
      </c>
      <c r="V16" s="11">
        <f t="shared" si="12"/>
        <v>133202</v>
      </c>
      <c r="W16" s="11">
        <f t="shared" si="12"/>
        <v>136221</v>
      </c>
      <c r="X16" s="11">
        <f t="shared" si="12"/>
        <v>138556</v>
      </c>
      <c r="Y16" s="11">
        <f t="shared" si="12"/>
        <v>104374</v>
      </c>
      <c r="Z16" s="11">
        <f t="shared" si="12"/>
        <v>113221</v>
      </c>
      <c r="AA16" s="11">
        <f t="shared" si="12"/>
        <v>122599</v>
      </c>
      <c r="AB16" s="11">
        <f t="shared" si="12"/>
        <v>131629</v>
      </c>
    </row>
    <row r="17" spans="1:28" ht="24.95" customHeight="1">
      <c r="A17" s="661"/>
      <c r="B17" s="2" t="s">
        <v>432</v>
      </c>
      <c r="C17" s="5">
        <v>186</v>
      </c>
      <c r="D17" s="38">
        <f t="shared" si="1"/>
        <v>1.9435736677115987E-2</v>
      </c>
      <c r="E17" s="5">
        <f t="shared" si="2"/>
        <v>761</v>
      </c>
      <c r="F17" s="5">
        <f t="shared" si="7"/>
        <v>777</v>
      </c>
      <c r="G17" s="5">
        <f t="shared" si="8"/>
        <v>795</v>
      </c>
      <c r="H17" s="5">
        <f t="shared" si="9"/>
        <v>808</v>
      </c>
      <c r="I17" s="2"/>
      <c r="K17" s="661"/>
      <c r="L17" s="2" t="s">
        <v>432</v>
      </c>
      <c r="M17" s="11">
        <f t="shared" si="3"/>
        <v>761</v>
      </c>
      <c r="N17" s="11">
        <f t="shared" si="4"/>
        <v>777</v>
      </c>
      <c r="O17" s="11">
        <f t="shared" si="5"/>
        <v>795</v>
      </c>
      <c r="P17" s="11">
        <f t="shared" si="6"/>
        <v>808</v>
      </c>
      <c r="Q17" s="2"/>
      <c r="S17" s="844" t="s">
        <v>561</v>
      </c>
      <c r="T17" s="845"/>
      <c r="U17" s="661" t="s">
        <v>589</v>
      </c>
      <c r="V17" s="661"/>
      <c r="W17" s="661"/>
      <c r="X17" s="661"/>
      <c r="Y17" s="661" t="s">
        <v>590</v>
      </c>
      <c r="Z17" s="661"/>
      <c r="AA17" s="661"/>
      <c r="AB17" s="661"/>
    </row>
    <row r="18" spans="1:28" ht="24.95" customHeight="1">
      <c r="A18" s="661"/>
      <c r="B18" s="2" t="s">
        <v>433</v>
      </c>
      <c r="C18" s="5">
        <v>916</v>
      </c>
      <c r="D18" s="38">
        <f t="shared" si="1"/>
        <v>9.571577847439916E-2</v>
      </c>
      <c r="E18" s="5">
        <f t="shared" si="2"/>
        <v>3748</v>
      </c>
      <c r="F18" s="5">
        <f t="shared" si="7"/>
        <v>3826</v>
      </c>
      <c r="G18" s="5">
        <f t="shared" si="8"/>
        <v>3913</v>
      </c>
      <c r="H18" s="5">
        <f t="shared" si="9"/>
        <v>3980</v>
      </c>
      <c r="I18" s="2"/>
      <c r="K18" s="661"/>
      <c r="L18" s="2" t="s">
        <v>433</v>
      </c>
      <c r="M18" s="11">
        <f t="shared" si="3"/>
        <v>3748</v>
      </c>
      <c r="N18" s="11">
        <f t="shared" si="4"/>
        <v>3826</v>
      </c>
      <c r="O18" s="11">
        <f t="shared" si="5"/>
        <v>3913</v>
      </c>
      <c r="P18" s="11">
        <f t="shared" si="6"/>
        <v>3980</v>
      </c>
      <c r="Q18" s="2"/>
      <c r="S18" s="846"/>
      <c r="T18" s="847"/>
      <c r="U18" s="2" t="s">
        <v>568</v>
      </c>
      <c r="V18" s="2" t="s">
        <v>569</v>
      </c>
      <c r="W18" s="2" t="s">
        <v>570</v>
      </c>
      <c r="X18" s="2" t="s">
        <v>571</v>
      </c>
      <c r="Y18" s="2" t="s">
        <v>568</v>
      </c>
      <c r="Z18" s="2" t="s">
        <v>569</v>
      </c>
      <c r="AA18" s="2" t="s">
        <v>570</v>
      </c>
      <c r="AB18" s="2" t="s">
        <v>571</v>
      </c>
    </row>
    <row r="19" spans="1:28" ht="24.95" customHeight="1">
      <c r="A19" s="661"/>
      <c r="B19" s="2" t="s">
        <v>434</v>
      </c>
      <c r="C19" s="5">
        <v>193</v>
      </c>
      <c r="D19" s="38">
        <f t="shared" si="1"/>
        <v>2.0167189132706376E-2</v>
      </c>
      <c r="E19" s="5">
        <f t="shared" si="2"/>
        <v>790</v>
      </c>
      <c r="F19" s="5">
        <f t="shared" si="7"/>
        <v>806</v>
      </c>
      <c r="G19" s="5">
        <f t="shared" si="8"/>
        <v>824</v>
      </c>
      <c r="H19" s="5">
        <f t="shared" si="9"/>
        <v>839</v>
      </c>
      <c r="I19" s="2"/>
      <c r="K19" s="661"/>
      <c r="L19" s="2" t="s">
        <v>434</v>
      </c>
      <c r="M19" s="11">
        <f t="shared" si="3"/>
        <v>790</v>
      </c>
      <c r="N19" s="11">
        <f t="shared" si="4"/>
        <v>806</v>
      </c>
      <c r="O19" s="11">
        <f t="shared" si="5"/>
        <v>824</v>
      </c>
      <c r="P19" s="11">
        <f t="shared" si="6"/>
        <v>839</v>
      </c>
      <c r="Q19" s="2"/>
      <c r="S19" s="770" t="s">
        <v>574</v>
      </c>
      <c r="T19" s="2" t="s">
        <v>575</v>
      </c>
      <c r="U19" s="2"/>
      <c r="V19" s="2"/>
      <c r="W19" s="2"/>
      <c r="X19" s="2"/>
      <c r="Y19" s="5">
        <f>SUM(Y20:Y22)</f>
        <v>37993</v>
      </c>
      <c r="Z19" s="5">
        <f>SUM(Z20:Z22)</f>
        <v>39865</v>
      </c>
      <c r="AA19" s="5">
        <f>SUM(AA20:AA22)</f>
        <v>41566</v>
      </c>
      <c r="AB19" s="5">
        <f>SUM(AB20:AB22)</f>
        <v>43065</v>
      </c>
    </row>
    <row r="20" spans="1:28" ht="24.95" customHeight="1">
      <c r="A20" s="661"/>
      <c r="B20" s="2" t="s">
        <v>435</v>
      </c>
      <c r="C20" s="5">
        <v>272</v>
      </c>
      <c r="D20" s="38">
        <f t="shared" si="1"/>
        <v>2.8422152560083593E-2</v>
      </c>
      <c r="E20" s="5">
        <f t="shared" si="2"/>
        <v>1113</v>
      </c>
      <c r="F20" s="5">
        <f t="shared" si="7"/>
        <v>1136</v>
      </c>
      <c r="G20" s="5">
        <f t="shared" si="8"/>
        <v>1162</v>
      </c>
      <c r="H20" s="5">
        <f t="shared" si="9"/>
        <v>1182</v>
      </c>
      <c r="I20" s="2"/>
      <c r="K20" s="661"/>
      <c r="L20" s="2" t="s">
        <v>435</v>
      </c>
      <c r="M20" s="11">
        <f t="shared" si="3"/>
        <v>1113</v>
      </c>
      <c r="N20" s="11">
        <f t="shared" si="4"/>
        <v>1136</v>
      </c>
      <c r="O20" s="11">
        <f t="shared" si="5"/>
        <v>1162</v>
      </c>
      <c r="P20" s="11">
        <f t="shared" si="6"/>
        <v>1182</v>
      </c>
      <c r="Q20" s="2"/>
      <c r="S20" s="661"/>
      <c r="T20" s="2" t="s">
        <v>577</v>
      </c>
      <c r="U20" s="2">
        <v>622</v>
      </c>
      <c r="V20" s="2">
        <v>599</v>
      </c>
      <c r="W20" s="2">
        <v>573</v>
      </c>
      <c r="X20" s="2">
        <v>550</v>
      </c>
      <c r="Y20" s="5">
        <f t="shared" ref="Y20:AB22" si="13">ROUND(Y5*U20/1000,0)</f>
        <v>18277</v>
      </c>
      <c r="Z20" s="5">
        <f t="shared" si="13"/>
        <v>19091</v>
      </c>
      <c r="AA20" s="5">
        <f t="shared" si="13"/>
        <v>19774</v>
      </c>
      <c r="AB20" s="5">
        <f t="shared" si="13"/>
        <v>20380</v>
      </c>
    </row>
    <row r="21" spans="1:28" ht="24.95" customHeight="1">
      <c r="A21" s="661"/>
      <c r="B21" s="2" t="s">
        <v>436</v>
      </c>
      <c r="C21" s="5">
        <v>283</v>
      </c>
      <c r="D21" s="38">
        <f t="shared" si="1"/>
        <v>2.9571577847439915E-2</v>
      </c>
      <c r="E21" s="5">
        <f t="shared" si="2"/>
        <v>1158</v>
      </c>
      <c r="F21" s="5">
        <f t="shared" si="7"/>
        <v>1182</v>
      </c>
      <c r="G21" s="5">
        <f t="shared" si="8"/>
        <v>1209</v>
      </c>
      <c r="H21" s="5">
        <f t="shared" si="9"/>
        <v>1230</v>
      </c>
      <c r="I21" s="2"/>
      <c r="K21" s="661"/>
      <c r="L21" s="2" t="s">
        <v>436</v>
      </c>
      <c r="M21" s="11">
        <f t="shared" si="3"/>
        <v>1158</v>
      </c>
      <c r="N21" s="11">
        <f t="shared" si="4"/>
        <v>1182</v>
      </c>
      <c r="O21" s="11">
        <f t="shared" si="5"/>
        <v>1209</v>
      </c>
      <c r="P21" s="11">
        <f t="shared" si="6"/>
        <v>1230</v>
      </c>
      <c r="Q21" s="2"/>
      <c r="S21" s="661"/>
      <c r="T21" s="2" t="s">
        <v>578</v>
      </c>
      <c r="U21" s="2">
        <v>622</v>
      </c>
      <c r="V21" s="2">
        <v>599</v>
      </c>
      <c r="W21" s="2">
        <v>573</v>
      </c>
      <c r="X21" s="2">
        <v>550</v>
      </c>
      <c r="Y21" s="5">
        <f t="shared" si="13"/>
        <v>12380</v>
      </c>
      <c r="Z21" s="5">
        <f t="shared" si="13"/>
        <v>12932</v>
      </c>
      <c r="AA21" s="5">
        <f t="shared" si="13"/>
        <v>13396</v>
      </c>
      <c r="AB21" s="5">
        <f t="shared" si="13"/>
        <v>13806</v>
      </c>
    </row>
    <row r="22" spans="1:28" ht="24.95" customHeight="1">
      <c r="A22" s="661"/>
      <c r="B22" s="2" t="s">
        <v>437</v>
      </c>
      <c r="C22" s="5">
        <v>207</v>
      </c>
      <c r="D22" s="38">
        <f t="shared" si="1"/>
        <v>2.1630094043887146E-2</v>
      </c>
      <c r="E22" s="5">
        <f t="shared" si="2"/>
        <v>847</v>
      </c>
      <c r="F22" s="5">
        <f t="shared" si="7"/>
        <v>865</v>
      </c>
      <c r="G22" s="5">
        <f t="shared" si="8"/>
        <v>884</v>
      </c>
      <c r="H22" s="5">
        <f t="shared" si="9"/>
        <v>899</v>
      </c>
      <c r="I22" s="2"/>
      <c r="K22" s="661"/>
      <c r="L22" s="2" t="s">
        <v>437</v>
      </c>
      <c r="M22" s="11">
        <f t="shared" si="3"/>
        <v>847</v>
      </c>
      <c r="N22" s="11">
        <f t="shared" si="4"/>
        <v>865</v>
      </c>
      <c r="O22" s="11">
        <f t="shared" si="5"/>
        <v>884</v>
      </c>
      <c r="P22" s="11">
        <f t="shared" si="6"/>
        <v>899</v>
      </c>
      <c r="Q22" s="2"/>
      <c r="S22" s="661"/>
      <c r="T22" s="2" t="s">
        <v>579</v>
      </c>
      <c r="U22" s="2">
        <v>547</v>
      </c>
      <c r="V22" s="2">
        <v>539</v>
      </c>
      <c r="W22" s="2">
        <v>533</v>
      </c>
      <c r="X22" s="2">
        <v>525</v>
      </c>
      <c r="Y22" s="5">
        <f t="shared" si="13"/>
        <v>7336</v>
      </c>
      <c r="Z22" s="5">
        <f t="shared" si="13"/>
        <v>7842</v>
      </c>
      <c r="AA22" s="5">
        <f t="shared" si="13"/>
        <v>8396</v>
      </c>
      <c r="AB22" s="5">
        <f t="shared" si="13"/>
        <v>8879</v>
      </c>
    </row>
    <row r="23" spans="1:28" ht="24.95" customHeight="1">
      <c r="A23" s="661"/>
      <c r="B23" s="2" t="s">
        <v>438</v>
      </c>
      <c r="C23" s="5">
        <v>285</v>
      </c>
      <c r="D23" s="38">
        <f t="shared" si="1"/>
        <v>2.9780564263322883E-2</v>
      </c>
      <c r="E23" s="5">
        <f t="shared" si="2"/>
        <v>1166</v>
      </c>
      <c r="F23" s="5">
        <f t="shared" si="7"/>
        <v>1190</v>
      </c>
      <c r="G23" s="5">
        <f t="shared" si="8"/>
        <v>1217</v>
      </c>
      <c r="H23" s="5">
        <f t="shared" si="9"/>
        <v>1238</v>
      </c>
      <c r="I23" s="2"/>
      <c r="K23" s="661"/>
      <c r="L23" s="2" t="s">
        <v>440</v>
      </c>
      <c r="M23" s="11">
        <f>E25</f>
        <v>957</v>
      </c>
      <c r="N23" s="11">
        <f>F25</f>
        <v>977</v>
      </c>
      <c r="O23" s="11">
        <f>G25</f>
        <v>1000</v>
      </c>
      <c r="P23" s="11">
        <f>H25</f>
        <v>1017</v>
      </c>
      <c r="Q23" s="2"/>
      <c r="S23" s="770" t="s">
        <v>580</v>
      </c>
      <c r="T23" s="2" t="s">
        <v>575</v>
      </c>
      <c r="U23" s="2"/>
      <c r="V23" s="2"/>
      <c r="W23" s="2"/>
      <c r="X23" s="2"/>
      <c r="Y23" s="5">
        <f>SUM(Y24:Y26)</f>
        <v>13468</v>
      </c>
      <c r="Z23" s="5">
        <f>SUM(Z24:Z26)</f>
        <v>14396</v>
      </c>
      <c r="AA23" s="5">
        <f>SUM(AA24:AA26)</f>
        <v>15415</v>
      </c>
      <c r="AB23" s="5">
        <f>SUM(AB24:AB26)</f>
        <v>16303</v>
      </c>
    </row>
    <row r="24" spans="1:28" ht="24.95" customHeight="1">
      <c r="A24" s="661"/>
      <c r="B24" s="2" t="s">
        <v>439</v>
      </c>
      <c r="C24" s="5">
        <v>308</v>
      </c>
      <c r="D24" s="38">
        <f t="shared" si="1"/>
        <v>3.2183908045977011E-2</v>
      </c>
      <c r="E24" s="5">
        <f t="shared" si="2"/>
        <v>1260</v>
      </c>
      <c r="F24" s="5">
        <f t="shared" si="7"/>
        <v>1286</v>
      </c>
      <c r="G24" s="5">
        <f t="shared" si="8"/>
        <v>1316</v>
      </c>
      <c r="H24" s="5">
        <f t="shared" si="9"/>
        <v>1338</v>
      </c>
      <c r="I24" s="2"/>
      <c r="K24" s="661" t="s">
        <v>591</v>
      </c>
      <c r="L24" s="2" t="s">
        <v>575</v>
      </c>
      <c r="M24" s="11">
        <f>SUM(M25:M39)</f>
        <v>16765</v>
      </c>
      <c r="N24" s="11">
        <f>SUM(N25:N39)</f>
        <v>17118</v>
      </c>
      <c r="O24" s="11">
        <f>SUM(O25:O39)</f>
        <v>17503</v>
      </c>
      <c r="P24" s="11">
        <f>SUM(P25:P39)</f>
        <v>17803</v>
      </c>
      <c r="Q24" s="2"/>
      <c r="S24" s="661"/>
      <c r="T24" s="2" t="s">
        <v>581</v>
      </c>
      <c r="U24" s="2">
        <v>547</v>
      </c>
      <c r="V24" s="2">
        <v>539</v>
      </c>
      <c r="W24" s="2">
        <v>533</v>
      </c>
      <c r="X24" s="2">
        <v>525</v>
      </c>
      <c r="Y24" s="5">
        <f t="shared" ref="Y24:AB26" si="14">ROUND(Y9*U24/1000,0)</f>
        <v>10391</v>
      </c>
      <c r="Z24" s="5">
        <f t="shared" si="14"/>
        <v>11106</v>
      </c>
      <c r="AA24" s="5">
        <f t="shared" si="14"/>
        <v>11893</v>
      </c>
      <c r="AB24" s="5">
        <f t="shared" si="14"/>
        <v>12577</v>
      </c>
    </row>
    <row r="25" spans="1:28" ht="24.95" customHeight="1">
      <c r="A25" s="661"/>
      <c r="B25" s="2" t="s">
        <v>440</v>
      </c>
      <c r="C25" s="5">
        <v>234</v>
      </c>
      <c r="D25" s="38">
        <f t="shared" si="1"/>
        <v>2.4451410658307211E-2</v>
      </c>
      <c r="E25" s="5">
        <f t="shared" si="2"/>
        <v>957</v>
      </c>
      <c r="F25" s="5">
        <f t="shared" si="7"/>
        <v>977</v>
      </c>
      <c r="G25" s="5">
        <f t="shared" si="8"/>
        <v>1000</v>
      </c>
      <c r="H25" s="5">
        <f t="shared" si="9"/>
        <v>1017</v>
      </c>
      <c r="I25" s="2"/>
      <c r="K25" s="661"/>
      <c r="L25" s="2" t="s">
        <v>443</v>
      </c>
      <c r="M25" s="11">
        <f t="shared" ref="M25:M39" si="15">E27</f>
        <v>3749</v>
      </c>
      <c r="N25" s="11">
        <f t="shared" ref="N25:N39" si="16">F27</f>
        <v>3828</v>
      </c>
      <c r="O25" s="11">
        <f t="shared" ref="O25:O39" si="17">G27</f>
        <v>3914</v>
      </c>
      <c r="P25" s="11">
        <f t="shared" ref="P25:P39" si="18">H27</f>
        <v>3981</v>
      </c>
      <c r="Q25" s="2"/>
      <c r="S25" s="661"/>
      <c r="T25" s="2" t="s">
        <v>582</v>
      </c>
      <c r="U25" s="2">
        <v>547</v>
      </c>
      <c r="V25" s="2">
        <v>539</v>
      </c>
      <c r="W25" s="2">
        <v>533</v>
      </c>
      <c r="X25" s="2">
        <v>525</v>
      </c>
      <c r="Y25" s="5">
        <f t="shared" si="14"/>
        <v>1132</v>
      </c>
      <c r="Z25" s="5">
        <f t="shared" si="14"/>
        <v>1211</v>
      </c>
      <c r="AA25" s="5">
        <f t="shared" si="14"/>
        <v>1296</v>
      </c>
      <c r="AB25" s="5">
        <f t="shared" si="14"/>
        <v>1371</v>
      </c>
    </row>
    <row r="26" spans="1:28" ht="24.95" customHeight="1">
      <c r="A26" s="661" t="s">
        <v>591</v>
      </c>
      <c r="B26" s="2" t="s">
        <v>575</v>
      </c>
      <c r="C26" s="5">
        <f>SUM(C27:C41)</f>
        <v>4051</v>
      </c>
      <c r="D26" s="38">
        <f>C26/$C$4</f>
        <v>0.12722190817159726</v>
      </c>
      <c r="E26" s="5">
        <f>'행정구역별 장래인구'!D5</f>
        <v>16765</v>
      </c>
      <c r="F26" s="5">
        <f>'행정구역별 장래인구'!E5</f>
        <v>17116</v>
      </c>
      <c r="G26" s="5">
        <f>'행정구역별 장래인구'!F5</f>
        <v>17504</v>
      </c>
      <c r="H26" s="5">
        <f>'행정구역별 장래인구'!G5</f>
        <v>17805</v>
      </c>
      <c r="I26" s="2"/>
      <c r="K26" s="661"/>
      <c r="L26" s="2" t="s">
        <v>444</v>
      </c>
      <c r="M26" s="11">
        <f t="shared" si="15"/>
        <v>1759</v>
      </c>
      <c r="N26" s="11">
        <f t="shared" si="16"/>
        <v>1796</v>
      </c>
      <c r="O26" s="11">
        <f t="shared" si="17"/>
        <v>1836</v>
      </c>
      <c r="P26" s="11">
        <f t="shared" si="18"/>
        <v>1868</v>
      </c>
      <c r="Q26" s="2"/>
      <c r="S26" s="661"/>
      <c r="T26" s="2" t="s">
        <v>583</v>
      </c>
      <c r="U26" s="2">
        <v>547</v>
      </c>
      <c r="V26" s="2">
        <v>539</v>
      </c>
      <c r="W26" s="2">
        <v>533</v>
      </c>
      <c r="X26" s="2">
        <v>525</v>
      </c>
      <c r="Y26" s="5">
        <f t="shared" si="14"/>
        <v>1945</v>
      </c>
      <c r="Z26" s="5">
        <f t="shared" si="14"/>
        <v>2079</v>
      </c>
      <c r="AA26" s="5">
        <f t="shared" si="14"/>
        <v>2226</v>
      </c>
      <c r="AB26" s="5">
        <f t="shared" si="14"/>
        <v>2355</v>
      </c>
    </row>
    <row r="27" spans="1:28" ht="24.95" customHeight="1">
      <c r="A27" s="661"/>
      <c r="B27" s="2" t="s">
        <v>443</v>
      </c>
      <c r="C27" s="5">
        <v>906</v>
      </c>
      <c r="D27" s="38">
        <f t="shared" ref="D27:D41" si="19">C27/$C$26</f>
        <v>0.22364848185633177</v>
      </c>
      <c r="E27" s="5">
        <f t="shared" ref="E27:E41" si="20">ROUND($E$26*D27,0)</f>
        <v>3749</v>
      </c>
      <c r="F27" s="5">
        <f t="shared" ref="F27:F41" si="21">ROUND($F$26*D27,0)</f>
        <v>3828</v>
      </c>
      <c r="G27" s="5">
        <f>ROUND($G$26*D27,0)-1</f>
        <v>3914</v>
      </c>
      <c r="H27" s="5">
        <f>ROUND($H$26*D27,0)-1</f>
        <v>3981</v>
      </c>
      <c r="I27" s="2"/>
      <c r="K27" s="661"/>
      <c r="L27" s="2" t="s">
        <v>445</v>
      </c>
      <c r="M27" s="11">
        <f t="shared" si="15"/>
        <v>1995</v>
      </c>
      <c r="N27" s="11">
        <f t="shared" si="16"/>
        <v>2037</v>
      </c>
      <c r="O27" s="11">
        <f t="shared" si="17"/>
        <v>2083</v>
      </c>
      <c r="P27" s="11">
        <f t="shared" si="18"/>
        <v>2118</v>
      </c>
      <c r="Q27" s="2"/>
      <c r="S27" s="661" t="s">
        <v>584</v>
      </c>
      <c r="T27" s="2" t="s">
        <v>575</v>
      </c>
      <c r="U27" s="2"/>
      <c r="V27" s="2"/>
      <c r="W27" s="2"/>
      <c r="X27" s="2"/>
      <c r="Y27" s="5">
        <f>SUM(Y28:Y29)</f>
        <v>6723</v>
      </c>
      <c r="Z27" s="5">
        <f>SUM(Z28:Z29)</f>
        <v>7188</v>
      </c>
      <c r="AA27" s="5">
        <f>SUM(AA28:AA29)</f>
        <v>7697</v>
      </c>
      <c r="AB27" s="5">
        <f>SUM(AB28:AB29)</f>
        <v>8138</v>
      </c>
    </row>
    <row r="28" spans="1:28" ht="24.95" customHeight="1">
      <c r="A28" s="661"/>
      <c r="B28" s="2" t="s">
        <v>444</v>
      </c>
      <c r="C28" s="5">
        <v>425</v>
      </c>
      <c r="D28" s="38">
        <f t="shared" si="19"/>
        <v>0.10491236731671193</v>
      </c>
      <c r="E28" s="5">
        <f t="shared" si="20"/>
        <v>1759</v>
      </c>
      <c r="F28" s="5">
        <f t="shared" si="21"/>
        <v>1796</v>
      </c>
      <c r="G28" s="5">
        <f t="shared" ref="G28:G41" si="22">ROUND($G$26*D28,0)</f>
        <v>1836</v>
      </c>
      <c r="H28" s="5">
        <f t="shared" ref="H28:H41" si="23">ROUND($H$26*D28,0)</f>
        <v>1868</v>
      </c>
      <c r="I28" s="2"/>
      <c r="K28" s="661"/>
      <c r="L28" s="2" t="s">
        <v>446</v>
      </c>
      <c r="M28" s="11">
        <f t="shared" si="15"/>
        <v>1535</v>
      </c>
      <c r="N28" s="11">
        <f t="shared" si="16"/>
        <v>1568</v>
      </c>
      <c r="O28" s="11">
        <f t="shared" si="17"/>
        <v>1603</v>
      </c>
      <c r="P28" s="11">
        <f t="shared" si="18"/>
        <v>1631</v>
      </c>
      <c r="Q28" s="2"/>
      <c r="S28" s="661"/>
      <c r="T28" s="2" t="s">
        <v>585</v>
      </c>
      <c r="U28" s="2">
        <v>547</v>
      </c>
      <c r="V28" s="2">
        <v>539</v>
      </c>
      <c r="W28" s="2">
        <v>533</v>
      </c>
      <c r="X28" s="2">
        <v>525</v>
      </c>
      <c r="Y28" s="5">
        <f t="shared" ref="Y28:AB30" si="24">ROUND(Y13*U28/1000,0)</f>
        <v>1260</v>
      </c>
      <c r="Z28" s="5">
        <f t="shared" si="24"/>
        <v>1347</v>
      </c>
      <c r="AA28" s="5">
        <f t="shared" si="24"/>
        <v>1442</v>
      </c>
      <c r="AB28" s="5">
        <f t="shared" si="24"/>
        <v>1526</v>
      </c>
    </row>
    <row r="29" spans="1:28" ht="24.95" customHeight="1">
      <c r="A29" s="661"/>
      <c r="B29" s="2" t="s">
        <v>445</v>
      </c>
      <c r="C29" s="5">
        <v>482</v>
      </c>
      <c r="D29" s="38">
        <f t="shared" si="19"/>
        <v>0.11898296716860035</v>
      </c>
      <c r="E29" s="5">
        <f t="shared" si="20"/>
        <v>1995</v>
      </c>
      <c r="F29" s="5">
        <f t="shared" si="21"/>
        <v>2037</v>
      </c>
      <c r="G29" s="5">
        <f t="shared" si="22"/>
        <v>2083</v>
      </c>
      <c r="H29" s="5">
        <f t="shared" si="23"/>
        <v>2118</v>
      </c>
      <c r="I29" s="2"/>
      <c r="K29" s="661"/>
      <c r="L29" s="2" t="s">
        <v>447</v>
      </c>
      <c r="M29" s="11">
        <f t="shared" si="15"/>
        <v>790</v>
      </c>
      <c r="N29" s="11">
        <f t="shared" si="16"/>
        <v>807</v>
      </c>
      <c r="O29" s="11">
        <f t="shared" si="17"/>
        <v>825</v>
      </c>
      <c r="P29" s="11">
        <f t="shared" si="18"/>
        <v>839</v>
      </c>
      <c r="Q29" s="2"/>
      <c r="S29" s="661"/>
      <c r="T29" s="2" t="s">
        <v>586</v>
      </c>
      <c r="U29" s="2">
        <v>547</v>
      </c>
      <c r="V29" s="2">
        <v>539</v>
      </c>
      <c r="W29" s="2">
        <v>533</v>
      </c>
      <c r="X29" s="2">
        <v>525</v>
      </c>
      <c r="Y29" s="5">
        <f t="shared" si="24"/>
        <v>5463</v>
      </c>
      <c r="Z29" s="5">
        <f t="shared" si="24"/>
        <v>5841</v>
      </c>
      <c r="AA29" s="5">
        <f t="shared" si="24"/>
        <v>6255</v>
      </c>
      <c r="AB29" s="5">
        <f t="shared" si="24"/>
        <v>6612</v>
      </c>
    </row>
    <row r="30" spans="1:28" ht="24.95" customHeight="1">
      <c r="A30" s="661"/>
      <c r="B30" s="2" t="s">
        <v>446</v>
      </c>
      <c r="C30" s="5">
        <v>371</v>
      </c>
      <c r="D30" s="38">
        <f t="shared" si="19"/>
        <v>9.1582325351764998E-2</v>
      </c>
      <c r="E30" s="5">
        <f t="shared" si="20"/>
        <v>1535</v>
      </c>
      <c r="F30" s="5">
        <f t="shared" si="21"/>
        <v>1568</v>
      </c>
      <c r="G30" s="5">
        <f t="shared" si="22"/>
        <v>1603</v>
      </c>
      <c r="H30" s="5">
        <f t="shared" si="23"/>
        <v>1631</v>
      </c>
      <c r="I30" s="2"/>
      <c r="K30" s="661"/>
      <c r="L30" s="2" t="s">
        <v>448</v>
      </c>
      <c r="M30" s="11">
        <f t="shared" si="15"/>
        <v>1879</v>
      </c>
      <c r="N30" s="11">
        <f t="shared" si="16"/>
        <v>1918</v>
      </c>
      <c r="O30" s="11">
        <f t="shared" si="17"/>
        <v>1962</v>
      </c>
      <c r="P30" s="11">
        <f t="shared" si="18"/>
        <v>1995</v>
      </c>
      <c r="Q30" s="2"/>
      <c r="S30" s="2" t="s">
        <v>587</v>
      </c>
      <c r="T30" s="2" t="s">
        <v>588</v>
      </c>
      <c r="U30" s="2">
        <v>547</v>
      </c>
      <c r="V30" s="2">
        <v>539</v>
      </c>
      <c r="W30" s="2">
        <v>533</v>
      </c>
      <c r="X30" s="2">
        <v>525</v>
      </c>
      <c r="Y30" s="5">
        <f t="shared" si="24"/>
        <v>2605</v>
      </c>
      <c r="Z30" s="5">
        <f t="shared" si="24"/>
        <v>2784</v>
      </c>
      <c r="AA30" s="5">
        <f t="shared" si="24"/>
        <v>2982</v>
      </c>
      <c r="AB30" s="5">
        <f t="shared" si="24"/>
        <v>3154</v>
      </c>
    </row>
    <row r="31" spans="1:28" ht="24.95" customHeight="1">
      <c r="A31" s="661"/>
      <c r="B31" s="2" t="s">
        <v>447</v>
      </c>
      <c r="C31" s="5">
        <v>191</v>
      </c>
      <c r="D31" s="38">
        <f t="shared" si="19"/>
        <v>4.714885213527524E-2</v>
      </c>
      <c r="E31" s="5">
        <f t="shared" si="20"/>
        <v>790</v>
      </c>
      <c r="F31" s="5">
        <f t="shared" si="21"/>
        <v>807</v>
      </c>
      <c r="G31" s="5">
        <f t="shared" si="22"/>
        <v>825</v>
      </c>
      <c r="H31" s="5">
        <f t="shared" si="23"/>
        <v>839</v>
      </c>
      <c r="I31" s="2"/>
      <c r="K31" s="661"/>
      <c r="L31" s="2" t="s">
        <v>449</v>
      </c>
      <c r="M31" s="11">
        <f t="shared" si="15"/>
        <v>1610</v>
      </c>
      <c r="N31" s="11">
        <f t="shared" si="16"/>
        <v>1644</v>
      </c>
      <c r="O31" s="11">
        <f t="shared" si="17"/>
        <v>1681</v>
      </c>
      <c r="P31" s="11">
        <f t="shared" si="18"/>
        <v>1710</v>
      </c>
      <c r="Q31" s="2"/>
      <c r="S31" s="661" t="s">
        <v>575</v>
      </c>
      <c r="T31" s="661"/>
      <c r="U31" s="2"/>
      <c r="V31" s="2"/>
      <c r="W31" s="2"/>
      <c r="X31" s="2"/>
      <c r="Y31" s="5">
        <f>Y19+Y23+Y27+Y30</f>
        <v>60789</v>
      </c>
      <c r="Z31" s="5">
        <f>Z19+Z23+Z27+Z30</f>
        <v>64233</v>
      </c>
      <c r="AA31" s="5">
        <f>AA19+AA23+AA27+AA30</f>
        <v>67660</v>
      </c>
      <c r="AB31" s="5">
        <f>AB19+AB23+AB27+AB30</f>
        <v>70660</v>
      </c>
    </row>
    <row r="32" spans="1:28" ht="24.95" customHeight="1">
      <c r="A32" s="661"/>
      <c r="B32" s="2" t="s">
        <v>448</v>
      </c>
      <c r="C32" s="5">
        <v>454</v>
      </c>
      <c r="D32" s="38">
        <f t="shared" si="19"/>
        <v>0.11207109355714638</v>
      </c>
      <c r="E32" s="5">
        <f t="shared" si="20"/>
        <v>1879</v>
      </c>
      <c r="F32" s="5">
        <f t="shared" si="21"/>
        <v>1918</v>
      </c>
      <c r="G32" s="5">
        <f t="shared" si="22"/>
        <v>1962</v>
      </c>
      <c r="H32" s="5">
        <f t="shared" si="23"/>
        <v>1995</v>
      </c>
      <c r="I32" s="2"/>
      <c r="K32" s="661"/>
      <c r="L32" s="2" t="s">
        <v>450</v>
      </c>
      <c r="M32" s="11">
        <f t="shared" si="15"/>
        <v>443</v>
      </c>
      <c r="N32" s="11">
        <f t="shared" si="16"/>
        <v>452</v>
      </c>
      <c r="O32" s="11">
        <f t="shared" si="17"/>
        <v>462</v>
      </c>
      <c r="P32" s="11">
        <f t="shared" si="18"/>
        <v>470</v>
      </c>
      <c r="Q32" s="2"/>
    </row>
    <row r="33" spans="1:28" ht="24.95" customHeight="1">
      <c r="A33" s="661"/>
      <c r="B33" s="2" t="s">
        <v>449</v>
      </c>
      <c r="C33" s="5">
        <v>389</v>
      </c>
      <c r="D33" s="38">
        <f t="shared" si="19"/>
        <v>9.602567267341397E-2</v>
      </c>
      <c r="E33" s="5">
        <f t="shared" si="20"/>
        <v>1610</v>
      </c>
      <c r="F33" s="5">
        <f t="shared" si="21"/>
        <v>1644</v>
      </c>
      <c r="G33" s="5">
        <f t="shared" si="22"/>
        <v>1681</v>
      </c>
      <c r="H33" s="5">
        <f t="shared" si="23"/>
        <v>1710</v>
      </c>
      <c r="I33" s="2"/>
      <c r="K33" s="661"/>
      <c r="L33" s="2" t="s">
        <v>451</v>
      </c>
      <c r="M33" s="11">
        <f t="shared" si="15"/>
        <v>488</v>
      </c>
      <c r="N33" s="11">
        <f t="shared" si="16"/>
        <v>499</v>
      </c>
      <c r="O33" s="11">
        <f t="shared" si="17"/>
        <v>510</v>
      </c>
      <c r="P33" s="11">
        <f t="shared" si="18"/>
        <v>519</v>
      </c>
      <c r="Q33" s="2"/>
      <c r="S33" s="61" t="s">
        <v>592</v>
      </c>
    </row>
    <row r="34" spans="1:28" ht="24.95" customHeight="1">
      <c r="A34" s="661"/>
      <c r="B34" s="2" t="s">
        <v>450</v>
      </c>
      <c r="C34" s="5">
        <v>107</v>
      </c>
      <c r="D34" s="38">
        <f t="shared" si="19"/>
        <v>2.6413231300913356E-2</v>
      </c>
      <c r="E34" s="5">
        <f t="shared" si="20"/>
        <v>443</v>
      </c>
      <c r="F34" s="5">
        <f t="shared" si="21"/>
        <v>452</v>
      </c>
      <c r="G34" s="5">
        <f t="shared" si="22"/>
        <v>462</v>
      </c>
      <c r="H34" s="5">
        <f t="shared" si="23"/>
        <v>470</v>
      </c>
      <c r="I34" s="2"/>
      <c r="K34" s="661"/>
      <c r="L34" s="2" t="s">
        <v>452</v>
      </c>
      <c r="M34" s="11">
        <f t="shared" si="15"/>
        <v>600</v>
      </c>
      <c r="N34" s="11">
        <f t="shared" si="16"/>
        <v>613</v>
      </c>
      <c r="O34" s="11">
        <f t="shared" si="17"/>
        <v>627</v>
      </c>
      <c r="P34" s="11">
        <f t="shared" si="18"/>
        <v>637</v>
      </c>
      <c r="Q34" s="2"/>
      <c r="S34" s="844" t="s">
        <v>561</v>
      </c>
      <c r="T34" s="845"/>
      <c r="U34" s="661" t="s">
        <v>563</v>
      </c>
      <c r="V34" s="661"/>
      <c r="W34" s="661"/>
      <c r="X34" s="661"/>
      <c r="Y34" s="661" t="s">
        <v>565</v>
      </c>
      <c r="Z34" s="661"/>
      <c r="AA34" s="661"/>
      <c r="AB34" s="661"/>
    </row>
    <row r="35" spans="1:28" ht="24.95" customHeight="1">
      <c r="A35" s="661"/>
      <c r="B35" s="2" t="s">
        <v>451</v>
      </c>
      <c r="C35" s="5">
        <v>118</v>
      </c>
      <c r="D35" s="38">
        <f t="shared" si="19"/>
        <v>2.9128610219698838E-2</v>
      </c>
      <c r="E35" s="5">
        <f t="shared" si="20"/>
        <v>488</v>
      </c>
      <c r="F35" s="5">
        <f t="shared" si="21"/>
        <v>499</v>
      </c>
      <c r="G35" s="5">
        <f t="shared" si="22"/>
        <v>510</v>
      </c>
      <c r="H35" s="5">
        <f t="shared" si="23"/>
        <v>519</v>
      </c>
      <c r="I35" s="2"/>
      <c r="K35" s="661"/>
      <c r="L35" s="2" t="s">
        <v>453</v>
      </c>
      <c r="M35" s="11">
        <f t="shared" si="15"/>
        <v>385</v>
      </c>
      <c r="N35" s="11">
        <f t="shared" si="16"/>
        <v>393</v>
      </c>
      <c r="O35" s="11">
        <f t="shared" si="17"/>
        <v>402</v>
      </c>
      <c r="P35" s="11">
        <f t="shared" si="18"/>
        <v>409</v>
      </c>
      <c r="Q35" s="2"/>
      <c r="S35" s="846"/>
      <c r="T35" s="847"/>
      <c r="U35" s="84" t="s">
        <v>568</v>
      </c>
      <c r="V35" s="84" t="s">
        <v>569</v>
      </c>
      <c r="W35" s="84" t="s">
        <v>570</v>
      </c>
      <c r="X35" s="84" t="s">
        <v>571</v>
      </c>
      <c r="Y35" s="84" t="s">
        <v>568</v>
      </c>
      <c r="Z35" s="84" t="s">
        <v>569</v>
      </c>
      <c r="AA35" s="84" t="s">
        <v>570</v>
      </c>
      <c r="AB35" s="84" t="s">
        <v>571</v>
      </c>
    </row>
    <row r="36" spans="1:28" ht="24.95" customHeight="1">
      <c r="A36" s="661"/>
      <c r="B36" s="2" t="s">
        <v>452</v>
      </c>
      <c r="C36" s="5">
        <v>145</v>
      </c>
      <c r="D36" s="38">
        <f t="shared" si="19"/>
        <v>3.5793631202172306E-2</v>
      </c>
      <c r="E36" s="5">
        <f t="shared" si="20"/>
        <v>600</v>
      </c>
      <c r="F36" s="5">
        <f t="shared" si="21"/>
        <v>613</v>
      </c>
      <c r="G36" s="5">
        <f t="shared" si="22"/>
        <v>627</v>
      </c>
      <c r="H36" s="5">
        <f t="shared" si="23"/>
        <v>637</v>
      </c>
      <c r="I36" s="2"/>
      <c r="K36" s="661"/>
      <c r="L36" s="2" t="s">
        <v>454</v>
      </c>
      <c r="M36" s="11">
        <f t="shared" si="15"/>
        <v>207</v>
      </c>
      <c r="N36" s="11">
        <f t="shared" si="16"/>
        <v>211</v>
      </c>
      <c r="O36" s="11">
        <f t="shared" si="17"/>
        <v>216</v>
      </c>
      <c r="P36" s="11">
        <f t="shared" si="18"/>
        <v>220</v>
      </c>
      <c r="Q36" s="2"/>
      <c r="S36" s="770" t="s">
        <v>574</v>
      </c>
      <c r="T36" s="2" t="s">
        <v>575</v>
      </c>
      <c r="U36" s="11">
        <f t="shared" ref="U36:AB36" si="25">SUM(U37:U39)</f>
        <v>2482</v>
      </c>
      <c r="V36" s="11">
        <f t="shared" si="25"/>
        <v>2482</v>
      </c>
      <c r="W36" s="11">
        <f t="shared" si="25"/>
        <v>2482</v>
      </c>
      <c r="X36" s="11">
        <f t="shared" si="25"/>
        <v>2482</v>
      </c>
      <c r="Y36" s="11">
        <f t="shared" si="25"/>
        <v>2482</v>
      </c>
      <c r="Z36" s="11">
        <f t="shared" si="25"/>
        <v>2482</v>
      </c>
      <c r="AA36" s="11">
        <f t="shared" si="25"/>
        <v>2482</v>
      </c>
      <c r="AB36" s="11">
        <f t="shared" si="25"/>
        <v>2482</v>
      </c>
    </row>
    <row r="37" spans="1:28" ht="24.95" customHeight="1">
      <c r="A37" s="661"/>
      <c r="B37" s="2" t="s">
        <v>453</v>
      </c>
      <c r="C37" s="5">
        <v>93</v>
      </c>
      <c r="D37" s="38">
        <f t="shared" si="19"/>
        <v>2.2957294495186374E-2</v>
      </c>
      <c r="E37" s="5">
        <f t="shared" si="20"/>
        <v>385</v>
      </c>
      <c r="F37" s="5">
        <f t="shared" si="21"/>
        <v>393</v>
      </c>
      <c r="G37" s="5">
        <f t="shared" si="22"/>
        <v>402</v>
      </c>
      <c r="H37" s="5">
        <f t="shared" si="23"/>
        <v>409</v>
      </c>
      <c r="I37" s="2"/>
      <c r="K37" s="661"/>
      <c r="L37" s="2" t="s">
        <v>455</v>
      </c>
      <c r="M37" s="11">
        <f t="shared" si="15"/>
        <v>534</v>
      </c>
      <c r="N37" s="11">
        <f t="shared" si="16"/>
        <v>545</v>
      </c>
      <c r="O37" s="11">
        <f t="shared" si="17"/>
        <v>557</v>
      </c>
      <c r="P37" s="11">
        <f t="shared" si="18"/>
        <v>567</v>
      </c>
      <c r="Q37" s="2"/>
      <c r="S37" s="661"/>
      <c r="T37" s="2" t="s">
        <v>577</v>
      </c>
      <c r="U37" s="11">
        <v>450</v>
      </c>
      <c r="V37" s="11">
        <v>450</v>
      </c>
      <c r="W37" s="11">
        <v>450</v>
      </c>
      <c r="X37" s="11">
        <v>450</v>
      </c>
      <c r="Y37" s="11">
        <v>450</v>
      </c>
      <c r="Z37" s="11">
        <v>450</v>
      </c>
      <c r="AA37" s="11">
        <v>450</v>
      </c>
      <c r="AB37" s="11">
        <v>450</v>
      </c>
    </row>
    <row r="38" spans="1:28" ht="24.95" customHeight="1">
      <c r="A38" s="661"/>
      <c r="B38" s="2" t="s">
        <v>454</v>
      </c>
      <c r="C38" s="5">
        <v>50</v>
      </c>
      <c r="D38" s="38">
        <f t="shared" si="19"/>
        <v>1.2342631449024932E-2</v>
      </c>
      <c r="E38" s="5">
        <f t="shared" si="20"/>
        <v>207</v>
      </c>
      <c r="F38" s="5">
        <f t="shared" si="21"/>
        <v>211</v>
      </c>
      <c r="G38" s="5">
        <f t="shared" si="22"/>
        <v>216</v>
      </c>
      <c r="H38" s="5">
        <f t="shared" si="23"/>
        <v>220</v>
      </c>
      <c r="I38" s="2"/>
      <c r="K38" s="661"/>
      <c r="L38" s="2" t="s">
        <v>456</v>
      </c>
      <c r="M38" s="11">
        <f t="shared" si="15"/>
        <v>348</v>
      </c>
      <c r="N38" s="11">
        <f t="shared" si="16"/>
        <v>355</v>
      </c>
      <c r="O38" s="11">
        <f t="shared" si="17"/>
        <v>363</v>
      </c>
      <c r="P38" s="11">
        <f t="shared" si="18"/>
        <v>369</v>
      </c>
      <c r="Q38" s="2"/>
      <c r="S38" s="661"/>
      <c r="T38" s="2" t="s">
        <v>578</v>
      </c>
      <c r="U38" s="11">
        <v>1512</v>
      </c>
      <c r="V38" s="11">
        <v>1512</v>
      </c>
      <c r="W38" s="11">
        <v>1512</v>
      </c>
      <c r="X38" s="11">
        <v>1512</v>
      </c>
      <c r="Y38" s="11">
        <v>1512</v>
      </c>
      <c r="Z38" s="11">
        <v>1512</v>
      </c>
      <c r="AA38" s="11">
        <v>1512</v>
      </c>
      <c r="AB38" s="11">
        <v>1512</v>
      </c>
    </row>
    <row r="39" spans="1:28" ht="24.95" customHeight="1">
      <c r="A39" s="661"/>
      <c r="B39" s="2" t="s">
        <v>455</v>
      </c>
      <c r="C39" s="5">
        <v>129</v>
      </c>
      <c r="D39" s="38">
        <f t="shared" si="19"/>
        <v>3.1843989138484324E-2</v>
      </c>
      <c r="E39" s="5">
        <f t="shared" si="20"/>
        <v>534</v>
      </c>
      <c r="F39" s="5">
        <f t="shared" si="21"/>
        <v>545</v>
      </c>
      <c r="G39" s="5">
        <f t="shared" si="22"/>
        <v>557</v>
      </c>
      <c r="H39" s="5">
        <f t="shared" si="23"/>
        <v>567</v>
      </c>
      <c r="I39" s="2"/>
      <c r="K39" s="661"/>
      <c r="L39" s="2" t="s">
        <v>457</v>
      </c>
      <c r="M39" s="11">
        <f t="shared" si="15"/>
        <v>443</v>
      </c>
      <c r="N39" s="11">
        <f t="shared" si="16"/>
        <v>452</v>
      </c>
      <c r="O39" s="11">
        <f t="shared" si="17"/>
        <v>462</v>
      </c>
      <c r="P39" s="11">
        <f t="shared" si="18"/>
        <v>470</v>
      </c>
      <c r="Q39" s="2"/>
      <c r="S39" s="661"/>
      <c r="T39" s="2" t="s">
        <v>579</v>
      </c>
      <c r="U39" s="11">
        <v>520</v>
      </c>
      <c r="V39" s="11">
        <v>520</v>
      </c>
      <c r="W39" s="11">
        <v>520</v>
      </c>
      <c r="X39" s="11">
        <v>520</v>
      </c>
      <c r="Y39" s="11">
        <v>520</v>
      </c>
      <c r="Z39" s="11">
        <v>520</v>
      </c>
      <c r="AA39" s="11">
        <v>520</v>
      </c>
      <c r="AB39" s="11">
        <v>520</v>
      </c>
    </row>
    <row r="40" spans="1:28" ht="24.95" customHeight="1">
      <c r="A40" s="661"/>
      <c r="B40" s="2" t="s">
        <v>456</v>
      </c>
      <c r="C40" s="5">
        <v>84</v>
      </c>
      <c r="D40" s="38">
        <f t="shared" si="19"/>
        <v>2.0735620834361885E-2</v>
      </c>
      <c r="E40" s="5">
        <f t="shared" si="20"/>
        <v>348</v>
      </c>
      <c r="F40" s="5">
        <f t="shared" si="21"/>
        <v>355</v>
      </c>
      <c r="G40" s="5">
        <f t="shared" si="22"/>
        <v>363</v>
      </c>
      <c r="H40" s="5">
        <f t="shared" si="23"/>
        <v>369</v>
      </c>
      <c r="I40" s="2"/>
      <c r="K40" s="661" t="s">
        <v>593</v>
      </c>
      <c r="L40" s="2" t="s">
        <v>575</v>
      </c>
      <c r="M40" s="11">
        <f>SUM(M41:M52)</f>
        <v>24879</v>
      </c>
      <c r="N40" s="11">
        <f>SUM(N41:N52)</f>
        <v>25399</v>
      </c>
      <c r="O40" s="11">
        <f>SUM(O41:O52)</f>
        <v>25977</v>
      </c>
      <c r="P40" s="11">
        <f>SUM(P41:P52)</f>
        <v>26423</v>
      </c>
      <c r="Q40" s="2"/>
      <c r="S40" s="770" t="s">
        <v>580</v>
      </c>
      <c r="T40" s="2" t="s">
        <v>575</v>
      </c>
      <c r="U40" s="11">
        <f t="shared" ref="U40:AB40" si="26">SUM(U41:U43)</f>
        <v>1315</v>
      </c>
      <c r="V40" s="11">
        <f t="shared" si="26"/>
        <v>1315</v>
      </c>
      <c r="W40" s="11">
        <f t="shared" si="26"/>
        <v>1315</v>
      </c>
      <c r="X40" s="11">
        <f t="shared" si="26"/>
        <v>1315</v>
      </c>
      <c r="Y40" s="11">
        <f t="shared" si="26"/>
        <v>1315</v>
      </c>
      <c r="Z40" s="11">
        <f t="shared" si="26"/>
        <v>1315</v>
      </c>
      <c r="AA40" s="11">
        <f t="shared" si="26"/>
        <v>1315</v>
      </c>
      <c r="AB40" s="11">
        <f t="shared" si="26"/>
        <v>1315</v>
      </c>
    </row>
    <row r="41" spans="1:28" ht="24.95" customHeight="1">
      <c r="A41" s="661"/>
      <c r="B41" s="2" t="s">
        <v>457</v>
      </c>
      <c r="C41" s="5">
        <v>107</v>
      </c>
      <c r="D41" s="38">
        <f t="shared" si="19"/>
        <v>2.6413231300913356E-2</v>
      </c>
      <c r="E41" s="5">
        <f t="shared" si="20"/>
        <v>443</v>
      </c>
      <c r="F41" s="5">
        <f t="shared" si="21"/>
        <v>452</v>
      </c>
      <c r="G41" s="5">
        <f t="shared" si="22"/>
        <v>462</v>
      </c>
      <c r="H41" s="5">
        <f t="shared" si="23"/>
        <v>470</v>
      </c>
      <c r="I41" s="2"/>
      <c r="K41" s="661"/>
      <c r="L41" s="2" t="s">
        <v>459</v>
      </c>
      <c r="M41" s="11">
        <f t="shared" ref="M41:M49" si="27">E43</f>
        <v>4024</v>
      </c>
      <c r="N41" s="11">
        <f t="shared" ref="N41:N49" si="28">F43</f>
        <v>4109</v>
      </c>
      <c r="O41" s="11">
        <f t="shared" ref="O41:O49" si="29">G43</f>
        <v>4203</v>
      </c>
      <c r="P41" s="11">
        <f t="shared" ref="P41:P49" si="30">H43</f>
        <v>4274</v>
      </c>
      <c r="Q41" s="2"/>
      <c r="S41" s="661"/>
      <c r="T41" s="2" t="s">
        <v>581</v>
      </c>
      <c r="U41" s="11">
        <v>285</v>
      </c>
      <c r="V41" s="11">
        <v>285</v>
      </c>
      <c r="W41" s="11">
        <v>285</v>
      </c>
      <c r="X41" s="11">
        <v>285</v>
      </c>
      <c r="Y41" s="11">
        <v>285</v>
      </c>
      <c r="Z41" s="11">
        <v>285</v>
      </c>
      <c r="AA41" s="11">
        <v>285</v>
      </c>
      <c r="AB41" s="11">
        <v>285</v>
      </c>
    </row>
    <row r="42" spans="1:28" ht="24.95" customHeight="1">
      <c r="A42" s="661" t="s">
        <v>593</v>
      </c>
      <c r="B42" s="2" t="s">
        <v>575</v>
      </c>
      <c r="C42" s="5">
        <f>SUM(C43:C59)</f>
        <v>8184</v>
      </c>
      <c r="D42" s="38">
        <f>C42/$C$4</f>
        <v>0.25701903146787264</v>
      </c>
      <c r="E42" s="5">
        <f>'행정구역별 장래인구'!D6+'행정구역별 장래인구'!D7+'행정구역별 장래인구'!D8</f>
        <v>33374</v>
      </c>
      <c r="F42" s="5">
        <f>'행정구역별 장래인구'!E6+'행정구역별 장래인구'!E7+'행정구역별 장래인구'!E8</f>
        <v>34072</v>
      </c>
      <c r="G42" s="5">
        <f>'행정구역별 장래인구'!F6+'행정구역별 장래인구'!F7+'행정구역별 장래인구'!F8</f>
        <v>34845</v>
      </c>
      <c r="H42" s="5">
        <f>'행정구역별 장래인구'!G6+'행정구역별 장래인구'!G7+'행정구역별 장래인구'!G8</f>
        <v>35444</v>
      </c>
      <c r="I42" s="2"/>
      <c r="K42" s="661"/>
      <c r="L42" s="2" t="s">
        <v>460</v>
      </c>
      <c r="M42" s="11">
        <f t="shared" si="27"/>
        <v>1550</v>
      </c>
      <c r="N42" s="11">
        <f t="shared" si="28"/>
        <v>1582</v>
      </c>
      <c r="O42" s="11">
        <f t="shared" si="29"/>
        <v>1618</v>
      </c>
      <c r="P42" s="11">
        <f t="shared" si="30"/>
        <v>1646</v>
      </c>
      <c r="Q42" s="2"/>
      <c r="S42" s="661"/>
      <c r="T42" s="2" t="s">
        <v>582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</row>
    <row r="43" spans="1:28" ht="24.95" customHeight="1">
      <c r="A43" s="661"/>
      <c r="B43" s="2" t="s">
        <v>459</v>
      </c>
      <c r="C43" s="5">
        <v>987</v>
      </c>
      <c r="D43" s="38">
        <f t="shared" ref="D43:D59" si="31">C43/$C$42</f>
        <v>0.12060117302052786</v>
      </c>
      <c r="E43" s="5">
        <f>ROUND($E$42*D43,0)-1</f>
        <v>4024</v>
      </c>
      <c r="F43" s="5">
        <f t="shared" ref="F43:F59" si="32">ROUND($F$42*D43,0)</f>
        <v>4109</v>
      </c>
      <c r="G43" s="5">
        <f>ROUND($G$42*D43,0)+1</f>
        <v>4203</v>
      </c>
      <c r="H43" s="5">
        <f>ROUND($H$42*D43,0)-1</f>
        <v>4274</v>
      </c>
      <c r="I43" s="2"/>
      <c r="K43" s="661"/>
      <c r="L43" s="2" t="s">
        <v>461</v>
      </c>
      <c r="M43" s="11">
        <f t="shared" si="27"/>
        <v>4926</v>
      </c>
      <c r="N43" s="11">
        <f t="shared" si="28"/>
        <v>5029</v>
      </c>
      <c r="O43" s="11">
        <f t="shared" si="29"/>
        <v>5143</v>
      </c>
      <c r="P43" s="11">
        <f t="shared" si="30"/>
        <v>5232</v>
      </c>
      <c r="Q43" s="2"/>
      <c r="S43" s="661"/>
      <c r="T43" s="2" t="s">
        <v>583</v>
      </c>
      <c r="U43" s="11">
        <v>1030</v>
      </c>
      <c r="V43" s="11">
        <v>1030</v>
      </c>
      <c r="W43" s="11">
        <v>1030</v>
      </c>
      <c r="X43" s="11">
        <v>1030</v>
      </c>
      <c r="Y43" s="11">
        <v>1030</v>
      </c>
      <c r="Z43" s="11">
        <v>1030</v>
      </c>
      <c r="AA43" s="11">
        <v>1030</v>
      </c>
      <c r="AB43" s="11">
        <v>1030</v>
      </c>
    </row>
    <row r="44" spans="1:28" ht="24.95" customHeight="1">
      <c r="A44" s="661"/>
      <c r="B44" s="2" t="s">
        <v>460</v>
      </c>
      <c r="C44" s="5">
        <v>380</v>
      </c>
      <c r="D44" s="38">
        <f t="shared" si="31"/>
        <v>4.643206256109482E-2</v>
      </c>
      <c r="E44" s="5">
        <f t="shared" ref="E44:E59" si="33">ROUND($E$42*D44,0)</f>
        <v>1550</v>
      </c>
      <c r="F44" s="5">
        <f t="shared" si="32"/>
        <v>1582</v>
      </c>
      <c r="G44" s="5">
        <f t="shared" ref="G44:G59" si="34">ROUND($G$42*D44,0)</f>
        <v>1618</v>
      </c>
      <c r="H44" s="5">
        <f t="shared" ref="H44:H59" si="35">ROUND($H$42*D44,0)</f>
        <v>1646</v>
      </c>
      <c r="I44" s="2"/>
      <c r="K44" s="661"/>
      <c r="L44" s="2" t="s">
        <v>462</v>
      </c>
      <c r="M44" s="11">
        <f t="shared" si="27"/>
        <v>1647</v>
      </c>
      <c r="N44" s="11">
        <f t="shared" si="28"/>
        <v>1682</v>
      </c>
      <c r="O44" s="11">
        <f t="shared" si="29"/>
        <v>1720</v>
      </c>
      <c r="P44" s="11">
        <f t="shared" si="30"/>
        <v>1750</v>
      </c>
      <c r="Q44" s="2"/>
      <c r="S44" s="661" t="s">
        <v>584</v>
      </c>
      <c r="T44" s="2" t="s">
        <v>575</v>
      </c>
      <c r="U44" s="11">
        <f t="shared" ref="U44:AB44" si="36">SUM(U45:U46)</f>
        <v>141</v>
      </c>
      <c r="V44" s="11">
        <f t="shared" si="36"/>
        <v>141</v>
      </c>
      <c r="W44" s="11">
        <f t="shared" si="36"/>
        <v>141</v>
      </c>
      <c r="X44" s="11">
        <f t="shared" si="36"/>
        <v>141</v>
      </c>
      <c r="Y44" s="11">
        <f t="shared" si="36"/>
        <v>141</v>
      </c>
      <c r="Z44" s="11">
        <f t="shared" si="36"/>
        <v>141</v>
      </c>
      <c r="AA44" s="11">
        <f t="shared" si="36"/>
        <v>141</v>
      </c>
      <c r="AB44" s="11">
        <f t="shared" si="36"/>
        <v>141</v>
      </c>
    </row>
    <row r="45" spans="1:28" ht="24.95" customHeight="1">
      <c r="A45" s="661"/>
      <c r="B45" s="2" t="s">
        <v>461</v>
      </c>
      <c r="C45" s="5">
        <v>1208</v>
      </c>
      <c r="D45" s="38">
        <f t="shared" si="31"/>
        <v>0.14760508308895406</v>
      </c>
      <c r="E45" s="5">
        <f t="shared" si="33"/>
        <v>4926</v>
      </c>
      <c r="F45" s="5">
        <f t="shared" si="32"/>
        <v>5029</v>
      </c>
      <c r="G45" s="5">
        <f t="shared" si="34"/>
        <v>5143</v>
      </c>
      <c r="H45" s="5">
        <f t="shared" si="35"/>
        <v>5232</v>
      </c>
      <c r="I45" s="2"/>
      <c r="K45" s="661"/>
      <c r="L45" s="2" t="s">
        <v>463</v>
      </c>
      <c r="M45" s="11">
        <f t="shared" si="27"/>
        <v>1403</v>
      </c>
      <c r="N45" s="11">
        <f t="shared" si="28"/>
        <v>1432</v>
      </c>
      <c r="O45" s="11">
        <f t="shared" si="29"/>
        <v>1465</v>
      </c>
      <c r="P45" s="11">
        <f t="shared" si="30"/>
        <v>1490</v>
      </c>
      <c r="Q45" s="2"/>
      <c r="S45" s="661"/>
      <c r="T45" s="2" t="s">
        <v>585</v>
      </c>
      <c r="U45" s="11">
        <v>141</v>
      </c>
      <c r="V45" s="11">
        <v>141</v>
      </c>
      <c r="W45" s="11">
        <v>141</v>
      </c>
      <c r="X45" s="11">
        <v>141</v>
      </c>
      <c r="Y45" s="11">
        <v>141</v>
      </c>
      <c r="Z45" s="11">
        <v>141</v>
      </c>
      <c r="AA45" s="11">
        <v>141</v>
      </c>
      <c r="AB45" s="11">
        <v>141</v>
      </c>
    </row>
    <row r="46" spans="1:28" ht="24.95" customHeight="1">
      <c r="A46" s="661"/>
      <c r="B46" s="2" t="s">
        <v>462</v>
      </c>
      <c r="C46" s="5">
        <v>404</v>
      </c>
      <c r="D46" s="38">
        <f t="shared" si="31"/>
        <v>4.9364613880742911E-2</v>
      </c>
      <c r="E46" s="5">
        <f t="shared" si="33"/>
        <v>1647</v>
      </c>
      <c r="F46" s="5">
        <f t="shared" si="32"/>
        <v>1682</v>
      </c>
      <c r="G46" s="5">
        <f t="shared" si="34"/>
        <v>1720</v>
      </c>
      <c r="H46" s="5">
        <f t="shared" si="35"/>
        <v>1750</v>
      </c>
      <c r="I46" s="2"/>
      <c r="K46" s="661"/>
      <c r="L46" s="2" t="s">
        <v>464</v>
      </c>
      <c r="M46" s="11">
        <f t="shared" si="27"/>
        <v>3218</v>
      </c>
      <c r="N46" s="11">
        <f t="shared" si="28"/>
        <v>3285</v>
      </c>
      <c r="O46" s="11">
        <f t="shared" si="29"/>
        <v>3359</v>
      </c>
      <c r="P46" s="11">
        <f t="shared" si="30"/>
        <v>3417</v>
      </c>
      <c r="Q46" s="2"/>
      <c r="S46" s="661"/>
      <c r="T46" s="2" t="s">
        <v>586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</row>
    <row r="47" spans="1:28" ht="24.95" customHeight="1">
      <c r="A47" s="661"/>
      <c r="B47" s="2" t="s">
        <v>463</v>
      </c>
      <c r="C47" s="5">
        <v>344</v>
      </c>
      <c r="D47" s="38">
        <f t="shared" si="31"/>
        <v>4.2033235581622676E-2</v>
      </c>
      <c r="E47" s="5">
        <f t="shared" si="33"/>
        <v>1403</v>
      </c>
      <c r="F47" s="5">
        <f t="shared" si="32"/>
        <v>1432</v>
      </c>
      <c r="G47" s="5">
        <f t="shared" si="34"/>
        <v>1465</v>
      </c>
      <c r="H47" s="5">
        <f t="shared" si="35"/>
        <v>1490</v>
      </c>
      <c r="I47" s="2"/>
      <c r="K47" s="661"/>
      <c r="L47" s="2" t="s">
        <v>465</v>
      </c>
      <c r="M47" s="11">
        <f t="shared" si="27"/>
        <v>3523</v>
      </c>
      <c r="N47" s="11">
        <f t="shared" si="28"/>
        <v>3597</v>
      </c>
      <c r="O47" s="11">
        <f t="shared" si="29"/>
        <v>3679</v>
      </c>
      <c r="P47" s="11">
        <f t="shared" si="30"/>
        <v>3742</v>
      </c>
      <c r="Q47" s="2"/>
      <c r="S47" s="2" t="s">
        <v>587</v>
      </c>
      <c r="T47" s="2" t="s">
        <v>588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</row>
    <row r="48" spans="1:28" ht="24.95" customHeight="1">
      <c r="A48" s="661"/>
      <c r="B48" s="2" t="s">
        <v>464</v>
      </c>
      <c r="C48" s="5">
        <v>789</v>
      </c>
      <c r="D48" s="38">
        <f t="shared" si="31"/>
        <v>9.6407624633431083E-2</v>
      </c>
      <c r="E48" s="5">
        <f t="shared" si="33"/>
        <v>3218</v>
      </c>
      <c r="F48" s="5">
        <f t="shared" si="32"/>
        <v>3285</v>
      </c>
      <c r="G48" s="5">
        <f t="shared" si="34"/>
        <v>3359</v>
      </c>
      <c r="H48" s="5">
        <f t="shared" si="35"/>
        <v>3417</v>
      </c>
      <c r="I48" s="2"/>
      <c r="K48" s="661"/>
      <c r="L48" s="2" t="s">
        <v>466</v>
      </c>
      <c r="M48" s="11">
        <f t="shared" si="27"/>
        <v>730</v>
      </c>
      <c r="N48" s="11">
        <f t="shared" si="28"/>
        <v>745</v>
      </c>
      <c r="O48" s="11">
        <f t="shared" si="29"/>
        <v>762</v>
      </c>
      <c r="P48" s="11">
        <f t="shared" si="30"/>
        <v>775</v>
      </c>
      <c r="Q48" s="2"/>
      <c r="S48" s="661" t="s">
        <v>575</v>
      </c>
      <c r="T48" s="661"/>
      <c r="U48" s="11">
        <f t="shared" ref="U48:AB48" si="37">U36+U40+U44+U47</f>
        <v>3938</v>
      </c>
      <c r="V48" s="11">
        <f t="shared" si="37"/>
        <v>3938</v>
      </c>
      <c r="W48" s="11">
        <f t="shared" si="37"/>
        <v>3938</v>
      </c>
      <c r="X48" s="11">
        <f t="shared" si="37"/>
        <v>3938</v>
      </c>
      <c r="Y48" s="11">
        <f t="shared" si="37"/>
        <v>3938</v>
      </c>
      <c r="Z48" s="11">
        <f t="shared" si="37"/>
        <v>3938</v>
      </c>
      <c r="AA48" s="11">
        <f t="shared" si="37"/>
        <v>3938</v>
      </c>
      <c r="AB48" s="11">
        <f t="shared" si="37"/>
        <v>3938</v>
      </c>
    </row>
    <row r="49" spans="1:28" ht="24.95" customHeight="1">
      <c r="A49" s="661"/>
      <c r="B49" s="2" t="s">
        <v>465</v>
      </c>
      <c r="C49" s="5">
        <v>864</v>
      </c>
      <c r="D49" s="38">
        <f t="shared" si="31"/>
        <v>0.10557184750733138</v>
      </c>
      <c r="E49" s="5">
        <f t="shared" si="33"/>
        <v>3523</v>
      </c>
      <c r="F49" s="5">
        <f t="shared" si="32"/>
        <v>3597</v>
      </c>
      <c r="G49" s="5">
        <f t="shared" si="34"/>
        <v>3679</v>
      </c>
      <c r="H49" s="5">
        <f t="shared" si="35"/>
        <v>3742</v>
      </c>
      <c r="I49" s="2"/>
      <c r="K49" s="661"/>
      <c r="L49" s="2" t="s">
        <v>467</v>
      </c>
      <c r="M49" s="11">
        <f t="shared" si="27"/>
        <v>1293</v>
      </c>
      <c r="N49" s="11">
        <f t="shared" si="28"/>
        <v>1320</v>
      </c>
      <c r="O49" s="11">
        <f t="shared" si="29"/>
        <v>1350</v>
      </c>
      <c r="P49" s="11">
        <f t="shared" si="30"/>
        <v>1373</v>
      </c>
      <c r="Q49" s="2"/>
      <c r="S49" s="844" t="s">
        <v>561</v>
      </c>
      <c r="T49" s="845"/>
      <c r="U49" s="661" t="s">
        <v>589</v>
      </c>
      <c r="V49" s="661"/>
      <c r="W49" s="661"/>
      <c r="X49" s="661"/>
      <c r="Y49" s="661" t="s">
        <v>590</v>
      </c>
      <c r="Z49" s="661"/>
      <c r="AA49" s="661"/>
      <c r="AB49" s="661"/>
    </row>
    <row r="50" spans="1:28" ht="24.95" customHeight="1">
      <c r="A50" s="661"/>
      <c r="B50" s="2" t="s">
        <v>466</v>
      </c>
      <c r="C50" s="5">
        <v>179</v>
      </c>
      <c r="D50" s="38">
        <f t="shared" si="31"/>
        <v>2.1871945259042035E-2</v>
      </c>
      <c r="E50" s="5">
        <f t="shared" si="33"/>
        <v>730</v>
      </c>
      <c r="F50" s="5">
        <f t="shared" si="32"/>
        <v>745</v>
      </c>
      <c r="G50" s="5">
        <f t="shared" si="34"/>
        <v>762</v>
      </c>
      <c r="H50" s="5">
        <f t="shared" si="35"/>
        <v>775</v>
      </c>
      <c r="I50" s="2"/>
      <c r="K50" s="661"/>
      <c r="L50" s="2" t="s">
        <v>470</v>
      </c>
      <c r="M50" s="11">
        <f t="shared" ref="M50:P52" si="38">E54</f>
        <v>881</v>
      </c>
      <c r="N50" s="11">
        <f t="shared" si="38"/>
        <v>899</v>
      </c>
      <c r="O50" s="11">
        <f t="shared" si="38"/>
        <v>920</v>
      </c>
      <c r="P50" s="11">
        <f t="shared" si="38"/>
        <v>935</v>
      </c>
      <c r="Q50" s="2"/>
      <c r="S50" s="846"/>
      <c r="T50" s="847"/>
      <c r="U50" s="2" t="s">
        <v>568</v>
      </c>
      <c r="V50" s="2" t="s">
        <v>569</v>
      </c>
      <c r="W50" s="2" t="s">
        <v>570</v>
      </c>
      <c r="X50" s="2" t="s">
        <v>571</v>
      </c>
      <c r="Y50" s="2" t="s">
        <v>568</v>
      </c>
      <c r="Z50" s="2" t="s">
        <v>569</v>
      </c>
      <c r="AA50" s="2" t="s">
        <v>570</v>
      </c>
      <c r="AB50" s="2" t="s">
        <v>571</v>
      </c>
    </row>
    <row r="51" spans="1:28" ht="24.95" customHeight="1">
      <c r="A51" s="661"/>
      <c r="B51" s="2" t="s">
        <v>467</v>
      </c>
      <c r="C51" s="5">
        <v>317</v>
      </c>
      <c r="D51" s="38">
        <f t="shared" si="31"/>
        <v>3.8734115347018573E-2</v>
      </c>
      <c r="E51" s="5">
        <f t="shared" si="33"/>
        <v>1293</v>
      </c>
      <c r="F51" s="5">
        <f t="shared" si="32"/>
        <v>1320</v>
      </c>
      <c r="G51" s="5">
        <f t="shared" si="34"/>
        <v>1350</v>
      </c>
      <c r="H51" s="5">
        <f t="shared" si="35"/>
        <v>1373</v>
      </c>
      <c r="I51" s="2"/>
      <c r="K51" s="661"/>
      <c r="L51" s="2" t="s">
        <v>471</v>
      </c>
      <c r="M51" s="11">
        <f t="shared" si="38"/>
        <v>1109</v>
      </c>
      <c r="N51" s="11">
        <f t="shared" si="38"/>
        <v>1132</v>
      </c>
      <c r="O51" s="11">
        <f t="shared" si="38"/>
        <v>1158</v>
      </c>
      <c r="P51" s="11">
        <f t="shared" si="38"/>
        <v>1178</v>
      </c>
      <c r="Q51" s="2"/>
      <c r="S51" s="770" t="s">
        <v>574</v>
      </c>
      <c r="T51" s="2" t="s">
        <v>575</v>
      </c>
      <c r="U51" s="2"/>
      <c r="V51" s="2"/>
      <c r="W51" s="2"/>
      <c r="X51" s="2"/>
      <c r="Y51" s="5">
        <f>SUM(Y52:Y54)</f>
        <v>1504</v>
      </c>
      <c r="Z51" s="5">
        <f>SUM(Z52:Z54)</f>
        <v>1456</v>
      </c>
      <c r="AA51" s="5">
        <f>SUM(AA52:AA54)</f>
        <v>1401</v>
      </c>
      <c r="AB51" s="5">
        <f>SUM(AB52:AB54)</f>
        <v>1353</v>
      </c>
    </row>
    <row r="52" spans="1:28" ht="24.95" customHeight="1">
      <c r="A52" s="661"/>
      <c r="B52" s="2" t="s">
        <v>468</v>
      </c>
      <c r="C52" s="5">
        <v>239</v>
      </c>
      <c r="D52" s="38">
        <f t="shared" si="31"/>
        <v>2.9203323558162266E-2</v>
      </c>
      <c r="E52" s="5">
        <f t="shared" si="33"/>
        <v>975</v>
      </c>
      <c r="F52" s="5">
        <f t="shared" si="32"/>
        <v>995</v>
      </c>
      <c r="G52" s="5">
        <f t="shared" si="34"/>
        <v>1018</v>
      </c>
      <c r="H52" s="5">
        <f t="shared" si="35"/>
        <v>1035</v>
      </c>
      <c r="I52" s="2"/>
      <c r="K52" s="661"/>
      <c r="L52" s="2" t="s">
        <v>472</v>
      </c>
      <c r="M52" s="11">
        <f t="shared" si="38"/>
        <v>575</v>
      </c>
      <c r="N52" s="11">
        <f t="shared" si="38"/>
        <v>587</v>
      </c>
      <c r="O52" s="11">
        <f t="shared" si="38"/>
        <v>600</v>
      </c>
      <c r="P52" s="11">
        <f t="shared" si="38"/>
        <v>611</v>
      </c>
      <c r="Q52" s="2"/>
      <c r="S52" s="661"/>
      <c r="T52" s="2" t="s">
        <v>577</v>
      </c>
      <c r="U52" s="2">
        <v>622</v>
      </c>
      <c r="V52" s="2">
        <v>599</v>
      </c>
      <c r="W52" s="2">
        <v>573</v>
      </c>
      <c r="X52" s="2">
        <v>550</v>
      </c>
      <c r="Y52" s="5">
        <f t="shared" ref="Y52:AB54" si="39">ROUND(Y37*U52/1000,0)</f>
        <v>280</v>
      </c>
      <c r="Z52" s="5">
        <f t="shared" si="39"/>
        <v>270</v>
      </c>
      <c r="AA52" s="5">
        <f t="shared" si="39"/>
        <v>258</v>
      </c>
      <c r="AB52" s="5">
        <f t="shared" si="39"/>
        <v>248</v>
      </c>
    </row>
    <row r="53" spans="1:28" ht="24.95" customHeight="1">
      <c r="A53" s="661"/>
      <c r="B53" s="2" t="s">
        <v>469</v>
      </c>
      <c r="C53" s="5">
        <v>384</v>
      </c>
      <c r="D53" s="38">
        <f t="shared" si="31"/>
        <v>4.6920821114369501E-2</v>
      </c>
      <c r="E53" s="5">
        <f t="shared" si="33"/>
        <v>1566</v>
      </c>
      <c r="F53" s="5">
        <f t="shared" si="32"/>
        <v>1599</v>
      </c>
      <c r="G53" s="5">
        <f t="shared" si="34"/>
        <v>1635</v>
      </c>
      <c r="H53" s="5">
        <f t="shared" si="35"/>
        <v>1663</v>
      </c>
      <c r="I53" s="2"/>
      <c r="S53" s="661"/>
      <c r="T53" s="2" t="s">
        <v>578</v>
      </c>
      <c r="U53" s="2">
        <v>622</v>
      </c>
      <c r="V53" s="2">
        <v>599</v>
      </c>
      <c r="W53" s="2">
        <v>573</v>
      </c>
      <c r="X53" s="2">
        <v>550</v>
      </c>
      <c r="Y53" s="5">
        <f t="shared" si="39"/>
        <v>940</v>
      </c>
      <c r="Z53" s="5">
        <f t="shared" si="39"/>
        <v>906</v>
      </c>
      <c r="AA53" s="5">
        <f t="shared" si="39"/>
        <v>866</v>
      </c>
      <c r="AB53" s="5">
        <f t="shared" si="39"/>
        <v>832</v>
      </c>
    </row>
    <row r="54" spans="1:28" ht="24.95" customHeight="1">
      <c r="A54" s="661"/>
      <c r="B54" s="2" t="s">
        <v>470</v>
      </c>
      <c r="C54" s="5">
        <v>216</v>
      </c>
      <c r="D54" s="38">
        <f t="shared" si="31"/>
        <v>2.6392961876832845E-2</v>
      </c>
      <c r="E54" s="5">
        <f t="shared" si="33"/>
        <v>881</v>
      </c>
      <c r="F54" s="5">
        <f t="shared" si="32"/>
        <v>899</v>
      </c>
      <c r="G54" s="5">
        <f t="shared" si="34"/>
        <v>920</v>
      </c>
      <c r="H54" s="5">
        <f t="shared" si="35"/>
        <v>935</v>
      </c>
      <c r="I54" s="2"/>
      <c r="K54" s="61" t="s">
        <v>594</v>
      </c>
      <c r="S54" s="661"/>
      <c r="T54" s="2" t="s">
        <v>579</v>
      </c>
      <c r="U54" s="2">
        <v>547</v>
      </c>
      <c r="V54" s="2">
        <v>539</v>
      </c>
      <c r="W54" s="2">
        <v>533</v>
      </c>
      <c r="X54" s="2">
        <v>525</v>
      </c>
      <c r="Y54" s="5">
        <f t="shared" si="39"/>
        <v>284</v>
      </c>
      <c r="Z54" s="5">
        <f t="shared" si="39"/>
        <v>280</v>
      </c>
      <c r="AA54" s="5">
        <f t="shared" si="39"/>
        <v>277</v>
      </c>
      <c r="AB54" s="5">
        <f t="shared" si="39"/>
        <v>273</v>
      </c>
    </row>
    <row r="55" spans="1:28" ht="24.95" customHeight="1">
      <c r="A55" s="661"/>
      <c r="B55" s="2" t="s">
        <v>471</v>
      </c>
      <c r="C55" s="5">
        <v>272</v>
      </c>
      <c r="D55" s="38">
        <f t="shared" si="31"/>
        <v>3.3235581622678395E-2</v>
      </c>
      <c r="E55" s="5">
        <f t="shared" si="33"/>
        <v>1109</v>
      </c>
      <c r="F55" s="5">
        <f t="shared" si="32"/>
        <v>1132</v>
      </c>
      <c r="G55" s="5">
        <f t="shared" si="34"/>
        <v>1158</v>
      </c>
      <c r="H55" s="5">
        <f t="shared" si="35"/>
        <v>1178</v>
      </c>
      <c r="I55" s="2"/>
      <c r="K55" s="661" t="s">
        <v>561</v>
      </c>
      <c r="L55" s="661"/>
      <c r="M55" s="661" t="s">
        <v>563</v>
      </c>
      <c r="N55" s="661"/>
      <c r="O55" s="661"/>
      <c r="P55" s="661"/>
      <c r="Q55" s="661" t="s">
        <v>564</v>
      </c>
      <c r="S55" s="770" t="s">
        <v>580</v>
      </c>
      <c r="T55" s="2" t="s">
        <v>575</v>
      </c>
      <c r="U55" s="2"/>
      <c r="V55" s="2"/>
      <c r="W55" s="2"/>
      <c r="X55" s="2"/>
      <c r="Y55" s="5">
        <f>SUM(Y56:Y58)</f>
        <v>719</v>
      </c>
      <c r="Z55" s="5">
        <f>SUM(Z56:Z58)</f>
        <v>709</v>
      </c>
      <c r="AA55" s="5">
        <f>SUM(AA56:AA58)</f>
        <v>701</v>
      </c>
      <c r="AB55" s="5">
        <f>SUM(AB56:AB58)</f>
        <v>691</v>
      </c>
    </row>
    <row r="56" spans="1:28" ht="24.95" customHeight="1">
      <c r="A56" s="661"/>
      <c r="B56" s="2" t="s">
        <v>472</v>
      </c>
      <c r="C56" s="5">
        <v>141</v>
      </c>
      <c r="D56" s="38">
        <f t="shared" si="31"/>
        <v>1.722873900293255E-2</v>
      </c>
      <c r="E56" s="5">
        <f t="shared" si="33"/>
        <v>575</v>
      </c>
      <c r="F56" s="5">
        <f t="shared" si="32"/>
        <v>587</v>
      </c>
      <c r="G56" s="5">
        <f t="shared" si="34"/>
        <v>600</v>
      </c>
      <c r="H56" s="5">
        <f t="shared" si="35"/>
        <v>611</v>
      </c>
      <c r="I56" s="2"/>
      <c r="K56" s="661"/>
      <c r="L56" s="661"/>
      <c r="M56" s="2" t="s">
        <v>568</v>
      </c>
      <c r="N56" s="2" t="s">
        <v>569</v>
      </c>
      <c r="O56" s="2" t="s">
        <v>570</v>
      </c>
      <c r="P56" s="2" t="s">
        <v>571</v>
      </c>
      <c r="Q56" s="661"/>
      <c r="S56" s="661"/>
      <c r="T56" s="2" t="s">
        <v>581</v>
      </c>
      <c r="U56" s="2">
        <v>547</v>
      </c>
      <c r="V56" s="2">
        <v>539</v>
      </c>
      <c r="W56" s="2">
        <v>533</v>
      </c>
      <c r="X56" s="2">
        <v>525</v>
      </c>
      <c r="Y56" s="5">
        <f t="shared" ref="Y56:AB58" si="40">ROUND(Y41*U56/1000,0)</f>
        <v>156</v>
      </c>
      <c r="Z56" s="5">
        <f t="shared" si="40"/>
        <v>154</v>
      </c>
      <c r="AA56" s="5">
        <f t="shared" si="40"/>
        <v>152</v>
      </c>
      <c r="AB56" s="5">
        <f t="shared" si="40"/>
        <v>150</v>
      </c>
    </row>
    <row r="57" spans="1:28" ht="24.95" customHeight="1">
      <c r="A57" s="661"/>
      <c r="B57" s="2" t="s">
        <v>473</v>
      </c>
      <c r="C57" s="5">
        <v>275</v>
      </c>
      <c r="D57" s="38">
        <f t="shared" si="31"/>
        <v>3.3602150537634407E-2</v>
      </c>
      <c r="E57" s="5">
        <f t="shared" si="33"/>
        <v>1121</v>
      </c>
      <c r="F57" s="5">
        <f t="shared" si="32"/>
        <v>1145</v>
      </c>
      <c r="G57" s="5">
        <f t="shared" si="34"/>
        <v>1171</v>
      </c>
      <c r="H57" s="5">
        <f t="shared" si="35"/>
        <v>1191</v>
      </c>
      <c r="I57" s="2"/>
      <c r="K57" s="661" t="s">
        <v>573</v>
      </c>
      <c r="L57" s="661"/>
      <c r="M57" s="11">
        <f>M58+M74+M84</f>
        <v>30778</v>
      </c>
      <c r="N57" s="11">
        <f>N58+N74+N84</f>
        <v>31421</v>
      </c>
      <c r="O57" s="11">
        <f>O58+O74+O84</f>
        <v>32135</v>
      </c>
      <c r="P57" s="11">
        <f>P58+P74+P84</f>
        <v>32686</v>
      </c>
      <c r="Q57" s="2"/>
      <c r="S57" s="661"/>
      <c r="T57" s="2" t="s">
        <v>582</v>
      </c>
      <c r="U57" s="2">
        <v>547</v>
      </c>
      <c r="V57" s="2">
        <v>539</v>
      </c>
      <c r="W57" s="2">
        <v>533</v>
      </c>
      <c r="X57" s="2">
        <v>525</v>
      </c>
      <c r="Y57" s="5">
        <f t="shared" si="40"/>
        <v>0</v>
      </c>
      <c r="Z57" s="5">
        <f t="shared" si="40"/>
        <v>0</v>
      </c>
      <c r="AA57" s="5">
        <f t="shared" si="40"/>
        <v>0</v>
      </c>
      <c r="AB57" s="5">
        <f t="shared" si="40"/>
        <v>0</v>
      </c>
    </row>
    <row r="58" spans="1:28" ht="24.95" customHeight="1">
      <c r="A58" s="661"/>
      <c r="B58" s="2" t="s">
        <v>474</v>
      </c>
      <c r="C58" s="5">
        <v>656</v>
      </c>
      <c r="D58" s="38">
        <f t="shared" si="31"/>
        <v>8.0156402737047897E-2</v>
      </c>
      <c r="E58" s="5">
        <f t="shared" si="33"/>
        <v>2675</v>
      </c>
      <c r="F58" s="5">
        <f t="shared" si="32"/>
        <v>2731</v>
      </c>
      <c r="G58" s="5">
        <f t="shared" si="34"/>
        <v>2793</v>
      </c>
      <c r="H58" s="5">
        <f t="shared" si="35"/>
        <v>2841</v>
      </c>
      <c r="I58" s="2"/>
      <c r="K58" s="661" t="s">
        <v>595</v>
      </c>
      <c r="L58" s="2" t="s">
        <v>575</v>
      </c>
      <c r="M58" s="11">
        <f>SUM(M59:M73)</f>
        <v>21319</v>
      </c>
      <c r="N58" s="11">
        <f>SUM(N59:N73)</f>
        <v>21764</v>
      </c>
      <c r="O58" s="11">
        <f>SUM(O59:O73)</f>
        <v>22260</v>
      </c>
      <c r="P58" s="11">
        <f>SUM(P59:P73)</f>
        <v>22641</v>
      </c>
      <c r="Q58" s="2"/>
      <c r="S58" s="661"/>
      <c r="T58" s="2" t="s">
        <v>583</v>
      </c>
      <c r="U58" s="2">
        <v>547</v>
      </c>
      <c r="V58" s="2">
        <v>539</v>
      </c>
      <c r="W58" s="2">
        <v>533</v>
      </c>
      <c r="X58" s="2">
        <v>525</v>
      </c>
      <c r="Y58" s="5">
        <f t="shared" si="40"/>
        <v>563</v>
      </c>
      <c r="Z58" s="5">
        <f t="shared" si="40"/>
        <v>555</v>
      </c>
      <c r="AA58" s="5">
        <f t="shared" si="40"/>
        <v>549</v>
      </c>
      <c r="AB58" s="5">
        <f t="shared" si="40"/>
        <v>541</v>
      </c>
    </row>
    <row r="59" spans="1:28" ht="24.95" customHeight="1">
      <c r="A59" s="661"/>
      <c r="B59" s="2" t="s">
        <v>475</v>
      </c>
      <c r="C59" s="5">
        <v>529</v>
      </c>
      <c r="D59" s="38">
        <f t="shared" si="31"/>
        <v>6.4638318670576733E-2</v>
      </c>
      <c r="E59" s="5">
        <f t="shared" si="33"/>
        <v>2157</v>
      </c>
      <c r="F59" s="5">
        <f t="shared" si="32"/>
        <v>2202</v>
      </c>
      <c r="G59" s="5">
        <f t="shared" si="34"/>
        <v>2252</v>
      </c>
      <c r="H59" s="5">
        <f t="shared" si="35"/>
        <v>2291</v>
      </c>
      <c r="I59" s="2"/>
      <c r="K59" s="661"/>
      <c r="L59" s="2" t="s">
        <v>477</v>
      </c>
      <c r="M59" s="11">
        <f t="shared" ref="M59:M73" si="41">E61</f>
        <v>1914</v>
      </c>
      <c r="N59" s="11">
        <f t="shared" ref="N59:N73" si="42">F61</f>
        <v>1953</v>
      </c>
      <c r="O59" s="11">
        <f t="shared" ref="O59:O73" si="43">G61</f>
        <v>1997</v>
      </c>
      <c r="P59" s="11">
        <f t="shared" ref="P59:P73" si="44">H61</f>
        <v>2031</v>
      </c>
      <c r="Q59" s="2"/>
      <c r="S59" s="661" t="s">
        <v>584</v>
      </c>
      <c r="T59" s="2" t="s">
        <v>575</v>
      </c>
      <c r="U59" s="2"/>
      <c r="V59" s="2"/>
      <c r="W59" s="2"/>
      <c r="X59" s="2"/>
      <c r="Y59" s="5">
        <f>SUM(Y60:Y61)</f>
        <v>77</v>
      </c>
      <c r="Z59" s="5">
        <f>SUM(Z60:Z61)</f>
        <v>76</v>
      </c>
      <c r="AA59" s="5">
        <f>SUM(AA60:AA61)</f>
        <v>75</v>
      </c>
      <c r="AB59" s="5">
        <f>SUM(AB60:AB61)</f>
        <v>74</v>
      </c>
    </row>
    <row r="60" spans="1:28" ht="24.95" customHeight="1">
      <c r="A60" s="661" t="s">
        <v>595</v>
      </c>
      <c r="B60" s="2" t="s">
        <v>575</v>
      </c>
      <c r="C60" s="5">
        <f>SUM(C61:C75)</f>
        <v>5182</v>
      </c>
      <c r="D60" s="38">
        <f>C60/$C$4</f>
        <v>0.16274103385465738</v>
      </c>
      <c r="E60" s="5">
        <f>'행정구역별 장래인구'!D9</f>
        <v>21319</v>
      </c>
      <c r="F60" s="5">
        <f>'행정구역별 장래인구'!E9</f>
        <v>21765</v>
      </c>
      <c r="G60" s="5">
        <f>'행정구역별 장래인구'!F9</f>
        <v>22259</v>
      </c>
      <c r="H60" s="5">
        <f>'행정구역별 장래인구'!G9</f>
        <v>22641</v>
      </c>
      <c r="I60" s="2"/>
      <c r="K60" s="661"/>
      <c r="L60" s="2" t="s">
        <v>478</v>
      </c>
      <c r="M60" s="11">
        <f t="shared" si="41"/>
        <v>1901</v>
      </c>
      <c r="N60" s="11">
        <f t="shared" si="42"/>
        <v>1940</v>
      </c>
      <c r="O60" s="11">
        <f t="shared" si="43"/>
        <v>1984</v>
      </c>
      <c r="P60" s="11">
        <f t="shared" si="44"/>
        <v>2019</v>
      </c>
      <c r="Q60" s="2"/>
      <c r="S60" s="661"/>
      <c r="T60" s="2" t="s">
        <v>585</v>
      </c>
      <c r="U60" s="2">
        <v>547</v>
      </c>
      <c r="V60" s="2">
        <v>539</v>
      </c>
      <c r="W60" s="2">
        <v>533</v>
      </c>
      <c r="X60" s="2">
        <v>525</v>
      </c>
      <c r="Y60" s="5">
        <f t="shared" ref="Y60:AB62" si="45">ROUND(Y45*U60/1000,0)</f>
        <v>77</v>
      </c>
      <c r="Z60" s="5">
        <f t="shared" si="45"/>
        <v>76</v>
      </c>
      <c r="AA60" s="5">
        <f t="shared" si="45"/>
        <v>75</v>
      </c>
      <c r="AB60" s="5">
        <f t="shared" si="45"/>
        <v>74</v>
      </c>
    </row>
    <row r="61" spans="1:28" ht="24.95" customHeight="1">
      <c r="A61" s="661"/>
      <c r="B61" s="2" t="s">
        <v>477</v>
      </c>
      <c r="C61" s="5">
        <v>465</v>
      </c>
      <c r="D61" s="38">
        <f t="shared" ref="D61:D75" si="46">C61/$C$60</f>
        <v>8.9733693554612123E-2</v>
      </c>
      <c r="E61" s="5">
        <f>ROUND($E$60*D61,0)+1</f>
        <v>1914</v>
      </c>
      <c r="F61" s="5">
        <f t="shared" ref="F61:F75" si="47">ROUND($F$60*D61,0)</f>
        <v>1953</v>
      </c>
      <c r="G61" s="5">
        <f t="shared" ref="G61:G75" si="48">ROUND($G$60*D61,0)</f>
        <v>1997</v>
      </c>
      <c r="H61" s="5">
        <f>ROUND($H$60*D61,0)-1</f>
        <v>2031</v>
      </c>
      <c r="I61" s="2"/>
      <c r="K61" s="661"/>
      <c r="L61" s="2" t="s">
        <v>479</v>
      </c>
      <c r="M61" s="11">
        <f t="shared" si="41"/>
        <v>1238</v>
      </c>
      <c r="N61" s="11">
        <f t="shared" si="42"/>
        <v>1264</v>
      </c>
      <c r="O61" s="11">
        <f t="shared" si="43"/>
        <v>1293</v>
      </c>
      <c r="P61" s="11">
        <f t="shared" si="44"/>
        <v>1315</v>
      </c>
      <c r="Q61" s="2"/>
      <c r="S61" s="661"/>
      <c r="T61" s="2" t="s">
        <v>586</v>
      </c>
      <c r="U61" s="2">
        <v>547</v>
      </c>
      <c r="V61" s="2">
        <v>539</v>
      </c>
      <c r="W61" s="2">
        <v>533</v>
      </c>
      <c r="X61" s="2">
        <v>525</v>
      </c>
      <c r="Y61" s="5">
        <f t="shared" si="45"/>
        <v>0</v>
      </c>
      <c r="Z61" s="5">
        <f t="shared" si="45"/>
        <v>0</v>
      </c>
      <c r="AA61" s="5">
        <f t="shared" si="45"/>
        <v>0</v>
      </c>
      <c r="AB61" s="5">
        <f t="shared" si="45"/>
        <v>0</v>
      </c>
    </row>
    <row r="62" spans="1:28" ht="24.95" customHeight="1">
      <c r="A62" s="661"/>
      <c r="B62" s="2" t="s">
        <v>478</v>
      </c>
      <c r="C62" s="5">
        <v>462</v>
      </c>
      <c r="D62" s="38">
        <f t="shared" si="46"/>
        <v>8.915476649942107E-2</v>
      </c>
      <c r="E62" s="5">
        <f t="shared" ref="E62:E75" si="49">ROUND($E$60*D62,0)</f>
        <v>1901</v>
      </c>
      <c r="F62" s="5">
        <f t="shared" si="47"/>
        <v>1940</v>
      </c>
      <c r="G62" s="5">
        <f t="shared" si="48"/>
        <v>1984</v>
      </c>
      <c r="H62" s="5">
        <f t="shared" ref="H62:H75" si="50">ROUND($H$60*D62,0)</f>
        <v>2019</v>
      </c>
      <c r="I62" s="2"/>
      <c r="K62" s="661"/>
      <c r="L62" s="2" t="s">
        <v>480</v>
      </c>
      <c r="M62" s="11">
        <f t="shared" si="41"/>
        <v>580</v>
      </c>
      <c r="N62" s="11">
        <f t="shared" si="42"/>
        <v>592</v>
      </c>
      <c r="O62" s="11">
        <f t="shared" si="43"/>
        <v>606</v>
      </c>
      <c r="P62" s="11">
        <f t="shared" si="44"/>
        <v>616</v>
      </c>
      <c r="Q62" s="2"/>
      <c r="S62" s="2" t="s">
        <v>587</v>
      </c>
      <c r="T62" s="2" t="s">
        <v>588</v>
      </c>
      <c r="U62" s="2">
        <v>547</v>
      </c>
      <c r="V62" s="2">
        <v>539</v>
      </c>
      <c r="W62" s="2">
        <v>533</v>
      </c>
      <c r="X62" s="2">
        <v>525</v>
      </c>
      <c r="Y62" s="5">
        <f t="shared" si="45"/>
        <v>0</v>
      </c>
      <c r="Z62" s="5">
        <f t="shared" si="45"/>
        <v>0</v>
      </c>
      <c r="AA62" s="5">
        <f t="shared" si="45"/>
        <v>0</v>
      </c>
      <c r="AB62" s="5">
        <f t="shared" si="45"/>
        <v>0</v>
      </c>
    </row>
    <row r="63" spans="1:28" ht="24.95" customHeight="1">
      <c r="A63" s="661"/>
      <c r="B63" s="2" t="s">
        <v>479</v>
      </c>
      <c r="C63" s="5">
        <v>301</v>
      </c>
      <c r="D63" s="38">
        <f t="shared" si="46"/>
        <v>5.8085681204168273E-2</v>
      </c>
      <c r="E63" s="5">
        <f t="shared" si="49"/>
        <v>1238</v>
      </c>
      <c r="F63" s="5">
        <f t="shared" si="47"/>
        <v>1264</v>
      </c>
      <c r="G63" s="5">
        <f t="shared" si="48"/>
        <v>1293</v>
      </c>
      <c r="H63" s="5">
        <f t="shared" si="50"/>
        <v>1315</v>
      </c>
      <c r="I63" s="2"/>
      <c r="K63" s="661"/>
      <c r="L63" s="2" t="s">
        <v>481</v>
      </c>
      <c r="M63" s="11">
        <f t="shared" si="41"/>
        <v>7014</v>
      </c>
      <c r="N63" s="11">
        <f t="shared" si="42"/>
        <v>7161</v>
      </c>
      <c r="O63" s="11">
        <f t="shared" si="43"/>
        <v>7324</v>
      </c>
      <c r="P63" s="11">
        <f t="shared" si="44"/>
        <v>7449</v>
      </c>
      <c r="Q63" s="2"/>
      <c r="S63" s="661" t="s">
        <v>575</v>
      </c>
      <c r="T63" s="661"/>
      <c r="U63" s="2"/>
      <c r="V63" s="2"/>
      <c r="W63" s="2"/>
      <c r="X63" s="2"/>
      <c r="Y63" s="5">
        <f>Y51+Y55+Y59+Y62</f>
        <v>2300</v>
      </c>
      <c r="Z63" s="5">
        <f>Z51+Z55+Z59+Z62</f>
        <v>2241</v>
      </c>
      <c r="AA63" s="5">
        <f>AA51+AA55+AA59+AA62</f>
        <v>2177</v>
      </c>
      <c r="AB63" s="5">
        <f>AB51+AB55+AB59+AB62</f>
        <v>2118</v>
      </c>
    </row>
    <row r="64" spans="1:28" ht="24.95" customHeight="1">
      <c r="A64" s="661"/>
      <c r="B64" s="2" t="s">
        <v>480</v>
      </c>
      <c r="C64" s="5">
        <v>141</v>
      </c>
      <c r="D64" s="38">
        <f t="shared" si="46"/>
        <v>2.7209571593979159E-2</v>
      </c>
      <c r="E64" s="5">
        <f t="shared" si="49"/>
        <v>580</v>
      </c>
      <c r="F64" s="5">
        <f t="shared" si="47"/>
        <v>592</v>
      </c>
      <c r="G64" s="5">
        <f t="shared" si="48"/>
        <v>606</v>
      </c>
      <c r="H64" s="5">
        <f t="shared" si="50"/>
        <v>616</v>
      </c>
      <c r="I64" s="2"/>
      <c r="K64" s="661"/>
      <c r="L64" s="2" t="s">
        <v>482</v>
      </c>
      <c r="M64" s="11">
        <f t="shared" si="41"/>
        <v>720</v>
      </c>
      <c r="N64" s="11">
        <f t="shared" si="42"/>
        <v>735</v>
      </c>
      <c r="O64" s="11">
        <f t="shared" si="43"/>
        <v>752</v>
      </c>
      <c r="P64" s="11">
        <f t="shared" si="44"/>
        <v>765</v>
      </c>
      <c r="Q64" s="2"/>
    </row>
    <row r="65" spans="1:28" ht="24.95" customHeight="1">
      <c r="A65" s="661"/>
      <c r="B65" s="2" t="s">
        <v>481</v>
      </c>
      <c r="C65" s="5">
        <v>1705</v>
      </c>
      <c r="D65" s="38">
        <f t="shared" si="46"/>
        <v>0.32902354303357778</v>
      </c>
      <c r="E65" s="5">
        <f t="shared" si="49"/>
        <v>7014</v>
      </c>
      <c r="F65" s="5">
        <f t="shared" si="47"/>
        <v>7161</v>
      </c>
      <c r="G65" s="5">
        <f t="shared" si="48"/>
        <v>7324</v>
      </c>
      <c r="H65" s="5">
        <f t="shared" si="50"/>
        <v>7449</v>
      </c>
      <c r="I65" s="2"/>
      <c r="K65" s="661"/>
      <c r="L65" s="2" t="s">
        <v>483</v>
      </c>
      <c r="M65" s="11">
        <f t="shared" si="41"/>
        <v>1391</v>
      </c>
      <c r="N65" s="11">
        <f t="shared" si="42"/>
        <v>1420</v>
      </c>
      <c r="O65" s="11">
        <f t="shared" si="43"/>
        <v>1452</v>
      </c>
      <c r="P65" s="11">
        <f t="shared" si="44"/>
        <v>1477</v>
      </c>
      <c r="Q65" s="2"/>
      <c r="S65" s="61" t="s">
        <v>596</v>
      </c>
    </row>
    <row r="66" spans="1:28" ht="24.95" customHeight="1">
      <c r="A66" s="661"/>
      <c r="B66" s="2" t="s">
        <v>482</v>
      </c>
      <c r="C66" s="5">
        <v>175</v>
      </c>
      <c r="D66" s="38">
        <f t="shared" si="46"/>
        <v>3.3770744886144344E-2</v>
      </c>
      <c r="E66" s="5">
        <f t="shared" si="49"/>
        <v>720</v>
      </c>
      <c r="F66" s="5">
        <f t="shared" si="47"/>
        <v>735</v>
      </c>
      <c r="G66" s="5">
        <f t="shared" si="48"/>
        <v>752</v>
      </c>
      <c r="H66" s="5">
        <f t="shared" si="50"/>
        <v>765</v>
      </c>
      <c r="I66" s="2"/>
      <c r="K66" s="661"/>
      <c r="L66" s="2" t="s">
        <v>484</v>
      </c>
      <c r="M66" s="11">
        <f t="shared" si="41"/>
        <v>658</v>
      </c>
      <c r="N66" s="11">
        <f t="shared" si="42"/>
        <v>672</v>
      </c>
      <c r="O66" s="11">
        <f t="shared" si="43"/>
        <v>687</v>
      </c>
      <c r="P66" s="11">
        <f t="shared" si="44"/>
        <v>699</v>
      </c>
      <c r="Q66" s="2"/>
      <c r="S66" s="844" t="s">
        <v>561</v>
      </c>
      <c r="T66" s="845"/>
      <c r="U66" s="661" t="s">
        <v>563</v>
      </c>
      <c r="V66" s="661"/>
      <c r="W66" s="661"/>
      <c r="X66" s="661"/>
      <c r="Y66" s="661" t="s">
        <v>565</v>
      </c>
      <c r="Z66" s="661"/>
      <c r="AA66" s="661"/>
      <c r="AB66" s="661"/>
    </row>
    <row r="67" spans="1:28" ht="24.95" customHeight="1">
      <c r="A67" s="661"/>
      <c r="B67" s="2" t="s">
        <v>483</v>
      </c>
      <c r="C67" s="5">
        <v>338</v>
      </c>
      <c r="D67" s="38">
        <f t="shared" si="46"/>
        <v>6.5225781551524503E-2</v>
      </c>
      <c r="E67" s="5">
        <f t="shared" si="49"/>
        <v>1391</v>
      </c>
      <c r="F67" s="5">
        <f t="shared" si="47"/>
        <v>1420</v>
      </c>
      <c r="G67" s="5">
        <f t="shared" si="48"/>
        <v>1452</v>
      </c>
      <c r="H67" s="5">
        <f t="shared" si="50"/>
        <v>1477</v>
      </c>
      <c r="I67" s="2"/>
      <c r="K67" s="661"/>
      <c r="L67" s="2" t="s">
        <v>485</v>
      </c>
      <c r="M67" s="11">
        <f t="shared" si="41"/>
        <v>1045</v>
      </c>
      <c r="N67" s="11">
        <f t="shared" si="42"/>
        <v>1067</v>
      </c>
      <c r="O67" s="11">
        <f t="shared" si="43"/>
        <v>1091</v>
      </c>
      <c r="P67" s="11">
        <f t="shared" si="44"/>
        <v>1110</v>
      </c>
      <c r="Q67" s="2"/>
      <c r="S67" s="846"/>
      <c r="T67" s="847"/>
      <c r="U67" s="84" t="s">
        <v>568</v>
      </c>
      <c r="V67" s="84" t="s">
        <v>569</v>
      </c>
      <c r="W67" s="84" t="s">
        <v>570</v>
      </c>
      <c r="X67" s="84" t="s">
        <v>571</v>
      </c>
      <c r="Y67" s="84" t="s">
        <v>568</v>
      </c>
      <c r="Z67" s="84" t="s">
        <v>569</v>
      </c>
      <c r="AA67" s="84" t="s">
        <v>570</v>
      </c>
      <c r="AB67" s="84" t="s">
        <v>571</v>
      </c>
    </row>
    <row r="68" spans="1:28" ht="24.95" customHeight="1">
      <c r="A68" s="661"/>
      <c r="B68" s="2" t="s">
        <v>484</v>
      </c>
      <c r="C68" s="5">
        <v>160</v>
      </c>
      <c r="D68" s="38">
        <f t="shared" si="46"/>
        <v>3.0876109610189117E-2</v>
      </c>
      <c r="E68" s="5">
        <f t="shared" si="49"/>
        <v>658</v>
      </c>
      <c r="F68" s="5">
        <f t="shared" si="47"/>
        <v>672</v>
      </c>
      <c r="G68" s="5">
        <f t="shared" si="48"/>
        <v>687</v>
      </c>
      <c r="H68" s="5">
        <f t="shared" si="50"/>
        <v>699</v>
      </c>
      <c r="I68" s="2"/>
      <c r="K68" s="661"/>
      <c r="L68" s="2" t="s">
        <v>486</v>
      </c>
      <c r="M68" s="11">
        <f t="shared" si="41"/>
        <v>420</v>
      </c>
      <c r="N68" s="11">
        <f t="shared" si="42"/>
        <v>428</v>
      </c>
      <c r="O68" s="11">
        <f t="shared" si="43"/>
        <v>438</v>
      </c>
      <c r="P68" s="11">
        <f t="shared" si="44"/>
        <v>446</v>
      </c>
      <c r="Q68" s="2"/>
      <c r="S68" s="770" t="s">
        <v>574</v>
      </c>
      <c r="T68" s="2" t="s">
        <v>575</v>
      </c>
      <c r="U68" s="11">
        <f t="shared" ref="U68:AB68" si="51">SUM(U69:U71)</f>
        <v>312</v>
      </c>
      <c r="V68" s="11">
        <f t="shared" si="51"/>
        <v>473</v>
      </c>
      <c r="W68" s="11">
        <f t="shared" si="51"/>
        <v>473</v>
      </c>
      <c r="X68" s="11">
        <f t="shared" si="51"/>
        <v>473</v>
      </c>
      <c r="Y68" s="11">
        <f t="shared" si="51"/>
        <v>312</v>
      </c>
      <c r="Z68" s="11">
        <f t="shared" si="51"/>
        <v>473</v>
      </c>
      <c r="AA68" s="11">
        <f t="shared" si="51"/>
        <v>473</v>
      </c>
      <c r="AB68" s="11">
        <f t="shared" si="51"/>
        <v>473</v>
      </c>
    </row>
    <row r="69" spans="1:28" ht="24.95" customHeight="1">
      <c r="A69" s="661"/>
      <c r="B69" s="2" t="s">
        <v>485</v>
      </c>
      <c r="C69" s="5">
        <v>254</v>
      </c>
      <c r="D69" s="38">
        <f t="shared" si="46"/>
        <v>4.901582400617522E-2</v>
      </c>
      <c r="E69" s="5">
        <f t="shared" si="49"/>
        <v>1045</v>
      </c>
      <c r="F69" s="5">
        <f t="shared" si="47"/>
        <v>1067</v>
      </c>
      <c r="G69" s="5">
        <f t="shared" si="48"/>
        <v>1091</v>
      </c>
      <c r="H69" s="5">
        <f t="shared" si="50"/>
        <v>1110</v>
      </c>
      <c r="I69" s="2"/>
      <c r="K69" s="661"/>
      <c r="L69" s="2" t="s">
        <v>487</v>
      </c>
      <c r="M69" s="11">
        <f t="shared" si="41"/>
        <v>444</v>
      </c>
      <c r="N69" s="11">
        <f t="shared" si="42"/>
        <v>454</v>
      </c>
      <c r="O69" s="11">
        <f t="shared" si="43"/>
        <v>464</v>
      </c>
      <c r="P69" s="11">
        <f t="shared" si="44"/>
        <v>472</v>
      </c>
      <c r="Q69" s="2"/>
      <c r="S69" s="661"/>
      <c r="T69" s="2" t="s">
        <v>577</v>
      </c>
      <c r="U69" s="11">
        <v>161</v>
      </c>
      <c r="V69" s="11">
        <v>322</v>
      </c>
      <c r="W69" s="11">
        <v>322</v>
      </c>
      <c r="X69" s="11">
        <v>322</v>
      </c>
      <c r="Y69" s="11">
        <v>161</v>
      </c>
      <c r="Z69" s="11">
        <v>322</v>
      </c>
      <c r="AA69" s="11">
        <v>322</v>
      </c>
      <c r="AB69" s="11">
        <v>322</v>
      </c>
    </row>
    <row r="70" spans="1:28" ht="24.95" customHeight="1">
      <c r="A70" s="661"/>
      <c r="B70" s="2" t="s">
        <v>486</v>
      </c>
      <c r="C70" s="5">
        <v>102</v>
      </c>
      <c r="D70" s="38">
        <f t="shared" si="46"/>
        <v>1.968351987649556E-2</v>
      </c>
      <c r="E70" s="5">
        <f t="shared" si="49"/>
        <v>420</v>
      </c>
      <c r="F70" s="5">
        <f t="shared" si="47"/>
        <v>428</v>
      </c>
      <c r="G70" s="5">
        <f t="shared" si="48"/>
        <v>438</v>
      </c>
      <c r="H70" s="5">
        <f t="shared" si="50"/>
        <v>446</v>
      </c>
      <c r="I70" s="2"/>
      <c r="K70" s="661"/>
      <c r="L70" s="2" t="s">
        <v>488</v>
      </c>
      <c r="M70" s="11">
        <f t="shared" si="41"/>
        <v>1263</v>
      </c>
      <c r="N70" s="11">
        <f t="shared" si="42"/>
        <v>1289</v>
      </c>
      <c r="O70" s="11">
        <f t="shared" si="43"/>
        <v>1319</v>
      </c>
      <c r="P70" s="11">
        <f t="shared" si="44"/>
        <v>1341</v>
      </c>
      <c r="Q70" s="2"/>
      <c r="S70" s="661"/>
      <c r="T70" s="2" t="s">
        <v>578</v>
      </c>
      <c r="U70" s="11">
        <v>151</v>
      </c>
      <c r="V70" s="11">
        <v>151</v>
      </c>
      <c r="W70" s="11">
        <v>151</v>
      </c>
      <c r="X70" s="11">
        <v>151</v>
      </c>
      <c r="Y70" s="11">
        <v>151</v>
      </c>
      <c r="Z70" s="11">
        <v>151</v>
      </c>
      <c r="AA70" s="11">
        <v>151</v>
      </c>
      <c r="AB70" s="11">
        <v>151</v>
      </c>
    </row>
    <row r="71" spans="1:28" ht="24.95" customHeight="1">
      <c r="A71" s="661"/>
      <c r="B71" s="2" t="s">
        <v>487</v>
      </c>
      <c r="C71" s="5">
        <v>108</v>
      </c>
      <c r="D71" s="38">
        <f t="shared" si="46"/>
        <v>2.0841373986877652E-2</v>
      </c>
      <c r="E71" s="5">
        <f t="shared" si="49"/>
        <v>444</v>
      </c>
      <c r="F71" s="5">
        <f t="shared" si="47"/>
        <v>454</v>
      </c>
      <c r="G71" s="5">
        <f t="shared" si="48"/>
        <v>464</v>
      </c>
      <c r="H71" s="5">
        <f t="shared" si="50"/>
        <v>472</v>
      </c>
      <c r="I71" s="2"/>
      <c r="K71" s="661"/>
      <c r="L71" s="2" t="s">
        <v>489</v>
      </c>
      <c r="M71" s="11">
        <f t="shared" si="41"/>
        <v>1082</v>
      </c>
      <c r="N71" s="11">
        <f t="shared" si="42"/>
        <v>1105</v>
      </c>
      <c r="O71" s="11">
        <f t="shared" si="43"/>
        <v>1130</v>
      </c>
      <c r="P71" s="11">
        <f t="shared" si="44"/>
        <v>1149</v>
      </c>
      <c r="Q71" s="2"/>
      <c r="S71" s="661"/>
      <c r="T71" s="2" t="s">
        <v>579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</row>
    <row r="72" spans="1:28" ht="24.95" customHeight="1">
      <c r="A72" s="661"/>
      <c r="B72" s="2" t="s">
        <v>488</v>
      </c>
      <c r="C72" s="5">
        <v>307</v>
      </c>
      <c r="D72" s="38">
        <f t="shared" si="46"/>
        <v>5.9243535314550365E-2</v>
      </c>
      <c r="E72" s="5">
        <f t="shared" si="49"/>
        <v>1263</v>
      </c>
      <c r="F72" s="5">
        <f t="shared" si="47"/>
        <v>1289</v>
      </c>
      <c r="G72" s="5">
        <f t="shared" si="48"/>
        <v>1319</v>
      </c>
      <c r="H72" s="5">
        <f t="shared" si="50"/>
        <v>1341</v>
      </c>
      <c r="I72" s="2"/>
      <c r="K72" s="661"/>
      <c r="L72" s="2" t="s">
        <v>490</v>
      </c>
      <c r="M72" s="11">
        <f t="shared" si="41"/>
        <v>987</v>
      </c>
      <c r="N72" s="11">
        <f t="shared" si="42"/>
        <v>1008</v>
      </c>
      <c r="O72" s="11">
        <f t="shared" si="43"/>
        <v>1031</v>
      </c>
      <c r="P72" s="11">
        <f t="shared" si="44"/>
        <v>1049</v>
      </c>
      <c r="Q72" s="2"/>
      <c r="S72" s="770" t="s">
        <v>580</v>
      </c>
      <c r="T72" s="2" t="s">
        <v>575</v>
      </c>
      <c r="U72" s="11">
        <f t="shared" ref="U72:AB72" si="52">SUM(U73:U75)</f>
        <v>112</v>
      </c>
      <c r="V72" s="11">
        <f t="shared" si="52"/>
        <v>112</v>
      </c>
      <c r="W72" s="11">
        <f t="shared" si="52"/>
        <v>112</v>
      </c>
      <c r="X72" s="11">
        <f t="shared" si="52"/>
        <v>112</v>
      </c>
      <c r="Y72" s="11">
        <f t="shared" si="52"/>
        <v>112</v>
      </c>
      <c r="Z72" s="11">
        <f t="shared" si="52"/>
        <v>112</v>
      </c>
      <c r="AA72" s="11">
        <f t="shared" si="52"/>
        <v>112</v>
      </c>
      <c r="AB72" s="11">
        <f t="shared" si="52"/>
        <v>112</v>
      </c>
    </row>
    <row r="73" spans="1:28" ht="24.95" customHeight="1">
      <c r="A73" s="661"/>
      <c r="B73" s="2" t="s">
        <v>489</v>
      </c>
      <c r="C73" s="5">
        <v>263</v>
      </c>
      <c r="D73" s="38">
        <f t="shared" si="46"/>
        <v>5.0752605171748358E-2</v>
      </c>
      <c r="E73" s="5">
        <f t="shared" si="49"/>
        <v>1082</v>
      </c>
      <c r="F73" s="5">
        <f t="shared" si="47"/>
        <v>1105</v>
      </c>
      <c r="G73" s="5">
        <f t="shared" si="48"/>
        <v>1130</v>
      </c>
      <c r="H73" s="5">
        <f t="shared" si="50"/>
        <v>1149</v>
      </c>
      <c r="I73" s="2"/>
      <c r="K73" s="661"/>
      <c r="L73" s="2" t="s">
        <v>491</v>
      </c>
      <c r="M73" s="11">
        <f t="shared" si="41"/>
        <v>662</v>
      </c>
      <c r="N73" s="11">
        <f t="shared" si="42"/>
        <v>676</v>
      </c>
      <c r="O73" s="11">
        <f t="shared" si="43"/>
        <v>692</v>
      </c>
      <c r="P73" s="11">
        <f t="shared" si="44"/>
        <v>703</v>
      </c>
      <c r="Q73" s="2"/>
      <c r="S73" s="661"/>
      <c r="T73" s="2" t="s">
        <v>581</v>
      </c>
      <c r="U73" s="11">
        <v>112</v>
      </c>
      <c r="V73" s="11">
        <v>112</v>
      </c>
      <c r="W73" s="11">
        <v>112</v>
      </c>
      <c r="X73" s="11">
        <v>112</v>
      </c>
      <c r="Y73" s="11">
        <v>112</v>
      </c>
      <c r="Z73" s="11">
        <v>112</v>
      </c>
      <c r="AA73" s="11">
        <v>112</v>
      </c>
      <c r="AB73" s="11">
        <v>112</v>
      </c>
    </row>
    <row r="74" spans="1:28" ht="24.95" customHeight="1">
      <c r="A74" s="661"/>
      <c r="B74" s="2" t="s">
        <v>490</v>
      </c>
      <c r="C74" s="5">
        <v>240</v>
      </c>
      <c r="D74" s="38">
        <f t="shared" si="46"/>
        <v>4.6314164415283673E-2</v>
      </c>
      <c r="E74" s="5">
        <f t="shared" si="49"/>
        <v>987</v>
      </c>
      <c r="F74" s="5">
        <f t="shared" si="47"/>
        <v>1008</v>
      </c>
      <c r="G74" s="5">
        <f t="shared" si="48"/>
        <v>1031</v>
      </c>
      <c r="H74" s="5">
        <f t="shared" si="50"/>
        <v>1049</v>
      </c>
      <c r="I74" s="2"/>
      <c r="K74" s="661" t="s">
        <v>597</v>
      </c>
      <c r="L74" s="2" t="s">
        <v>575</v>
      </c>
      <c r="M74" s="11">
        <f>SUM(M75:M83)</f>
        <v>7033</v>
      </c>
      <c r="N74" s="11">
        <f>SUM(N75:N83)</f>
        <v>7181</v>
      </c>
      <c r="O74" s="11">
        <f>SUM(O75:O83)</f>
        <v>7342</v>
      </c>
      <c r="P74" s="11">
        <f>SUM(P75:P83)</f>
        <v>7469</v>
      </c>
      <c r="Q74" s="2"/>
      <c r="S74" s="661"/>
      <c r="T74" s="2" t="s">
        <v>582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</row>
    <row r="75" spans="1:28" ht="24.95" customHeight="1">
      <c r="A75" s="661"/>
      <c r="B75" s="2" t="s">
        <v>491</v>
      </c>
      <c r="C75" s="5">
        <v>161</v>
      </c>
      <c r="D75" s="38">
        <f t="shared" si="46"/>
        <v>3.1069085295252798E-2</v>
      </c>
      <c r="E75" s="5">
        <f t="shared" si="49"/>
        <v>662</v>
      </c>
      <c r="F75" s="5">
        <f t="shared" si="47"/>
        <v>676</v>
      </c>
      <c r="G75" s="5">
        <f t="shared" si="48"/>
        <v>692</v>
      </c>
      <c r="H75" s="5">
        <f t="shared" si="50"/>
        <v>703</v>
      </c>
      <c r="I75" s="2"/>
      <c r="K75" s="661"/>
      <c r="L75" s="2" t="s">
        <v>502</v>
      </c>
      <c r="M75" s="11">
        <f t="shared" ref="M75:M83" si="53">E86</f>
        <v>1374</v>
      </c>
      <c r="N75" s="11">
        <f t="shared" ref="N75:N83" si="54">F86</f>
        <v>1404</v>
      </c>
      <c r="O75" s="11">
        <f t="shared" ref="O75:O83" si="55">G86</f>
        <v>1433</v>
      </c>
      <c r="P75" s="11">
        <f t="shared" ref="P75:P83" si="56">H86</f>
        <v>1460</v>
      </c>
      <c r="Q75" s="2"/>
      <c r="S75" s="661"/>
      <c r="T75" s="2" t="s">
        <v>583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</row>
    <row r="76" spans="1:28" ht="24.95" customHeight="1">
      <c r="A76" s="661" t="s">
        <v>598</v>
      </c>
      <c r="B76" s="2" t="s">
        <v>575</v>
      </c>
      <c r="C76" s="5">
        <f>SUM(C77:C84)</f>
        <v>3140</v>
      </c>
      <c r="D76" s="38">
        <f>C76/$C$4</f>
        <v>9.861189623767351E-2</v>
      </c>
      <c r="E76" s="5">
        <f>'행정구역별 장래인구'!D10</f>
        <v>12825</v>
      </c>
      <c r="F76" s="5">
        <f>'행정구역별 장래인구'!E10</f>
        <v>13094</v>
      </c>
      <c r="G76" s="5">
        <f>'행정구역별 장래인구'!F10</f>
        <v>13391</v>
      </c>
      <c r="H76" s="5">
        <f>'행정구역별 장래인구'!G10</f>
        <v>13621</v>
      </c>
      <c r="I76" s="2"/>
      <c r="K76" s="661"/>
      <c r="L76" s="2" t="s">
        <v>503</v>
      </c>
      <c r="M76" s="11">
        <f t="shared" si="53"/>
        <v>336</v>
      </c>
      <c r="N76" s="11">
        <f t="shared" si="54"/>
        <v>343</v>
      </c>
      <c r="O76" s="11">
        <f t="shared" si="55"/>
        <v>351</v>
      </c>
      <c r="P76" s="11">
        <f t="shared" si="56"/>
        <v>357</v>
      </c>
      <c r="Q76" s="2"/>
      <c r="S76" s="661" t="s">
        <v>584</v>
      </c>
      <c r="T76" s="2" t="s">
        <v>575</v>
      </c>
      <c r="U76" s="11">
        <f t="shared" ref="U76:AB76" si="57">SUM(U77:U78)</f>
        <v>0</v>
      </c>
      <c r="V76" s="11">
        <f t="shared" si="57"/>
        <v>0</v>
      </c>
      <c r="W76" s="11">
        <f t="shared" si="57"/>
        <v>0</v>
      </c>
      <c r="X76" s="11">
        <f t="shared" si="57"/>
        <v>0</v>
      </c>
      <c r="Y76" s="11">
        <f t="shared" si="57"/>
        <v>0</v>
      </c>
      <c r="Z76" s="11">
        <f t="shared" si="57"/>
        <v>0</v>
      </c>
      <c r="AA76" s="11">
        <f t="shared" si="57"/>
        <v>0</v>
      </c>
      <c r="AB76" s="11">
        <f t="shared" si="57"/>
        <v>0</v>
      </c>
    </row>
    <row r="77" spans="1:28" ht="24.95" customHeight="1">
      <c r="A77" s="661"/>
      <c r="B77" s="2" t="s">
        <v>493</v>
      </c>
      <c r="C77" s="5">
        <v>199</v>
      </c>
      <c r="D77" s="38">
        <f t="shared" ref="D77:D84" si="58">C77/$C$76</f>
        <v>6.3375796178343949E-2</v>
      </c>
      <c r="E77" s="5">
        <f>ROUND($E$76*D77,0)</f>
        <v>813</v>
      </c>
      <c r="F77" s="5">
        <f t="shared" ref="F77:F84" si="59">ROUND($F$76*D77,0)</f>
        <v>830</v>
      </c>
      <c r="G77" s="5">
        <f>ROUND($G$76*D77,0)</f>
        <v>849</v>
      </c>
      <c r="H77" s="5">
        <f>ROUND($H$76*D77,0)</f>
        <v>863</v>
      </c>
      <c r="I77" s="2"/>
      <c r="K77" s="661"/>
      <c r="L77" s="2" t="s">
        <v>504</v>
      </c>
      <c r="M77" s="11">
        <f t="shared" si="53"/>
        <v>1033</v>
      </c>
      <c r="N77" s="11">
        <f t="shared" si="54"/>
        <v>1055</v>
      </c>
      <c r="O77" s="11">
        <f t="shared" si="55"/>
        <v>1079</v>
      </c>
      <c r="P77" s="11">
        <f t="shared" si="56"/>
        <v>1097</v>
      </c>
      <c r="Q77" s="2"/>
      <c r="S77" s="661"/>
      <c r="T77" s="2" t="s">
        <v>585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</row>
    <row r="78" spans="1:28" ht="24.95" customHeight="1">
      <c r="A78" s="661"/>
      <c r="B78" s="2" t="s">
        <v>494</v>
      </c>
      <c r="C78" s="5">
        <v>389</v>
      </c>
      <c r="D78" s="38">
        <f t="shared" si="58"/>
        <v>0.12388535031847134</v>
      </c>
      <c r="E78" s="5">
        <f>ROUND($E$76*D78,0)</f>
        <v>1589</v>
      </c>
      <c r="F78" s="5">
        <f t="shared" si="59"/>
        <v>1622</v>
      </c>
      <c r="G78" s="5">
        <f>ROUND($G$76*D78,0)</f>
        <v>1659</v>
      </c>
      <c r="H78" s="5">
        <f>ROUND($H$76*D78,0)</f>
        <v>1687</v>
      </c>
      <c r="I78" s="2"/>
      <c r="K78" s="661"/>
      <c r="L78" s="2" t="s">
        <v>505</v>
      </c>
      <c r="M78" s="11">
        <f t="shared" si="53"/>
        <v>570</v>
      </c>
      <c r="N78" s="11">
        <f t="shared" si="54"/>
        <v>582</v>
      </c>
      <c r="O78" s="11">
        <f t="shared" si="55"/>
        <v>595</v>
      </c>
      <c r="P78" s="11">
        <f t="shared" si="56"/>
        <v>605</v>
      </c>
      <c r="Q78" s="2"/>
      <c r="S78" s="661"/>
      <c r="T78" s="2" t="s">
        <v>586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</row>
    <row r="79" spans="1:28" ht="24.95" customHeight="1">
      <c r="A79" s="661"/>
      <c r="B79" s="2" t="s">
        <v>495</v>
      </c>
      <c r="C79" s="5">
        <v>762</v>
      </c>
      <c r="D79" s="38">
        <f t="shared" si="58"/>
        <v>0.24267515923566879</v>
      </c>
      <c r="E79" s="5">
        <f>ROUND($E$76*D79,0)-1</f>
        <v>3111</v>
      </c>
      <c r="F79" s="5">
        <f t="shared" si="59"/>
        <v>3178</v>
      </c>
      <c r="G79" s="5">
        <f>ROUND($G$76*D79,0)+1</f>
        <v>3251</v>
      </c>
      <c r="H79" s="5">
        <f>ROUND($H$76*D79,0)-1</f>
        <v>3304</v>
      </c>
      <c r="I79" s="2"/>
      <c r="K79" s="661"/>
      <c r="L79" s="2" t="s">
        <v>506</v>
      </c>
      <c r="M79" s="11">
        <f t="shared" si="53"/>
        <v>1337</v>
      </c>
      <c r="N79" s="11">
        <f t="shared" si="54"/>
        <v>1365</v>
      </c>
      <c r="O79" s="11">
        <f t="shared" si="55"/>
        <v>1396</v>
      </c>
      <c r="P79" s="11">
        <f t="shared" si="56"/>
        <v>1420</v>
      </c>
      <c r="Q79" s="2"/>
      <c r="S79" s="2" t="s">
        <v>587</v>
      </c>
      <c r="T79" s="2" t="s">
        <v>588</v>
      </c>
      <c r="U79" s="11">
        <v>29</v>
      </c>
      <c r="V79" s="11">
        <v>29</v>
      </c>
      <c r="W79" s="11">
        <v>29</v>
      </c>
      <c r="X79" s="11">
        <v>29</v>
      </c>
      <c r="Y79" s="11">
        <v>29</v>
      </c>
      <c r="Z79" s="11">
        <v>29</v>
      </c>
      <c r="AA79" s="11">
        <v>29</v>
      </c>
      <c r="AB79" s="11">
        <v>29</v>
      </c>
    </row>
    <row r="80" spans="1:28" ht="24.95" customHeight="1">
      <c r="A80" s="661"/>
      <c r="B80" s="2" t="s">
        <v>496</v>
      </c>
      <c r="C80" s="5">
        <v>762</v>
      </c>
      <c r="D80" s="38">
        <f t="shared" si="58"/>
        <v>0.24267515923566879</v>
      </c>
      <c r="E80" s="5">
        <f>ROUND($E$76*D80,0)-1</f>
        <v>3111</v>
      </c>
      <c r="F80" s="5">
        <f t="shared" si="59"/>
        <v>3178</v>
      </c>
      <c r="G80" s="5">
        <f>ROUND($G$76*D80,0)</f>
        <v>3250</v>
      </c>
      <c r="H80" s="5">
        <f>ROUND($H$76*D80,0)</f>
        <v>3305</v>
      </c>
      <c r="I80" s="2"/>
      <c r="K80" s="661"/>
      <c r="L80" s="2" t="s">
        <v>507</v>
      </c>
      <c r="M80" s="11">
        <f t="shared" si="53"/>
        <v>615</v>
      </c>
      <c r="N80" s="11">
        <f t="shared" si="54"/>
        <v>628</v>
      </c>
      <c r="O80" s="11">
        <f t="shared" si="55"/>
        <v>642</v>
      </c>
      <c r="P80" s="11">
        <f t="shared" si="56"/>
        <v>653</v>
      </c>
      <c r="Q80" s="2"/>
      <c r="S80" s="661" t="s">
        <v>575</v>
      </c>
      <c r="T80" s="661"/>
      <c r="U80" s="11">
        <f t="shared" ref="U80:AB80" si="60">U68+U72+U76+U79</f>
        <v>453</v>
      </c>
      <c r="V80" s="11">
        <f t="shared" si="60"/>
        <v>614</v>
      </c>
      <c r="W80" s="11">
        <f t="shared" si="60"/>
        <v>614</v>
      </c>
      <c r="X80" s="11">
        <f t="shared" si="60"/>
        <v>614</v>
      </c>
      <c r="Y80" s="11">
        <f t="shared" si="60"/>
        <v>453</v>
      </c>
      <c r="Z80" s="11">
        <f t="shared" si="60"/>
        <v>614</v>
      </c>
      <c r="AA80" s="11">
        <f t="shared" si="60"/>
        <v>614</v>
      </c>
      <c r="AB80" s="11">
        <f t="shared" si="60"/>
        <v>614</v>
      </c>
    </row>
    <row r="81" spans="1:28" ht="24.95" customHeight="1">
      <c r="A81" s="661"/>
      <c r="B81" s="2" t="s">
        <v>497</v>
      </c>
      <c r="C81" s="5">
        <v>182</v>
      </c>
      <c r="D81" s="38">
        <f t="shared" si="58"/>
        <v>5.7961783439490447E-2</v>
      </c>
      <c r="E81" s="5">
        <f>ROUND($E$76*D81,0)</f>
        <v>743</v>
      </c>
      <c r="F81" s="5">
        <f t="shared" si="59"/>
        <v>759</v>
      </c>
      <c r="G81" s="5">
        <f>ROUND($G$76*D81,0)</f>
        <v>776</v>
      </c>
      <c r="H81" s="5">
        <f>ROUND($H$76*D81,0)</f>
        <v>789</v>
      </c>
      <c r="I81" s="2"/>
      <c r="K81" s="661"/>
      <c r="L81" s="2" t="s">
        <v>508</v>
      </c>
      <c r="M81" s="11">
        <f t="shared" si="53"/>
        <v>636</v>
      </c>
      <c r="N81" s="11">
        <f t="shared" si="54"/>
        <v>649</v>
      </c>
      <c r="O81" s="11">
        <f t="shared" si="55"/>
        <v>664</v>
      </c>
      <c r="P81" s="11">
        <f t="shared" si="56"/>
        <v>675</v>
      </c>
      <c r="Q81" s="2"/>
      <c r="S81" s="844" t="s">
        <v>561</v>
      </c>
      <c r="T81" s="845"/>
      <c r="U81" s="661" t="s">
        <v>589</v>
      </c>
      <c r="V81" s="661"/>
      <c r="W81" s="661"/>
      <c r="X81" s="661"/>
      <c r="Y81" s="661" t="s">
        <v>590</v>
      </c>
      <c r="Z81" s="661"/>
      <c r="AA81" s="661"/>
      <c r="AB81" s="661"/>
    </row>
    <row r="82" spans="1:28" ht="24.95" customHeight="1">
      <c r="A82" s="661"/>
      <c r="B82" s="2" t="s">
        <v>498</v>
      </c>
      <c r="C82" s="5">
        <v>141</v>
      </c>
      <c r="D82" s="38">
        <f t="shared" si="58"/>
        <v>4.4904458598726112E-2</v>
      </c>
      <c r="E82" s="5">
        <f>ROUND($E$76*D82,0)</f>
        <v>576</v>
      </c>
      <c r="F82" s="5">
        <f t="shared" si="59"/>
        <v>588</v>
      </c>
      <c r="G82" s="5">
        <f>ROUND($G$76*D82,0)</f>
        <v>601</v>
      </c>
      <c r="H82" s="5">
        <f>ROUND($H$76*D82,0)</f>
        <v>612</v>
      </c>
      <c r="I82" s="2"/>
      <c r="K82" s="661"/>
      <c r="L82" s="2" t="s">
        <v>509</v>
      </c>
      <c r="M82" s="11">
        <f t="shared" si="53"/>
        <v>726</v>
      </c>
      <c r="N82" s="11">
        <f t="shared" si="54"/>
        <v>741</v>
      </c>
      <c r="O82" s="11">
        <f t="shared" si="55"/>
        <v>758</v>
      </c>
      <c r="P82" s="11">
        <f t="shared" si="56"/>
        <v>771</v>
      </c>
      <c r="Q82" s="2"/>
      <c r="S82" s="846"/>
      <c r="T82" s="847"/>
      <c r="U82" s="2" t="s">
        <v>568</v>
      </c>
      <c r="V82" s="2" t="s">
        <v>569</v>
      </c>
      <c r="W82" s="2" t="s">
        <v>570</v>
      </c>
      <c r="X82" s="2" t="s">
        <v>571</v>
      </c>
      <c r="Y82" s="2" t="s">
        <v>568</v>
      </c>
      <c r="Z82" s="2" t="s">
        <v>569</v>
      </c>
      <c r="AA82" s="2" t="s">
        <v>570</v>
      </c>
      <c r="AB82" s="2" t="s">
        <v>571</v>
      </c>
    </row>
    <row r="83" spans="1:28" ht="24.95" customHeight="1">
      <c r="A83" s="661"/>
      <c r="B83" s="2" t="s">
        <v>499</v>
      </c>
      <c r="C83" s="5">
        <v>366</v>
      </c>
      <c r="D83" s="38">
        <f t="shared" si="58"/>
        <v>0.11656050955414013</v>
      </c>
      <c r="E83" s="5">
        <f>ROUND($E$76*D83,0)</f>
        <v>1495</v>
      </c>
      <c r="F83" s="5">
        <f t="shared" si="59"/>
        <v>1526</v>
      </c>
      <c r="G83" s="5">
        <f>ROUND($G$76*D83,0)</f>
        <v>1561</v>
      </c>
      <c r="H83" s="5">
        <f>ROUND($H$76*D83,0)</f>
        <v>1588</v>
      </c>
      <c r="I83" s="2"/>
      <c r="K83" s="661"/>
      <c r="L83" s="2" t="s">
        <v>510</v>
      </c>
      <c r="M83" s="11">
        <f t="shared" si="53"/>
        <v>406</v>
      </c>
      <c r="N83" s="11">
        <f t="shared" si="54"/>
        <v>414</v>
      </c>
      <c r="O83" s="11">
        <f t="shared" si="55"/>
        <v>424</v>
      </c>
      <c r="P83" s="11">
        <f t="shared" si="56"/>
        <v>431</v>
      </c>
      <c r="Q83" s="2"/>
      <c r="S83" s="770" t="s">
        <v>574</v>
      </c>
      <c r="T83" s="2" t="s">
        <v>575</v>
      </c>
      <c r="U83" s="2"/>
      <c r="V83" s="2"/>
      <c r="W83" s="2"/>
      <c r="X83" s="2"/>
      <c r="Y83" s="5">
        <f>SUM(Y84:Y86)</f>
        <v>194</v>
      </c>
      <c r="Z83" s="5">
        <f>SUM(Z84:Z86)</f>
        <v>283</v>
      </c>
      <c r="AA83" s="5">
        <f>SUM(AA84:AA86)</f>
        <v>272</v>
      </c>
      <c r="AB83" s="5">
        <f>SUM(AB84:AB86)</f>
        <v>260</v>
      </c>
    </row>
    <row r="84" spans="1:28" ht="24.95" customHeight="1">
      <c r="A84" s="661"/>
      <c r="B84" s="2" t="s">
        <v>500</v>
      </c>
      <c r="C84" s="5">
        <v>339</v>
      </c>
      <c r="D84" s="38">
        <f t="shared" si="58"/>
        <v>0.10796178343949045</v>
      </c>
      <c r="E84" s="5">
        <f>ROUND($E$76*D84,0)</f>
        <v>1385</v>
      </c>
      <c r="F84" s="5">
        <f t="shared" si="59"/>
        <v>1414</v>
      </c>
      <c r="G84" s="5">
        <f>ROUND($G$76*D84,0)</f>
        <v>1446</v>
      </c>
      <c r="H84" s="5">
        <f>ROUND($H$76*D84,0)</f>
        <v>1471</v>
      </c>
      <c r="I84" s="2"/>
      <c r="K84" s="841" t="s">
        <v>576</v>
      </c>
      <c r="L84" s="2" t="s">
        <v>575</v>
      </c>
      <c r="M84" s="11">
        <f>SUM(M85:M86)</f>
        <v>2426</v>
      </c>
      <c r="N84" s="11">
        <f>SUM(N85:N86)</f>
        <v>2476</v>
      </c>
      <c r="O84" s="11">
        <f>SUM(O85:O86)</f>
        <v>2533</v>
      </c>
      <c r="P84" s="11">
        <f>SUM(P85:P86)</f>
        <v>2576</v>
      </c>
      <c r="Q84" s="2"/>
      <c r="S84" s="661"/>
      <c r="T84" s="2" t="s">
        <v>577</v>
      </c>
      <c r="U84" s="2">
        <v>622</v>
      </c>
      <c r="V84" s="2">
        <v>599</v>
      </c>
      <c r="W84" s="2">
        <v>573</v>
      </c>
      <c r="X84" s="2">
        <v>550</v>
      </c>
      <c r="Y84" s="5">
        <f t="shared" ref="Y84:AB86" si="61">ROUND(Y69*U84/1000,0)</f>
        <v>100</v>
      </c>
      <c r="Z84" s="5">
        <f t="shared" si="61"/>
        <v>193</v>
      </c>
      <c r="AA84" s="5">
        <f t="shared" si="61"/>
        <v>185</v>
      </c>
      <c r="AB84" s="5">
        <f t="shared" si="61"/>
        <v>177</v>
      </c>
    </row>
    <row r="85" spans="1:28" ht="24.95" customHeight="1">
      <c r="A85" s="661" t="s">
        <v>597</v>
      </c>
      <c r="B85" s="2" t="s">
        <v>575</v>
      </c>
      <c r="C85" s="5">
        <f>SUM(C86:C94)</f>
        <v>1715</v>
      </c>
      <c r="D85" s="38">
        <f>C85/$C$4</f>
        <v>5.3859682180767539E-2</v>
      </c>
      <c r="E85" s="5">
        <f>'행정구역별 장래인구'!D11</f>
        <v>7032</v>
      </c>
      <c r="F85" s="5">
        <f>'행정구역별 장래인구'!E11</f>
        <v>7180</v>
      </c>
      <c r="G85" s="5">
        <f>'행정구역별 장래인구'!F11</f>
        <v>7342</v>
      </c>
      <c r="H85" s="5">
        <f>'행정구역별 장래인구'!G11</f>
        <v>7468</v>
      </c>
      <c r="I85" s="2"/>
      <c r="K85" s="842"/>
      <c r="L85" s="2" t="s">
        <v>438</v>
      </c>
      <c r="M85" s="11">
        <f t="shared" ref="M85:P86" si="62">E23</f>
        <v>1166</v>
      </c>
      <c r="N85" s="11">
        <f t="shared" si="62"/>
        <v>1190</v>
      </c>
      <c r="O85" s="11">
        <f t="shared" si="62"/>
        <v>1217</v>
      </c>
      <c r="P85" s="11">
        <f t="shared" si="62"/>
        <v>1238</v>
      </c>
      <c r="Q85" s="2"/>
      <c r="S85" s="661"/>
      <c r="T85" s="2" t="s">
        <v>578</v>
      </c>
      <c r="U85" s="2">
        <v>622</v>
      </c>
      <c r="V85" s="2">
        <v>599</v>
      </c>
      <c r="W85" s="2">
        <v>573</v>
      </c>
      <c r="X85" s="2">
        <v>550</v>
      </c>
      <c r="Y85" s="5">
        <f t="shared" si="61"/>
        <v>94</v>
      </c>
      <c r="Z85" s="5">
        <f t="shared" si="61"/>
        <v>90</v>
      </c>
      <c r="AA85" s="5">
        <f t="shared" si="61"/>
        <v>87</v>
      </c>
      <c r="AB85" s="5">
        <f t="shared" si="61"/>
        <v>83</v>
      </c>
    </row>
    <row r="86" spans="1:28" ht="24.95" customHeight="1">
      <c r="A86" s="661"/>
      <c r="B86" s="2" t="s">
        <v>502</v>
      </c>
      <c r="C86" s="5">
        <v>335</v>
      </c>
      <c r="D86" s="38">
        <f t="shared" ref="D86:D94" si="63">C86/$C$85</f>
        <v>0.19533527696793002</v>
      </c>
      <c r="E86" s="5">
        <f t="shared" ref="E86:E94" si="64">ROUND($E$85*D86,0)</f>
        <v>1374</v>
      </c>
      <c r="F86" s="5">
        <f>ROUND($F$85*D86,0)+1</f>
        <v>1404</v>
      </c>
      <c r="G86" s="5">
        <f>ROUND($G$85*D86,0)-1</f>
        <v>1433</v>
      </c>
      <c r="H86" s="5">
        <f>ROUND($H$85*D86,0)+1</f>
        <v>1460</v>
      </c>
      <c r="I86" s="2"/>
      <c r="K86" s="843"/>
      <c r="L86" s="2" t="s">
        <v>439</v>
      </c>
      <c r="M86" s="11">
        <f t="shared" si="62"/>
        <v>1260</v>
      </c>
      <c r="N86" s="11">
        <f t="shared" si="62"/>
        <v>1286</v>
      </c>
      <c r="O86" s="11">
        <f t="shared" si="62"/>
        <v>1316</v>
      </c>
      <c r="P86" s="11">
        <f t="shared" si="62"/>
        <v>1338</v>
      </c>
      <c r="Q86" s="2"/>
      <c r="S86" s="661"/>
      <c r="T86" s="2" t="s">
        <v>579</v>
      </c>
      <c r="U86" s="2">
        <v>547</v>
      </c>
      <c r="V86" s="2">
        <v>539</v>
      </c>
      <c r="W86" s="2">
        <v>533</v>
      </c>
      <c r="X86" s="2">
        <v>525</v>
      </c>
      <c r="Y86" s="5">
        <f t="shared" si="61"/>
        <v>0</v>
      </c>
      <c r="Z86" s="5">
        <f t="shared" si="61"/>
        <v>0</v>
      </c>
      <c r="AA86" s="5">
        <f t="shared" si="61"/>
        <v>0</v>
      </c>
      <c r="AB86" s="5">
        <f t="shared" si="61"/>
        <v>0</v>
      </c>
    </row>
    <row r="87" spans="1:28" ht="24.95" customHeight="1">
      <c r="A87" s="661"/>
      <c r="B87" s="2" t="s">
        <v>503</v>
      </c>
      <c r="C87" s="5">
        <v>82</v>
      </c>
      <c r="D87" s="38">
        <f t="shared" si="63"/>
        <v>4.78134110787172E-2</v>
      </c>
      <c r="E87" s="5">
        <f t="shared" si="64"/>
        <v>336</v>
      </c>
      <c r="F87" s="5">
        <f t="shared" ref="F87:F94" si="65">ROUND($F$85*D87,0)</f>
        <v>343</v>
      </c>
      <c r="G87" s="5">
        <f t="shared" ref="G87:G94" si="66">ROUND($G$85*D87,0)</f>
        <v>351</v>
      </c>
      <c r="H87" s="5">
        <f t="shared" ref="H87:H94" si="67">ROUND($H$85*D87,0)</f>
        <v>357</v>
      </c>
      <c r="I87" s="2"/>
      <c r="S87" s="770" t="s">
        <v>580</v>
      </c>
      <c r="T87" s="2" t="s">
        <v>575</v>
      </c>
      <c r="U87" s="2"/>
      <c r="V87" s="2"/>
      <c r="W87" s="2"/>
      <c r="X87" s="2"/>
      <c r="Y87" s="5">
        <f>SUM(Y88:Y90)</f>
        <v>61</v>
      </c>
      <c r="Z87" s="5">
        <f>SUM(Z88:Z90)</f>
        <v>60</v>
      </c>
      <c r="AA87" s="5">
        <f>SUM(AA88:AA90)</f>
        <v>60</v>
      </c>
      <c r="AB87" s="5">
        <f>SUM(AB88:AB90)</f>
        <v>59</v>
      </c>
    </row>
    <row r="88" spans="1:28" ht="24.95" customHeight="1">
      <c r="A88" s="661"/>
      <c r="B88" s="2" t="s">
        <v>504</v>
      </c>
      <c r="C88" s="5">
        <v>252</v>
      </c>
      <c r="D88" s="38">
        <f t="shared" si="63"/>
        <v>0.14693877551020409</v>
      </c>
      <c r="E88" s="5">
        <f t="shared" si="64"/>
        <v>1033</v>
      </c>
      <c r="F88" s="5">
        <f t="shared" si="65"/>
        <v>1055</v>
      </c>
      <c r="G88" s="5">
        <f t="shared" si="66"/>
        <v>1079</v>
      </c>
      <c r="H88" s="5">
        <f t="shared" si="67"/>
        <v>1097</v>
      </c>
      <c r="I88" s="2"/>
      <c r="K88" s="61" t="s">
        <v>599</v>
      </c>
      <c r="S88" s="661"/>
      <c r="T88" s="2" t="s">
        <v>581</v>
      </c>
      <c r="U88" s="2">
        <v>547</v>
      </c>
      <c r="V88" s="2">
        <v>539</v>
      </c>
      <c r="W88" s="2">
        <v>533</v>
      </c>
      <c r="X88" s="2">
        <v>525</v>
      </c>
      <c r="Y88" s="5">
        <f t="shared" ref="Y88:AB90" si="68">ROUND(Y73*U88/1000,0)</f>
        <v>61</v>
      </c>
      <c r="Z88" s="5">
        <f t="shared" si="68"/>
        <v>60</v>
      </c>
      <c r="AA88" s="5">
        <f t="shared" si="68"/>
        <v>60</v>
      </c>
      <c r="AB88" s="5">
        <f t="shared" si="68"/>
        <v>59</v>
      </c>
    </row>
    <row r="89" spans="1:28" ht="24.95" customHeight="1">
      <c r="A89" s="661"/>
      <c r="B89" s="2" t="s">
        <v>505</v>
      </c>
      <c r="C89" s="5">
        <v>139</v>
      </c>
      <c r="D89" s="38">
        <f t="shared" si="63"/>
        <v>8.1049562682215748E-2</v>
      </c>
      <c r="E89" s="5">
        <f t="shared" si="64"/>
        <v>570</v>
      </c>
      <c r="F89" s="5">
        <f t="shared" si="65"/>
        <v>582</v>
      </c>
      <c r="G89" s="5">
        <f t="shared" si="66"/>
        <v>595</v>
      </c>
      <c r="H89" s="5">
        <f t="shared" si="67"/>
        <v>605</v>
      </c>
      <c r="I89" s="2"/>
      <c r="K89" s="661" t="s">
        <v>561</v>
      </c>
      <c r="L89" s="661"/>
      <c r="M89" s="661" t="s">
        <v>563</v>
      </c>
      <c r="N89" s="661"/>
      <c r="O89" s="661"/>
      <c r="P89" s="661"/>
      <c r="Q89" s="661" t="s">
        <v>564</v>
      </c>
      <c r="S89" s="661"/>
      <c r="T89" s="2" t="s">
        <v>582</v>
      </c>
      <c r="U89" s="2">
        <v>547</v>
      </c>
      <c r="V89" s="2">
        <v>539</v>
      </c>
      <c r="W89" s="2">
        <v>533</v>
      </c>
      <c r="X89" s="2">
        <v>525</v>
      </c>
      <c r="Y89" s="5">
        <f t="shared" si="68"/>
        <v>0</v>
      </c>
      <c r="Z89" s="5">
        <f t="shared" si="68"/>
        <v>0</v>
      </c>
      <c r="AA89" s="5">
        <f t="shared" si="68"/>
        <v>0</v>
      </c>
      <c r="AB89" s="5">
        <f t="shared" si="68"/>
        <v>0</v>
      </c>
    </row>
    <row r="90" spans="1:28" ht="24.95" customHeight="1">
      <c r="A90" s="661"/>
      <c r="B90" s="2" t="s">
        <v>506</v>
      </c>
      <c r="C90" s="5">
        <v>326</v>
      </c>
      <c r="D90" s="38">
        <f t="shared" si="63"/>
        <v>0.1900874635568513</v>
      </c>
      <c r="E90" s="5">
        <f t="shared" si="64"/>
        <v>1337</v>
      </c>
      <c r="F90" s="5">
        <f t="shared" si="65"/>
        <v>1365</v>
      </c>
      <c r="G90" s="5">
        <f t="shared" si="66"/>
        <v>1396</v>
      </c>
      <c r="H90" s="5">
        <f t="shared" si="67"/>
        <v>1420</v>
      </c>
      <c r="I90" s="2"/>
      <c r="K90" s="661"/>
      <c r="L90" s="661"/>
      <c r="M90" s="2" t="s">
        <v>568</v>
      </c>
      <c r="N90" s="2" t="s">
        <v>569</v>
      </c>
      <c r="O90" s="2" t="s">
        <v>570</v>
      </c>
      <c r="P90" s="2" t="s">
        <v>571</v>
      </c>
      <c r="Q90" s="661"/>
      <c r="S90" s="661"/>
      <c r="T90" s="2" t="s">
        <v>583</v>
      </c>
      <c r="U90" s="2">
        <v>547</v>
      </c>
      <c r="V90" s="2">
        <v>539</v>
      </c>
      <c r="W90" s="2">
        <v>533</v>
      </c>
      <c r="X90" s="2">
        <v>525</v>
      </c>
      <c r="Y90" s="5">
        <f t="shared" si="68"/>
        <v>0</v>
      </c>
      <c r="Z90" s="5">
        <f t="shared" si="68"/>
        <v>0</v>
      </c>
      <c r="AA90" s="5">
        <f t="shared" si="68"/>
        <v>0</v>
      </c>
      <c r="AB90" s="5">
        <f t="shared" si="68"/>
        <v>0</v>
      </c>
    </row>
    <row r="91" spans="1:28" ht="24.95" customHeight="1">
      <c r="A91" s="661"/>
      <c r="B91" s="2" t="s">
        <v>507</v>
      </c>
      <c r="C91" s="5">
        <v>150</v>
      </c>
      <c r="D91" s="38">
        <f t="shared" si="63"/>
        <v>8.7463556851311949E-2</v>
      </c>
      <c r="E91" s="5">
        <f t="shared" si="64"/>
        <v>615</v>
      </c>
      <c r="F91" s="5">
        <f t="shared" si="65"/>
        <v>628</v>
      </c>
      <c r="G91" s="5">
        <f t="shared" si="66"/>
        <v>642</v>
      </c>
      <c r="H91" s="5">
        <f t="shared" si="67"/>
        <v>653</v>
      </c>
      <c r="I91" s="2"/>
      <c r="K91" s="661" t="s">
        <v>573</v>
      </c>
      <c r="L91" s="661"/>
      <c r="M91" s="11">
        <f>M92+M101</f>
        <v>15364</v>
      </c>
      <c r="N91" s="11">
        <f>N92+N101</f>
        <v>15689</v>
      </c>
      <c r="O91" s="11">
        <f>O92+O101</f>
        <v>16046</v>
      </c>
      <c r="P91" s="11">
        <f>P92+P101</f>
        <v>16317</v>
      </c>
      <c r="Q91" s="2"/>
      <c r="S91" s="661" t="s">
        <v>584</v>
      </c>
      <c r="T91" s="2" t="s">
        <v>575</v>
      </c>
      <c r="U91" s="2"/>
      <c r="V91" s="2"/>
      <c r="W91" s="2"/>
      <c r="X91" s="2"/>
      <c r="Y91" s="5">
        <f>SUM(Y92:Y93)</f>
        <v>0</v>
      </c>
      <c r="Z91" s="5">
        <f>SUM(Z92:Z93)</f>
        <v>0</v>
      </c>
      <c r="AA91" s="5">
        <f>SUM(AA92:AA93)</f>
        <v>0</v>
      </c>
      <c r="AB91" s="5">
        <f>SUM(AB92:AB93)</f>
        <v>0</v>
      </c>
    </row>
    <row r="92" spans="1:28" ht="24.95" customHeight="1">
      <c r="A92" s="661"/>
      <c r="B92" s="2" t="s">
        <v>508</v>
      </c>
      <c r="C92" s="5">
        <v>155</v>
      </c>
      <c r="D92" s="38">
        <f t="shared" si="63"/>
        <v>9.0379008746355682E-2</v>
      </c>
      <c r="E92" s="5">
        <f t="shared" si="64"/>
        <v>636</v>
      </c>
      <c r="F92" s="5">
        <f t="shared" si="65"/>
        <v>649</v>
      </c>
      <c r="G92" s="5">
        <f t="shared" si="66"/>
        <v>664</v>
      </c>
      <c r="H92" s="5">
        <f t="shared" si="67"/>
        <v>675</v>
      </c>
      <c r="I92" s="2"/>
      <c r="K92" s="661" t="s">
        <v>598</v>
      </c>
      <c r="L92" s="2" t="s">
        <v>575</v>
      </c>
      <c r="M92" s="11">
        <f>SUM(M93:M100)</f>
        <v>12823</v>
      </c>
      <c r="N92" s="11">
        <f>SUM(N93:N100)</f>
        <v>13095</v>
      </c>
      <c r="O92" s="11">
        <f>SUM(O93:O100)</f>
        <v>13393</v>
      </c>
      <c r="P92" s="11">
        <f>SUM(P93:P100)</f>
        <v>13619</v>
      </c>
      <c r="Q92" s="2"/>
      <c r="S92" s="661"/>
      <c r="T92" s="2" t="s">
        <v>585</v>
      </c>
      <c r="U92" s="2">
        <v>547</v>
      </c>
      <c r="V92" s="2">
        <v>539</v>
      </c>
      <c r="W92" s="2">
        <v>533</v>
      </c>
      <c r="X92" s="2">
        <v>525</v>
      </c>
      <c r="Y92" s="5">
        <f t="shared" ref="Y92:AB94" si="69">ROUND(Y77*U92/1000,0)</f>
        <v>0</v>
      </c>
      <c r="Z92" s="5">
        <f t="shared" si="69"/>
        <v>0</v>
      </c>
      <c r="AA92" s="5">
        <f t="shared" si="69"/>
        <v>0</v>
      </c>
      <c r="AB92" s="5">
        <f t="shared" si="69"/>
        <v>0</v>
      </c>
    </row>
    <row r="93" spans="1:28" ht="24.95" customHeight="1">
      <c r="A93" s="661"/>
      <c r="B93" s="2" t="s">
        <v>509</v>
      </c>
      <c r="C93" s="5">
        <v>177</v>
      </c>
      <c r="D93" s="38">
        <f t="shared" si="63"/>
        <v>0.1032069970845481</v>
      </c>
      <c r="E93" s="5">
        <f t="shared" si="64"/>
        <v>726</v>
      </c>
      <c r="F93" s="5">
        <f t="shared" si="65"/>
        <v>741</v>
      </c>
      <c r="G93" s="5">
        <f t="shared" si="66"/>
        <v>758</v>
      </c>
      <c r="H93" s="5">
        <f t="shared" si="67"/>
        <v>771</v>
      </c>
      <c r="I93" s="2"/>
      <c r="K93" s="661"/>
      <c r="L93" s="2" t="s">
        <v>493</v>
      </c>
      <c r="M93" s="11">
        <f t="shared" ref="M93:P100" si="70">E77</f>
        <v>813</v>
      </c>
      <c r="N93" s="11">
        <f t="shared" si="70"/>
        <v>830</v>
      </c>
      <c r="O93" s="11">
        <f t="shared" si="70"/>
        <v>849</v>
      </c>
      <c r="P93" s="11">
        <f t="shared" si="70"/>
        <v>863</v>
      </c>
      <c r="Q93" s="2"/>
      <c r="S93" s="661"/>
      <c r="T93" s="2" t="s">
        <v>586</v>
      </c>
      <c r="U93" s="2">
        <v>547</v>
      </c>
      <c r="V93" s="2">
        <v>539</v>
      </c>
      <c r="W93" s="2">
        <v>533</v>
      </c>
      <c r="X93" s="2">
        <v>525</v>
      </c>
      <c r="Y93" s="5">
        <f t="shared" si="69"/>
        <v>0</v>
      </c>
      <c r="Z93" s="5">
        <f t="shared" si="69"/>
        <v>0</v>
      </c>
      <c r="AA93" s="5">
        <f t="shared" si="69"/>
        <v>0</v>
      </c>
      <c r="AB93" s="5">
        <f t="shared" si="69"/>
        <v>0</v>
      </c>
    </row>
    <row r="94" spans="1:28" ht="24.95" customHeight="1">
      <c r="A94" s="661"/>
      <c r="B94" s="2" t="s">
        <v>510</v>
      </c>
      <c r="C94" s="5">
        <v>99</v>
      </c>
      <c r="D94" s="38">
        <f t="shared" si="63"/>
        <v>5.772594752186589E-2</v>
      </c>
      <c r="E94" s="5">
        <f t="shared" si="64"/>
        <v>406</v>
      </c>
      <c r="F94" s="5">
        <f t="shared" si="65"/>
        <v>414</v>
      </c>
      <c r="G94" s="5">
        <f t="shared" si="66"/>
        <v>424</v>
      </c>
      <c r="H94" s="5">
        <f t="shared" si="67"/>
        <v>431</v>
      </c>
      <c r="I94" s="2"/>
      <c r="K94" s="661"/>
      <c r="L94" s="2" t="s">
        <v>494</v>
      </c>
      <c r="M94" s="11">
        <f t="shared" si="70"/>
        <v>1589</v>
      </c>
      <c r="N94" s="11">
        <f t="shared" si="70"/>
        <v>1622</v>
      </c>
      <c r="O94" s="11">
        <f t="shared" si="70"/>
        <v>1659</v>
      </c>
      <c r="P94" s="11">
        <f t="shared" si="70"/>
        <v>1687</v>
      </c>
      <c r="Q94" s="2"/>
      <c r="S94" s="2" t="s">
        <v>587</v>
      </c>
      <c r="T94" s="2" t="s">
        <v>588</v>
      </c>
      <c r="U94" s="2">
        <v>547</v>
      </c>
      <c r="V94" s="2">
        <v>539</v>
      </c>
      <c r="W94" s="2">
        <v>533</v>
      </c>
      <c r="X94" s="2">
        <v>525</v>
      </c>
      <c r="Y94" s="5">
        <f t="shared" si="69"/>
        <v>16</v>
      </c>
      <c r="Z94" s="5">
        <f t="shared" si="69"/>
        <v>16</v>
      </c>
      <c r="AA94" s="5">
        <f t="shared" si="69"/>
        <v>15</v>
      </c>
      <c r="AB94" s="5">
        <f t="shared" si="69"/>
        <v>15</v>
      </c>
    </row>
    <row r="95" spans="1:28" ht="24.95" customHeight="1">
      <c r="K95" s="661"/>
      <c r="L95" s="2" t="s">
        <v>495</v>
      </c>
      <c r="M95" s="11">
        <f t="shared" si="70"/>
        <v>3111</v>
      </c>
      <c r="N95" s="11">
        <f t="shared" si="70"/>
        <v>3178</v>
      </c>
      <c r="O95" s="11">
        <f t="shared" si="70"/>
        <v>3251</v>
      </c>
      <c r="P95" s="11">
        <f t="shared" si="70"/>
        <v>3304</v>
      </c>
      <c r="Q95" s="2"/>
      <c r="S95" s="661" t="s">
        <v>575</v>
      </c>
      <c r="T95" s="661"/>
      <c r="U95" s="2"/>
      <c r="V95" s="2"/>
      <c r="W95" s="2"/>
      <c r="X95" s="2"/>
      <c r="Y95" s="5">
        <f>Y83+Y87+Y91+Y94</f>
        <v>271</v>
      </c>
      <c r="Z95" s="5">
        <f>Z83+Z87+Z91+Z94</f>
        <v>359</v>
      </c>
      <c r="AA95" s="5">
        <f>AA83+AA87+AA91+AA94</f>
        <v>347</v>
      </c>
      <c r="AB95" s="5">
        <f>AB83+AB87+AB91+AB94</f>
        <v>334</v>
      </c>
    </row>
    <row r="96" spans="1:28" ht="24.95" customHeight="1">
      <c r="K96" s="661"/>
      <c r="L96" s="2" t="s">
        <v>496</v>
      </c>
      <c r="M96" s="11">
        <f t="shared" si="70"/>
        <v>3111</v>
      </c>
      <c r="N96" s="11">
        <f t="shared" si="70"/>
        <v>3178</v>
      </c>
      <c r="O96" s="11">
        <f t="shared" si="70"/>
        <v>3250</v>
      </c>
      <c r="P96" s="11">
        <f t="shared" si="70"/>
        <v>3305</v>
      </c>
      <c r="Q96" s="2"/>
    </row>
    <row r="97" spans="11:28" ht="24.95" customHeight="1">
      <c r="K97" s="661"/>
      <c r="L97" s="2" t="s">
        <v>497</v>
      </c>
      <c r="M97" s="11">
        <f t="shared" si="70"/>
        <v>743</v>
      </c>
      <c r="N97" s="11">
        <f t="shared" si="70"/>
        <v>759</v>
      </c>
      <c r="O97" s="11">
        <f t="shared" si="70"/>
        <v>776</v>
      </c>
      <c r="P97" s="11">
        <f t="shared" si="70"/>
        <v>789</v>
      </c>
      <c r="Q97" s="2"/>
      <c r="S97" s="61" t="s">
        <v>600</v>
      </c>
    </row>
    <row r="98" spans="11:28" ht="24.95" customHeight="1">
      <c r="K98" s="661"/>
      <c r="L98" s="2" t="s">
        <v>498</v>
      </c>
      <c r="M98" s="11">
        <f t="shared" si="70"/>
        <v>576</v>
      </c>
      <c r="N98" s="11">
        <f t="shared" si="70"/>
        <v>588</v>
      </c>
      <c r="O98" s="11">
        <f t="shared" si="70"/>
        <v>601</v>
      </c>
      <c r="P98" s="11">
        <f t="shared" si="70"/>
        <v>612</v>
      </c>
      <c r="Q98" s="2"/>
      <c r="S98" s="844" t="s">
        <v>561</v>
      </c>
      <c r="T98" s="845"/>
      <c r="U98" s="661" t="s">
        <v>601</v>
      </c>
      <c r="V98" s="661"/>
      <c r="W98" s="661"/>
      <c r="X98" s="661"/>
      <c r="Y98" s="661" t="s">
        <v>590</v>
      </c>
      <c r="Z98" s="661"/>
      <c r="AA98" s="661"/>
      <c r="AB98" s="661"/>
    </row>
    <row r="99" spans="11:28" ht="24.95" customHeight="1">
      <c r="K99" s="661"/>
      <c r="L99" s="2" t="s">
        <v>499</v>
      </c>
      <c r="M99" s="11">
        <f t="shared" si="70"/>
        <v>1495</v>
      </c>
      <c r="N99" s="11">
        <f t="shared" si="70"/>
        <v>1526</v>
      </c>
      <c r="O99" s="11">
        <f t="shared" si="70"/>
        <v>1561</v>
      </c>
      <c r="P99" s="11">
        <f t="shared" si="70"/>
        <v>1588</v>
      </c>
      <c r="Q99" s="2"/>
      <c r="S99" s="846"/>
      <c r="T99" s="847"/>
      <c r="U99" s="2" t="s">
        <v>568</v>
      </c>
      <c r="V99" s="2" t="s">
        <v>569</v>
      </c>
      <c r="W99" s="2" t="s">
        <v>570</v>
      </c>
      <c r="X99" s="2" t="s">
        <v>571</v>
      </c>
      <c r="Y99" s="2" t="s">
        <v>568</v>
      </c>
      <c r="Z99" s="2" t="s">
        <v>569</v>
      </c>
      <c r="AA99" s="2" t="s">
        <v>570</v>
      </c>
      <c r="AB99" s="2" t="s">
        <v>571</v>
      </c>
    </row>
    <row r="100" spans="11:28" ht="24.95" customHeight="1">
      <c r="K100" s="661"/>
      <c r="L100" s="2" t="s">
        <v>500</v>
      </c>
      <c r="M100" s="11">
        <f t="shared" si="70"/>
        <v>1385</v>
      </c>
      <c r="N100" s="11">
        <f t="shared" si="70"/>
        <v>1414</v>
      </c>
      <c r="O100" s="11">
        <f t="shared" si="70"/>
        <v>1446</v>
      </c>
      <c r="P100" s="11">
        <f t="shared" si="70"/>
        <v>1471</v>
      </c>
      <c r="Q100" s="2"/>
      <c r="S100" s="770" t="s">
        <v>574</v>
      </c>
      <c r="T100" s="2" t="s">
        <v>575</v>
      </c>
      <c r="U100" s="5">
        <f t="shared" ref="U100:AB100" si="71">SUM(U101:U103)</f>
        <v>820</v>
      </c>
      <c r="V100" s="5">
        <f t="shared" si="71"/>
        <v>820</v>
      </c>
      <c r="W100" s="5">
        <f t="shared" si="71"/>
        <v>820</v>
      </c>
      <c r="X100" s="5">
        <f t="shared" si="71"/>
        <v>820</v>
      </c>
      <c r="Y100" s="5">
        <f t="shared" si="71"/>
        <v>1189</v>
      </c>
      <c r="Z100" s="5">
        <f t="shared" si="71"/>
        <v>1189</v>
      </c>
      <c r="AA100" s="5">
        <f t="shared" si="71"/>
        <v>1189</v>
      </c>
      <c r="AB100" s="5">
        <f t="shared" si="71"/>
        <v>1189</v>
      </c>
    </row>
    <row r="101" spans="11:28" ht="24.95" customHeight="1">
      <c r="K101" s="661" t="s">
        <v>593</v>
      </c>
      <c r="L101" s="2" t="s">
        <v>575</v>
      </c>
      <c r="M101" s="11">
        <f>SUM(M102:M103)</f>
        <v>2541</v>
      </c>
      <c r="N101" s="11">
        <f>SUM(N102:N103)</f>
        <v>2594</v>
      </c>
      <c r="O101" s="11">
        <f>SUM(O102:O103)</f>
        <v>2653</v>
      </c>
      <c r="P101" s="11">
        <f>SUM(P102:P103)</f>
        <v>2698</v>
      </c>
      <c r="Q101" s="2"/>
      <c r="S101" s="661"/>
      <c r="T101" s="2" t="s">
        <v>577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</row>
    <row r="102" spans="11:28" ht="24.95" customHeight="1">
      <c r="K102" s="661"/>
      <c r="L102" s="2" t="s">
        <v>468</v>
      </c>
      <c r="M102" s="11">
        <f t="shared" ref="M102:P103" si="72">E52</f>
        <v>975</v>
      </c>
      <c r="N102" s="11">
        <f t="shared" si="72"/>
        <v>995</v>
      </c>
      <c r="O102" s="11">
        <f t="shared" si="72"/>
        <v>1018</v>
      </c>
      <c r="P102" s="11">
        <f t="shared" si="72"/>
        <v>1035</v>
      </c>
      <c r="Q102" s="2"/>
      <c r="S102" s="661"/>
      <c r="T102" s="2" t="s">
        <v>578</v>
      </c>
      <c r="U102" s="2">
        <v>820</v>
      </c>
      <c r="V102" s="2">
        <v>820</v>
      </c>
      <c r="W102" s="2">
        <v>820</v>
      </c>
      <c r="X102" s="2">
        <v>820</v>
      </c>
      <c r="Y102" s="5">
        <v>1189</v>
      </c>
      <c r="Z102" s="5">
        <v>1189</v>
      </c>
      <c r="AA102" s="5">
        <v>1189</v>
      </c>
      <c r="AB102" s="5">
        <v>1189</v>
      </c>
    </row>
    <row r="103" spans="11:28" ht="24.95" customHeight="1">
      <c r="K103" s="661"/>
      <c r="L103" s="2" t="s">
        <v>469</v>
      </c>
      <c r="M103" s="11">
        <f t="shared" si="72"/>
        <v>1566</v>
      </c>
      <c r="N103" s="11">
        <f t="shared" si="72"/>
        <v>1599</v>
      </c>
      <c r="O103" s="11">
        <f t="shared" si="72"/>
        <v>1635</v>
      </c>
      <c r="P103" s="11">
        <f t="shared" si="72"/>
        <v>1663</v>
      </c>
      <c r="Q103" s="2"/>
      <c r="S103" s="661"/>
      <c r="T103" s="2" t="s">
        <v>579</v>
      </c>
      <c r="U103" s="2">
        <v>0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</row>
    <row r="104" spans="11:28" ht="24.95" customHeight="1">
      <c r="L104" s="56"/>
    </row>
    <row r="105" spans="11:28" ht="24.95" customHeight="1">
      <c r="K105" s="61" t="s">
        <v>602</v>
      </c>
      <c r="S105" s="61" t="s">
        <v>603</v>
      </c>
    </row>
    <row r="106" spans="11:28" ht="24.95" customHeight="1">
      <c r="K106" s="661" t="s">
        <v>561</v>
      </c>
      <c r="L106" s="661"/>
      <c r="M106" s="661" t="s">
        <v>563</v>
      </c>
      <c r="N106" s="661"/>
      <c r="O106" s="661"/>
      <c r="P106" s="661"/>
      <c r="Q106" s="661" t="s">
        <v>564</v>
      </c>
      <c r="S106" s="844" t="s">
        <v>561</v>
      </c>
      <c r="T106" s="845"/>
      <c r="U106" s="661" t="s">
        <v>563</v>
      </c>
      <c r="V106" s="661"/>
      <c r="W106" s="661"/>
      <c r="X106" s="661"/>
      <c r="Y106" s="661" t="s">
        <v>565</v>
      </c>
      <c r="Z106" s="661"/>
      <c r="AA106" s="661"/>
      <c r="AB106" s="661"/>
    </row>
    <row r="107" spans="11:28" ht="24.95" customHeight="1">
      <c r="K107" s="661"/>
      <c r="L107" s="661"/>
      <c r="M107" s="2" t="s">
        <v>568</v>
      </c>
      <c r="N107" s="2" t="s">
        <v>569</v>
      </c>
      <c r="O107" s="2" t="s">
        <v>570</v>
      </c>
      <c r="P107" s="2" t="s">
        <v>571</v>
      </c>
      <c r="Q107" s="661"/>
      <c r="S107" s="846"/>
      <c r="T107" s="847"/>
      <c r="U107" s="84" t="s">
        <v>568</v>
      </c>
      <c r="V107" s="84" t="s">
        <v>569</v>
      </c>
      <c r="W107" s="84" t="s">
        <v>570</v>
      </c>
      <c r="X107" s="84" t="s">
        <v>571</v>
      </c>
      <c r="Y107" s="84" t="s">
        <v>568</v>
      </c>
      <c r="Z107" s="84" t="s">
        <v>569</v>
      </c>
      <c r="AA107" s="84" t="s">
        <v>570</v>
      </c>
      <c r="AB107" s="84" t="s">
        <v>571</v>
      </c>
    </row>
    <row r="108" spans="11:28" ht="24.95" customHeight="1">
      <c r="K108" s="661" t="s">
        <v>573</v>
      </c>
      <c r="L108" s="661"/>
      <c r="M108" s="11">
        <f>M109</f>
        <v>5953</v>
      </c>
      <c r="N108" s="11">
        <f>N109</f>
        <v>6078</v>
      </c>
      <c r="O108" s="11">
        <f>O109</f>
        <v>6216</v>
      </c>
      <c r="P108" s="11">
        <f>P109</f>
        <v>6323</v>
      </c>
      <c r="Q108" s="2"/>
      <c r="S108" s="770" t="s">
        <v>574</v>
      </c>
      <c r="T108" s="2" t="s">
        <v>575</v>
      </c>
      <c r="U108" s="11">
        <f t="shared" ref="U108:AB108" si="73">SUM(U109:U111)</f>
        <v>0</v>
      </c>
      <c r="V108" s="11">
        <f t="shared" si="73"/>
        <v>234</v>
      </c>
      <c r="W108" s="11">
        <f t="shared" si="73"/>
        <v>238</v>
      </c>
      <c r="X108" s="11">
        <f t="shared" si="73"/>
        <v>242</v>
      </c>
      <c r="Y108" s="11">
        <f t="shared" si="73"/>
        <v>0</v>
      </c>
      <c r="Z108" s="11">
        <f t="shared" si="73"/>
        <v>234</v>
      </c>
      <c r="AA108" s="11">
        <f t="shared" si="73"/>
        <v>238</v>
      </c>
      <c r="AB108" s="11">
        <f t="shared" si="73"/>
        <v>242</v>
      </c>
    </row>
    <row r="109" spans="11:28" ht="24.95" customHeight="1">
      <c r="K109" s="841" t="s">
        <v>593</v>
      </c>
      <c r="L109" s="2" t="s">
        <v>575</v>
      </c>
      <c r="M109" s="11">
        <f>SUM(M110:M112)</f>
        <v>5953</v>
      </c>
      <c r="N109" s="11">
        <f>SUM(N110:N112)</f>
        <v>6078</v>
      </c>
      <c r="O109" s="11">
        <f>SUM(O110:O112)</f>
        <v>6216</v>
      </c>
      <c r="P109" s="11">
        <f>SUM(P110:P112)</f>
        <v>6323</v>
      </c>
      <c r="Q109" s="2"/>
      <c r="S109" s="661"/>
      <c r="T109" s="2" t="s">
        <v>577</v>
      </c>
      <c r="U109" s="11">
        <f>관광용수!D55</f>
        <v>0</v>
      </c>
      <c r="V109" s="11">
        <f>관광용수!E55</f>
        <v>125</v>
      </c>
      <c r="W109" s="11">
        <f>관광용수!F55</f>
        <v>127</v>
      </c>
      <c r="X109" s="11">
        <f>관광용수!G55</f>
        <v>129</v>
      </c>
      <c r="Y109" s="11">
        <f t="shared" ref="Y109:AB111" si="74">U109</f>
        <v>0</v>
      </c>
      <c r="Z109" s="11">
        <f t="shared" si="74"/>
        <v>125</v>
      </c>
      <c r="AA109" s="11">
        <f t="shared" si="74"/>
        <v>127</v>
      </c>
      <c r="AB109" s="11">
        <f t="shared" si="74"/>
        <v>129</v>
      </c>
    </row>
    <row r="110" spans="11:28" ht="24.95" customHeight="1">
      <c r="K110" s="842"/>
      <c r="L110" s="2" t="s">
        <v>473</v>
      </c>
      <c r="M110" s="11">
        <f t="shared" ref="M110:P112" si="75">E57</f>
        <v>1121</v>
      </c>
      <c r="N110" s="11">
        <f t="shared" si="75"/>
        <v>1145</v>
      </c>
      <c r="O110" s="11">
        <f t="shared" si="75"/>
        <v>1171</v>
      </c>
      <c r="P110" s="11">
        <f t="shared" si="75"/>
        <v>1191</v>
      </c>
      <c r="Q110" s="2"/>
      <c r="S110" s="661"/>
      <c r="T110" s="2" t="s">
        <v>578</v>
      </c>
      <c r="U110" s="11">
        <f>관광용수!D59</f>
        <v>0</v>
      </c>
      <c r="V110" s="11">
        <f>관광용수!E59</f>
        <v>8</v>
      </c>
      <c r="W110" s="11">
        <f>관광용수!F59</f>
        <v>8</v>
      </c>
      <c r="X110" s="11">
        <f>관광용수!G59</f>
        <v>8</v>
      </c>
      <c r="Y110" s="11">
        <f t="shared" si="74"/>
        <v>0</v>
      </c>
      <c r="Z110" s="11">
        <f t="shared" si="74"/>
        <v>8</v>
      </c>
      <c r="AA110" s="11">
        <f t="shared" si="74"/>
        <v>8</v>
      </c>
      <c r="AB110" s="11">
        <f t="shared" si="74"/>
        <v>8</v>
      </c>
    </row>
    <row r="111" spans="11:28" ht="24.95" customHeight="1">
      <c r="K111" s="842"/>
      <c r="L111" s="2" t="s">
        <v>474</v>
      </c>
      <c r="M111" s="11">
        <f t="shared" si="75"/>
        <v>2675</v>
      </c>
      <c r="N111" s="11">
        <f t="shared" si="75"/>
        <v>2731</v>
      </c>
      <c r="O111" s="11">
        <f t="shared" si="75"/>
        <v>2793</v>
      </c>
      <c r="P111" s="11">
        <f t="shared" si="75"/>
        <v>2841</v>
      </c>
      <c r="Q111" s="2"/>
      <c r="S111" s="661"/>
      <c r="T111" s="2" t="s">
        <v>579</v>
      </c>
      <c r="U111" s="11">
        <f>관광용수!D57</f>
        <v>0</v>
      </c>
      <c r="V111" s="11">
        <f>관광용수!E57</f>
        <v>101</v>
      </c>
      <c r="W111" s="11">
        <f>관광용수!F57</f>
        <v>103</v>
      </c>
      <c r="X111" s="11">
        <f>관광용수!G57</f>
        <v>105</v>
      </c>
      <c r="Y111" s="11">
        <f t="shared" si="74"/>
        <v>0</v>
      </c>
      <c r="Z111" s="11">
        <f t="shared" si="74"/>
        <v>101</v>
      </c>
      <c r="AA111" s="11">
        <f t="shared" si="74"/>
        <v>103</v>
      </c>
      <c r="AB111" s="11">
        <f t="shared" si="74"/>
        <v>105</v>
      </c>
    </row>
    <row r="112" spans="11:28" ht="24.95" customHeight="1">
      <c r="K112" s="843"/>
      <c r="L112" s="2" t="s">
        <v>475</v>
      </c>
      <c r="M112" s="11">
        <f t="shared" si="75"/>
        <v>2157</v>
      </c>
      <c r="N112" s="11">
        <f t="shared" si="75"/>
        <v>2202</v>
      </c>
      <c r="O112" s="11">
        <f t="shared" si="75"/>
        <v>2252</v>
      </c>
      <c r="P112" s="11">
        <f t="shared" si="75"/>
        <v>2291</v>
      </c>
      <c r="Q112" s="2"/>
      <c r="S112" s="770" t="s">
        <v>580</v>
      </c>
      <c r="T112" s="2" t="s">
        <v>575</v>
      </c>
      <c r="U112" s="11">
        <f t="shared" ref="U112:AB112" si="76">SUM(U113:U115)</f>
        <v>0</v>
      </c>
      <c r="V112" s="11">
        <f t="shared" si="76"/>
        <v>12</v>
      </c>
      <c r="W112" s="11">
        <f t="shared" si="76"/>
        <v>12</v>
      </c>
      <c r="X112" s="11">
        <f t="shared" si="76"/>
        <v>13</v>
      </c>
      <c r="Y112" s="11">
        <f t="shared" si="76"/>
        <v>0</v>
      </c>
      <c r="Z112" s="11">
        <f t="shared" si="76"/>
        <v>12</v>
      </c>
      <c r="AA112" s="11">
        <f t="shared" si="76"/>
        <v>12</v>
      </c>
      <c r="AB112" s="11">
        <f t="shared" si="76"/>
        <v>13</v>
      </c>
    </row>
    <row r="113" spans="13:28" ht="24.95" customHeight="1">
      <c r="S113" s="661"/>
      <c r="T113" s="2" t="s">
        <v>581</v>
      </c>
      <c r="U113" s="11">
        <f>관광용수!D63</f>
        <v>0</v>
      </c>
      <c r="V113" s="11">
        <f>관광용수!E63</f>
        <v>0</v>
      </c>
      <c r="W113" s="11">
        <f>관광용수!F63</f>
        <v>0</v>
      </c>
      <c r="X113" s="11">
        <f>관광용수!G63</f>
        <v>0</v>
      </c>
      <c r="Y113" s="11">
        <f t="shared" ref="Y113:AB119" si="77">U113</f>
        <v>0</v>
      </c>
      <c r="Z113" s="11">
        <f t="shared" si="77"/>
        <v>0</v>
      </c>
      <c r="AA113" s="11">
        <f t="shared" si="77"/>
        <v>0</v>
      </c>
      <c r="AB113" s="11">
        <f t="shared" si="77"/>
        <v>0</v>
      </c>
    </row>
    <row r="114" spans="13:28" ht="24.95" customHeight="1">
      <c r="S114" s="661"/>
      <c r="T114" s="2" t="s">
        <v>582</v>
      </c>
      <c r="U114" s="11">
        <v>0</v>
      </c>
      <c r="V114" s="11">
        <v>0</v>
      </c>
      <c r="W114" s="11">
        <v>0</v>
      </c>
      <c r="X114" s="11">
        <v>0</v>
      </c>
      <c r="Y114" s="11">
        <f t="shared" si="77"/>
        <v>0</v>
      </c>
      <c r="Z114" s="11">
        <f t="shared" si="77"/>
        <v>0</v>
      </c>
      <c r="AA114" s="11">
        <f t="shared" si="77"/>
        <v>0</v>
      </c>
      <c r="AB114" s="11">
        <f t="shared" si="77"/>
        <v>0</v>
      </c>
    </row>
    <row r="115" spans="13:28" ht="24.95" customHeight="1">
      <c r="S115" s="661"/>
      <c r="T115" s="2" t="s">
        <v>583</v>
      </c>
      <c r="U115" s="11">
        <f>관광용수!D67</f>
        <v>0</v>
      </c>
      <c r="V115" s="11">
        <f>관광용수!E67</f>
        <v>12</v>
      </c>
      <c r="W115" s="11">
        <f>관광용수!F67</f>
        <v>12</v>
      </c>
      <c r="X115" s="11">
        <f>관광용수!G67</f>
        <v>13</v>
      </c>
      <c r="Y115" s="11">
        <f t="shared" si="77"/>
        <v>0</v>
      </c>
      <c r="Z115" s="11">
        <f t="shared" si="77"/>
        <v>12</v>
      </c>
      <c r="AA115" s="11">
        <f t="shared" si="77"/>
        <v>12</v>
      </c>
      <c r="AB115" s="11">
        <f t="shared" si="77"/>
        <v>13</v>
      </c>
    </row>
    <row r="116" spans="13:28" ht="24.95" customHeight="1">
      <c r="M116" s="14"/>
      <c r="N116" s="14"/>
      <c r="O116" s="14"/>
      <c r="P116" s="14"/>
      <c r="S116" s="661" t="s">
        <v>584</v>
      </c>
      <c r="T116" s="2" t="s">
        <v>575</v>
      </c>
      <c r="U116" s="11">
        <f>관광용수!D65</f>
        <v>0</v>
      </c>
      <c r="V116" s="11">
        <f>관광용수!E65</f>
        <v>4</v>
      </c>
      <c r="W116" s="11">
        <f>관광용수!F65</f>
        <v>4</v>
      </c>
      <c r="X116" s="11">
        <f>관광용수!G65</f>
        <v>4</v>
      </c>
      <c r="Y116" s="11">
        <f t="shared" si="77"/>
        <v>0</v>
      </c>
      <c r="Z116" s="11">
        <f t="shared" si="77"/>
        <v>4</v>
      </c>
      <c r="AA116" s="11">
        <f t="shared" si="77"/>
        <v>4</v>
      </c>
      <c r="AB116" s="11">
        <f t="shared" si="77"/>
        <v>4</v>
      </c>
    </row>
    <row r="117" spans="13:28" ht="24.95" customHeight="1">
      <c r="S117" s="661"/>
      <c r="T117" s="2" t="s">
        <v>585</v>
      </c>
      <c r="U117" s="11">
        <v>0</v>
      </c>
      <c r="V117" s="11">
        <v>0</v>
      </c>
      <c r="W117" s="11">
        <v>0</v>
      </c>
      <c r="X117" s="11">
        <v>0</v>
      </c>
      <c r="Y117" s="11">
        <f t="shared" si="77"/>
        <v>0</v>
      </c>
      <c r="Z117" s="11">
        <f t="shared" si="77"/>
        <v>0</v>
      </c>
      <c r="AA117" s="11">
        <f t="shared" si="77"/>
        <v>0</v>
      </c>
      <c r="AB117" s="11">
        <f t="shared" si="77"/>
        <v>0</v>
      </c>
    </row>
    <row r="118" spans="13:28" ht="24.95" customHeight="1">
      <c r="S118" s="661"/>
      <c r="T118" s="2" t="s">
        <v>586</v>
      </c>
      <c r="U118" s="11">
        <f>관광용수!D66</f>
        <v>0</v>
      </c>
      <c r="V118" s="11">
        <f>관광용수!E66</f>
        <v>3</v>
      </c>
      <c r="W118" s="11">
        <f>관광용수!F66</f>
        <v>3</v>
      </c>
      <c r="X118" s="11">
        <f>관광용수!G66</f>
        <v>3</v>
      </c>
      <c r="Y118" s="11">
        <f t="shared" si="77"/>
        <v>0</v>
      </c>
      <c r="Z118" s="11">
        <f t="shared" si="77"/>
        <v>3</v>
      </c>
      <c r="AA118" s="11">
        <f t="shared" si="77"/>
        <v>3</v>
      </c>
      <c r="AB118" s="11">
        <f t="shared" si="77"/>
        <v>3</v>
      </c>
    </row>
    <row r="119" spans="13:28" ht="24.95" customHeight="1">
      <c r="S119" s="2" t="s">
        <v>587</v>
      </c>
      <c r="T119" s="2" t="s">
        <v>588</v>
      </c>
      <c r="U119" s="11">
        <f>관광용수!D61</f>
        <v>0</v>
      </c>
      <c r="V119" s="11">
        <f>관광용수!E61</f>
        <v>4</v>
      </c>
      <c r="W119" s="11">
        <f>관광용수!F61</f>
        <v>4</v>
      </c>
      <c r="X119" s="11">
        <f>관광용수!G61</f>
        <v>4</v>
      </c>
      <c r="Y119" s="11">
        <f t="shared" si="77"/>
        <v>0</v>
      </c>
      <c r="Z119" s="11">
        <f t="shared" si="77"/>
        <v>4</v>
      </c>
      <c r="AA119" s="11">
        <f t="shared" si="77"/>
        <v>4</v>
      </c>
      <c r="AB119" s="11">
        <f t="shared" si="77"/>
        <v>4</v>
      </c>
    </row>
    <row r="120" spans="13:28" ht="24.95" customHeight="1">
      <c r="S120" s="661" t="s">
        <v>575</v>
      </c>
      <c r="T120" s="661"/>
      <c r="U120" s="11">
        <f t="shared" ref="U120:AB120" si="78">U108+U112+U116+U119</f>
        <v>0</v>
      </c>
      <c r="V120" s="11">
        <f t="shared" si="78"/>
        <v>254</v>
      </c>
      <c r="W120" s="11">
        <f t="shared" si="78"/>
        <v>258</v>
      </c>
      <c r="X120" s="11">
        <f t="shared" si="78"/>
        <v>263</v>
      </c>
      <c r="Y120" s="11">
        <f t="shared" si="78"/>
        <v>0</v>
      </c>
      <c r="Z120" s="11">
        <f t="shared" si="78"/>
        <v>254</v>
      </c>
      <c r="AA120" s="11">
        <f t="shared" si="78"/>
        <v>258</v>
      </c>
      <c r="AB120" s="11">
        <f t="shared" si="78"/>
        <v>263</v>
      </c>
    </row>
    <row r="121" spans="13:28" ht="24.95" customHeight="1">
      <c r="S121" s="844" t="s">
        <v>561</v>
      </c>
      <c r="T121" s="845"/>
      <c r="U121" s="661" t="s">
        <v>589</v>
      </c>
      <c r="V121" s="661"/>
      <c r="W121" s="661"/>
      <c r="X121" s="661"/>
      <c r="Y121" s="661" t="s">
        <v>590</v>
      </c>
      <c r="Z121" s="661"/>
      <c r="AA121" s="661"/>
      <c r="AB121" s="661"/>
    </row>
    <row r="122" spans="13:28" ht="24.95" customHeight="1">
      <c r="S122" s="846"/>
      <c r="T122" s="847"/>
      <c r="U122" s="2" t="s">
        <v>568</v>
      </c>
      <c r="V122" s="2" t="s">
        <v>569</v>
      </c>
      <c r="W122" s="2" t="s">
        <v>570</v>
      </c>
      <c r="X122" s="2" t="s">
        <v>571</v>
      </c>
      <c r="Y122" s="2" t="s">
        <v>568</v>
      </c>
      <c r="Z122" s="2" t="s">
        <v>569</v>
      </c>
      <c r="AA122" s="2" t="s">
        <v>570</v>
      </c>
      <c r="AB122" s="2" t="s">
        <v>571</v>
      </c>
    </row>
    <row r="123" spans="13:28" ht="24.95" customHeight="1">
      <c r="S123" s="770" t="s">
        <v>574</v>
      </c>
      <c r="T123" s="2" t="s">
        <v>575</v>
      </c>
      <c r="U123" s="2"/>
      <c r="V123" s="2"/>
      <c r="W123" s="2"/>
      <c r="X123" s="2"/>
      <c r="Y123" s="5">
        <f>SUM(Y124:Y126)</f>
        <v>0</v>
      </c>
      <c r="Z123" s="5">
        <f>SUM(Z124:Z126)</f>
        <v>21</v>
      </c>
      <c r="AA123" s="5">
        <f>SUM(AA124:AA126)</f>
        <v>22</v>
      </c>
      <c r="AB123" s="5">
        <f>SUM(AB124:AB126)</f>
        <v>24</v>
      </c>
    </row>
    <row r="124" spans="13:28" ht="24.95" customHeight="1">
      <c r="S124" s="661"/>
      <c r="T124" s="2" t="s">
        <v>577</v>
      </c>
      <c r="U124" s="2">
        <v>91</v>
      </c>
      <c r="V124" s="2">
        <v>94</v>
      </c>
      <c r="W124" s="2">
        <v>96</v>
      </c>
      <c r="X124" s="2">
        <v>99</v>
      </c>
      <c r="Y124" s="5">
        <f t="shared" ref="Y124:AB126" si="79">ROUND(Y109*U124/1000,0)</f>
        <v>0</v>
      </c>
      <c r="Z124" s="5">
        <f t="shared" si="79"/>
        <v>12</v>
      </c>
      <c r="AA124" s="5">
        <f t="shared" si="79"/>
        <v>12</v>
      </c>
      <c r="AB124" s="5">
        <f t="shared" si="79"/>
        <v>13</v>
      </c>
    </row>
    <row r="125" spans="13:28" ht="24.95" customHeight="1">
      <c r="S125" s="661"/>
      <c r="T125" s="2" t="s">
        <v>578</v>
      </c>
      <c r="U125" s="2">
        <v>91</v>
      </c>
      <c r="V125" s="2">
        <v>94</v>
      </c>
      <c r="W125" s="2">
        <v>96</v>
      </c>
      <c r="X125" s="2">
        <v>99</v>
      </c>
      <c r="Y125" s="5">
        <f t="shared" si="79"/>
        <v>0</v>
      </c>
      <c r="Z125" s="5">
        <f t="shared" si="79"/>
        <v>1</v>
      </c>
      <c r="AA125" s="5">
        <f t="shared" si="79"/>
        <v>1</v>
      </c>
      <c r="AB125" s="5">
        <f t="shared" si="79"/>
        <v>1</v>
      </c>
    </row>
    <row r="126" spans="13:28" ht="24.95" customHeight="1">
      <c r="S126" s="661"/>
      <c r="T126" s="2" t="s">
        <v>579</v>
      </c>
      <c r="U126" s="2">
        <v>77</v>
      </c>
      <c r="V126" s="2">
        <v>82</v>
      </c>
      <c r="W126" s="2">
        <v>86</v>
      </c>
      <c r="X126" s="2">
        <v>91</v>
      </c>
      <c r="Y126" s="5">
        <f t="shared" si="79"/>
        <v>0</v>
      </c>
      <c r="Z126" s="5">
        <f t="shared" si="79"/>
        <v>8</v>
      </c>
      <c r="AA126" s="5">
        <f t="shared" si="79"/>
        <v>9</v>
      </c>
      <c r="AB126" s="5">
        <f t="shared" si="79"/>
        <v>10</v>
      </c>
    </row>
    <row r="127" spans="13:28" ht="24.95" customHeight="1">
      <c r="S127" s="770" t="s">
        <v>580</v>
      </c>
      <c r="T127" s="2" t="s">
        <v>575</v>
      </c>
      <c r="U127" s="2"/>
      <c r="V127" s="2"/>
      <c r="W127" s="2"/>
      <c r="X127" s="2"/>
      <c r="Y127" s="5">
        <f>SUM(Y128:Y130)</f>
        <v>0</v>
      </c>
      <c r="Z127" s="5">
        <f>SUM(Z128:Z130)</f>
        <v>1</v>
      </c>
      <c r="AA127" s="5">
        <f>SUM(AA128:AA130)</f>
        <v>1</v>
      </c>
      <c r="AB127" s="5">
        <f>SUM(AB128:AB130)</f>
        <v>1</v>
      </c>
    </row>
    <row r="128" spans="13:28" ht="24.95" customHeight="1">
      <c r="S128" s="661"/>
      <c r="T128" s="2" t="s">
        <v>581</v>
      </c>
      <c r="U128" s="2">
        <v>77</v>
      </c>
      <c r="V128" s="2">
        <v>82</v>
      </c>
      <c r="W128" s="2">
        <v>86</v>
      </c>
      <c r="X128" s="2">
        <v>91</v>
      </c>
      <c r="Y128" s="5">
        <f t="shared" ref="Y128:AB130" si="80">ROUND(Y113*U128/1000,0)</f>
        <v>0</v>
      </c>
      <c r="Z128" s="5">
        <f t="shared" si="80"/>
        <v>0</v>
      </c>
      <c r="AA128" s="5">
        <f t="shared" si="80"/>
        <v>0</v>
      </c>
      <c r="AB128" s="5">
        <f t="shared" si="80"/>
        <v>0</v>
      </c>
    </row>
    <row r="129" spans="19:28" ht="24.95" customHeight="1">
      <c r="S129" s="661"/>
      <c r="T129" s="2" t="s">
        <v>582</v>
      </c>
      <c r="U129" s="2">
        <v>77</v>
      </c>
      <c r="V129" s="2">
        <v>82</v>
      </c>
      <c r="W129" s="2">
        <v>86</v>
      </c>
      <c r="X129" s="2">
        <v>91</v>
      </c>
      <c r="Y129" s="5">
        <f t="shared" si="80"/>
        <v>0</v>
      </c>
      <c r="Z129" s="5">
        <f t="shared" si="80"/>
        <v>0</v>
      </c>
      <c r="AA129" s="5">
        <f t="shared" si="80"/>
        <v>0</v>
      </c>
      <c r="AB129" s="5">
        <f t="shared" si="80"/>
        <v>0</v>
      </c>
    </row>
    <row r="130" spans="19:28" ht="24.95" customHeight="1">
      <c r="S130" s="661"/>
      <c r="T130" s="2" t="s">
        <v>583</v>
      </c>
      <c r="U130" s="2">
        <v>77</v>
      </c>
      <c r="V130" s="2">
        <v>82</v>
      </c>
      <c r="W130" s="2">
        <v>86</v>
      </c>
      <c r="X130" s="2">
        <v>91</v>
      </c>
      <c r="Y130" s="5">
        <f t="shared" si="80"/>
        <v>0</v>
      </c>
      <c r="Z130" s="5">
        <f t="shared" si="80"/>
        <v>1</v>
      </c>
      <c r="AA130" s="5">
        <f t="shared" si="80"/>
        <v>1</v>
      </c>
      <c r="AB130" s="5">
        <f t="shared" si="80"/>
        <v>1</v>
      </c>
    </row>
    <row r="131" spans="19:28" ht="24.95" customHeight="1">
      <c r="S131" s="661" t="s">
        <v>584</v>
      </c>
      <c r="T131" s="2" t="s">
        <v>575</v>
      </c>
      <c r="U131" s="2"/>
      <c r="V131" s="2"/>
      <c r="W131" s="2"/>
      <c r="X131" s="2"/>
      <c r="Y131" s="5">
        <f>SUM(Y132:Y133)</f>
        <v>0</v>
      </c>
      <c r="Z131" s="5">
        <f>SUM(Z132:Z133)</f>
        <v>0</v>
      </c>
      <c r="AA131" s="5">
        <f>SUM(AA132:AA133)</f>
        <v>0</v>
      </c>
      <c r="AB131" s="5">
        <f>SUM(AB132:AB133)</f>
        <v>0</v>
      </c>
    </row>
    <row r="132" spans="19:28" ht="24.95" customHeight="1">
      <c r="S132" s="661"/>
      <c r="T132" s="2" t="s">
        <v>585</v>
      </c>
      <c r="U132" s="2">
        <v>77</v>
      </c>
      <c r="V132" s="2">
        <v>82</v>
      </c>
      <c r="W132" s="2">
        <v>86</v>
      </c>
      <c r="X132" s="2">
        <v>91</v>
      </c>
      <c r="Y132" s="5">
        <f t="shared" ref="Y132:AB134" si="81">ROUND(Y117*U132/1000,0)</f>
        <v>0</v>
      </c>
      <c r="Z132" s="5">
        <f t="shared" si="81"/>
        <v>0</v>
      </c>
      <c r="AA132" s="5">
        <f t="shared" si="81"/>
        <v>0</v>
      </c>
      <c r="AB132" s="5">
        <f t="shared" si="81"/>
        <v>0</v>
      </c>
    </row>
    <row r="133" spans="19:28" ht="24.95" customHeight="1">
      <c r="S133" s="661"/>
      <c r="T133" s="2" t="s">
        <v>586</v>
      </c>
      <c r="U133" s="2">
        <v>77</v>
      </c>
      <c r="V133" s="2">
        <v>82</v>
      </c>
      <c r="W133" s="2">
        <v>86</v>
      </c>
      <c r="X133" s="2">
        <v>91</v>
      </c>
      <c r="Y133" s="5">
        <f t="shared" si="81"/>
        <v>0</v>
      </c>
      <c r="Z133" s="5">
        <f t="shared" si="81"/>
        <v>0</v>
      </c>
      <c r="AA133" s="5">
        <f t="shared" si="81"/>
        <v>0</v>
      </c>
      <c r="AB133" s="5">
        <f t="shared" si="81"/>
        <v>0</v>
      </c>
    </row>
    <row r="134" spans="19:28" ht="24.95" customHeight="1">
      <c r="S134" s="2" t="s">
        <v>587</v>
      </c>
      <c r="T134" s="2" t="s">
        <v>588</v>
      </c>
      <c r="U134" s="2">
        <v>77</v>
      </c>
      <c r="V134" s="2">
        <v>82</v>
      </c>
      <c r="W134" s="2">
        <v>86</v>
      </c>
      <c r="X134" s="2">
        <v>91</v>
      </c>
      <c r="Y134" s="5">
        <f t="shared" si="81"/>
        <v>0</v>
      </c>
      <c r="Z134" s="5">
        <f t="shared" si="81"/>
        <v>0</v>
      </c>
      <c r="AA134" s="5">
        <f t="shared" si="81"/>
        <v>0</v>
      </c>
      <c r="AB134" s="5">
        <f t="shared" si="81"/>
        <v>0</v>
      </c>
    </row>
    <row r="135" spans="19:28" ht="24.95" customHeight="1">
      <c r="S135" s="661" t="s">
        <v>575</v>
      </c>
      <c r="T135" s="661"/>
      <c r="U135" s="2"/>
      <c r="V135" s="2"/>
      <c r="W135" s="2"/>
      <c r="X135" s="2"/>
      <c r="Y135" s="5">
        <f>Y123+Y127+Y131+Y134</f>
        <v>0</v>
      </c>
      <c r="Z135" s="5">
        <f>Z123+Z127+Z131+Z134</f>
        <v>22</v>
      </c>
      <c r="AA135" s="5">
        <f>AA123+AA127+AA131+AA134</f>
        <v>23</v>
      </c>
      <c r="AB135" s="5">
        <f>AB123+AB127+AB131+AB134</f>
        <v>25</v>
      </c>
    </row>
    <row r="136" spans="19:28" ht="24.95" customHeight="1"/>
    <row r="137" spans="19:28" ht="24.95" customHeight="1">
      <c r="S137" s="61" t="s">
        <v>604</v>
      </c>
    </row>
    <row r="138" spans="19:28" ht="24.95" customHeight="1">
      <c r="S138" s="844" t="s">
        <v>561</v>
      </c>
      <c r="T138" s="845"/>
      <c r="U138" s="661" t="s">
        <v>563</v>
      </c>
      <c r="V138" s="661"/>
      <c r="W138" s="661"/>
      <c r="X138" s="661"/>
      <c r="Y138" s="661" t="s">
        <v>565</v>
      </c>
      <c r="Z138" s="661"/>
      <c r="AA138" s="661"/>
      <c r="AB138" s="661"/>
    </row>
    <row r="139" spans="19:28" ht="24.95" customHeight="1">
      <c r="S139" s="846"/>
      <c r="T139" s="847"/>
      <c r="U139" s="84" t="s">
        <v>568</v>
      </c>
      <c r="V139" s="84" t="s">
        <v>569</v>
      </c>
      <c r="W139" s="84" t="s">
        <v>570</v>
      </c>
      <c r="X139" s="84" t="s">
        <v>571</v>
      </c>
      <c r="Y139" s="84" t="s">
        <v>568</v>
      </c>
      <c r="Z139" s="84" t="s">
        <v>569</v>
      </c>
      <c r="AA139" s="84" t="s">
        <v>570</v>
      </c>
      <c r="AB139" s="84" t="s">
        <v>571</v>
      </c>
    </row>
    <row r="140" spans="19:28" ht="24.95" customHeight="1">
      <c r="S140" s="770" t="s">
        <v>574</v>
      </c>
      <c r="T140" s="2" t="s">
        <v>575</v>
      </c>
      <c r="U140" s="11">
        <f t="shared" ref="U140:AB140" si="82">SUM(U141:U143)</f>
        <v>0</v>
      </c>
      <c r="V140" s="11">
        <f t="shared" si="82"/>
        <v>187</v>
      </c>
      <c r="W140" s="11">
        <f t="shared" si="82"/>
        <v>191</v>
      </c>
      <c r="X140" s="11">
        <f t="shared" si="82"/>
        <v>194</v>
      </c>
      <c r="Y140" s="11">
        <f t="shared" si="82"/>
        <v>0</v>
      </c>
      <c r="Z140" s="11">
        <f t="shared" si="82"/>
        <v>187</v>
      </c>
      <c r="AA140" s="11">
        <f t="shared" si="82"/>
        <v>191</v>
      </c>
      <c r="AB140" s="11">
        <f t="shared" si="82"/>
        <v>194</v>
      </c>
    </row>
    <row r="141" spans="19:28" ht="24.95" customHeight="1">
      <c r="S141" s="661"/>
      <c r="T141" s="2" t="s">
        <v>577</v>
      </c>
      <c r="U141" s="11">
        <f>관광용수!D56</f>
        <v>0</v>
      </c>
      <c r="V141" s="11">
        <f>관광용수!E56</f>
        <v>98</v>
      </c>
      <c r="W141" s="11">
        <f>관광용수!F56</f>
        <v>100</v>
      </c>
      <c r="X141" s="11">
        <f>관광용수!G56</f>
        <v>102</v>
      </c>
      <c r="Y141" s="11">
        <f t="shared" ref="Y141:AB143" si="83">U141</f>
        <v>0</v>
      </c>
      <c r="Z141" s="11">
        <f t="shared" si="83"/>
        <v>98</v>
      </c>
      <c r="AA141" s="11">
        <f t="shared" si="83"/>
        <v>100</v>
      </c>
      <c r="AB141" s="11">
        <f t="shared" si="83"/>
        <v>102</v>
      </c>
    </row>
    <row r="142" spans="19:28" ht="24.95" customHeight="1">
      <c r="S142" s="661"/>
      <c r="T142" s="2" t="s">
        <v>578</v>
      </c>
      <c r="U142" s="11">
        <f>관광용수!D60</f>
        <v>0</v>
      </c>
      <c r="V142" s="11">
        <f>관광용수!E60</f>
        <v>7</v>
      </c>
      <c r="W142" s="11">
        <f>관광용수!F60</f>
        <v>7</v>
      </c>
      <c r="X142" s="11">
        <f>관광용수!G60</f>
        <v>7</v>
      </c>
      <c r="Y142" s="11">
        <f t="shared" si="83"/>
        <v>0</v>
      </c>
      <c r="Z142" s="11">
        <f t="shared" si="83"/>
        <v>7</v>
      </c>
      <c r="AA142" s="11">
        <f t="shared" si="83"/>
        <v>7</v>
      </c>
      <c r="AB142" s="11">
        <f t="shared" si="83"/>
        <v>7</v>
      </c>
    </row>
    <row r="143" spans="19:28" ht="24.95" customHeight="1">
      <c r="S143" s="661"/>
      <c r="T143" s="2" t="s">
        <v>579</v>
      </c>
      <c r="U143" s="11">
        <f>관광용수!D58</f>
        <v>0</v>
      </c>
      <c r="V143" s="11">
        <f>관광용수!E58</f>
        <v>82</v>
      </c>
      <c r="W143" s="11">
        <f>관광용수!F58</f>
        <v>84</v>
      </c>
      <c r="X143" s="11">
        <f>관광용수!G58</f>
        <v>85</v>
      </c>
      <c r="Y143" s="11">
        <f t="shared" si="83"/>
        <v>0</v>
      </c>
      <c r="Z143" s="11">
        <f t="shared" si="83"/>
        <v>82</v>
      </c>
      <c r="AA143" s="11">
        <f t="shared" si="83"/>
        <v>84</v>
      </c>
      <c r="AB143" s="11">
        <f t="shared" si="83"/>
        <v>85</v>
      </c>
    </row>
    <row r="144" spans="19:28" ht="24.95" customHeight="1">
      <c r="S144" s="770" t="s">
        <v>580</v>
      </c>
      <c r="T144" s="2" t="s">
        <v>575</v>
      </c>
      <c r="U144" s="11">
        <f t="shared" ref="U144:AB144" si="84">SUM(U145:U147)</f>
        <v>0</v>
      </c>
      <c r="V144" s="11">
        <f t="shared" si="84"/>
        <v>10</v>
      </c>
      <c r="W144" s="11">
        <f t="shared" si="84"/>
        <v>10</v>
      </c>
      <c r="X144" s="11">
        <f t="shared" si="84"/>
        <v>10</v>
      </c>
      <c r="Y144" s="11">
        <f t="shared" si="84"/>
        <v>0</v>
      </c>
      <c r="Z144" s="11">
        <f t="shared" si="84"/>
        <v>10</v>
      </c>
      <c r="AA144" s="11">
        <f t="shared" si="84"/>
        <v>10</v>
      </c>
      <c r="AB144" s="11">
        <f t="shared" si="84"/>
        <v>10</v>
      </c>
    </row>
    <row r="145" spans="19:28" ht="24.95" customHeight="1">
      <c r="S145" s="661"/>
      <c r="T145" s="2" t="s">
        <v>581</v>
      </c>
      <c r="U145" s="11">
        <f>관광용수!D64</f>
        <v>0</v>
      </c>
      <c r="V145" s="11">
        <f>관광용수!E64</f>
        <v>0</v>
      </c>
      <c r="W145" s="11">
        <f>관광용수!F64</f>
        <v>0</v>
      </c>
      <c r="X145" s="11">
        <f>관광용수!G64</f>
        <v>0</v>
      </c>
      <c r="Y145" s="11">
        <f t="shared" ref="Y145:AB151" si="85">U145</f>
        <v>0</v>
      </c>
      <c r="Z145" s="11">
        <f t="shared" si="85"/>
        <v>0</v>
      </c>
      <c r="AA145" s="11">
        <f t="shared" si="85"/>
        <v>0</v>
      </c>
      <c r="AB145" s="11">
        <f t="shared" si="85"/>
        <v>0</v>
      </c>
    </row>
    <row r="146" spans="19:28" ht="24.95" customHeight="1">
      <c r="S146" s="661"/>
      <c r="T146" s="2" t="s">
        <v>582</v>
      </c>
      <c r="U146" s="11">
        <v>0</v>
      </c>
      <c r="V146" s="11">
        <v>0</v>
      </c>
      <c r="W146" s="11">
        <v>0</v>
      </c>
      <c r="X146" s="11">
        <v>0</v>
      </c>
      <c r="Y146" s="11">
        <f t="shared" si="85"/>
        <v>0</v>
      </c>
      <c r="Z146" s="11">
        <f t="shared" si="85"/>
        <v>0</v>
      </c>
      <c r="AA146" s="11">
        <f t="shared" si="85"/>
        <v>0</v>
      </c>
      <c r="AB146" s="11">
        <f t="shared" si="85"/>
        <v>0</v>
      </c>
    </row>
    <row r="147" spans="19:28" ht="24.95" customHeight="1">
      <c r="S147" s="661"/>
      <c r="T147" s="2" t="s">
        <v>583</v>
      </c>
      <c r="U147" s="11">
        <f>관광용수!D68</f>
        <v>0</v>
      </c>
      <c r="V147" s="11">
        <f>관광용수!E68</f>
        <v>10</v>
      </c>
      <c r="W147" s="11">
        <f>관광용수!F68</f>
        <v>10</v>
      </c>
      <c r="X147" s="11">
        <f>관광용수!G68</f>
        <v>10</v>
      </c>
      <c r="Y147" s="11">
        <f t="shared" si="85"/>
        <v>0</v>
      </c>
      <c r="Z147" s="11">
        <f t="shared" si="85"/>
        <v>10</v>
      </c>
      <c r="AA147" s="11">
        <f t="shared" si="85"/>
        <v>10</v>
      </c>
      <c r="AB147" s="11">
        <f t="shared" si="85"/>
        <v>10</v>
      </c>
    </row>
    <row r="148" spans="19:28" ht="24.95" customHeight="1">
      <c r="S148" s="661" t="s">
        <v>584</v>
      </c>
      <c r="T148" s="2" t="s">
        <v>575</v>
      </c>
      <c r="U148" s="11">
        <f>SUM(U149:U150)</f>
        <v>0</v>
      </c>
      <c r="V148" s="11">
        <f>SUM(V149:V150)</f>
        <v>3</v>
      </c>
      <c r="W148" s="11">
        <f>SUM(W149:W150)</f>
        <v>3</v>
      </c>
      <c r="X148" s="11">
        <f>SUM(X149:X150)</f>
        <v>3</v>
      </c>
      <c r="Y148" s="11">
        <f t="shared" si="85"/>
        <v>0</v>
      </c>
      <c r="Z148" s="11">
        <f t="shared" si="85"/>
        <v>3</v>
      </c>
      <c r="AA148" s="11">
        <f t="shared" si="85"/>
        <v>3</v>
      </c>
      <c r="AB148" s="11">
        <f t="shared" si="85"/>
        <v>3</v>
      </c>
    </row>
    <row r="149" spans="19:28" ht="24.95" customHeight="1">
      <c r="S149" s="661"/>
      <c r="T149" s="2" t="s">
        <v>585</v>
      </c>
      <c r="U149" s="11">
        <v>0</v>
      </c>
      <c r="V149" s="11">
        <v>0</v>
      </c>
      <c r="W149" s="11">
        <v>0</v>
      </c>
      <c r="X149" s="11">
        <v>0</v>
      </c>
      <c r="Y149" s="11">
        <f t="shared" si="85"/>
        <v>0</v>
      </c>
      <c r="Z149" s="11">
        <f t="shared" si="85"/>
        <v>0</v>
      </c>
      <c r="AA149" s="11">
        <f t="shared" si="85"/>
        <v>0</v>
      </c>
      <c r="AB149" s="11">
        <f t="shared" si="85"/>
        <v>0</v>
      </c>
    </row>
    <row r="150" spans="19:28" ht="24.95" customHeight="1">
      <c r="S150" s="661"/>
      <c r="T150" s="2" t="s">
        <v>586</v>
      </c>
      <c r="U150" s="11">
        <f>관광용수!D66</f>
        <v>0</v>
      </c>
      <c r="V150" s="11">
        <f>관광용수!E66</f>
        <v>3</v>
      </c>
      <c r="W150" s="11">
        <f>관광용수!F66</f>
        <v>3</v>
      </c>
      <c r="X150" s="11">
        <f>관광용수!G66</f>
        <v>3</v>
      </c>
      <c r="Y150" s="11">
        <f t="shared" si="85"/>
        <v>0</v>
      </c>
      <c r="Z150" s="11">
        <f t="shared" si="85"/>
        <v>3</v>
      </c>
      <c r="AA150" s="11">
        <f t="shared" si="85"/>
        <v>3</v>
      </c>
      <c r="AB150" s="11">
        <f t="shared" si="85"/>
        <v>3</v>
      </c>
    </row>
    <row r="151" spans="19:28" ht="24.95" customHeight="1">
      <c r="S151" s="2" t="s">
        <v>587</v>
      </c>
      <c r="T151" s="2" t="s">
        <v>588</v>
      </c>
      <c r="U151" s="11">
        <f>관광용수!D62</f>
        <v>0</v>
      </c>
      <c r="V151" s="11">
        <f>관광용수!E62</f>
        <v>3</v>
      </c>
      <c r="W151" s="11">
        <f>관광용수!F62</f>
        <v>3</v>
      </c>
      <c r="X151" s="11">
        <f>관광용수!G62</f>
        <v>3</v>
      </c>
      <c r="Y151" s="11">
        <f t="shared" si="85"/>
        <v>0</v>
      </c>
      <c r="Z151" s="11">
        <f t="shared" si="85"/>
        <v>3</v>
      </c>
      <c r="AA151" s="11">
        <f t="shared" si="85"/>
        <v>3</v>
      </c>
      <c r="AB151" s="11">
        <f t="shared" si="85"/>
        <v>3</v>
      </c>
    </row>
    <row r="152" spans="19:28" ht="24.95" customHeight="1">
      <c r="S152" s="661" t="s">
        <v>575</v>
      </c>
      <c r="T152" s="661"/>
      <c r="U152" s="11">
        <f t="shared" ref="U152:AB152" si="86">U140+U144+U148+U151</f>
        <v>0</v>
      </c>
      <c r="V152" s="11">
        <f t="shared" si="86"/>
        <v>203</v>
      </c>
      <c r="W152" s="11">
        <f t="shared" si="86"/>
        <v>207</v>
      </c>
      <c r="X152" s="11">
        <f t="shared" si="86"/>
        <v>210</v>
      </c>
      <c r="Y152" s="11">
        <f t="shared" si="86"/>
        <v>0</v>
      </c>
      <c r="Z152" s="11">
        <f t="shared" si="86"/>
        <v>203</v>
      </c>
      <c r="AA152" s="11">
        <f t="shared" si="86"/>
        <v>207</v>
      </c>
      <c r="AB152" s="11">
        <f t="shared" si="86"/>
        <v>210</v>
      </c>
    </row>
    <row r="153" spans="19:28" ht="24.95" customHeight="1">
      <c r="S153" s="844" t="s">
        <v>561</v>
      </c>
      <c r="T153" s="845"/>
      <c r="U153" s="661" t="s">
        <v>589</v>
      </c>
      <c r="V153" s="661"/>
      <c r="W153" s="661"/>
      <c r="X153" s="661"/>
      <c r="Y153" s="661" t="s">
        <v>590</v>
      </c>
      <c r="Z153" s="661"/>
      <c r="AA153" s="661"/>
      <c r="AB153" s="661"/>
    </row>
    <row r="154" spans="19:28" ht="24.95" customHeight="1">
      <c r="S154" s="846"/>
      <c r="T154" s="847"/>
      <c r="U154" s="2" t="s">
        <v>568</v>
      </c>
      <c r="V154" s="2" t="s">
        <v>569</v>
      </c>
      <c r="W154" s="2" t="s">
        <v>570</v>
      </c>
      <c r="X154" s="2" t="s">
        <v>571</v>
      </c>
      <c r="Y154" s="2" t="s">
        <v>568</v>
      </c>
      <c r="Z154" s="2" t="s">
        <v>569</v>
      </c>
      <c r="AA154" s="2" t="s">
        <v>570</v>
      </c>
      <c r="AB154" s="2" t="s">
        <v>571</v>
      </c>
    </row>
    <row r="155" spans="19:28" ht="24.95" customHeight="1">
      <c r="S155" s="770" t="s">
        <v>574</v>
      </c>
      <c r="T155" s="2" t="s">
        <v>575</v>
      </c>
      <c r="U155" s="2"/>
      <c r="V155" s="2"/>
      <c r="W155" s="2"/>
      <c r="X155" s="2"/>
      <c r="Y155" s="5">
        <f>SUM(Y156:Y158)</f>
        <v>0</v>
      </c>
      <c r="Z155" s="5">
        <f>SUM(Z156:Z158)</f>
        <v>5</v>
      </c>
      <c r="AA155" s="5">
        <f>SUM(AA156:AA158)</f>
        <v>5</v>
      </c>
      <c r="AB155" s="5">
        <f>SUM(AB156:AB158)</f>
        <v>5</v>
      </c>
    </row>
    <row r="156" spans="19:28" ht="24.95" customHeight="1">
      <c r="S156" s="661"/>
      <c r="T156" s="2" t="s">
        <v>577</v>
      </c>
      <c r="U156" s="2">
        <v>27</v>
      </c>
      <c r="V156" s="2">
        <v>28</v>
      </c>
      <c r="W156" s="2">
        <v>29</v>
      </c>
      <c r="X156" s="2">
        <v>30</v>
      </c>
      <c r="Y156" s="5">
        <f t="shared" ref="Y156:AB158" si="87">ROUND(Y141*U156/1000,0)</f>
        <v>0</v>
      </c>
      <c r="Z156" s="5">
        <f t="shared" si="87"/>
        <v>3</v>
      </c>
      <c r="AA156" s="5">
        <f t="shared" si="87"/>
        <v>3</v>
      </c>
      <c r="AB156" s="5">
        <f t="shared" si="87"/>
        <v>3</v>
      </c>
    </row>
    <row r="157" spans="19:28" ht="24.95" customHeight="1">
      <c r="S157" s="661"/>
      <c r="T157" s="2" t="s">
        <v>578</v>
      </c>
      <c r="U157" s="2">
        <v>27</v>
      </c>
      <c r="V157" s="2">
        <v>28</v>
      </c>
      <c r="W157" s="2">
        <v>29</v>
      </c>
      <c r="X157" s="2">
        <v>30</v>
      </c>
      <c r="Y157" s="5">
        <f t="shared" si="87"/>
        <v>0</v>
      </c>
      <c r="Z157" s="5">
        <f t="shared" si="87"/>
        <v>0</v>
      </c>
      <c r="AA157" s="5">
        <f t="shared" si="87"/>
        <v>0</v>
      </c>
      <c r="AB157" s="5">
        <f t="shared" si="87"/>
        <v>0</v>
      </c>
    </row>
    <row r="158" spans="19:28" ht="24.95" customHeight="1">
      <c r="S158" s="661"/>
      <c r="T158" s="2" t="s">
        <v>579</v>
      </c>
      <c r="U158" s="2">
        <v>23</v>
      </c>
      <c r="V158" s="2">
        <v>24</v>
      </c>
      <c r="W158" s="2">
        <v>26</v>
      </c>
      <c r="X158" s="2">
        <v>27</v>
      </c>
      <c r="Y158" s="5">
        <f t="shared" si="87"/>
        <v>0</v>
      </c>
      <c r="Z158" s="5">
        <f t="shared" si="87"/>
        <v>2</v>
      </c>
      <c r="AA158" s="5">
        <f t="shared" si="87"/>
        <v>2</v>
      </c>
      <c r="AB158" s="5">
        <f t="shared" si="87"/>
        <v>2</v>
      </c>
    </row>
    <row r="159" spans="19:28" ht="24.95" customHeight="1">
      <c r="S159" s="770" t="s">
        <v>580</v>
      </c>
      <c r="T159" s="2" t="s">
        <v>575</v>
      </c>
      <c r="U159" s="2"/>
      <c r="V159" s="2"/>
      <c r="W159" s="2"/>
      <c r="X159" s="2"/>
      <c r="Y159" s="5">
        <f>SUM(Y160:Y162)</f>
        <v>0</v>
      </c>
      <c r="Z159" s="5">
        <f>SUM(Z160:Z162)</f>
        <v>0</v>
      </c>
      <c r="AA159" s="5">
        <f>SUM(AA160:AA162)</f>
        <v>0</v>
      </c>
      <c r="AB159" s="5">
        <f>SUM(AB160:AB162)</f>
        <v>0</v>
      </c>
    </row>
    <row r="160" spans="19:28" ht="24.95" customHeight="1">
      <c r="S160" s="661"/>
      <c r="T160" s="2" t="s">
        <v>581</v>
      </c>
      <c r="U160" s="2">
        <v>23</v>
      </c>
      <c r="V160" s="2">
        <v>24</v>
      </c>
      <c r="W160" s="2">
        <v>26</v>
      </c>
      <c r="X160" s="2">
        <v>27</v>
      </c>
      <c r="Y160" s="5">
        <f t="shared" ref="Y160:AB162" si="88">ROUND(Y145*U160/1000,0)</f>
        <v>0</v>
      </c>
      <c r="Z160" s="5">
        <f t="shared" si="88"/>
        <v>0</v>
      </c>
      <c r="AA160" s="5">
        <f t="shared" si="88"/>
        <v>0</v>
      </c>
      <c r="AB160" s="5">
        <f t="shared" si="88"/>
        <v>0</v>
      </c>
    </row>
    <row r="161" spans="19:28" ht="24.95" customHeight="1">
      <c r="S161" s="661"/>
      <c r="T161" s="2" t="s">
        <v>582</v>
      </c>
      <c r="U161" s="2">
        <v>23</v>
      </c>
      <c r="V161" s="2">
        <v>24</v>
      </c>
      <c r="W161" s="2">
        <v>26</v>
      </c>
      <c r="X161" s="2">
        <v>27</v>
      </c>
      <c r="Y161" s="5">
        <f t="shared" si="88"/>
        <v>0</v>
      </c>
      <c r="Z161" s="5">
        <f t="shared" si="88"/>
        <v>0</v>
      </c>
      <c r="AA161" s="5">
        <f t="shared" si="88"/>
        <v>0</v>
      </c>
      <c r="AB161" s="5">
        <f t="shared" si="88"/>
        <v>0</v>
      </c>
    </row>
    <row r="162" spans="19:28" ht="24.95" customHeight="1">
      <c r="S162" s="661"/>
      <c r="T162" s="2" t="s">
        <v>583</v>
      </c>
      <c r="U162" s="2">
        <v>23</v>
      </c>
      <c r="V162" s="2">
        <v>24</v>
      </c>
      <c r="W162" s="2">
        <v>26</v>
      </c>
      <c r="X162" s="2">
        <v>27</v>
      </c>
      <c r="Y162" s="5">
        <f t="shared" si="88"/>
        <v>0</v>
      </c>
      <c r="Z162" s="5">
        <f t="shared" si="88"/>
        <v>0</v>
      </c>
      <c r="AA162" s="5">
        <f t="shared" si="88"/>
        <v>0</v>
      </c>
      <c r="AB162" s="5">
        <f t="shared" si="88"/>
        <v>0</v>
      </c>
    </row>
    <row r="163" spans="19:28" ht="24.95" customHeight="1">
      <c r="S163" s="661" t="s">
        <v>584</v>
      </c>
      <c r="T163" s="2" t="s">
        <v>575</v>
      </c>
      <c r="U163" s="2"/>
      <c r="V163" s="2"/>
      <c r="W163" s="2"/>
      <c r="X163" s="2"/>
      <c r="Y163" s="5">
        <f>SUM(Y164:Y165)</f>
        <v>0</v>
      </c>
      <c r="Z163" s="5">
        <f>SUM(Z164:Z165)</f>
        <v>0</v>
      </c>
      <c r="AA163" s="5">
        <f>SUM(AA164:AA165)</f>
        <v>0</v>
      </c>
      <c r="AB163" s="5">
        <f>SUM(AB164:AB165)</f>
        <v>0</v>
      </c>
    </row>
    <row r="164" spans="19:28" ht="24.95" customHeight="1">
      <c r="S164" s="661"/>
      <c r="T164" s="2" t="s">
        <v>585</v>
      </c>
      <c r="U164" s="2">
        <v>23</v>
      </c>
      <c r="V164" s="2">
        <v>24</v>
      </c>
      <c r="W164" s="2">
        <v>26</v>
      </c>
      <c r="X164" s="2">
        <v>27</v>
      </c>
      <c r="Y164" s="5">
        <f t="shared" ref="Y164:AB166" si="89">ROUND(Y149*U164/1000,0)</f>
        <v>0</v>
      </c>
      <c r="Z164" s="5">
        <f t="shared" si="89"/>
        <v>0</v>
      </c>
      <c r="AA164" s="5">
        <f t="shared" si="89"/>
        <v>0</v>
      </c>
      <c r="AB164" s="5">
        <f t="shared" si="89"/>
        <v>0</v>
      </c>
    </row>
    <row r="165" spans="19:28" ht="24.95" customHeight="1">
      <c r="S165" s="661"/>
      <c r="T165" s="2" t="s">
        <v>586</v>
      </c>
      <c r="U165" s="2">
        <v>23</v>
      </c>
      <c r="V165" s="2">
        <v>24</v>
      </c>
      <c r="W165" s="2">
        <v>26</v>
      </c>
      <c r="X165" s="2">
        <v>27</v>
      </c>
      <c r="Y165" s="5">
        <f t="shared" si="89"/>
        <v>0</v>
      </c>
      <c r="Z165" s="5">
        <f t="shared" si="89"/>
        <v>0</v>
      </c>
      <c r="AA165" s="5">
        <f t="shared" si="89"/>
        <v>0</v>
      </c>
      <c r="AB165" s="5">
        <f t="shared" si="89"/>
        <v>0</v>
      </c>
    </row>
    <row r="166" spans="19:28" ht="24.95" customHeight="1">
      <c r="S166" s="2" t="s">
        <v>587</v>
      </c>
      <c r="T166" s="2" t="s">
        <v>588</v>
      </c>
      <c r="U166" s="2">
        <v>23</v>
      </c>
      <c r="V166" s="2">
        <v>24</v>
      </c>
      <c r="W166" s="2">
        <v>26</v>
      </c>
      <c r="X166" s="2">
        <v>27</v>
      </c>
      <c r="Y166" s="5">
        <f t="shared" si="89"/>
        <v>0</v>
      </c>
      <c r="Z166" s="5">
        <f t="shared" si="89"/>
        <v>0</v>
      </c>
      <c r="AA166" s="5">
        <f t="shared" si="89"/>
        <v>0</v>
      </c>
      <c r="AB166" s="5">
        <f t="shared" si="89"/>
        <v>0</v>
      </c>
    </row>
    <row r="167" spans="19:28" ht="24.95" customHeight="1">
      <c r="S167" s="661" t="s">
        <v>575</v>
      </c>
      <c r="T167" s="661"/>
      <c r="U167" s="2"/>
      <c r="V167" s="2"/>
      <c r="W167" s="2"/>
      <c r="X167" s="2"/>
      <c r="Y167" s="5">
        <f>Y155+Y159+Y163+Y166</f>
        <v>0</v>
      </c>
      <c r="Z167" s="5">
        <f>Z155+Z159+Z163+Z166</f>
        <v>5</v>
      </c>
      <c r="AA167" s="5">
        <f>AA155+AA159+AA163+AA166</f>
        <v>5</v>
      </c>
      <c r="AB167" s="5">
        <f>AB155+AB159+AB163+AB166</f>
        <v>5</v>
      </c>
    </row>
    <row r="168" spans="19:28" ht="24.95" customHeight="1">
      <c r="Y168" s="14"/>
      <c r="Z168" s="14"/>
      <c r="AA168" s="14"/>
      <c r="AB168" s="14"/>
    </row>
    <row r="169" spans="19:28" ht="24.95" customHeight="1">
      <c r="S169" s="61" t="s">
        <v>605</v>
      </c>
    </row>
    <row r="170" spans="19:28" ht="24.95" customHeight="1">
      <c r="S170" s="844" t="s">
        <v>561</v>
      </c>
      <c r="T170" s="845"/>
      <c r="U170" s="661" t="s">
        <v>563</v>
      </c>
      <c r="V170" s="661"/>
      <c r="W170" s="661"/>
      <c r="X170" s="661"/>
      <c r="Y170" s="661" t="s">
        <v>565</v>
      </c>
      <c r="Z170" s="661"/>
      <c r="AA170" s="661"/>
      <c r="AB170" s="661"/>
    </row>
    <row r="171" spans="19:28" ht="24.95" customHeight="1">
      <c r="S171" s="846"/>
      <c r="T171" s="847"/>
      <c r="U171" s="84" t="s">
        <v>568</v>
      </c>
      <c r="V171" s="84" t="s">
        <v>569</v>
      </c>
      <c r="W171" s="84" t="s">
        <v>570</v>
      </c>
      <c r="X171" s="84" t="s">
        <v>571</v>
      </c>
      <c r="Y171" s="84" t="s">
        <v>568</v>
      </c>
      <c r="Z171" s="84" t="s">
        <v>569</v>
      </c>
      <c r="AA171" s="84" t="s">
        <v>570</v>
      </c>
      <c r="AB171" s="84" t="s">
        <v>571</v>
      </c>
    </row>
    <row r="172" spans="19:28" ht="24.95" customHeight="1">
      <c r="S172" s="770" t="s">
        <v>574</v>
      </c>
      <c r="T172" s="2" t="s">
        <v>575</v>
      </c>
      <c r="U172" s="11">
        <f t="shared" ref="U172:AB172" si="90">SUM(U173:U175)</f>
        <v>12657</v>
      </c>
      <c r="V172" s="11">
        <f t="shared" si="90"/>
        <v>12657</v>
      </c>
      <c r="W172" s="11">
        <f t="shared" si="90"/>
        <v>12657</v>
      </c>
      <c r="X172" s="11">
        <f t="shared" si="90"/>
        <v>12657</v>
      </c>
      <c r="Y172" s="11">
        <f t="shared" si="90"/>
        <v>11320</v>
      </c>
      <c r="Z172" s="11">
        <f t="shared" si="90"/>
        <v>11320</v>
      </c>
      <c r="AA172" s="11">
        <f t="shared" si="90"/>
        <v>11320</v>
      </c>
      <c r="AB172" s="11">
        <f t="shared" si="90"/>
        <v>11320</v>
      </c>
    </row>
    <row r="173" spans="19:28" ht="24.95" customHeight="1">
      <c r="S173" s="661"/>
      <c r="T173" s="2" t="s">
        <v>577</v>
      </c>
      <c r="U173" s="11">
        <v>3577</v>
      </c>
      <c r="V173" s="11">
        <v>3577</v>
      </c>
      <c r="W173" s="11">
        <v>3577</v>
      </c>
      <c r="X173" s="11">
        <v>3577</v>
      </c>
      <c r="Y173" s="11">
        <v>3000</v>
      </c>
      <c r="Z173" s="11">
        <v>3000</v>
      </c>
      <c r="AA173" s="11">
        <v>3000</v>
      </c>
      <c r="AB173" s="11">
        <v>3000</v>
      </c>
    </row>
    <row r="174" spans="19:28" ht="24.95" customHeight="1">
      <c r="S174" s="661"/>
      <c r="T174" s="2" t="s">
        <v>578</v>
      </c>
      <c r="U174" s="11">
        <v>2710</v>
      </c>
      <c r="V174" s="11">
        <v>2710</v>
      </c>
      <c r="W174" s="11">
        <v>2710</v>
      </c>
      <c r="X174" s="11">
        <v>2710</v>
      </c>
      <c r="Y174" s="11">
        <v>1950</v>
      </c>
      <c r="Z174" s="11">
        <v>1950</v>
      </c>
      <c r="AA174" s="11">
        <v>1950</v>
      </c>
      <c r="AB174" s="11">
        <v>1950</v>
      </c>
    </row>
    <row r="175" spans="19:28" ht="24.95" customHeight="1">
      <c r="S175" s="661"/>
      <c r="T175" s="2" t="s">
        <v>579</v>
      </c>
      <c r="U175" s="11">
        <v>6370</v>
      </c>
      <c r="V175" s="11">
        <v>6370</v>
      </c>
      <c r="W175" s="11">
        <v>6370</v>
      </c>
      <c r="X175" s="11">
        <v>6370</v>
      </c>
      <c r="Y175" s="11">
        <v>6370</v>
      </c>
      <c r="Z175" s="11">
        <v>6370</v>
      </c>
      <c r="AA175" s="11">
        <v>6370</v>
      </c>
      <c r="AB175" s="11">
        <v>6370</v>
      </c>
    </row>
    <row r="176" spans="19:28" ht="24.95" customHeight="1">
      <c r="S176" s="770" t="s">
        <v>580</v>
      </c>
      <c r="T176" s="2" t="s">
        <v>575</v>
      </c>
      <c r="U176" s="11">
        <f t="shared" ref="U176:AB176" si="91">SUM(U177:U179)</f>
        <v>6860</v>
      </c>
      <c r="V176" s="11">
        <f t="shared" si="91"/>
        <v>6860</v>
      </c>
      <c r="W176" s="11">
        <f t="shared" si="91"/>
        <v>6860</v>
      </c>
      <c r="X176" s="11">
        <f t="shared" si="91"/>
        <v>6860</v>
      </c>
      <c r="Y176" s="11">
        <f t="shared" si="91"/>
        <v>4450</v>
      </c>
      <c r="Z176" s="11">
        <f t="shared" si="91"/>
        <v>6350</v>
      </c>
      <c r="AA176" s="11">
        <f t="shared" si="91"/>
        <v>6350</v>
      </c>
      <c r="AB176" s="11">
        <f t="shared" si="91"/>
        <v>6350</v>
      </c>
    </row>
    <row r="177" spans="19:28" ht="24.95" customHeight="1">
      <c r="S177" s="661"/>
      <c r="T177" s="2" t="s">
        <v>581</v>
      </c>
      <c r="U177" s="11">
        <v>2710</v>
      </c>
      <c r="V177" s="11">
        <v>2710</v>
      </c>
      <c r="W177" s="11">
        <v>2710</v>
      </c>
      <c r="X177" s="11">
        <v>2710</v>
      </c>
      <c r="Y177" s="11">
        <v>2200</v>
      </c>
      <c r="Z177" s="11">
        <v>2200</v>
      </c>
      <c r="AA177" s="11">
        <v>2200</v>
      </c>
      <c r="AB177" s="11">
        <v>2200</v>
      </c>
    </row>
    <row r="178" spans="19:28" ht="24.95" customHeight="1">
      <c r="S178" s="661"/>
      <c r="T178" s="2" t="s">
        <v>582</v>
      </c>
      <c r="U178" s="11">
        <v>1700</v>
      </c>
      <c r="V178" s="11">
        <v>1700</v>
      </c>
      <c r="W178" s="11">
        <v>1700</v>
      </c>
      <c r="X178" s="11">
        <v>1700</v>
      </c>
      <c r="Y178" s="11">
        <f>U178</f>
        <v>1700</v>
      </c>
      <c r="Z178" s="11">
        <f>V178</f>
        <v>1700</v>
      </c>
      <c r="AA178" s="11">
        <f>W178</f>
        <v>1700</v>
      </c>
      <c r="AB178" s="11">
        <f>X178</f>
        <v>1700</v>
      </c>
    </row>
    <row r="179" spans="19:28" ht="24.95" customHeight="1">
      <c r="S179" s="661"/>
      <c r="T179" s="2" t="s">
        <v>583</v>
      </c>
      <c r="U179" s="11">
        <v>2450</v>
      </c>
      <c r="V179" s="11">
        <v>2450</v>
      </c>
      <c r="W179" s="11">
        <v>2450</v>
      </c>
      <c r="X179" s="11">
        <v>2450</v>
      </c>
      <c r="Y179" s="11">
        <v>550</v>
      </c>
      <c r="Z179" s="11">
        <f>V179</f>
        <v>2450</v>
      </c>
      <c r="AA179" s="11">
        <f>W179</f>
        <v>2450</v>
      </c>
      <c r="AB179" s="11">
        <f>X179</f>
        <v>2450</v>
      </c>
    </row>
    <row r="180" spans="19:28" ht="24.95" customHeight="1">
      <c r="S180" s="661" t="s">
        <v>584</v>
      </c>
      <c r="T180" s="2" t="s">
        <v>575</v>
      </c>
      <c r="U180" s="11">
        <f t="shared" ref="U180:AB180" si="92">SUM(U181:U182)</f>
        <v>11020</v>
      </c>
      <c r="V180" s="11">
        <f t="shared" si="92"/>
        <v>11020</v>
      </c>
      <c r="W180" s="11">
        <f t="shared" si="92"/>
        <v>11020</v>
      </c>
      <c r="X180" s="11">
        <f t="shared" si="92"/>
        <v>11020</v>
      </c>
      <c r="Y180" s="11">
        <f t="shared" si="92"/>
        <v>8816</v>
      </c>
      <c r="Z180" s="11">
        <f t="shared" si="92"/>
        <v>11020</v>
      </c>
      <c r="AA180" s="11">
        <f t="shared" si="92"/>
        <v>11020</v>
      </c>
      <c r="AB180" s="11">
        <f t="shared" si="92"/>
        <v>11020</v>
      </c>
    </row>
    <row r="181" spans="19:28" ht="24.95" customHeight="1">
      <c r="S181" s="661"/>
      <c r="T181" s="2" t="s">
        <v>585</v>
      </c>
      <c r="U181" s="11">
        <v>4700</v>
      </c>
      <c r="V181" s="11">
        <v>4700</v>
      </c>
      <c r="W181" s="11">
        <v>4700</v>
      </c>
      <c r="X181" s="11">
        <v>4700</v>
      </c>
      <c r="Y181" s="11">
        <v>2496</v>
      </c>
      <c r="Z181" s="11">
        <f t="shared" ref="Z181:AB182" si="93">V181</f>
        <v>4700</v>
      </c>
      <c r="AA181" s="11">
        <f t="shared" si="93"/>
        <v>4700</v>
      </c>
      <c r="AB181" s="11">
        <f t="shared" si="93"/>
        <v>4700</v>
      </c>
    </row>
    <row r="182" spans="19:28" ht="24.95" customHeight="1">
      <c r="S182" s="661"/>
      <c r="T182" s="2" t="s">
        <v>586</v>
      </c>
      <c r="U182" s="11">
        <v>6320</v>
      </c>
      <c r="V182" s="11">
        <v>6320</v>
      </c>
      <c r="W182" s="11">
        <v>6320</v>
      </c>
      <c r="X182" s="11">
        <v>6320</v>
      </c>
      <c r="Y182" s="11">
        <f>U182</f>
        <v>6320</v>
      </c>
      <c r="Z182" s="11">
        <f t="shared" si="93"/>
        <v>6320</v>
      </c>
      <c r="AA182" s="11">
        <f t="shared" si="93"/>
        <v>6320</v>
      </c>
      <c r="AB182" s="11">
        <f t="shared" si="93"/>
        <v>6320</v>
      </c>
    </row>
    <row r="183" spans="19:28" ht="24.95" customHeight="1">
      <c r="S183" s="2" t="s">
        <v>587</v>
      </c>
      <c r="T183" s="2" t="s">
        <v>588</v>
      </c>
      <c r="U183" s="11">
        <v>3300</v>
      </c>
      <c r="V183" s="11">
        <v>3300</v>
      </c>
      <c r="W183" s="11">
        <v>3300</v>
      </c>
      <c r="X183" s="11">
        <v>3300</v>
      </c>
      <c r="Y183" s="11">
        <v>1620</v>
      </c>
      <c r="Z183" s="11">
        <v>1620</v>
      </c>
      <c r="AA183" s="11">
        <v>1620</v>
      </c>
      <c r="AB183" s="11">
        <v>1620</v>
      </c>
    </row>
    <row r="184" spans="19:28" ht="24.95" customHeight="1">
      <c r="S184" s="661" t="s">
        <v>575</v>
      </c>
      <c r="T184" s="661"/>
      <c r="U184" s="11">
        <f t="shared" ref="U184:AB184" si="94">U172+U176+U180+U183</f>
        <v>33837</v>
      </c>
      <c r="V184" s="11">
        <f t="shared" si="94"/>
        <v>33837</v>
      </c>
      <c r="W184" s="11">
        <f t="shared" si="94"/>
        <v>33837</v>
      </c>
      <c r="X184" s="11">
        <f t="shared" si="94"/>
        <v>33837</v>
      </c>
      <c r="Y184" s="11">
        <f t="shared" si="94"/>
        <v>26206</v>
      </c>
      <c r="Z184" s="11">
        <f t="shared" si="94"/>
        <v>30310</v>
      </c>
      <c r="AA184" s="11">
        <f t="shared" si="94"/>
        <v>30310</v>
      </c>
      <c r="AB184" s="11">
        <f t="shared" si="94"/>
        <v>30310</v>
      </c>
    </row>
    <row r="185" spans="19:28" ht="24.95" customHeight="1">
      <c r="S185" s="844" t="s">
        <v>561</v>
      </c>
      <c r="T185" s="845"/>
      <c r="U185" s="661" t="s">
        <v>589</v>
      </c>
      <c r="V185" s="661"/>
      <c r="W185" s="661"/>
      <c r="X185" s="661"/>
      <c r="Y185" s="661" t="s">
        <v>590</v>
      </c>
      <c r="Z185" s="661"/>
      <c r="AA185" s="661"/>
      <c r="AB185" s="661"/>
    </row>
    <row r="186" spans="19:28" ht="24.95" customHeight="1">
      <c r="S186" s="846"/>
      <c r="T186" s="847"/>
      <c r="U186" s="2" t="s">
        <v>568</v>
      </c>
      <c r="V186" s="2" t="s">
        <v>569</v>
      </c>
      <c r="W186" s="2" t="s">
        <v>570</v>
      </c>
      <c r="X186" s="2" t="s">
        <v>571</v>
      </c>
      <c r="Y186" s="2" t="s">
        <v>568</v>
      </c>
      <c r="Z186" s="2" t="s">
        <v>569</v>
      </c>
      <c r="AA186" s="2" t="s">
        <v>570</v>
      </c>
      <c r="AB186" s="2" t="s">
        <v>571</v>
      </c>
    </row>
    <row r="187" spans="19:28" ht="24.95" customHeight="1">
      <c r="S187" s="770" t="s">
        <v>574</v>
      </c>
      <c r="T187" s="2" t="s">
        <v>575</v>
      </c>
      <c r="U187" s="2"/>
      <c r="V187" s="2"/>
      <c r="W187" s="2"/>
      <c r="X187" s="2"/>
      <c r="Y187" s="5">
        <f>SUM(Y188:Y190)</f>
        <v>6282</v>
      </c>
      <c r="Z187" s="5">
        <f>SUM(Z188:Z190)</f>
        <v>6282</v>
      </c>
      <c r="AA187" s="5">
        <f>SUM(AA188:AA190)</f>
        <v>6282</v>
      </c>
      <c r="AB187" s="5">
        <f>SUM(AB188:AB190)</f>
        <v>6282</v>
      </c>
    </row>
    <row r="188" spans="19:28" ht="24.95" customHeight="1">
      <c r="S188" s="661"/>
      <c r="T188" s="2" t="s">
        <v>577</v>
      </c>
      <c r="U188" s="2">
        <v>555</v>
      </c>
      <c r="V188" s="2">
        <v>555</v>
      </c>
      <c r="W188" s="2">
        <v>555</v>
      </c>
      <c r="X188" s="2">
        <v>555</v>
      </c>
      <c r="Y188" s="5">
        <f t="shared" ref="Y188:AB190" si="95">ROUND(Y173*U188/1000,0)</f>
        <v>1665</v>
      </c>
      <c r="Z188" s="5">
        <f t="shared" si="95"/>
        <v>1665</v>
      </c>
      <c r="AA188" s="5">
        <f t="shared" si="95"/>
        <v>1665</v>
      </c>
      <c r="AB188" s="5">
        <f t="shared" si="95"/>
        <v>1665</v>
      </c>
    </row>
    <row r="189" spans="19:28" ht="24.95" customHeight="1">
      <c r="S189" s="661"/>
      <c r="T189" s="2" t="s">
        <v>578</v>
      </c>
      <c r="U189" s="2">
        <v>555</v>
      </c>
      <c r="V189" s="2">
        <v>555</v>
      </c>
      <c r="W189" s="2">
        <v>555</v>
      </c>
      <c r="X189" s="2">
        <v>555</v>
      </c>
      <c r="Y189" s="5">
        <f t="shared" si="95"/>
        <v>1082</v>
      </c>
      <c r="Z189" s="5">
        <f t="shared" si="95"/>
        <v>1082</v>
      </c>
      <c r="AA189" s="5">
        <f t="shared" si="95"/>
        <v>1082</v>
      </c>
      <c r="AB189" s="5">
        <f t="shared" si="95"/>
        <v>1082</v>
      </c>
    </row>
    <row r="190" spans="19:28" ht="24.95" customHeight="1">
      <c r="S190" s="661"/>
      <c r="T190" s="2" t="s">
        <v>579</v>
      </c>
      <c r="U190" s="2">
        <v>555</v>
      </c>
      <c r="V190" s="2">
        <v>555</v>
      </c>
      <c r="W190" s="2">
        <v>555</v>
      </c>
      <c r="X190" s="2">
        <v>555</v>
      </c>
      <c r="Y190" s="5">
        <f t="shared" si="95"/>
        <v>3535</v>
      </c>
      <c r="Z190" s="5">
        <f t="shared" si="95"/>
        <v>3535</v>
      </c>
      <c r="AA190" s="5">
        <f t="shared" si="95"/>
        <v>3535</v>
      </c>
      <c r="AB190" s="5">
        <f t="shared" si="95"/>
        <v>3535</v>
      </c>
    </row>
    <row r="191" spans="19:28" ht="24.95" customHeight="1">
      <c r="S191" s="770" t="s">
        <v>580</v>
      </c>
      <c r="T191" s="2" t="s">
        <v>575</v>
      </c>
      <c r="U191" s="2"/>
      <c r="V191" s="2"/>
      <c r="W191" s="2"/>
      <c r="X191" s="2"/>
      <c r="Y191" s="5">
        <f>SUM(Y192:Y194)</f>
        <v>2470</v>
      </c>
      <c r="Z191" s="5">
        <f>SUM(Z192:Z194)</f>
        <v>3525</v>
      </c>
      <c r="AA191" s="5">
        <f>SUM(AA192:AA194)</f>
        <v>3525</v>
      </c>
      <c r="AB191" s="5">
        <f>SUM(AB192:AB194)</f>
        <v>3525</v>
      </c>
    </row>
    <row r="192" spans="19:28" ht="24.95" customHeight="1">
      <c r="S192" s="661"/>
      <c r="T192" s="2" t="s">
        <v>581</v>
      </c>
      <c r="U192" s="2">
        <v>555</v>
      </c>
      <c r="V192" s="2">
        <v>555</v>
      </c>
      <c r="W192" s="2">
        <v>555</v>
      </c>
      <c r="X192" s="2">
        <v>555</v>
      </c>
      <c r="Y192" s="5">
        <f t="shared" ref="Y192:AB194" si="96">ROUND(Y177*U192/1000,0)</f>
        <v>1221</v>
      </c>
      <c r="Z192" s="5">
        <f t="shared" si="96"/>
        <v>1221</v>
      </c>
      <c r="AA192" s="5">
        <f t="shared" si="96"/>
        <v>1221</v>
      </c>
      <c r="AB192" s="5">
        <f t="shared" si="96"/>
        <v>1221</v>
      </c>
    </row>
    <row r="193" spans="19:28" ht="24.95" customHeight="1">
      <c r="S193" s="661"/>
      <c r="T193" s="2" t="s">
        <v>582</v>
      </c>
      <c r="U193" s="2">
        <v>555</v>
      </c>
      <c r="V193" s="2">
        <v>555</v>
      </c>
      <c r="W193" s="2">
        <v>555</v>
      </c>
      <c r="X193" s="2">
        <v>555</v>
      </c>
      <c r="Y193" s="5">
        <f t="shared" si="96"/>
        <v>944</v>
      </c>
      <c r="Z193" s="5">
        <f t="shared" si="96"/>
        <v>944</v>
      </c>
      <c r="AA193" s="5">
        <f t="shared" si="96"/>
        <v>944</v>
      </c>
      <c r="AB193" s="5">
        <f t="shared" si="96"/>
        <v>944</v>
      </c>
    </row>
    <row r="194" spans="19:28" ht="24.95" customHeight="1">
      <c r="S194" s="661"/>
      <c r="T194" s="2" t="s">
        <v>583</v>
      </c>
      <c r="U194" s="2">
        <v>555</v>
      </c>
      <c r="V194" s="2">
        <v>555</v>
      </c>
      <c r="W194" s="2">
        <v>555</v>
      </c>
      <c r="X194" s="2">
        <v>555</v>
      </c>
      <c r="Y194" s="5">
        <f t="shared" si="96"/>
        <v>305</v>
      </c>
      <c r="Z194" s="5">
        <f t="shared" si="96"/>
        <v>1360</v>
      </c>
      <c r="AA194" s="5">
        <f t="shared" si="96"/>
        <v>1360</v>
      </c>
      <c r="AB194" s="5">
        <f t="shared" si="96"/>
        <v>1360</v>
      </c>
    </row>
    <row r="195" spans="19:28" ht="24.95" customHeight="1">
      <c r="S195" s="661" t="s">
        <v>584</v>
      </c>
      <c r="T195" s="2" t="s">
        <v>575</v>
      </c>
      <c r="U195" s="2"/>
      <c r="V195" s="2"/>
      <c r="W195" s="2"/>
      <c r="X195" s="2"/>
      <c r="Y195" s="5">
        <f>SUM(Y196:Y197)</f>
        <v>4893</v>
      </c>
      <c r="Z195" s="5">
        <f>SUM(Z196:Z197)</f>
        <v>6117</v>
      </c>
      <c r="AA195" s="5">
        <f>SUM(AA196:AA197)</f>
        <v>6117</v>
      </c>
      <c r="AB195" s="5">
        <f>SUM(AB196:AB197)</f>
        <v>6117</v>
      </c>
    </row>
    <row r="196" spans="19:28" ht="24.95" customHeight="1">
      <c r="S196" s="661"/>
      <c r="T196" s="2" t="s">
        <v>585</v>
      </c>
      <c r="U196" s="2">
        <v>555</v>
      </c>
      <c r="V196" s="2">
        <v>555</v>
      </c>
      <c r="W196" s="2">
        <v>555</v>
      </c>
      <c r="X196" s="2">
        <v>555</v>
      </c>
      <c r="Y196" s="5">
        <f t="shared" ref="Y196:AB198" si="97">ROUND(Y181*U196/1000,0)</f>
        <v>1385</v>
      </c>
      <c r="Z196" s="5">
        <f t="shared" si="97"/>
        <v>2609</v>
      </c>
      <c r="AA196" s="5">
        <f t="shared" si="97"/>
        <v>2609</v>
      </c>
      <c r="AB196" s="5">
        <f t="shared" si="97"/>
        <v>2609</v>
      </c>
    </row>
    <row r="197" spans="19:28" ht="24.95" customHeight="1">
      <c r="S197" s="661"/>
      <c r="T197" s="2" t="s">
        <v>586</v>
      </c>
      <c r="U197" s="2">
        <v>555</v>
      </c>
      <c r="V197" s="2">
        <v>555</v>
      </c>
      <c r="W197" s="2">
        <v>555</v>
      </c>
      <c r="X197" s="2">
        <v>555</v>
      </c>
      <c r="Y197" s="5">
        <f t="shared" si="97"/>
        <v>3508</v>
      </c>
      <c r="Z197" s="5">
        <f t="shared" si="97"/>
        <v>3508</v>
      </c>
      <c r="AA197" s="5">
        <f t="shared" si="97"/>
        <v>3508</v>
      </c>
      <c r="AB197" s="5">
        <f t="shared" si="97"/>
        <v>3508</v>
      </c>
    </row>
    <row r="198" spans="19:28" ht="24.95" customHeight="1">
      <c r="S198" s="2" t="s">
        <v>587</v>
      </c>
      <c r="T198" s="2" t="s">
        <v>588</v>
      </c>
      <c r="U198" s="2">
        <v>555</v>
      </c>
      <c r="V198" s="2">
        <v>555</v>
      </c>
      <c r="W198" s="2">
        <v>555</v>
      </c>
      <c r="X198" s="2">
        <v>555</v>
      </c>
      <c r="Y198" s="5">
        <f t="shared" si="97"/>
        <v>899</v>
      </c>
      <c r="Z198" s="5">
        <f t="shared" si="97"/>
        <v>899</v>
      </c>
      <c r="AA198" s="5">
        <f t="shared" si="97"/>
        <v>899</v>
      </c>
      <c r="AB198" s="5">
        <f t="shared" si="97"/>
        <v>899</v>
      </c>
    </row>
    <row r="199" spans="19:28" ht="24.95" customHeight="1">
      <c r="S199" s="661" t="s">
        <v>575</v>
      </c>
      <c r="T199" s="661"/>
      <c r="U199" s="2"/>
      <c r="V199" s="2"/>
      <c r="W199" s="2"/>
      <c r="X199" s="2"/>
      <c r="Y199" s="5">
        <f>Y187+Y191+Y195+Y198</f>
        <v>14544</v>
      </c>
      <c r="Z199" s="5">
        <f>Z187+Z191+Z195+Z198</f>
        <v>16823</v>
      </c>
      <c r="AA199" s="5">
        <f>AA187+AA191+AA195+AA198</f>
        <v>16823</v>
      </c>
      <c r="AB199" s="5">
        <f>AB187+AB191+AB195+AB198</f>
        <v>16823</v>
      </c>
    </row>
    <row r="200" spans="19:28" ht="24.95" customHeight="1"/>
    <row r="201" spans="19:28" ht="24.95" customHeight="1">
      <c r="S201" s="61" t="s">
        <v>606</v>
      </c>
    </row>
    <row r="202" spans="19:28" ht="24.95" customHeight="1">
      <c r="S202" s="661" t="s">
        <v>561</v>
      </c>
      <c r="T202" s="661"/>
      <c r="U202" s="661" t="s">
        <v>590</v>
      </c>
      <c r="V202" s="661"/>
      <c r="W202" s="661"/>
      <c r="X202" s="661"/>
      <c r="Y202" s="661" t="s">
        <v>564</v>
      </c>
      <c r="Z202" s="85"/>
      <c r="AA202" s="85"/>
      <c r="AB202" s="85"/>
    </row>
    <row r="203" spans="19:28" ht="24.95" customHeight="1">
      <c r="S203" s="661"/>
      <c r="T203" s="661"/>
      <c r="U203" s="2" t="s">
        <v>568</v>
      </c>
      <c r="V203" s="2" t="s">
        <v>569</v>
      </c>
      <c r="W203" s="2" t="s">
        <v>570</v>
      </c>
      <c r="X203" s="2" t="s">
        <v>571</v>
      </c>
      <c r="Y203" s="661"/>
      <c r="Z203" s="56"/>
      <c r="AA203" s="56"/>
      <c r="AB203" s="56"/>
    </row>
    <row r="204" spans="19:28" ht="24.95" customHeight="1">
      <c r="S204" s="770" t="s">
        <v>574</v>
      </c>
      <c r="T204" s="2" t="s">
        <v>575</v>
      </c>
      <c r="U204" s="11">
        <f>SUM(U205:U207)</f>
        <v>47200</v>
      </c>
      <c r="V204" s="11">
        <f>SUM(V205:V207)</f>
        <v>49134</v>
      </c>
      <c r="W204" s="11">
        <f>SUM(W205:W207)</f>
        <v>50758</v>
      </c>
      <c r="X204" s="11">
        <f>SUM(X205:X207)</f>
        <v>52192</v>
      </c>
      <c r="Y204" s="2"/>
      <c r="Z204" s="56"/>
      <c r="AA204" s="56"/>
      <c r="AB204" s="56"/>
    </row>
    <row r="205" spans="19:28" ht="24.95" customHeight="1">
      <c r="S205" s="661"/>
      <c r="T205" s="2" t="s">
        <v>577</v>
      </c>
      <c r="U205" s="11">
        <f>Y188+Y156+Y124+Y101+Y84+Y52+Y20+13</f>
        <v>20335</v>
      </c>
      <c r="V205" s="11">
        <f>Z188+Z156+Z124+Z101+Z84+Z52+Z20+11</f>
        <v>21245</v>
      </c>
      <c r="W205" s="11">
        <f>AA188+AA156+AA124+AA101+AA84+AA52+AA20+7</f>
        <v>21904</v>
      </c>
      <c r="X205" s="11">
        <f>AB188+AB156+AB124+AB101+AB84+AB52+AB20+5</f>
        <v>22491</v>
      </c>
      <c r="Y205" s="11"/>
      <c r="Z205" s="56"/>
      <c r="AA205" s="86"/>
      <c r="AB205" s="56"/>
    </row>
    <row r="206" spans="19:28" ht="24.95" customHeight="1">
      <c r="S206" s="661"/>
      <c r="T206" s="2" t="s">
        <v>578</v>
      </c>
      <c r="U206" s="11">
        <f>Y189+Y157+Y125+Y102+Y85+Y53+Y21+13</f>
        <v>15698</v>
      </c>
      <c r="V206" s="11">
        <f>Z189+Z157+Z125+Z102+Z85+Z53+Z21+11</f>
        <v>16211</v>
      </c>
      <c r="W206" s="11">
        <f>AA189+AA157+AA125+AA102+AA85+AA53+AA21+7</f>
        <v>16628</v>
      </c>
      <c r="X206" s="11">
        <f>AB189+AB157+AB125+AB102+AB85+AB53+AB21+5</f>
        <v>16998</v>
      </c>
      <c r="Y206" s="2"/>
      <c r="Z206" s="56"/>
      <c r="AA206" s="56"/>
      <c r="AB206" s="56"/>
    </row>
    <row r="207" spans="19:28" ht="24.95" customHeight="1">
      <c r="S207" s="661"/>
      <c r="T207" s="2" t="s">
        <v>579</v>
      </c>
      <c r="U207" s="11">
        <f>Y190+Y158+Y126+Y103+Y86+Y54+Y22+12</f>
        <v>11167</v>
      </c>
      <c r="V207" s="11">
        <f>Z190+Z158+Z126+Z103+Z86+Z54+Z22+11</f>
        <v>11678</v>
      </c>
      <c r="W207" s="11">
        <f>AA190+AA158+AA126+AA103+AA86+AA54+AA22+7</f>
        <v>12226</v>
      </c>
      <c r="X207" s="11">
        <f>AB190+AB158+AB126+AB103+AB86+AB54+AB22+4</f>
        <v>12703</v>
      </c>
      <c r="Y207" s="2"/>
      <c r="Z207" s="56"/>
      <c r="AA207" s="56"/>
      <c r="AB207" s="56"/>
    </row>
    <row r="208" spans="19:28" ht="24.95" customHeight="1">
      <c r="S208" s="770" t="s">
        <v>580</v>
      </c>
      <c r="T208" s="2" t="s">
        <v>575</v>
      </c>
      <c r="U208" s="11">
        <f>SUM(U209:U211)</f>
        <v>16718</v>
      </c>
      <c r="V208" s="11">
        <f>SUM(V209:V211)</f>
        <v>18691</v>
      </c>
      <c r="W208" s="11">
        <f>SUM(W209:W211)</f>
        <v>19702</v>
      </c>
      <c r="X208" s="11">
        <f>SUM(X209:X211)</f>
        <v>20579</v>
      </c>
      <c r="Y208" s="2"/>
      <c r="Z208" s="56"/>
      <c r="AA208" s="56"/>
      <c r="AB208" s="56"/>
    </row>
    <row r="209" spans="19:28" ht="24.95" customHeight="1">
      <c r="S209" s="661"/>
      <c r="T209" s="2" t="s">
        <v>581</v>
      </c>
      <c r="U209" s="11">
        <f t="shared" ref="U209:X211" si="98">Y192+Y160+Y128+Y88+Y56+Y24</f>
        <v>11829</v>
      </c>
      <c r="V209" s="11">
        <f t="shared" si="98"/>
        <v>12541</v>
      </c>
      <c r="W209" s="11">
        <f t="shared" si="98"/>
        <v>13326</v>
      </c>
      <c r="X209" s="11">
        <f t="shared" si="98"/>
        <v>14007</v>
      </c>
      <c r="Y209" s="2"/>
      <c r="Z209" s="56"/>
      <c r="AA209" s="56"/>
      <c r="AB209" s="56"/>
    </row>
    <row r="210" spans="19:28" ht="24.95" customHeight="1">
      <c r="S210" s="661"/>
      <c r="T210" s="2" t="s">
        <v>582</v>
      </c>
      <c r="U210" s="11">
        <f t="shared" si="98"/>
        <v>2076</v>
      </c>
      <c r="V210" s="11">
        <f t="shared" si="98"/>
        <v>2155</v>
      </c>
      <c r="W210" s="11">
        <f t="shared" si="98"/>
        <v>2240</v>
      </c>
      <c r="X210" s="11">
        <f t="shared" si="98"/>
        <v>2315</v>
      </c>
      <c r="Y210" s="2"/>
      <c r="Z210" s="56"/>
      <c r="AA210" s="56"/>
      <c r="AB210" s="56"/>
    </row>
    <row r="211" spans="19:28" ht="24.95" customHeight="1">
      <c r="S211" s="661"/>
      <c r="T211" s="2" t="s">
        <v>583</v>
      </c>
      <c r="U211" s="11">
        <f t="shared" si="98"/>
        <v>2813</v>
      </c>
      <c r="V211" s="11">
        <f t="shared" si="98"/>
        <v>3995</v>
      </c>
      <c r="W211" s="11">
        <f t="shared" si="98"/>
        <v>4136</v>
      </c>
      <c r="X211" s="11">
        <f t="shared" si="98"/>
        <v>4257</v>
      </c>
      <c r="Y211" s="2"/>
      <c r="Z211" s="56"/>
      <c r="AA211" s="56"/>
      <c r="AB211" s="56"/>
    </row>
    <row r="212" spans="19:28" ht="24.95" customHeight="1">
      <c r="S212" s="661" t="s">
        <v>584</v>
      </c>
      <c r="T212" s="2" t="s">
        <v>575</v>
      </c>
      <c r="U212" s="11">
        <f>SUM(U213:U214)</f>
        <v>11693</v>
      </c>
      <c r="V212" s="11">
        <f>SUM(V213:V214)</f>
        <v>13393</v>
      </c>
      <c r="W212" s="11">
        <f>SUM(W213:W214)</f>
        <v>13900</v>
      </c>
      <c r="X212" s="11">
        <f>SUM(X213:X214)</f>
        <v>14341</v>
      </c>
      <c r="Y212" s="2"/>
      <c r="Z212" s="56"/>
      <c r="AA212" s="56"/>
      <c r="AB212" s="56"/>
    </row>
    <row r="213" spans="19:28" ht="24.95" customHeight="1">
      <c r="S213" s="661"/>
      <c r="T213" s="2" t="s">
        <v>585</v>
      </c>
      <c r="U213" s="11">
        <f>Y196+Y164+Y132+Y92+Y60+Y28</f>
        <v>2722</v>
      </c>
      <c r="V213" s="11">
        <f>Z196+Z164+Z132+Z92+Z60+Z28+6</f>
        <v>4038</v>
      </c>
      <c r="W213" s="11">
        <f>AA196+AA164+AA132+AA92+AA60+AA28+5</f>
        <v>4131</v>
      </c>
      <c r="X213" s="11">
        <f>AB196+AB164+AB132+AB92+AB60+AB28+6</f>
        <v>4215</v>
      </c>
      <c r="Y213" s="2"/>
      <c r="Z213" s="56"/>
      <c r="AA213" s="56"/>
      <c r="AB213" s="56"/>
    </row>
    <row r="214" spans="19:28" ht="24.95" customHeight="1">
      <c r="S214" s="661"/>
      <c r="T214" s="2" t="s">
        <v>586</v>
      </c>
      <c r="U214" s="11">
        <f>Y197+Y165+Y133+Y93+Y61+Y29</f>
        <v>8971</v>
      </c>
      <c r="V214" s="11">
        <f>Z197+Z165+Z133+Z93+Z61+Z29+6</f>
        <v>9355</v>
      </c>
      <c r="W214" s="11">
        <f>AA197+AA165+AA133+AA93+AA61+AA29+6</f>
        <v>9769</v>
      </c>
      <c r="X214" s="11">
        <f>AB197+AB165+AB133+AB93+AB61+AB29+6</f>
        <v>10126</v>
      </c>
      <c r="Y214" s="2"/>
      <c r="Z214" s="56"/>
      <c r="AA214" s="56"/>
      <c r="AB214" s="56"/>
    </row>
    <row r="215" spans="19:28" ht="24.95" customHeight="1">
      <c r="S215" s="2" t="s">
        <v>587</v>
      </c>
      <c r="T215" s="2" t="s">
        <v>588</v>
      </c>
      <c r="U215" s="11">
        <f>Y198+Y166+Y134+Y94+Y62+Y30-3</f>
        <v>3517</v>
      </c>
      <c r="V215" s="11">
        <f>Z198+Z166+Z134+Z94+Z62+Z30-3</f>
        <v>3696</v>
      </c>
      <c r="W215" s="11">
        <f>AA198+AA166+AA134+AA94+AA62+AA30-2</f>
        <v>3894</v>
      </c>
      <c r="X215" s="11">
        <f>AB198+AB166+AB134+AB94+AB62+AB30-3</f>
        <v>4065</v>
      </c>
      <c r="Y215" s="2"/>
      <c r="Z215" s="56"/>
      <c r="AA215" s="56"/>
      <c r="AB215" s="56"/>
    </row>
    <row r="216" spans="19:28" ht="24.95" customHeight="1">
      <c r="S216" s="661" t="s">
        <v>575</v>
      </c>
      <c r="T216" s="661"/>
      <c r="U216" s="11">
        <f>U204+U208+U212+U215</f>
        <v>79128</v>
      </c>
      <c r="V216" s="11">
        <f>V204+V208+V212+V215</f>
        <v>84914</v>
      </c>
      <c r="W216" s="11">
        <f>W204+W208+W212+W215</f>
        <v>88254</v>
      </c>
      <c r="X216" s="11">
        <f>X204+X208+X212+X215</f>
        <v>91177</v>
      </c>
      <c r="Y216" s="2"/>
      <c r="Z216" s="56"/>
      <c r="AA216" s="56"/>
      <c r="AB216" s="56"/>
    </row>
    <row r="217" spans="19:28" ht="24.95" customHeight="1">
      <c r="U217" s="83"/>
      <c r="V217" s="83"/>
      <c r="W217" s="83"/>
      <c r="X217" s="83"/>
    </row>
    <row r="218" spans="19:28" ht="24.95" customHeight="1">
      <c r="U218" s="14"/>
      <c r="V218" s="14"/>
      <c r="W218" s="14"/>
      <c r="X218" s="14"/>
    </row>
    <row r="219" spans="19:28" ht="24.95" customHeight="1"/>
    <row r="220" spans="19:28" ht="24.95" customHeight="1"/>
    <row r="221" spans="19:28" ht="24.95" customHeight="1">
      <c r="U221" s="14"/>
      <c r="V221" s="14"/>
      <c r="W221" s="14"/>
      <c r="X221" s="14"/>
    </row>
    <row r="222" spans="19:28" ht="24.95" customHeight="1"/>
    <row r="223" spans="19:28" ht="24.95" customHeight="1"/>
    <row r="224" spans="19:28" ht="24.95" customHeight="1"/>
    <row r="225" ht="24.95" customHeight="1"/>
    <row r="226" ht="24.95" customHeight="1"/>
    <row r="227" ht="24.95" customHeight="1"/>
    <row r="228" ht="24.95" customHeight="1"/>
    <row r="229" ht="24.95" customHeight="1"/>
    <row r="230" ht="24.95" customHeight="1"/>
    <row r="231" ht="24.95" customHeight="1"/>
    <row r="232" ht="24.95" customHeight="1"/>
    <row r="233" ht="24.95" customHeight="1"/>
    <row r="234" ht="24.95" customHeight="1"/>
    <row r="235" ht="24.95" customHeight="1"/>
    <row r="236" ht="24.95" customHeight="1"/>
    <row r="237" ht="24.95" customHeight="1"/>
    <row r="238" ht="24.95" customHeight="1"/>
    <row r="239" ht="24.95" customHeight="1"/>
    <row r="240" ht="24.95" customHeight="1"/>
    <row r="241" ht="24.95" customHeight="1"/>
    <row r="242" ht="24.95" customHeight="1"/>
    <row r="243" ht="24.95" customHeight="1"/>
    <row r="244" ht="24.95" customHeight="1"/>
    <row r="245" ht="24.95" customHeight="1"/>
    <row r="246" ht="24.95" customHeight="1"/>
    <row r="247" ht="24.95" customHeight="1"/>
    <row r="248" ht="24.95" customHeight="1"/>
    <row r="249" ht="24.95" customHeight="1"/>
    <row r="250" ht="24.95" customHeight="1"/>
    <row r="251" ht="24.95" customHeight="1"/>
    <row r="252" ht="24.95" customHeight="1"/>
    <row r="253" ht="24.95" customHeight="1"/>
    <row r="254" ht="24.95" customHeight="1"/>
    <row r="255" ht="24.95" customHeight="1"/>
    <row r="256" ht="24.95" customHeight="1"/>
    <row r="257" ht="24.95" customHeight="1"/>
    <row r="258" ht="24.95" customHeight="1"/>
    <row r="259" ht="24.95" customHeight="1"/>
    <row r="260" ht="24.95" customHeight="1"/>
    <row r="261" ht="24.95" customHeight="1"/>
    <row r="262" ht="24.95" customHeight="1"/>
    <row r="263" ht="24.95" customHeight="1"/>
    <row r="264" ht="24.95" customHeight="1"/>
    <row r="265" ht="24.95" customHeight="1"/>
    <row r="266" ht="24.95" customHeight="1"/>
    <row r="267" ht="24.95" customHeight="1"/>
    <row r="268" ht="24.95" customHeight="1"/>
    <row r="269" ht="24.95" customHeight="1"/>
    <row r="270" ht="24.95" customHeight="1"/>
    <row r="271" ht="24.95" customHeight="1"/>
    <row r="272" ht="24.95" customHeight="1"/>
    <row r="273" ht="24.95" customHeight="1"/>
    <row r="274" ht="24.95" customHeight="1"/>
    <row r="275" ht="24.95" customHeight="1"/>
    <row r="276" ht="24.95" customHeight="1"/>
    <row r="277" ht="24.95" customHeight="1"/>
    <row r="278" ht="24.95" customHeight="1"/>
    <row r="279" ht="24.95" customHeight="1"/>
    <row r="280" ht="24.95" customHeight="1"/>
    <row r="281" ht="24.95" customHeight="1"/>
    <row r="282" ht="24.95" customHeight="1"/>
    <row r="283" ht="24.95" customHeight="1"/>
    <row r="284" ht="24.95" customHeight="1"/>
    <row r="285" ht="24.95" customHeight="1"/>
    <row r="286" ht="24.95" customHeight="1"/>
    <row r="287" ht="24.95" customHeight="1"/>
    <row r="288" ht="24.95" customHeight="1"/>
    <row r="289" ht="24.95" customHeight="1"/>
    <row r="290" ht="24.95" customHeight="1"/>
    <row r="291" ht="24.95" customHeight="1"/>
    <row r="292" ht="24.95" customHeight="1"/>
    <row r="293" ht="24.95" customHeight="1"/>
    <row r="294" ht="24.95" customHeight="1"/>
    <row r="295" ht="24.95" customHeight="1"/>
    <row r="296" ht="24.95" customHeight="1"/>
    <row r="297" ht="24.95" customHeight="1"/>
    <row r="298" ht="24.95" customHeight="1"/>
    <row r="299" ht="24.95" customHeight="1"/>
    <row r="300" ht="24.95" customHeight="1"/>
    <row r="301" ht="24.95" customHeight="1"/>
    <row r="302" ht="24.95" customHeight="1"/>
    <row r="303" ht="24.95" customHeight="1"/>
    <row r="304" ht="24.95" customHeight="1"/>
    <row r="305" ht="24.95" customHeight="1"/>
    <row r="306" ht="24.95" customHeight="1"/>
    <row r="307" ht="24.95" customHeight="1"/>
    <row r="308" ht="24.95" customHeight="1"/>
    <row r="309" ht="24.95" customHeight="1"/>
    <row r="310" ht="24.95" customHeight="1"/>
    <row r="311" ht="24.95" customHeight="1"/>
    <row r="312" ht="24.95" customHeight="1"/>
    <row r="313" ht="24.95" customHeight="1"/>
    <row r="314" ht="24.95" customHeight="1"/>
    <row r="315" ht="24.95" customHeight="1"/>
    <row r="316" ht="24.95" customHeight="1"/>
    <row r="317" ht="24.95" customHeight="1"/>
    <row r="318" ht="24.95" customHeight="1"/>
    <row r="319" ht="24.95" customHeight="1"/>
    <row r="320" ht="24.95" customHeight="1"/>
    <row r="321" ht="24.95" customHeight="1"/>
    <row r="322" ht="24.95" customHeight="1"/>
    <row r="323" ht="24.95" customHeight="1"/>
    <row r="324" ht="24.95" customHeight="1"/>
    <row r="325" ht="24.95" customHeight="1"/>
    <row r="326" ht="24.95" customHeight="1"/>
    <row r="327" ht="24.95" customHeight="1"/>
    <row r="328" ht="24.95" customHeight="1"/>
    <row r="329" ht="24.95" customHeight="1"/>
    <row r="330" ht="24.95" customHeight="1"/>
    <row r="331" ht="24.95" customHeight="1"/>
    <row r="332" ht="24.95" customHeight="1"/>
    <row r="333" ht="24.95" customHeight="1"/>
    <row r="334" ht="24.95" customHeight="1"/>
    <row r="335" ht="24.95" customHeight="1"/>
    <row r="336" ht="24.95" customHeight="1"/>
    <row r="337" ht="24.95" customHeight="1"/>
    <row r="338" ht="24.95" customHeight="1"/>
    <row r="339" ht="24.95" customHeight="1"/>
    <row r="340" ht="24.95" customHeight="1"/>
    <row r="341" ht="24.95" customHeight="1"/>
    <row r="342" ht="24.95" customHeight="1"/>
    <row r="343" ht="24.95" customHeight="1"/>
    <row r="344" ht="24.95" customHeight="1"/>
    <row r="345" ht="24.95" customHeight="1"/>
    <row r="346" ht="24.95" customHeight="1"/>
    <row r="347" ht="24.95" customHeight="1"/>
    <row r="348" ht="24.95" customHeight="1"/>
    <row r="349" ht="24.95" customHeight="1"/>
    <row r="350" ht="24.95" customHeight="1"/>
    <row r="351" ht="24.95" customHeight="1"/>
    <row r="352" ht="24.95" customHeight="1"/>
    <row r="353" ht="24.95" customHeight="1"/>
    <row r="354" ht="24.95" customHeight="1"/>
    <row r="355" ht="24.95" customHeight="1"/>
    <row r="356" ht="24.95" customHeight="1"/>
    <row r="357" ht="24.95" customHeight="1"/>
    <row r="358" ht="24.95" customHeight="1"/>
    <row r="359" ht="24.95" customHeight="1"/>
    <row r="360" ht="24.95" customHeight="1"/>
    <row r="361" ht="24.95" customHeight="1"/>
    <row r="362" ht="24.95" customHeight="1"/>
    <row r="363" ht="24.95" customHeight="1"/>
    <row r="364" ht="24.95" customHeight="1"/>
    <row r="365" ht="24.95" customHeight="1"/>
    <row r="366" ht="24.95" customHeight="1"/>
    <row r="367" ht="24.95" customHeight="1"/>
    <row r="368" ht="24.95" customHeight="1"/>
    <row r="369" ht="24.95" customHeight="1"/>
    <row r="370" ht="24.95" customHeight="1"/>
    <row r="371" ht="24.95" customHeight="1"/>
    <row r="372" ht="24.95" customHeight="1"/>
    <row r="373" ht="24.95" customHeight="1"/>
    <row r="374" ht="24.95" customHeight="1"/>
    <row r="375" ht="24.95" customHeight="1"/>
    <row r="376" ht="24.95" customHeight="1"/>
    <row r="377" ht="24.95" customHeight="1"/>
    <row r="378" ht="24.95" customHeight="1"/>
    <row r="379" ht="24.95" customHeight="1"/>
    <row r="380" ht="24.95" customHeight="1"/>
    <row r="381" ht="24.95" customHeight="1"/>
    <row r="382" ht="24.95" customHeight="1"/>
    <row r="383" ht="24.95" customHeight="1"/>
    <row r="384" ht="24.95" customHeight="1"/>
    <row r="385" ht="24.95" customHeight="1"/>
    <row r="386" ht="24.95" customHeight="1"/>
    <row r="387" ht="24.95" customHeight="1"/>
    <row r="388" ht="24.95" customHeight="1"/>
    <row r="389" ht="24.95" customHeight="1"/>
    <row r="390" ht="24.95" customHeight="1"/>
    <row r="391" ht="24.95" customHeight="1"/>
    <row r="392" ht="24.95" customHeight="1"/>
    <row r="393" ht="24.95" customHeight="1"/>
    <row r="394" ht="24.95" customHeight="1"/>
    <row r="395" ht="24.95" customHeight="1"/>
    <row r="396" ht="24.95" customHeight="1"/>
    <row r="397" ht="24.95" customHeight="1"/>
    <row r="398" ht="24.95" customHeight="1"/>
    <row r="399" ht="24.95" customHeight="1"/>
    <row r="400" ht="24.95" customHeight="1"/>
    <row r="401" ht="24.95" customHeight="1"/>
    <row r="402" ht="24.95" customHeight="1"/>
    <row r="403" ht="24.95" customHeight="1"/>
    <row r="404" ht="24.95" customHeight="1"/>
    <row r="405" ht="24.95" customHeight="1"/>
    <row r="406" ht="24.95" customHeight="1"/>
    <row r="407" ht="24.95" customHeight="1"/>
    <row r="408" ht="24.95" customHeight="1"/>
    <row r="409" ht="24.95" customHeight="1"/>
    <row r="410" ht="24.95" customHeight="1"/>
    <row r="411" ht="24.95" customHeight="1"/>
    <row r="412" ht="24.95" customHeight="1"/>
    <row r="413" ht="24.95" customHeight="1"/>
    <row r="414" ht="24.95" customHeight="1"/>
    <row r="415" ht="24.95" customHeight="1"/>
    <row r="416" ht="24.95" customHeight="1"/>
    <row r="417" ht="24.95" customHeight="1"/>
    <row r="418" ht="24.95" customHeight="1"/>
    <row r="419" ht="24.95" customHeight="1"/>
    <row r="420" ht="24.95" customHeight="1"/>
    <row r="421" ht="24.95" customHeight="1"/>
    <row r="422" ht="24.95" customHeight="1"/>
    <row r="423" ht="24.95" customHeight="1"/>
    <row r="424" ht="24.95" customHeight="1"/>
    <row r="425" ht="24.95" customHeight="1"/>
    <row r="426" ht="24.95" customHeight="1"/>
    <row r="427" ht="24.95" customHeight="1"/>
    <row r="428" ht="24.95" customHeight="1"/>
    <row r="429" ht="24.95" customHeight="1"/>
    <row r="430" ht="24.95" customHeight="1"/>
    <row r="431" ht="24.95" customHeight="1"/>
    <row r="432" ht="24.95" customHeight="1"/>
    <row r="433" ht="24.95" customHeight="1"/>
    <row r="434" ht="24.95" customHeight="1"/>
    <row r="435" ht="24.95" customHeight="1"/>
    <row r="436" ht="24.95" customHeight="1"/>
    <row r="437" ht="24.95" customHeight="1"/>
    <row r="438" ht="24.95" customHeight="1"/>
    <row r="439" ht="24.95" customHeight="1"/>
    <row r="440" ht="24.95" customHeight="1"/>
    <row r="441" ht="24.95" customHeight="1"/>
    <row r="442" ht="24.95" customHeight="1"/>
    <row r="443" ht="24.95" customHeight="1"/>
    <row r="444" ht="24.95" customHeight="1"/>
    <row r="445" ht="24.95" customHeight="1"/>
    <row r="446" ht="24.95" customHeight="1"/>
    <row r="447" ht="24.95" customHeight="1"/>
    <row r="448" ht="24.95" customHeight="1"/>
    <row r="449" ht="24.95" customHeight="1"/>
    <row r="450" ht="24.95" customHeight="1"/>
    <row r="451" ht="24.95" customHeight="1"/>
    <row r="452" ht="24.95" customHeight="1"/>
    <row r="453" ht="24.95" customHeight="1"/>
    <row r="454" ht="24.95" customHeight="1"/>
    <row r="455" ht="24.95" customHeight="1"/>
    <row r="456" ht="24.95" customHeight="1"/>
    <row r="457" ht="24.95" customHeight="1"/>
    <row r="458" ht="24.95" customHeight="1"/>
    <row r="459" ht="24.95" customHeight="1"/>
    <row r="460" ht="24.95" customHeight="1"/>
    <row r="461" ht="24.95" customHeight="1"/>
    <row r="462" ht="24.95" customHeight="1"/>
    <row r="463" ht="24.95" customHeight="1"/>
    <row r="464" ht="24.95" customHeight="1"/>
    <row r="465" ht="24.95" customHeight="1"/>
    <row r="466" ht="24.95" customHeight="1"/>
    <row r="467" ht="24.95" customHeight="1"/>
    <row r="468" ht="24.95" customHeight="1"/>
    <row r="469" ht="24.95" customHeight="1"/>
    <row r="470" ht="24.95" customHeight="1"/>
    <row r="471" ht="24.95" customHeight="1"/>
    <row r="472" ht="24.95" customHeight="1"/>
    <row r="473" ht="24.95" customHeight="1"/>
    <row r="474" ht="24.95" customHeight="1"/>
    <row r="475" ht="24.95" customHeight="1"/>
    <row r="476" ht="24.95" customHeight="1"/>
  </sheetData>
  <mergeCells count="131">
    <mergeCell ref="E2:H2"/>
    <mergeCell ref="I2:I3"/>
    <mergeCell ref="M2:P2"/>
    <mergeCell ref="K2:L3"/>
    <mergeCell ref="C2:D2"/>
    <mergeCell ref="A60:A75"/>
    <mergeCell ref="A76:A84"/>
    <mergeCell ref="A85:A94"/>
    <mergeCell ref="A4:B4"/>
    <mergeCell ref="A5:A25"/>
    <mergeCell ref="A26:A41"/>
    <mergeCell ref="A42:A59"/>
    <mergeCell ref="A2:B3"/>
    <mergeCell ref="K92:K100"/>
    <mergeCell ref="K57:L57"/>
    <mergeCell ref="K58:K73"/>
    <mergeCell ref="K74:K83"/>
    <mergeCell ref="K89:L90"/>
    <mergeCell ref="K84:K86"/>
    <mergeCell ref="Q2:Q3"/>
    <mergeCell ref="K4:L4"/>
    <mergeCell ref="M55:P55"/>
    <mergeCell ref="Q55:Q56"/>
    <mergeCell ref="K5:K23"/>
    <mergeCell ref="K24:K39"/>
    <mergeCell ref="K40:K52"/>
    <mergeCell ref="K55:L56"/>
    <mergeCell ref="Y2:AB2"/>
    <mergeCell ref="S8:S11"/>
    <mergeCell ref="S4:S7"/>
    <mergeCell ref="S12:S14"/>
    <mergeCell ref="S31:T31"/>
    <mergeCell ref="U17:X17"/>
    <mergeCell ref="Y17:AB17"/>
    <mergeCell ref="Y49:AB49"/>
    <mergeCell ref="Y34:AB34"/>
    <mergeCell ref="S40:S43"/>
    <mergeCell ref="S34:T35"/>
    <mergeCell ref="K109:K112"/>
    <mergeCell ref="K101:K103"/>
    <mergeCell ref="S2:T3"/>
    <mergeCell ref="U2:X2"/>
    <mergeCell ref="S16:T16"/>
    <mergeCell ref="S23:S26"/>
    <mergeCell ref="S27:S29"/>
    <mergeCell ref="S44:S46"/>
    <mergeCell ref="S48:T48"/>
    <mergeCell ref="S49:T50"/>
    <mergeCell ref="K106:L107"/>
    <mergeCell ref="M106:P106"/>
    <mergeCell ref="Q106:Q107"/>
    <mergeCell ref="K108:L108"/>
    <mergeCell ref="M89:P89"/>
    <mergeCell ref="Q89:Q90"/>
    <mergeCell ref="K91:L91"/>
    <mergeCell ref="U49:X49"/>
    <mergeCell ref="S51:S54"/>
    <mergeCell ref="S55:S58"/>
    <mergeCell ref="U34:X34"/>
    <mergeCell ref="S17:T18"/>
    <mergeCell ref="S19:S22"/>
    <mergeCell ref="S36:S39"/>
    <mergeCell ref="S80:T80"/>
    <mergeCell ref="S81:T82"/>
    <mergeCell ref="U81:X81"/>
    <mergeCell ref="Y81:AB81"/>
    <mergeCell ref="Y66:AB66"/>
    <mergeCell ref="S68:S71"/>
    <mergeCell ref="S72:S75"/>
    <mergeCell ref="S76:S78"/>
    <mergeCell ref="S59:S61"/>
    <mergeCell ref="S63:T63"/>
    <mergeCell ref="S66:T67"/>
    <mergeCell ref="U66:X66"/>
    <mergeCell ref="S106:T107"/>
    <mergeCell ref="U106:X106"/>
    <mergeCell ref="Y106:AB106"/>
    <mergeCell ref="S108:S111"/>
    <mergeCell ref="S98:T99"/>
    <mergeCell ref="U98:X98"/>
    <mergeCell ref="Y98:AB98"/>
    <mergeCell ref="S100:S103"/>
    <mergeCell ref="S83:S86"/>
    <mergeCell ref="S87:S90"/>
    <mergeCell ref="S91:S93"/>
    <mergeCell ref="S95:T95"/>
    <mergeCell ref="S131:S133"/>
    <mergeCell ref="S135:T135"/>
    <mergeCell ref="S138:T139"/>
    <mergeCell ref="U138:X138"/>
    <mergeCell ref="U121:X121"/>
    <mergeCell ref="Y121:AB121"/>
    <mergeCell ref="S123:S126"/>
    <mergeCell ref="S127:S130"/>
    <mergeCell ref="S112:S115"/>
    <mergeCell ref="S116:S118"/>
    <mergeCell ref="S120:T120"/>
    <mergeCell ref="S121:T122"/>
    <mergeCell ref="S155:S158"/>
    <mergeCell ref="S159:S162"/>
    <mergeCell ref="S163:S165"/>
    <mergeCell ref="S167:T167"/>
    <mergeCell ref="S152:T152"/>
    <mergeCell ref="S153:T154"/>
    <mergeCell ref="U153:X153"/>
    <mergeCell ref="Y153:AB153"/>
    <mergeCell ref="Y138:AB138"/>
    <mergeCell ref="S140:S143"/>
    <mergeCell ref="S144:S147"/>
    <mergeCell ref="S148:S150"/>
    <mergeCell ref="U185:X185"/>
    <mergeCell ref="Y185:AB185"/>
    <mergeCell ref="S187:S190"/>
    <mergeCell ref="S191:S194"/>
    <mergeCell ref="S176:S179"/>
    <mergeCell ref="S180:S182"/>
    <mergeCell ref="S184:T184"/>
    <mergeCell ref="S185:T186"/>
    <mergeCell ref="S170:T171"/>
    <mergeCell ref="U170:X170"/>
    <mergeCell ref="Y170:AB170"/>
    <mergeCell ref="S172:S175"/>
    <mergeCell ref="U202:X202"/>
    <mergeCell ref="Y202:Y203"/>
    <mergeCell ref="S208:S211"/>
    <mergeCell ref="S212:S214"/>
    <mergeCell ref="S216:T216"/>
    <mergeCell ref="S195:S197"/>
    <mergeCell ref="S199:T199"/>
    <mergeCell ref="S202:T203"/>
    <mergeCell ref="S204:S207"/>
  </mergeCells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>
  <dimension ref="A1:I228"/>
  <sheetViews>
    <sheetView workbookViewId="0"/>
  </sheetViews>
  <sheetFormatPr defaultRowHeight="11.25"/>
  <cols>
    <col min="1" max="8" width="10.21875" style="1" customWidth="1"/>
    <col min="9" max="14" width="12.109375" style="1" customWidth="1"/>
    <col min="15" max="16384" width="8.88671875" style="1"/>
  </cols>
  <sheetData>
    <row r="1" spans="1:9" ht="30" customHeight="1">
      <c r="A1" s="61" t="s">
        <v>408</v>
      </c>
    </row>
    <row r="2" spans="1:9" ht="30" customHeight="1" thickBot="1">
      <c r="A2" s="73" t="s">
        <v>410</v>
      </c>
      <c r="B2" s="74" t="s">
        <v>411</v>
      </c>
      <c r="C2" s="74" t="s">
        <v>412</v>
      </c>
      <c r="D2" s="75" t="s">
        <v>119</v>
      </c>
      <c r="E2" s="75" t="s">
        <v>120</v>
      </c>
      <c r="F2" s="75" t="s">
        <v>121</v>
      </c>
      <c r="G2" s="75" t="s">
        <v>122</v>
      </c>
      <c r="H2" s="76" t="s">
        <v>413</v>
      </c>
    </row>
    <row r="3" spans="1:9" ht="30" customHeight="1" thickTop="1">
      <c r="A3" s="77" t="s">
        <v>181</v>
      </c>
      <c r="B3" s="78">
        <f>SUM(B4:B11)</f>
        <v>32175</v>
      </c>
      <c r="C3" s="79">
        <f>SUM(C4:C11)</f>
        <v>1</v>
      </c>
      <c r="D3" s="80">
        <f>생활용수량!D6</f>
        <v>130469</v>
      </c>
      <c r="E3" s="80">
        <f>생활용수량!E6</f>
        <v>133201</v>
      </c>
      <c r="F3" s="80">
        <f>생활용수량!F6</f>
        <v>136221</v>
      </c>
      <c r="G3" s="80">
        <f>생활용수량!G6</f>
        <v>138561</v>
      </c>
      <c r="H3" s="77"/>
    </row>
    <row r="4" spans="1:9" ht="30" customHeight="1">
      <c r="A4" s="81" t="s">
        <v>182</v>
      </c>
      <c r="B4" s="5">
        <v>9656</v>
      </c>
      <c r="C4" s="62">
        <f>ROUND(B4/$B$3,4)</f>
        <v>0.30009999999999998</v>
      </c>
      <c r="D4" s="6">
        <f>ROUND(D$3*$C4,0)</f>
        <v>39154</v>
      </c>
      <c r="E4" s="6">
        <f>ROUND(E$3*$C4,0)-1</f>
        <v>39973</v>
      </c>
      <c r="F4" s="6">
        <f>ROUND(F$3*$C4,0)-1</f>
        <v>40879</v>
      </c>
      <c r="G4" s="6">
        <f>ROUND(G$3*$C4,0)-1</f>
        <v>41581</v>
      </c>
      <c r="H4" s="81"/>
    </row>
    <row r="5" spans="1:9" ht="30" customHeight="1">
      <c r="A5" s="81" t="s">
        <v>183</v>
      </c>
      <c r="B5" s="5">
        <v>4135</v>
      </c>
      <c r="C5" s="62">
        <f t="shared" ref="C5:C11" si="0">ROUND(B5/$B$3,4)</f>
        <v>0.1285</v>
      </c>
      <c r="D5" s="6">
        <f t="shared" ref="D5:D11" si="1">ROUND(D$3*$C5,0)</f>
        <v>16765</v>
      </c>
      <c r="E5" s="6">
        <f t="shared" ref="E5:G11" si="2">ROUND(E$3*$C5,0)</f>
        <v>17116</v>
      </c>
      <c r="F5" s="6">
        <f t="shared" si="2"/>
        <v>17504</v>
      </c>
      <c r="G5" s="6">
        <f t="shared" si="2"/>
        <v>17805</v>
      </c>
      <c r="H5" s="81"/>
    </row>
    <row r="6" spans="1:9" ht="30" customHeight="1">
      <c r="A6" s="81" t="s">
        <v>184</v>
      </c>
      <c r="B6" s="5">
        <v>6147</v>
      </c>
      <c r="C6" s="62">
        <f t="shared" si="0"/>
        <v>0.191</v>
      </c>
      <c r="D6" s="6">
        <f t="shared" si="1"/>
        <v>24920</v>
      </c>
      <c r="E6" s="6">
        <f t="shared" si="2"/>
        <v>25441</v>
      </c>
      <c r="F6" s="6">
        <f t="shared" si="2"/>
        <v>26018</v>
      </c>
      <c r="G6" s="6">
        <f t="shared" si="2"/>
        <v>26465</v>
      </c>
      <c r="H6" s="81"/>
    </row>
    <row r="7" spans="1:9" ht="30" customHeight="1">
      <c r="A7" s="82" t="s">
        <v>414</v>
      </c>
      <c r="B7" s="5">
        <v>623</v>
      </c>
      <c r="C7" s="62">
        <f t="shared" si="0"/>
        <v>1.9400000000000001E-2</v>
      </c>
      <c r="D7" s="6">
        <f t="shared" si="1"/>
        <v>2531</v>
      </c>
      <c r="E7" s="6">
        <f t="shared" si="2"/>
        <v>2584</v>
      </c>
      <c r="F7" s="6">
        <f t="shared" si="2"/>
        <v>2643</v>
      </c>
      <c r="G7" s="6">
        <f t="shared" si="2"/>
        <v>2688</v>
      </c>
      <c r="H7" s="81"/>
    </row>
    <row r="8" spans="1:9" ht="30" customHeight="1">
      <c r="A8" s="82" t="s">
        <v>415</v>
      </c>
      <c r="B8" s="5">
        <v>1460</v>
      </c>
      <c r="C8" s="62">
        <f t="shared" si="0"/>
        <v>4.5400000000000003E-2</v>
      </c>
      <c r="D8" s="6">
        <f t="shared" si="1"/>
        <v>5923</v>
      </c>
      <c r="E8" s="6">
        <f t="shared" si="2"/>
        <v>6047</v>
      </c>
      <c r="F8" s="6">
        <f t="shared" si="2"/>
        <v>6184</v>
      </c>
      <c r="G8" s="6">
        <f t="shared" si="2"/>
        <v>6291</v>
      </c>
      <c r="H8" s="81"/>
    </row>
    <row r="9" spans="1:9" ht="30" customHeight="1">
      <c r="A9" s="81" t="s">
        <v>180</v>
      </c>
      <c r="B9" s="5">
        <v>5258</v>
      </c>
      <c r="C9" s="62">
        <f t="shared" si="0"/>
        <v>0.16339999999999999</v>
      </c>
      <c r="D9" s="6">
        <f t="shared" si="1"/>
        <v>21319</v>
      </c>
      <c r="E9" s="6">
        <f t="shared" si="2"/>
        <v>21765</v>
      </c>
      <c r="F9" s="6">
        <f t="shared" si="2"/>
        <v>22259</v>
      </c>
      <c r="G9" s="6">
        <f t="shared" si="2"/>
        <v>22641</v>
      </c>
      <c r="H9" s="81"/>
    </row>
    <row r="10" spans="1:9" ht="30" customHeight="1">
      <c r="A10" s="81" t="s">
        <v>186</v>
      </c>
      <c r="B10" s="5">
        <v>3162</v>
      </c>
      <c r="C10" s="62">
        <f t="shared" si="0"/>
        <v>9.8299999999999998E-2</v>
      </c>
      <c r="D10" s="6">
        <f t="shared" si="1"/>
        <v>12825</v>
      </c>
      <c r="E10" s="6">
        <f t="shared" si="2"/>
        <v>13094</v>
      </c>
      <c r="F10" s="6">
        <f t="shared" si="2"/>
        <v>13391</v>
      </c>
      <c r="G10" s="6">
        <f t="shared" si="2"/>
        <v>13621</v>
      </c>
      <c r="H10" s="81"/>
    </row>
    <row r="11" spans="1:9" ht="30" customHeight="1">
      <c r="A11" s="81" t="s">
        <v>187</v>
      </c>
      <c r="B11" s="5">
        <v>1734</v>
      </c>
      <c r="C11" s="62">
        <f t="shared" si="0"/>
        <v>5.3900000000000003E-2</v>
      </c>
      <c r="D11" s="6">
        <f t="shared" si="1"/>
        <v>7032</v>
      </c>
      <c r="E11" s="6">
        <f t="shared" si="2"/>
        <v>7180</v>
      </c>
      <c r="F11" s="6">
        <f t="shared" si="2"/>
        <v>7342</v>
      </c>
      <c r="G11" s="6">
        <f t="shared" si="2"/>
        <v>7468</v>
      </c>
      <c r="H11" s="81"/>
    </row>
    <row r="12" spans="1:9" ht="30" customHeight="1">
      <c r="B12" s="14">
        <f>SUM(B4:B11)</f>
        <v>32175</v>
      </c>
      <c r="D12" s="14">
        <f>SUM(D4:D11)</f>
        <v>130469</v>
      </c>
      <c r="E12" s="14">
        <f>SUM(E4:E11)</f>
        <v>133200</v>
      </c>
      <c r="F12" s="14">
        <f>SUM(F4:F11)</f>
        <v>136220</v>
      </c>
      <c r="G12" s="14">
        <f>SUM(G4:G11)</f>
        <v>138560</v>
      </c>
      <c r="I12" s="14"/>
    </row>
    <row r="13" spans="1:9" ht="30" customHeight="1">
      <c r="A13" s="61" t="s">
        <v>409</v>
      </c>
    </row>
    <row r="14" spans="1:9" ht="30" customHeight="1">
      <c r="A14" s="890" t="s">
        <v>0</v>
      </c>
      <c r="B14" s="890"/>
      <c r="C14" s="63" t="s">
        <v>119</v>
      </c>
      <c r="D14" s="63" t="s">
        <v>120</v>
      </c>
      <c r="E14" s="63" t="s">
        <v>121</v>
      </c>
      <c r="F14" s="63" t="s">
        <v>122</v>
      </c>
      <c r="G14" s="63" t="s">
        <v>30</v>
      </c>
    </row>
    <row r="15" spans="1:9" ht="30" customHeight="1">
      <c r="A15" s="770" t="s">
        <v>59</v>
      </c>
      <c r="B15" s="770"/>
      <c r="C15" s="12">
        <f>SUM(C16:C22)</f>
        <v>4391</v>
      </c>
      <c r="D15" s="12">
        <f>SUM(D16:D22)</f>
        <v>4552</v>
      </c>
      <c r="E15" s="12">
        <f>SUM(E16:E22)</f>
        <v>4552</v>
      </c>
      <c r="F15" s="12">
        <f>SUM(F16:F22)</f>
        <v>4552</v>
      </c>
      <c r="G15" s="4"/>
    </row>
    <row r="16" spans="1:9" ht="30" customHeight="1">
      <c r="A16" s="888" t="s">
        <v>64</v>
      </c>
      <c r="B16" s="889"/>
      <c r="C16" s="12">
        <f>개발계획유입인구!C56</f>
        <v>611</v>
      </c>
      <c r="D16" s="12">
        <f>개발계획유입인구!D56</f>
        <v>772</v>
      </c>
      <c r="E16" s="12">
        <f>개발계획유입인구!E56</f>
        <v>772</v>
      </c>
      <c r="F16" s="12">
        <f>개발계획유입인구!F56</f>
        <v>772</v>
      </c>
      <c r="G16" s="4"/>
    </row>
    <row r="17" spans="1:7" ht="30" customHeight="1">
      <c r="A17" s="888" t="s">
        <v>131</v>
      </c>
      <c r="B17" s="889"/>
      <c r="C17" s="12">
        <f>개발계획유입인구!C57</f>
        <v>520</v>
      </c>
      <c r="D17" s="12">
        <f>개발계획유입인구!D57</f>
        <v>520</v>
      </c>
      <c r="E17" s="12">
        <f>개발계획유입인구!E57</f>
        <v>520</v>
      </c>
      <c r="F17" s="12">
        <f>개발계획유입인구!F57</f>
        <v>520</v>
      </c>
      <c r="G17" s="4"/>
    </row>
    <row r="18" spans="1:7" ht="30" customHeight="1">
      <c r="A18" s="888" t="s">
        <v>132</v>
      </c>
      <c r="B18" s="889"/>
      <c r="C18" s="12">
        <f>개발계획유입인구!C60</f>
        <v>1663</v>
      </c>
      <c r="D18" s="12">
        <f>개발계획유입인구!D60</f>
        <v>1663</v>
      </c>
      <c r="E18" s="12">
        <f>개발계획유입인구!E60</f>
        <v>1663</v>
      </c>
      <c r="F18" s="12">
        <f>개발계획유입인구!F60</f>
        <v>1663</v>
      </c>
      <c r="G18" s="4"/>
    </row>
    <row r="19" spans="1:7" ht="30" customHeight="1">
      <c r="A19" s="888" t="s">
        <v>370</v>
      </c>
      <c r="B19" s="889"/>
      <c r="C19" s="12">
        <f>개발계획유입인구!C61</f>
        <v>29</v>
      </c>
      <c r="D19" s="12">
        <f>개발계획유입인구!D61</f>
        <v>29</v>
      </c>
      <c r="E19" s="12">
        <f>개발계획유입인구!E61</f>
        <v>29</v>
      </c>
      <c r="F19" s="12">
        <f>개발계획유입인구!F61</f>
        <v>29</v>
      </c>
      <c r="G19" s="4"/>
    </row>
    <row r="20" spans="1:7" ht="30" customHeight="1">
      <c r="A20" s="888" t="s">
        <v>67</v>
      </c>
      <c r="B20" s="889"/>
      <c r="C20" s="12">
        <f>개발계획유입인구!C64</f>
        <v>397</v>
      </c>
      <c r="D20" s="12">
        <f>개발계획유입인구!D64</f>
        <v>397</v>
      </c>
      <c r="E20" s="12">
        <f>개발계획유입인구!E64</f>
        <v>397</v>
      </c>
      <c r="F20" s="12">
        <f>개발계획유입인구!F64</f>
        <v>397</v>
      </c>
      <c r="G20" s="4"/>
    </row>
    <row r="21" spans="1:7" ht="30" customHeight="1">
      <c r="A21" s="888" t="s">
        <v>68</v>
      </c>
      <c r="B21" s="889"/>
      <c r="C21" s="12">
        <f>개발계획유입인구!C65</f>
        <v>141</v>
      </c>
      <c r="D21" s="12">
        <f>개발계획유입인구!D65</f>
        <v>141</v>
      </c>
      <c r="E21" s="12">
        <f>개발계획유입인구!E65</f>
        <v>141</v>
      </c>
      <c r="F21" s="12">
        <f>개발계획유입인구!F65</f>
        <v>141</v>
      </c>
      <c r="G21" s="4"/>
    </row>
    <row r="22" spans="1:7" ht="30" customHeight="1">
      <c r="A22" s="888" t="s">
        <v>69</v>
      </c>
      <c r="B22" s="889"/>
      <c r="C22" s="12">
        <f>개발계획유입인구!C66</f>
        <v>1030</v>
      </c>
      <c r="D22" s="12">
        <f>개발계획유입인구!D66</f>
        <v>1030</v>
      </c>
      <c r="E22" s="12">
        <f>개발계획유입인구!E66</f>
        <v>1030</v>
      </c>
      <c r="F22" s="12">
        <f>개발계획유입인구!F66</f>
        <v>1030</v>
      </c>
      <c r="G22" s="4"/>
    </row>
    <row r="23" spans="1:7" ht="30" customHeight="1"/>
    <row r="24" spans="1:7" ht="30" customHeight="1"/>
    <row r="25" spans="1:7" ht="30" customHeight="1">
      <c r="A25" s="890" t="s">
        <v>0</v>
      </c>
      <c r="B25" s="890"/>
      <c r="C25" s="63" t="s">
        <v>119</v>
      </c>
      <c r="D25" s="63" t="s">
        <v>120</v>
      </c>
      <c r="E25" s="63" t="s">
        <v>121</v>
      </c>
      <c r="F25" s="63" t="s">
        <v>122</v>
      </c>
      <c r="G25" s="63" t="s">
        <v>30</v>
      </c>
    </row>
    <row r="26" spans="1:7" ht="30" customHeight="1">
      <c r="A26" s="770" t="s">
        <v>416</v>
      </c>
      <c r="B26" s="4" t="s">
        <v>60</v>
      </c>
      <c r="C26" s="11">
        <f>C29+C32+C35+C38+C41+C44+C45+C48</f>
        <v>130469</v>
      </c>
      <c r="D26" s="11">
        <f>D29+D32+D35+D38+D41+D44+D45+D48</f>
        <v>133200</v>
      </c>
      <c r="E26" s="11">
        <f>E29+E32+E35+E38+E41+E44+E45+E48</f>
        <v>136220</v>
      </c>
      <c r="F26" s="11">
        <f>F29+F32+F35+F38+F41+F44+F45+F48</f>
        <v>138560</v>
      </c>
      <c r="G26" s="2"/>
    </row>
    <row r="27" spans="1:7" ht="30" customHeight="1">
      <c r="A27" s="770"/>
      <c r="B27" s="4" t="s">
        <v>61</v>
      </c>
      <c r="C27" s="11">
        <f>C30+C33+C36+C39+C42+C46+C49</f>
        <v>4391</v>
      </c>
      <c r="D27" s="11">
        <f>D30+D33+D36+D39+D42+D46+D49</f>
        <v>4552</v>
      </c>
      <c r="E27" s="11">
        <f>E30+E33+E36+E39+E42+E46+E49</f>
        <v>4552</v>
      </c>
      <c r="F27" s="11">
        <f>F30+F33+F36+F39+F42+F46+F49</f>
        <v>4552</v>
      </c>
      <c r="G27" s="2"/>
    </row>
    <row r="28" spans="1:7" ht="30" customHeight="1">
      <c r="A28" s="770"/>
      <c r="B28" s="4" t="s">
        <v>362</v>
      </c>
      <c r="C28" s="11">
        <f>SUM(C26:C27)</f>
        <v>134860</v>
      </c>
      <c r="D28" s="11">
        <f>SUM(D26:D27)</f>
        <v>137752</v>
      </c>
      <c r="E28" s="11">
        <f>SUM(E26:E27)</f>
        <v>140772</v>
      </c>
      <c r="F28" s="11">
        <f>SUM(F26:F27)</f>
        <v>143112</v>
      </c>
      <c r="G28" s="2"/>
    </row>
    <row r="29" spans="1:7" ht="30" customHeight="1">
      <c r="A29" s="770" t="s">
        <v>64</v>
      </c>
      <c r="B29" s="4" t="s">
        <v>60</v>
      </c>
      <c r="C29" s="11">
        <f>D4</f>
        <v>39154</v>
      </c>
      <c r="D29" s="11">
        <f>E4</f>
        <v>39973</v>
      </c>
      <c r="E29" s="11">
        <f>F4</f>
        <v>40879</v>
      </c>
      <c r="F29" s="11">
        <f>G4</f>
        <v>41581</v>
      </c>
      <c r="G29" s="2"/>
    </row>
    <row r="30" spans="1:7" ht="30" customHeight="1">
      <c r="A30" s="770"/>
      <c r="B30" s="4" t="s">
        <v>61</v>
      </c>
      <c r="C30" s="11">
        <f>C16</f>
        <v>611</v>
      </c>
      <c r="D30" s="11">
        <f>D16</f>
        <v>772</v>
      </c>
      <c r="E30" s="11">
        <f>E16</f>
        <v>772</v>
      </c>
      <c r="F30" s="11">
        <f>F16</f>
        <v>772</v>
      </c>
      <c r="G30" s="2"/>
    </row>
    <row r="31" spans="1:7" ht="30" customHeight="1">
      <c r="A31" s="770"/>
      <c r="B31" s="4" t="s">
        <v>362</v>
      </c>
      <c r="C31" s="11">
        <f>SUM(C29:C30)</f>
        <v>39765</v>
      </c>
      <c r="D31" s="11">
        <f>SUM(D29:D30)</f>
        <v>40745</v>
      </c>
      <c r="E31" s="11">
        <f>SUM(E29:E30)</f>
        <v>41651</v>
      </c>
      <c r="F31" s="11">
        <f>SUM(F29:F30)</f>
        <v>42353</v>
      </c>
      <c r="G31" s="2"/>
    </row>
    <row r="32" spans="1:7" ht="30" customHeight="1">
      <c r="A32" s="770" t="s">
        <v>131</v>
      </c>
      <c r="B32" s="4" t="s">
        <v>60</v>
      </c>
      <c r="C32" s="11">
        <f>D5</f>
        <v>16765</v>
      </c>
      <c r="D32" s="11">
        <f>E5</f>
        <v>17116</v>
      </c>
      <c r="E32" s="11">
        <f>F5</f>
        <v>17504</v>
      </c>
      <c r="F32" s="11">
        <f>G5</f>
        <v>17805</v>
      </c>
      <c r="G32" s="2"/>
    </row>
    <row r="33" spans="1:7" ht="30" customHeight="1">
      <c r="A33" s="770"/>
      <c r="B33" s="4" t="s">
        <v>61</v>
      </c>
      <c r="C33" s="11">
        <f>C17</f>
        <v>520</v>
      </c>
      <c r="D33" s="11">
        <f>D17</f>
        <v>520</v>
      </c>
      <c r="E33" s="11">
        <f>E17</f>
        <v>520</v>
      </c>
      <c r="F33" s="11">
        <f>F17</f>
        <v>520</v>
      </c>
      <c r="G33" s="2"/>
    </row>
    <row r="34" spans="1:7" ht="30" customHeight="1">
      <c r="A34" s="770"/>
      <c r="B34" s="4" t="s">
        <v>362</v>
      </c>
      <c r="C34" s="11">
        <f>SUM(C32:C33)</f>
        <v>17285</v>
      </c>
      <c r="D34" s="11">
        <f>SUM(D32:D33)</f>
        <v>17636</v>
      </c>
      <c r="E34" s="11">
        <f>SUM(E32:E33)</f>
        <v>18024</v>
      </c>
      <c r="F34" s="11">
        <f>SUM(F32:F33)</f>
        <v>18325</v>
      </c>
      <c r="G34" s="2"/>
    </row>
    <row r="35" spans="1:7" ht="30" customHeight="1">
      <c r="A35" s="770" t="s">
        <v>132</v>
      </c>
      <c r="B35" s="4" t="s">
        <v>60</v>
      </c>
      <c r="C35" s="11">
        <f>D6</f>
        <v>24920</v>
      </c>
      <c r="D35" s="11">
        <f>E6</f>
        <v>25441</v>
      </c>
      <c r="E35" s="11">
        <f>F6</f>
        <v>26018</v>
      </c>
      <c r="F35" s="11">
        <f>G6</f>
        <v>26465</v>
      </c>
      <c r="G35" s="2"/>
    </row>
    <row r="36" spans="1:7" ht="30" customHeight="1">
      <c r="A36" s="770"/>
      <c r="B36" s="4" t="s">
        <v>61</v>
      </c>
      <c r="C36" s="11">
        <f>C18</f>
        <v>1663</v>
      </c>
      <c r="D36" s="11">
        <f>D18</f>
        <v>1663</v>
      </c>
      <c r="E36" s="11">
        <f>E18</f>
        <v>1663</v>
      </c>
      <c r="F36" s="11">
        <f>F18</f>
        <v>1663</v>
      </c>
      <c r="G36" s="2"/>
    </row>
    <row r="37" spans="1:7" ht="30" customHeight="1">
      <c r="A37" s="770"/>
      <c r="B37" s="4" t="s">
        <v>362</v>
      </c>
      <c r="C37" s="11">
        <f>SUM(C35:C36)</f>
        <v>26583</v>
      </c>
      <c r="D37" s="11">
        <f>SUM(D35:D36)</f>
        <v>27104</v>
      </c>
      <c r="E37" s="11">
        <f>SUM(E35:E36)</f>
        <v>27681</v>
      </c>
      <c r="F37" s="11">
        <f>SUM(F35:F36)</f>
        <v>28128</v>
      </c>
      <c r="G37" s="2"/>
    </row>
    <row r="38" spans="1:7" ht="30" customHeight="1">
      <c r="A38" s="838" t="s">
        <v>417</v>
      </c>
      <c r="B38" s="4" t="s">
        <v>60</v>
      </c>
      <c r="C38" s="11">
        <f>D8</f>
        <v>5923</v>
      </c>
      <c r="D38" s="11">
        <f>E8</f>
        <v>6047</v>
      </c>
      <c r="E38" s="11">
        <f>F8</f>
        <v>6184</v>
      </c>
      <c r="F38" s="11">
        <f>G8</f>
        <v>6291</v>
      </c>
      <c r="G38" s="2"/>
    </row>
    <row r="39" spans="1:7" ht="30" customHeight="1">
      <c r="A39" s="839"/>
      <c r="B39" s="4" t="s">
        <v>61</v>
      </c>
      <c r="C39" s="11">
        <f>C19</f>
        <v>29</v>
      </c>
      <c r="D39" s="11">
        <f>D19</f>
        <v>29</v>
      </c>
      <c r="E39" s="11">
        <f>E19</f>
        <v>29</v>
      </c>
      <c r="F39" s="11">
        <f>F19</f>
        <v>29</v>
      </c>
      <c r="G39" s="2"/>
    </row>
    <row r="40" spans="1:7" ht="30" customHeight="1">
      <c r="A40" s="840"/>
      <c r="B40" s="4" t="s">
        <v>362</v>
      </c>
      <c r="C40" s="11">
        <f>SUM(C38:C39)</f>
        <v>5952</v>
      </c>
      <c r="D40" s="11">
        <f>SUM(D38:D39)</f>
        <v>6076</v>
      </c>
      <c r="E40" s="11">
        <f>SUM(E38:E39)</f>
        <v>6213</v>
      </c>
      <c r="F40" s="11">
        <f>SUM(F38:F39)</f>
        <v>6320</v>
      </c>
      <c r="G40" s="2"/>
    </row>
    <row r="41" spans="1:7" ht="30" customHeight="1">
      <c r="A41" s="770" t="s">
        <v>67</v>
      </c>
      <c r="B41" s="4" t="s">
        <v>60</v>
      </c>
      <c r="C41" s="11">
        <f>D9</f>
        <v>21319</v>
      </c>
      <c r="D41" s="11">
        <f>E9</f>
        <v>21765</v>
      </c>
      <c r="E41" s="11">
        <f>F9</f>
        <v>22259</v>
      </c>
      <c r="F41" s="11">
        <f>G9</f>
        <v>22641</v>
      </c>
      <c r="G41" s="2"/>
    </row>
    <row r="42" spans="1:7" ht="30" customHeight="1">
      <c r="A42" s="770"/>
      <c r="B42" s="4" t="s">
        <v>61</v>
      </c>
      <c r="C42" s="11">
        <f>C20</f>
        <v>397</v>
      </c>
      <c r="D42" s="11">
        <f>D20</f>
        <v>397</v>
      </c>
      <c r="E42" s="11">
        <f>E20</f>
        <v>397</v>
      </c>
      <c r="F42" s="11">
        <f>F20</f>
        <v>397</v>
      </c>
      <c r="G42" s="2"/>
    </row>
    <row r="43" spans="1:7" ht="30" customHeight="1">
      <c r="A43" s="770"/>
      <c r="B43" s="4" t="s">
        <v>362</v>
      </c>
      <c r="C43" s="11">
        <f>SUM(C41:C42)</f>
        <v>21716</v>
      </c>
      <c r="D43" s="11">
        <f>SUM(D41:D42)</f>
        <v>22162</v>
      </c>
      <c r="E43" s="11">
        <f>SUM(E41:E42)</f>
        <v>22656</v>
      </c>
      <c r="F43" s="11">
        <f>SUM(F41:F42)</f>
        <v>23038</v>
      </c>
      <c r="G43" s="2"/>
    </row>
    <row r="44" spans="1:7" ht="30" customHeight="1">
      <c r="A44" s="770" t="s">
        <v>68</v>
      </c>
      <c r="B44" s="4" t="s">
        <v>418</v>
      </c>
      <c r="C44" s="11">
        <f>D10</f>
        <v>12825</v>
      </c>
      <c r="D44" s="11">
        <f>E10</f>
        <v>13094</v>
      </c>
      <c r="E44" s="11">
        <f>F10</f>
        <v>13391</v>
      </c>
      <c r="F44" s="11">
        <f>G10</f>
        <v>13621</v>
      </c>
      <c r="G44" s="2"/>
    </row>
    <row r="45" spans="1:7" ht="30" customHeight="1">
      <c r="A45" s="770"/>
      <c r="B45" s="4" t="s">
        <v>419</v>
      </c>
      <c r="C45" s="11">
        <f>D7</f>
        <v>2531</v>
      </c>
      <c r="D45" s="11">
        <f>E7</f>
        <v>2584</v>
      </c>
      <c r="E45" s="11">
        <f>F7</f>
        <v>2643</v>
      </c>
      <c r="F45" s="11">
        <f>G7</f>
        <v>2688</v>
      </c>
      <c r="G45" s="2"/>
    </row>
    <row r="46" spans="1:7" ht="30" customHeight="1">
      <c r="A46" s="770"/>
      <c r="B46" s="4" t="s">
        <v>61</v>
      </c>
      <c r="C46" s="11">
        <f>C21</f>
        <v>141</v>
      </c>
      <c r="D46" s="11">
        <f>D21</f>
        <v>141</v>
      </c>
      <c r="E46" s="11">
        <f>E21</f>
        <v>141</v>
      </c>
      <c r="F46" s="11">
        <f>F21</f>
        <v>141</v>
      </c>
      <c r="G46" s="2"/>
    </row>
    <row r="47" spans="1:7" ht="30" customHeight="1">
      <c r="A47" s="770"/>
      <c r="B47" s="4" t="s">
        <v>362</v>
      </c>
      <c r="C47" s="11">
        <f>SUM(C44:C46)</f>
        <v>15497</v>
      </c>
      <c r="D47" s="11">
        <f>SUM(D44:D46)</f>
        <v>15819</v>
      </c>
      <c r="E47" s="11">
        <f>SUM(E44:E46)</f>
        <v>16175</v>
      </c>
      <c r="F47" s="11">
        <f>SUM(F44:F46)</f>
        <v>16450</v>
      </c>
      <c r="G47" s="2"/>
    </row>
    <row r="48" spans="1:7" ht="30" customHeight="1">
      <c r="A48" s="770" t="s">
        <v>69</v>
      </c>
      <c r="B48" s="4" t="s">
        <v>60</v>
      </c>
      <c r="C48" s="11">
        <f>D11</f>
        <v>7032</v>
      </c>
      <c r="D48" s="11">
        <f>E11</f>
        <v>7180</v>
      </c>
      <c r="E48" s="11">
        <f>F11</f>
        <v>7342</v>
      </c>
      <c r="F48" s="11">
        <f>G11</f>
        <v>7468</v>
      </c>
      <c r="G48" s="2"/>
    </row>
    <row r="49" spans="1:7" ht="30" customHeight="1">
      <c r="A49" s="770"/>
      <c r="B49" s="4" t="s">
        <v>61</v>
      </c>
      <c r="C49" s="11">
        <f>C22</f>
        <v>1030</v>
      </c>
      <c r="D49" s="11">
        <f>D22</f>
        <v>1030</v>
      </c>
      <c r="E49" s="11">
        <f>E22</f>
        <v>1030</v>
      </c>
      <c r="F49" s="11">
        <f>F22</f>
        <v>1030</v>
      </c>
      <c r="G49" s="2"/>
    </row>
    <row r="50" spans="1:7" ht="30" customHeight="1">
      <c r="A50" s="770"/>
      <c r="B50" s="4" t="s">
        <v>362</v>
      </c>
      <c r="C50" s="11">
        <f>SUM(C48:C49)</f>
        <v>8062</v>
      </c>
      <c r="D50" s="11">
        <f>SUM(D48:D49)</f>
        <v>8210</v>
      </c>
      <c r="E50" s="11">
        <f>SUM(E48:E49)</f>
        <v>8372</v>
      </c>
      <c r="F50" s="11">
        <f>SUM(F48:F49)</f>
        <v>8498</v>
      </c>
      <c r="G50" s="2"/>
    </row>
    <row r="51" spans="1:7" ht="30" customHeight="1"/>
    <row r="52" spans="1:7" ht="30" customHeight="1"/>
    <row r="53" spans="1:7" ht="30" customHeight="1">
      <c r="C53" s="14">
        <f>C44+C45</f>
        <v>15356</v>
      </c>
      <c r="D53" s="14">
        <f>D44+D45</f>
        <v>15678</v>
      </c>
      <c r="E53" s="14">
        <f>E44+E45</f>
        <v>16034</v>
      </c>
      <c r="F53" s="14">
        <f>F44+F45</f>
        <v>16309</v>
      </c>
    </row>
    <row r="54" spans="1:7" ht="30" customHeight="1">
      <c r="C54" s="14">
        <f>C46</f>
        <v>141</v>
      </c>
      <c r="D54" s="14">
        <f>D46</f>
        <v>141</v>
      </c>
      <c r="E54" s="14">
        <f>E46</f>
        <v>141</v>
      </c>
      <c r="F54" s="14">
        <f>F46</f>
        <v>141</v>
      </c>
    </row>
    <row r="55" spans="1:7" ht="30" customHeight="1"/>
    <row r="56" spans="1:7" ht="30" customHeight="1"/>
    <row r="57" spans="1:7" ht="30" customHeight="1"/>
    <row r="58" spans="1:7" ht="30" customHeight="1"/>
    <row r="59" spans="1:7" ht="30" customHeight="1"/>
    <row r="60" spans="1:7" ht="30" customHeight="1"/>
    <row r="61" spans="1:7" ht="30" customHeight="1"/>
    <row r="62" spans="1:7" ht="30" customHeight="1"/>
    <row r="63" spans="1:7" ht="30" customHeight="1"/>
    <row r="64" spans="1:7" ht="30" customHeight="1"/>
    <row r="65" ht="30" customHeight="1"/>
    <row r="66" ht="30" customHeight="1"/>
    <row r="67" ht="30" customHeight="1"/>
    <row r="68" ht="30" customHeight="1"/>
    <row r="69" ht="30" customHeight="1"/>
    <row r="70" ht="30" customHeight="1"/>
    <row r="71" ht="30" customHeight="1"/>
    <row r="72" ht="30" customHeight="1"/>
    <row r="73" ht="30" customHeight="1"/>
    <row r="74" ht="30" customHeight="1"/>
    <row r="75" ht="30" customHeight="1"/>
    <row r="76" ht="30" customHeight="1"/>
    <row r="77" ht="30" customHeight="1"/>
    <row r="78" ht="30" customHeight="1"/>
    <row r="79" ht="30" customHeight="1"/>
    <row r="80" ht="30" customHeight="1"/>
    <row r="81" ht="30" customHeight="1"/>
    <row r="82" ht="30" customHeight="1"/>
    <row r="83" ht="30" customHeight="1"/>
    <row r="84" ht="30" customHeight="1"/>
    <row r="85" ht="30" customHeight="1"/>
    <row r="86" ht="30" customHeight="1"/>
    <row r="87" ht="30" customHeight="1"/>
    <row r="88" ht="30" customHeight="1"/>
    <row r="89" ht="30" customHeight="1"/>
    <row r="90" ht="30" customHeight="1"/>
    <row r="91" ht="30" customHeight="1"/>
    <row r="92" ht="30" customHeight="1"/>
    <row r="93" ht="30" customHeight="1"/>
    <row r="94" ht="30" customHeight="1"/>
    <row r="95" ht="30" customHeight="1"/>
    <row r="96" ht="30" customHeight="1"/>
    <row r="97" ht="30" customHeight="1"/>
    <row r="98" ht="30" customHeight="1"/>
    <row r="99" ht="30" customHeight="1"/>
    <row r="100" ht="30" customHeight="1"/>
    <row r="101" ht="30" customHeight="1"/>
    <row r="102" ht="30" customHeight="1"/>
    <row r="103" ht="30" customHeight="1"/>
    <row r="104" ht="30" customHeight="1"/>
    <row r="105" ht="30" customHeight="1"/>
    <row r="106" ht="30" customHeight="1"/>
    <row r="107" ht="30" customHeight="1"/>
    <row r="108" ht="30" customHeight="1"/>
    <row r="109" ht="30" customHeight="1"/>
    <row r="110" ht="30" customHeight="1"/>
    <row r="111" ht="30" customHeight="1"/>
    <row r="112" ht="30" customHeight="1"/>
    <row r="113" ht="30" customHeight="1"/>
    <row r="114" ht="30" customHeight="1"/>
    <row r="115" ht="30" customHeight="1"/>
    <row r="116" ht="30" customHeight="1"/>
    <row r="117" ht="30" customHeight="1"/>
    <row r="118" ht="30" customHeight="1"/>
    <row r="119" ht="30" customHeight="1"/>
    <row r="120" ht="30" customHeight="1"/>
    <row r="121" ht="30" customHeight="1"/>
    <row r="122" ht="30" customHeight="1"/>
    <row r="123" ht="24.95" customHeight="1"/>
    <row r="124" ht="24.95" customHeight="1"/>
    <row r="125" ht="24.95" customHeight="1"/>
    <row r="126" ht="24.95" customHeight="1"/>
    <row r="127" ht="24.95" customHeight="1"/>
    <row r="128" ht="24.95" customHeight="1"/>
    <row r="129" ht="24.95" customHeight="1"/>
    <row r="130" ht="24.95" customHeight="1"/>
    <row r="131" ht="24.95" customHeight="1"/>
    <row r="132" ht="24.95" customHeight="1"/>
    <row r="133" ht="24.95" customHeight="1"/>
    <row r="134" ht="24.95" customHeight="1"/>
    <row r="135" ht="24.95" customHeight="1"/>
    <row r="136" ht="24.95" customHeight="1"/>
    <row r="137" ht="24.95" customHeight="1"/>
    <row r="138" ht="24.95" customHeight="1"/>
    <row r="139" ht="24.95" customHeight="1"/>
    <row r="140" ht="24.95" customHeight="1"/>
    <row r="141" ht="24.95" customHeight="1"/>
    <row r="142" ht="24.95" customHeight="1"/>
    <row r="143" ht="24.95" customHeight="1"/>
    <row r="144" ht="24.95" customHeight="1"/>
    <row r="145" ht="24.95" customHeight="1"/>
    <row r="146" ht="24.95" customHeight="1"/>
    <row r="147" ht="24.95" customHeight="1"/>
    <row r="148" ht="24.95" customHeight="1"/>
    <row r="149" ht="24.95" customHeight="1"/>
    <row r="150" ht="24.95" customHeight="1"/>
    <row r="151" ht="24.95" customHeight="1"/>
    <row r="152" ht="24.95" customHeight="1"/>
    <row r="153" ht="24.95" customHeight="1"/>
    <row r="154" ht="24.95" customHeight="1"/>
    <row r="155" ht="24.95" customHeight="1"/>
    <row r="156" ht="24.95" customHeight="1"/>
    <row r="157" ht="24.95" customHeight="1"/>
    <row r="158" ht="24.95" customHeight="1"/>
    <row r="159" ht="24.95" customHeight="1"/>
    <row r="160" ht="24.95" customHeight="1"/>
    <row r="161" ht="24.95" customHeight="1"/>
    <row r="162" ht="24.95" customHeight="1"/>
    <row r="163" ht="24.95" customHeight="1"/>
    <row r="164" ht="24.95" customHeight="1"/>
    <row r="165" ht="24.95" customHeight="1"/>
    <row r="166" ht="24.95" customHeight="1"/>
    <row r="167" ht="24.95" customHeight="1"/>
    <row r="168" ht="24.95" customHeight="1"/>
    <row r="169" ht="24.95" customHeight="1"/>
    <row r="170" ht="24.95" customHeight="1"/>
    <row r="171" ht="24.95" customHeight="1"/>
    <row r="172" ht="24.95" customHeight="1"/>
    <row r="173" ht="24.95" customHeight="1"/>
    <row r="174" ht="24.95" customHeight="1"/>
    <row r="175" ht="24.95" customHeight="1"/>
    <row r="176" ht="24.95" customHeight="1"/>
    <row r="177" ht="24.95" customHeight="1"/>
    <row r="178" ht="24.95" customHeight="1"/>
    <row r="179" ht="24.95" customHeight="1"/>
    <row r="180" ht="24.95" customHeight="1"/>
    <row r="181" ht="24.95" customHeight="1"/>
    <row r="182" ht="24.95" customHeight="1"/>
    <row r="183" ht="24.95" customHeight="1"/>
    <row r="184" ht="24.95" customHeight="1"/>
    <row r="185" ht="24.95" customHeight="1"/>
    <row r="186" ht="24.95" customHeight="1"/>
    <row r="187" ht="24.95" customHeight="1"/>
    <row r="188" ht="24.95" customHeight="1"/>
    <row r="189" ht="24.95" customHeight="1"/>
    <row r="190" ht="24.95" customHeight="1"/>
    <row r="191" ht="24.95" customHeight="1"/>
    <row r="192" ht="24.95" customHeight="1"/>
    <row r="193" ht="24.95" customHeight="1"/>
    <row r="194" ht="24.95" customHeight="1"/>
    <row r="195" ht="24.95" customHeight="1"/>
    <row r="196" ht="24.95" customHeight="1"/>
    <row r="197" ht="24.95" customHeight="1"/>
    <row r="198" ht="24.95" customHeight="1"/>
    <row r="199" ht="24.95" customHeight="1"/>
    <row r="200" ht="24.95" customHeight="1"/>
    <row r="201" ht="24.95" customHeight="1"/>
    <row r="202" ht="24.95" customHeight="1"/>
    <row r="203" ht="24.95" customHeight="1"/>
    <row r="204" ht="24.95" customHeight="1"/>
    <row r="205" ht="24.95" customHeight="1"/>
    <row r="206" ht="24.95" customHeight="1"/>
    <row r="207" ht="24.95" customHeight="1"/>
    <row r="208" ht="24.95" customHeight="1"/>
    <row r="209" ht="24.95" customHeight="1"/>
    <row r="210" ht="24.95" customHeight="1"/>
    <row r="211" ht="24.95" customHeight="1"/>
    <row r="212" ht="24.95" customHeight="1"/>
    <row r="213" ht="24.95" customHeight="1"/>
    <row r="214" ht="24.95" customHeight="1"/>
    <row r="215" ht="24.95" customHeight="1"/>
    <row r="216" ht="24.95" customHeight="1"/>
    <row r="217" ht="24.95" customHeight="1"/>
    <row r="218" ht="24.95" customHeight="1"/>
    <row r="219" ht="24.95" customHeight="1"/>
    <row r="220" ht="24.95" customHeight="1"/>
    <row r="221" ht="24.95" customHeight="1"/>
    <row r="222" ht="24.95" customHeight="1"/>
    <row r="223" ht="24.95" customHeight="1"/>
    <row r="224" ht="24.95" customHeight="1"/>
    <row r="225" ht="24.95" customHeight="1"/>
    <row r="226" ht="24.95" customHeight="1"/>
    <row r="227" ht="24.95" customHeight="1"/>
    <row r="228" ht="24.95" customHeight="1"/>
  </sheetData>
  <mergeCells count="18">
    <mergeCell ref="A19:B19"/>
    <mergeCell ref="A14:B14"/>
    <mergeCell ref="A15:B15"/>
    <mergeCell ref="A16:B16"/>
    <mergeCell ref="A17:B17"/>
    <mergeCell ref="A18:B18"/>
    <mergeCell ref="A20:B20"/>
    <mergeCell ref="A21:B21"/>
    <mergeCell ref="A22:B22"/>
    <mergeCell ref="A29:A31"/>
    <mergeCell ref="A32:A34"/>
    <mergeCell ref="A25:B25"/>
    <mergeCell ref="A26:A28"/>
    <mergeCell ref="A35:A37"/>
    <mergeCell ref="A41:A43"/>
    <mergeCell ref="A44:A47"/>
    <mergeCell ref="A48:A50"/>
    <mergeCell ref="A38:A40"/>
  </mergeCells>
  <phoneticPr fontId="3" type="noConversion"/>
  <pageMargins left="0.75" right="0.75" top="1" bottom="1" header="0.5" footer="0.5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>
  <dimension ref="A1:X181"/>
  <sheetViews>
    <sheetView workbookViewId="0"/>
  </sheetViews>
  <sheetFormatPr defaultRowHeight="11.25"/>
  <cols>
    <col min="1" max="16384" width="8.88671875" style="1"/>
  </cols>
  <sheetData>
    <row r="1" spans="1:24" ht="30" customHeight="1">
      <c r="A1" s="7" t="s">
        <v>31</v>
      </c>
    </row>
    <row r="2" spans="1:24" ht="30" customHeight="1">
      <c r="A2" s="661" t="s">
        <v>0</v>
      </c>
      <c r="B2" s="770" t="s">
        <v>12</v>
      </c>
      <c r="C2" s="770" t="s">
        <v>13</v>
      </c>
      <c r="D2" s="661" t="s">
        <v>19</v>
      </c>
      <c r="E2" s="661" t="s">
        <v>14</v>
      </c>
      <c r="F2" s="661"/>
      <c r="G2" s="661"/>
      <c r="H2" s="661"/>
      <c r="I2" s="661"/>
      <c r="J2" s="661"/>
      <c r="K2" s="661"/>
      <c r="L2" s="661" t="s">
        <v>18</v>
      </c>
      <c r="M2" s="661"/>
      <c r="N2" s="661"/>
      <c r="O2" s="661"/>
      <c r="P2" s="661"/>
      <c r="Q2" s="661"/>
      <c r="R2" s="661"/>
      <c r="S2" s="661" t="s">
        <v>27</v>
      </c>
      <c r="T2" s="661" t="s">
        <v>28</v>
      </c>
      <c r="U2" s="661" t="s">
        <v>29</v>
      </c>
      <c r="V2" s="770" t="s">
        <v>20</v>
      </c>
      <c r="W2" s="770" t="s">
        <v>21</v>
      </c>
      <c r="X2" s="661" t="s">
        <v>30</v>
      </c>
    </row>
    <row r="3" spans="1:24" ht="30" customHeight="1">
      <c r="A3" s="661"/>
      <c r="B3" s="770"/>
      <c r="C3" s="770"/>
      <c r="D3" s="661"/>
      <c r="E3" s="661" t="s">
        <v>15</v>
      </c>
      <c r="F3" s="661" t="s">
        <v>16</v>
      </c>
      <c r="G3" s="661"/>
      <c r="H3" s="661"/>
      <c r="I3" s="661" t="s">
        <v>17</v>
      </c>
      <c r="J3" s="661"/>
      <c r="K3" s="661"/>
      <c r="L3" s="661" t="s">
        <v>15</v>
      </c>
      <c r="M3" s="661" t="s">
        <v>16</v>
      </c>
      <c r="N3" s="661"/>
      <c r="O3" s="661"/>
      <c r="P3" s="661" t="s">
        <v>17</v>
      </c>
      <c r="Q3" s="661"/>
      <c r="R3" s="661"/>
      <c r="S3" s="661"/>
      <c r="T3" s="661"/>
      <c r="U3" s="661"/>
      <c r="V3" s="770"/>
      <c r="W3" s="770"/>
      <c r="X3" s="661"/>
    </row>
    <row r="4" spans="1:24" ht="30" customHeight="1">
      <c r="A4" s="661"/>
      <c r="B4" s="770"/>
      <c r="C4" s="770"/>
      <c r="D4" s="661"/>
      <c r="E4" s="661"/>
      <c r="F4" s="2" t="s">
        <v>22</v>
      </c>
      <c r="G4" s="2" t="s">
        <v>23</v>
      </c>
      <c r="H4" s="2" t="s">
        <v>24</v>
      </c>
      <c r="I4" s="2" t="s">
        <v>22</v>
      </c>
      <c r="J4" s="2" t="s">
        <v>25</v>
      </c>
      <c r="K4" s="2" t="s">
        <v>26</v>
      </c>
      <c r="L4" s="661"/>
      <c r="M4" s="2" t="s">
        <v>22</v>
      </c>
      <c r="N4" s="2" t="s">
        <v>23</v>
      </c>
      <c r="O4" s="2" t="s">
        <v>24</v>
      </c>
      <c r="P4" s="2" t="s">
        <v>22</v>
      </c>
      <c r="Q4" s="2" t="s">
        <v>25</v>
      </c>
      <c r="R4" s="2" t="s">
        <v>26</v>
      </c>
      <c r="S4" s="661"/>
      <c r="T4" s="661"/>
      <c r="U4" s="661"/>
      <c r="V4" s="770"/>
      <c r="W4" s="770"/>
      <c r="X4" s="661"/>
    </row>
    <row r="5" spans="1:24" ht="30" customHeight="1">
      <c r="A5" s="2" t="s">
        <v>1</v>
      </c>
      <c r="B5" s="5">
        <v>33646</v>
      </c>
      <c r="C5" s="5">
        <v>24085</v>
      </c>
      <c r="D5" s="3">
        <f t="shared" ref="D5:D14" si="0">C5/B5</f>
        <v>0.71583546335374193</v>
      </c>
      <c r="E5" s="6">
        <f t="shared" ref="E5:E14" si="1">F5+I5</f>
        <v>3454000</v>
      </c>
      <c r="F5" s="6">
        <f t="shared" ref="F5:F14" si="2">SUM(G5:H5)</f>
        <v>3194000</v>
      </c>
      <c r="G5" s="6">
        <v>3109000</v>
      </c>
      <c r="H5" s="6">
        <v>85000</v>
      </c>
      <c r="I5" s="6">
        <f t="shared" ref="I5:I14" si="3">SUM(J5:K5)</f>
        <v>260000</v>
      </c>
      <c r="J5" s="6">
        <v>0</v>
      </c>
      <c r="K5" s="6">
        <v>260000</v>
      </c>
      <c r="L5" s="6">
        <f t="shared" ref="L5:L14" si="4">M5+P5</f>
        <v>9463</v>
      </c>
      <c r="M5" s="6">
        <f t="shared" ref="M5:M14" si="5">SUM(N5:O5)</f>
        <v>8751</v>
      </c>
      <c r="N5" s="6">
        <f t="shared" ref="N5:N14" si="6">ROUND(G5/365,0)</f>
        <v>8518</v>
      </c>
      <c r="O5" s="6">
        <f t="shared" ref="O5:O14" si="7">ROUND(H5/365,0)</f>
        <v>233</v>
      </c>
      <c r="P5" s="6">
        <f t="shared" ref="P5:P14" si="8">SUM(Q5:R5)</f>
        <v>712</v>
      </c>
      <c r="Q5" s="6">
        <f t="shared" ref="Q5:Q14" si="9">ROUND(J5/365,0)</f>
        <v>0</v>
      </c>
      <c r="R5" s="6">
        <f t="shared" ref="R5:R14" si="10">ROUND(K5/365,0)</f>
        <v>712</v>
      </c>
      <c r="S5" s="3">
        <f t="shared" ref="S5:S14" si="11">N5/L5</f>
        <v>0.9001373771531227</v>
      </c>
      <c r="T5" s="3">
        <f t="shared" ref="T5:T14" si="12">(P5+O5)/L5</f>
        <v>9.9862622846877316E-2</v>
      </c>
      <c r="U5" s="3">
        <f t="shared" ref="U5:U14" si="13">R5/L5</f>
        <v>7.5240410017964707E-2</v>
      </c>
      <c r="V5" s="8">
        <f>ROUND(L5/C5*1000,1)</f>
        <v>392.9</v>
      </c>
      <c r="W5" s="8">
        <f>ROUND(N5/C5*1000,1)</f>
        <v>353.7</v>
      </c>
      <c r="X5" s="2"/>
    </row>
    <row r="6" spans="1:24" ht="30" customHeight="1">
      <c r="A6" s="2" t="s">
        <v>2</v>
      </c>
      <c r="B6" s="5">
        <v>33133</v>
      </c>
      <c r="C6" s="5">
        <v>24447</v>
      </c>
      <c r="D6" s="3">
        <f t="shared" si="0"/>
        <v>0.73784444511514202</v>
      </c>
      <c r="E6" s="6">
        <f t="shared" si="1"/>
        <v>3729000</v>
      </c>
      <c r="F6" s="6">
        <f t="shared" si="2"/>
        <v>3449000</v>
      </c>
      <c r="G6" s="6">
        <v>3354000</v>
      </c>
      <c r="H6" s="6">
        <v>95000</v>
      </c>
      <c r="I6" s="6">
        <f t="shared" si="3"/>
        <v>280000</v>
      </c>
      <c r="J6" s="6">
        <v>0</v>
      </c>
      <c r="K6" s="6">
        <v>280000</v>
      </c>
      <c r="L6" s="6">
        <f t="shared" si="4"/>
        <v>10216</v>
      </c>
      <c r="M6" s="6">
        <f t="shared" si="5"/>
        <v>9449</v>
      </c>
      <c r="N6" s="6">
        <f t="shared" si="6"/>
        <v>9189</v>
      </c>
      <c r="O6" s="6">
        <f t="shared" si="7"/>
        <v>260</v>
      </c>
      <c r="P6" s="6">
        <f t="shared" si="8"/>
        <v>767</v>
      </c>
      <c r="Q6" s="6">
        <f t="shared" si="9"/>
        <v>0</v>
      </c>
      <c r="R6" s="6">
        <f t="shared" si="10"/>
        <v>767</v>
      </c>
      <c r="S6" s="3">
        <f t="shared" si="11"/>
        <v>0.89947141738449488</v>
      </c>
      <c r="T6" s="3">
        <f t="shared" si="12"/>
        <v>0.1005285826155051</v>
      </c>
      <c r="U6" s="3">
        <f t="shared" si="13"/>
        <v>7.5078308535630384E-2</v>
      </c>
      <c r="V6" s="8">
        <f t="shared" ref="V6:V15" si="14">ROUND(L6/C6*1000,1)</f>
        <v>417.9</v>
      </c>
      <c r="W6" s="8">
        <f t="shared" ref="W6:W15" si="15">ROUND(N6/C6*1000,1)</f>
        <v>375.9</v>
      </c>
      <c r="X6" s="2"/>
    </row>
    <row r="7" spans="1:24" ht="30" customHeight="1">
      <c r="A7" s="10" t="s">
        <v>3</v>
      </c>
      <c r="B7" s="6">
        <v>32505</v>
      </c>
      <c r="C7" s="6">
        <v>24447</v>
      </c>
      <c r="D7" s="3">
        <f t="shared" si="0"/>
        <v>0.75209967697277347</v>
      </c>
      <c r="E7" s="6">
        <f t="shared" si="1"/>
        <v>3750373</v>
      </c>
      <c r="F7" s="6">
        <f t="shared" si="2"/>
        <v>3447373</v>
      </c>
      <c r="G7" s="9">
        <v>3354373</v>
      </c>
      <c r="H7" s="6">
        <v>93000</v>
      </c>
      <c r="I7" s="6">
        <f t="shared" si="3"/>
        <v>303000</v>
      </c>
      <c r="J7" s="6">
        <v>0</v>
      </c>
      <c r="K7" s="6">
        <v>303000</v>
      </c>
      <c r="L7" s="6">
        <f t="shared" si="4"/>
        <v>10275</v>
      </c>
      <c r="M7" s="6">
        <f t="shared" si="5"/>
        <v>9445</v>
      </c>
      <c r="N7" s="6">
        <f t="shared" si="6"/>
        <v>9190</v>
      </c>
      <c r="O7" s="6">
        <f t="shared" si="7"/>
        <v>255</v>
      </c>
      <c r="P7" s="6">
        <f t="shared" si="8"/>
        <v>830</v>
      </c>
      <c r="Q7" s="6">
        <f t="shared" si="9"/>
        <v>0</v>
      </c>
      <c r="R7" s="6">
        <f t="shared" si="10"/>
        <v>830</v>
      </c>
      <c r="S7" s="3">
        <f t="shared" si="11"/>
        <v>0.89440389294403888</v>
      </c>
      <c r="T7" s="3">
        <f t="shared" si="12"/>
        <v>0.10559610705596106</v>
      </c>
      <c r="U7" s="3">
        <f t="shared" si="13"/>
        <v>8.0778588807785892E-2</v>
      </c>
      <c r="V7" s="8">
        <f t="shared" si="14"/>
        <v>420.3</v>
      </c>
      <c r="W7" s="8">
        <f t="shared" si="15"/>
        <v>375.9</v>
      </c>
      <c r="X7" s="2"/>
    </row>
    <row r="8" spans="1:24" ht="30" customHeight="1">
      <c r="A8" s="2" t="s">
        <v>4</v>
      </c>
      <c r="B8" s="5">
        <v>32188</v>
      </c>
      <c r="C8" s="5">
        <v>27236</v>
      </c>
      <c r="D8" s="3">
        <f t="shared" si="0"/>
        <v>0.84615384615384615</v>
      </c>
      <c r="E8" s="6">
        <f t="shared" si="1"/>
        <v>6271300</v>
      </c>
      <c r="F8" s="6">
        <f t="shared" si="2"/>
        <v>3780422</v>
      </c>
      <c r="G8" s="6">
        <v>3780422</v>
      </c>
      <c r="H8" s="6">
        <v>0</v>
      </c>
      <c r="I8" s="6">
        <f t="shared" si="3"/>
        <v>2490878</v>
      </c>
      <c r="J8" s="6">
        <v>0</v>
      </c>
      <c r="K8" s="6">
        <v>2490878</v>
      </c>
      <c r="L8" s="6">
        <f t="shared" si="4"/>
        <v>17181</v>
      </c>
      <c r="M8" s="6">
        <f t="shared" si="5"/>
        <v>10357</v>
      </c>
      <c r="N8" s="6">
        <f t="shared" si="6"/>
        <v>10357</v>
      </c>
      <c r="O8" s="6">
        <f t="shared" si="7"/>
        <v>0</v>
      </c>
      <c r="P8" s="6">
        <f t="shared" si="8"/>
        <v>6824</v>
      </c>
      <c r="Q8" s="6">
        <f t="shared" si="9"/>
        <v>0</v>
      </c>
      <c r="R8" s="6">
        <f t="shared" si="10"/>
        <v>6824</v>
      </c>
      <c r="S8" s="3">
        <f t="shared" si="11"/>
        <v>0.60281706536290092</v>
      </c>
      <c r="T8" s="3">
        <f t="shared" si="12"/>
        <v>0.39718293463709914</v>
      </c>
      <c r="U8" s="3">
        <f t="shared" si="13"/>
        <v>0.39718293463709914</v>
      </c>
      <c r="V8" s="8">
        <f t="shared" si="14"/>
        <v>630.79999999999995</v>
      </c>
      <c r="W8" s="8">
        <f t="shared" si="15"/>
        <v>380.3</v>
      </c>
      <c r="X8" s="2"/>
    </row>
    <row r="9" spans="1:24" ht="30" customHeight="1">
      <c r="A9" s="2" t="s">
        <v>5</v>
      </c>
      <c r="B9" s="5">
        <v>32563</v>
      </c>
      <c r="C9" s="5">
        <v>27768</v>
      </c>
      <c r="D9" s="3">
        <f t="shared" si="0"/>
        <v>0.85274698277185768</v>
      </c>
      <c r="E9" s="6">
        <f t="shared" si="1"/>
        <v>7870000</v>
      </c>
      <c r="F9" s="6">
        <f t="shared" si="2"/>
        <v>4205000</v>
      </c>
      <c r="G9" s="6">
        <v>4091000</v>
      </c>
      <c r="H9" s="6">
        <v>114000</v>
      </c>
      <c r="I9" s="6">
        <f t="shared" si="3"/>
        <v>3665000</v>
      </c>
      <c r="J9" s="6">
        <v>0</v>
      </c>
      <c r="K9" s="6">
        <v>3665000</v>
      </c>
      <c r="L9" s="6">
        <f t="shared" si="4"/>
        <v>21561</v>
      </c>
      <c r="M9" s="6">
        <f t="shared" si="5"/>
        <v>11520</v>
      </c>
      <c r="N9" s="6">
        <f t="shared" si="6"/>
        <v>11208</v>
      </c>
      <c r="O9" s="6">
        <f t="shared" si="7"/>
        <v>312</v>
      </c>
      <c r="P9" s="6">
        <f t="shared" si="8"/>
        <v>10041</v>
      </c>
      <c r="Q9" s="6">
        <f t="shared" si="9"/>
        <v>0</v>
      </c>
      <c r="R9" s="6">
        <f t="shared" si="10"/>
        <v>10041</v>
      </c>
      <c r="S9" s="3">
        <f t="shared" si="11"/>
        <v>0.51982746625852239</v>
      </c>
      <c r="T9" s="3">
        <f t="shared" si="12"/>
        <v>0.48017253374147767</v>
      </c>
      <c r="U9" s="3">
        <f t="shared" si="13"/>
        <v>0.46570196187560875</v>
      </c>
      <c r="V9" s="8">
        <f t="shared" si="14"/>
        <v>776.5</v>
      </c>
      <c r="W9" s="8">
        <f t="shared" si="15"/>
        <v>403.6</v>
      </c>
      <c r="X9" s="2"/>
    </row>
    <row r="10" spans="1:24" ht="30" customHeight="1">
      <c r="A10" s="2" t="s">
        <v>6</v>
      </c>
      <c r="B10" s="5">
        <v>32934</v>
      </c>
      <c r="C10" s="5">
        <v>27809</v>
      </c>
      <c r="D10" s="3">
        <f t="shared" si="0"/>
        <v>0.84438574117932841</v>
      </c>
      <c r="E10" s="6">
        <f t="shared" si="1"/>
        <v>7576000</v>
      </c>
      <c r="F10" s="6">
        <f t="shared" si="2"/>
        <v>4273000</v>
      </c>
      <c r="G10" s="6">
        <v>4180000</v>
      </c>
      <c r="H10" s="6">
        <v>93000</v>
      </c>
      <c r="I10" s="6">
        <f t="shared" si="3"/>
        <v>3303000</v>
      </c>
      <c r="J10" s="6">
        <v>0</v>
      </c>
      <c r="K10" s="6">
        <v>3303000</v>
      </c>
      <c r="L10" s="6">
        <f t="shared" si="4"/>
        <v>20756</v>
      </c>
      <c r="M10" s="6">
        <f t="shared" si="5"/>
        <v>11707</v>
      </c>
      <c r="N10" s="6">
        <f t="shared" si="6"/>
        <v>11452</v>
      </c>
      <c r="O10" s="6">
        <f t="shared" si="7"/>
        <v>255</v>
      </c>
      <c r="P10" s="6">
        <f t="shared" si="8"/>
        <v>9049</v>
      </c>
      <c r="Q10" s="6">
        <f t="shared" si="9"/>
        <v>0</v>
      </c>
      <c r="R10" s="6">
        <f t="shared" si="10"/>
        <v>9049</v>
      </c>
      <c r="S10" s="3">
        <f t="shared" si="11"/>
        <v>0.55174407400269798</v>
      </c>
      <c r="T10" s="3">
        <f t="shared" si="12"/>
        <v>0.44825592599730196</v>
      </c>
      <c r="U10" s="3">
        <f t="shared" si="13"/>
        <v>0.43597032183465023</v>
      </c>
      <c r="V10" s="8">
        <f t="shared" si="14"/>
        <v>746.4</v>
      </c>
      <c r="W10" s="8">
        <f t="shared" si="15"/>
        <v>411.8</v>
      </c>
      <c r="X10" s="4" t="s">
        <v>48</v>
      </c>
    </row>
    <row r="11" spans="1:24" ht="30" customHeight="1">
      <c r="A11" s="2" t="s">
        <v>7</v>
      </c>
      <c r="B11" s="5">
        <v>32619</v>
      </c>
      <c r="C11" s="5">
        <v>21688</v>
      </c>
      <c r="D11" s="3">
        <f t="shared" si="0"/>
        <v>0.66488856188111223</v>
      </c>
      <c r="E11" s="6">
        <f t="shared" si="1"/>
        <v>6903268</v>
      </c>
      <c r="F11" s="6">
        <f t="shared" si="2"/>
        <v>4742731</v>
      </c>
      <c r="G11" s="6">
        <v>4269568</v>
      </c>
      <c r="H11" s="6">
        <v>473163</v>
      </c>
      <c r="I11" s="6">
        <f t="shared" si="3"/>
        <v>2160537</v>
      </c>
      <c r="J11" s="6">
        <v>17955</v>
      </c>
      <c r="K11" s="6">
        <v>2142582</v>
      </c>
      <c r="L11" s="6">
        <f t="shared" si="4"/>
        <v>18912</v>
      </c>
      <c r="M11" s="6">
        <f t="shared" si="5"/>
        <v>12993</v>
      </c>
      <c r="N11" s="6">
        <f t="shared" si="6"/>
        <v>11697</v>
      </c>
      <c r="O11" s="6">
        <f t="shared" si="7"/>
        <v>1296</v>
      </c>
      <c r="P11" s="6">
        <f t="shared" si="8"/>
        <v>5919</v>
      </c>
      <c r="Q11" s="6">
        <f t="shared" si="9"/>
        <v>49</v>
      </c>
      <c r="R11" s="6">
        <f t="shared" si="10"/>
        <v>5870</v>
      </c>
      <c r="S11" s="3">
        <f t="shared" si="11"/>
        <v>0.61849619289340096</v>
      </c>
      <c r="T11" s="3">
        <f t="shared" si="12"/>
        <v>0.38150380710659898</v>
      </c>
      <c r="U11" s="3">
        <f t="shared" si="13"/>
        <v>0.31038494077834178</v>
      </c>
      <c r="V11" s="8">
        <f t="shared" si="14"/>
        <v>872</v>
      </c>
      <c r="W11" s="8">
        <f t="shared" si="15"/>
        <v>539.29999999999995</v>
      </c>
      <c r="X11" s="2"/>
    </row>
    <row r="12" spans="1:24" ht="30" customHeight="1">
      <c r="A12" s="2" t="s">
        <v>8</v>
      </c>
      <c r="B12" s="5">
        <v>32317</v>
      </c>
      <c r="C12" s="5">
        <v>20568</v>
      </c>
      <c r="D12" s="3">
        <f t="shared" si="0"/>
        <v>0.63644521459293868</v>
      </c>
      <c r="E12" s="6">
        <f t="shared" si="1"/>
        <v>6818403</v>
      </c>
      <c r="F12" s="6">
        <f t="shared" si="2"/>
        <v>5034931</v>
      </c>
      <c r="G12" s="6">
        <v>4384688</v>
      </c>
      <c r="H12" s="6">
        <v>650243</v>
      </c>
      <c r="I12" s="6">
        <f t="shared" si="3"/>
        <v>1783472</v>
      </c>
      <c r="J12" s="6">
        <v>19387</v>
      </c>
      <c r="K12" s="6">
        <v>1764085</v>
      </c>
      <c r="L12" s="6">
        <f t="shared" si="4"/>
        <v>18680</v>
      </c>
      <c r="M12" s="6">
        <f t="shared" si="5"/>
        <v>13794</v>
      </c>
      <c r="N12" s="6">
        <f t="shared" si="6"/>
        <v>12013</v>
      </c>
      <c r="O12" s="6">
        <f t="shared" si="7"/>
        <v>1781</v>
      </c>
      <c r="P12" s="6">
        <f t="shared" si="8"/>
        <v>4886</v>
      </c>
      <c r="Q12" s="6">
        <f t="shared" si="9"/>
        <v>53</v>
      </c>
      <c r="R12" s="6">
        <f t="shared" si="10"/>
        <v>4833</v>
      </c>
      <c r="S12" s="3">
        <f t="shared" si="11"/>
        <v>0.64309421841541758</v>
      </c>
      <c r="T12" s="3">
        <f t="shared" si="12"/>
        <v>0.35690578158458242</v>
      </c>
      <c r="U12" s="3">
        <f t="shared" si="13"/>
        <v>0.25872591006423984</v>
      </c>
      <c r="V12" s="8">
        <f t="shared" si="14"/>
        <v>908.2</v>
      </c>
      <c r="W12" s="8">
        <f t="shared" si="15"/>
        <v>584.1</v>
      </c>
      <c r="X12" s="2"/>
    </row>
    <row r="13" spans="1:24" ht="30" customHeight="1">
      <c r="A13" s="2" t="s">
        <v>9</v>
      </c>
      <c r="B13" s="5">
        <v>31911</v>
      </c>
      <c r="C13" s="5">
        <v>25385</v>
      </c>
      <c r="D13" s="3">
        <f t="shared" si="0"/>
        <v>0.79549371690012849</v>
      </c>
      <c r="E13" s="6">
        <f t="shared" si="1"/>
        <v>7245369</v>
      </c>
      <c r="F13" s="6">
        <f t="shared" si="2"/>
        <v>4874131</v>
      </c>
      <c r="G13" s="6">
        <v>4313065</v>
      </c>
      <c r="H13" s="6">
        <v>561066</v>
      </c>
      <c r="I13" s="6">
        <f t="shared" si="3"/>
        <v>2371238</v>
      </c>
      <c r="J13" s="6">
        <v>23147</v>
      </c>
      <c r="K13" s="6">
        <v>2348091</v>
      </c>
      <c r="L13" s="6">
        <f t="shared" si="4"/>
        <v>19850</v>
      </c>
      <c r="M13" s="6">
        <f t="shared" si="5"/>
        <v>13354</v>
      </c>
      <c r="N13" s="6">
        <f t="shared" si="6"/>
        <v>11817</v>
      </c>
      <c r="O13" s="6">
        <f t="shared" si="7"/>
        <v>1537</v>
      </c>
      <c r="P13" s="6">
        <f t="shared" si="8"/>
        <v>6496</v>
      </c>
      <c r="Q13" s="6">
        <f t="shared" si="9"/>
        <v>63</v>
      </c>
      <c r="R13" s="6">
        <f t="shared" si="10"/>
        <v>6433</v>
      </c>
      <c r="S13" s="3">
        <f t="shared" si="11"/>
        <v>0.59531486146095713</v>
      </c>
      <c r="T13" s="3">
        <f t="shared" si="12"/>
        <v>0.40468513853904281</v>
      </c>
      <c r="U13" s="3">
        <f t="shared" si="13"/>
        <v>0.32408060453400506</v>
      </c>
      <c r="V13" s="8">
        <f t="shared" si="14"/>
        <v>782</v>
      </c>
      <c r="W13" s="8">
        <f t="shared" si="15"/>
        <v>465.5</v>
      </c>
      <c r="X13" s="2"/>
    </row>
    <row r="14" spans="1:24" ht="30" customHeight="1">
      <c r="A14" s="2" t="s">
        <v>10</v>
      </c>
      <c r="B14" s="5">
        <v>31705</v>
      </c>
      <c r="C14" s="5">
        <v>22143</v>
      </c>
      <c r="D14" s="3">
        <f t="shared" si="0"/>
        <v>0.69840719129474849</v>
      </c>
      <c r="E14" s="6">
        <f t="shared" si="1"/>
        <v>6897172</v>
      </c>
      <c r="F14" s="6">
        <f t="shared" si="2"/>
        <v>4934966</v>
      </c>
      <c r="G14" s="6">
        <v>4349158</v>
      </c>
      <c r="H14" s="6">
        <v>585808</v>
      </c>
      <c r="I14" s="6">
        <f t="shared" si="3"/>
        <v>1962206</v>
      </c>
      <c r="J14" s="6">
        <v>9900</v>
      </c>
      <c r="K14" s="6">
        <v>1952306</v>
      </c>
      <c r="L14" s="6">
        <f t="shared" si="4"/>
        <v>18897</v>
      </c>
      <c r="M14" s="6">
        <f t="shared" si="5"/>
        <v>13521</v>
      </c>
      <c r="N14" s="6">
        <f t="shared" si="6"/>
        <v>11916</v>
      </c>
      <c r="O14" s="6">
        <f t="shared" si="7"/>
        <v>1605</v>
      </c>
      <c r="P14" s="6">
        <f t="shared" si="8"/>
        <v>5376</v>
      </c>
      <c r="Q14" s="6">
        <f t="shared" si="9"/>
        <v>27</v>
      </c>
      <c r="R14" s="6">
        <f t="shared" si="10"/>
        <v>5349</v>
      </c>
      <c r="S14" s="3">
        <f t="shared" si="11"/>
        <v>0.63057628194951576</v>
      </c>
      <c r="T14" s="3">
        <f t="shared" si="12"/>
        <v>0.36942371805048418</v>
      </c>
      <c r="U14" s="3">
        <f t="shared" si="13"/>
        <v>0.28306080330211142</v>
      </c>
      <c r="V14" s="8">
        <f t="shared" si="14"/>
        <v>853.4</v>
      </c>
      <c r="W14" s="8">
        <f t="shared" si="15"/>
        <v>538.1</v>
      </c>
      <c r="X14" s="2"/>
    </row>
    <row r="15" spans="1:24" ht="30" customHeight="1">
      <c r="A15" s="2" t="s">
        <v>11</v>
      </c>
      <c r="B15" s="5">
        <v>32175</v>
      </c>
      <c r="C15" s="5">
        <v>22810</v>
      </c>
      <c r="D15" s="3">
        <f>C15/B15</f>
        <v>0.70893550893550894</v>
      </c>
      <c r="E15" s="6">
        <f>F15+I15</f>
        <v>7393958</v>
      </c>
      <c r="F15" s="6">
        <f>SUM(G15:H15)</f>
        <v>5344647</v>
      </c>
      <c r="G15" s="6">
        <v>4678990</v>
      </c>
      <c r="H15" s="6">
        <v>665657</v>
      </c>
      <c r="I15" s="6">
        <f>SUM(J15:K15)</f>
        <v>2049311</v>
      </c>
      <c r="J15" s="6">
        <v>27134</v>
      </c>
      <c r="K15" s="6">
        <v>2022177</v>
      </c>
      <c r="L15" s="6">
        <f>M15+P15</f>
        <v>20257</v>
      </c>
      <c r="M15" s="6">
        <f>SUM(N15:O15)</f>
        <v>14643</v>
      </c>
      <c r="N15" s="6">
        <f>ROUND(G15/365,0)</f>
        <v>12819</v>
      </c>
      <c r="O15" s="6">
        <f>ROUND(H15/365,0)</f>
        <v>1824</v>
      </c>
      <c r="P15" s="6">
        <f>SUM(Q15:R15)</f>
        <v>5614</v>
      </c>
      <c r="Q15" s="6">
        <f>ROUND(J15/365,0)</f>
        <v>74</v>
      </c>
      <c r="R15" s="6">
        <f>ROUND(K15/365,0)</f>
        <v>5540</v>
      </c>
      <c r="S15" s="3">
        <f>N15/L15</f>
        <v>0.63281828503727111</v>
      </c>
      <c r="T15" s="3">
        <f>(P15+O15)/L15</f>
        <v>0.36718171496272894</v>
      </c>
      <c r="U15" s="3">
        <f>R15/L15</f>
        <v>0.27348570864392557</v>
      </c>
      <c r="V15" s="8">
        <f t="shared" si="14"/>
        <v>888.1</v>
      </c>
      <c r="W15" s="8">
        <f t="shared" si="15"/>
        <v>562</v>
      </c>
      <c r="X15" s="2"/>
    </row>
    <row r="16" spans="1:24" ht="30" customHeight="1"/>
    <row r="17" spans="1:21" ht="30" customHeight="1">
      <c r="A17" s="661" t="s">
        <v>34</v>
      </c>
      <c r="B17" s="661" t="s">
        <v>32</v>
      </c>
      <c r="C17" s="661"/>
      <c r="D17" s="661"/>
      <c r="E17" s="661"/>
      <c r="F17" s="661"/>
      <c r="G17" s="661"/>
      <c r="H17" s="661"/>
      <c r="I17" s="661"/>
      <c r="J17" s="661" t="s">
        <v>42</v>
      </c>
      <c r="K17" s="661"/>
      <c r="L17" s="661"/>
      <c r="M17" s="661"/>
      <c r="N17" s="661"/>
      <c r="O17" s="661"/>
      <c r="P17" s="661"/>
      <c r="Q17" s="661"/>
      <c r="R17" s="770" t="s">
        <v>44</v>
      </c>
      <c r="S17" s="770"/>
      <c r="T17" s="770"/>
      <c r="U17" s="661" t="s">
        <v>43</v>
      </c>
    </row>
    <row r="18" spans="1:21" ht="30" customHeight="1">
      <c r="A18" s="661"/>
      <c r="B18" s="2" t="s">
        <v>33</v>
      </c>
      <c r="C18" s="2" t="s">
        <v>35</v>
      </c>
      <c r="D18" s="2" t="s">
        <v>36</v>
      </c>
      <c r="E18" s="4" t="s">
        <v>37</v>
      </c>
      <c r="F18" s="4" t="s">
        <v>38</v>
      </c>
      <c r="G18" s="2" t="s">
        <v>39</v>
      </c>
      <c r="H18" s="2" t="s">
        <v>40</v>
      </c>
      <c r="I18" s="2" t="s">
        <v>41</v>
      </c>
      <c r="J18" s="2" t="s">
        <v>33</v>
      </c>
      <c r="K18" s="2" t="s">
        <v>35</v>
      </c>
      <c r="L18" s="2" t="s">
        <v>36</v>
      </c>
      <c r="M18" s="4" t="s">
        <v>37</v>
      </c>
      <c r="N18" s="4" t="s">
        <v>38</v>
      </c>
      <c r="O18" s="2" t="s">
        <v>39</v>
      </c>
      <c r="P18" s="2" t="s">
        <v>40</v>
      </c>
      <c r="Q18" s="2" t="s">
        <v>41</v>
      </c>
      <c r="R18" s="2" t="s">
        <v>33</v>
      </c>
      <c r="S18" s="2" t="s">
        <v>35</v>
      </c>
      <c r="T18" s="2" t="s">
        <v>45</v>
      </c>
      <c r="U18" s="661"/>
    </row>
    <row r="19" spans="1:21" ht="30" customHeight="1">
      <c r="A19" s="10" t="s">
        <v>1</v>
      </c>
      <c r="B19" s="6">
        <f t="shared" ref="B19:B28" si="16">SUM(C19:I19)</f>
        <v>3109000</v>
      </c>
      <c r="C19" s="6">
        <v>1125000</v>
      </c>
      <c r="D19" s="6">
        <v>1554000</v>
      </c>
      <c r="E19" s="6">
        <v>414000</v>
      </c>
      <c r="F19" s="6">
        <v>16000</v>
      </c>
      <c r="G19" s="6"/>
      <c r="H19" s="6"/>
      <c r="I19" s="6"/>
      <c r="J19" s="6">
        <f>SUM(K19:Q19)</f>
        <v>8518</v>
      </c>
      <c r="K19" s="6">
        <f>ROUND(C19/365,0)</f>
        <v>3082</v>
      </c>
      <c r="L19" s="6">
        <f t="shared" ref="L19:Q19" si="17">ROUND(D19/365,0)</f>
        <v>4258</v>
      </c>
      <c r="M19" s="6">
        <f t="shared" si="17"/>
        <v>1134</v>
      </c>
      <c r="N19" s="6">
        <f t="shared" si="17"/>
        <v>44</v>
      </c>
      <c r="O19" s="6">
        <f t="shared" si="17"/>
        <v>0</v>
      </c>
      <c r="P19" s="6">
        <f t="shared" si="17"/>
        <v>0</v>
      </c>
      <c r="Q19" s="6">
        <f t="shared" si="17"/>
        <v>0</v>
      </c>
      <c r="R19" s="8">
        <f>SUM(S19:T19)</f>
        <v>353.7</v>
      </c>
      <c r="S19" s="8">
        <f>ROUND((K19/C5)*1000,1)</f>
        <v>128</v>
      </c>
      <c r="T19" s="8">
        <f>ROUND(((L19+M19+N19+O19+P19+Q19)/C5)*1000,1)</f>
        <v>225.7</v>
      </c>
      <c r="U19" s="10"/>
    </row>
    <row r="20" spans="1:21" ht="30" customHeight="1">
      <c r="A20" s="10" t="s">
        <v>2</v>
      </c>
      <c r="B20" s="6">
        <f t="shared" si="16"/>
        <v>3354000</v>
      </c>
      <c r="C20" s="6">
        <v>1171000</v>
      </c>
      <c r="D20" s="6">
        <v>1739000</v>
      </c>
      <c r="E20" s="6">
        <v>422000</v>
      </c>
      <c r="F20" s="6">
        <v>22000</v>
      </c>
      <c r="G20" s="6"/>
      <c r="H20" s="6"/>
      <c r="I20" s="6"/>
      <c r="J20" s="6">
        <f t="shared" ref="J20:J29" si="18">SUM(K20:Q20)</f>
        <v>9188</v>
      </c>
      <c r="K20" s="6">
        <f t="shared" ref="K20:K29" si="19">ROUND(C20/365,0)</f>
        <v>3208</v>
      </c>
      <c r="L20" s="6">
        <f t="shared" ref="L20:L29" si="20">ROUND(D20/365,0)</f>
        <v>4764</v>
      </c>
      <c r="M20" s="6">
        <f t="shared" ref="M20:M29" si="21">ROUND(E20/365,0)</f>
        <v>1156</v>
      </c>
      <c r="N20" s="6">
        <f t="shared" ref="N20:N29" si="22">ROUND(F20/365,0)</f>
        <v>60</v>
      </c>
      <c r="O20" s="6">
        <f t="shared" ref="O20:O29" si="23">ROUND(G20/365,0)</f>
        <v>0</v>
      </c>
      <c r="P20" s="6">
        <f t="shared" ref="P20:P29" si="24">ROUND(H20/365,0)</f>
        <v>0</v>
      </c>
      <c r="Q20" s="6">
        <f t="shared" ref="Q20:Q29" si="25">ROUND(I20/365,0)</f>
        <v>0</v>
      </c>
      <c r="R20" s="8">
        <f t="shared" ref="R20:R29" si="26">SUM(S20:T20)</f>
        <v>375.79999999999995</v>
      </c>
      <c r="S20" s="8">
        <f t="shared" ref="S20:S29" si="27">ROUND((K20/C6)*1000,1)</f>
        <v>131.19999999999999</v>
      </c>
      <c r="T20" s="8">
        <f t="shared" ref="T20:T29" si="28">ROUND(((L20+M20+N20+O20+P20+Q20)/C6)*1000,1)</f>
        <v>244.6</v>
      </c>
      <c r="U20" s="10"/>
    </row>
    <row r="21" spans="1:21" ht="30" customHeight="1">
      <c r="A21" s="10" t="s">
        <v>3</v>
      </c>
      <c r="B21" s="9">
        <f t="shared" si="16"/>
        <v>3354373</v>
      </c>
      <c r="C21" s="6">
        <v>1164000</v>
      </c>
      <c r="D21" s="6">
        <v>1756184</v>
      </c>
      <c r="E21" s="6">
        <v>412534</v>
      </c>
      <c r="F21" s="6">
        <v>21655</v>
      </c>
      <c r="G21" s="6"/>
      <c r="H21" s="6"/>
      <c r="I21" s="6"/>
      <c r="J21" s="6">
        <f t="shared" si="18"/>
        <v>9189</v>
      </c>
      <c r="K21" s="6">
        <f t="shared" si="19"/>
        <v>3189</v>
      </c>
      <c r="L21" s="6">
        <f t="shared" si="20"/>
        <v>4811</v>
      </c>
      <c r="M21" s="6">
        <f t="shared" si="21"/>
        <v>1130</v>
      </c>
      <c r="N21" s="6">
        <f t="shared" si="22"/>
        <v>59</v>
      </c>
      <c r="O21" s="6">
        <f t="shared" si="23"/>
        <v>0</v>
      </c>
      <c r="P21" s="6">
        <f t="shared" si="24"/>
        <v>0</v>
      </c>
      <c r="Q21" s="6">
        <f t="shared" si="25"/>
        <v>0</v>
      </c>
      <c r="R21" s="8">
        <f t="shared" si="26"/>
        <v>375.8</v>
      </c>
      <c r="S21" s="8">
        <f t="shared" si="27"/>
        <v>130.4</v>
      </c>
      <c r="T21" s="8">
        <f t="shared" si="28"/>
        <v>245.4</v>
      </c>
      <c r="U21" s="10"/>
    </row>
    <row r="22" spans="1:21" ht="30" customHeight="1">
      <c r="A22" s="10" t="s">
        <v>4</v>
      </c>
      <c r="B22" s="6">
        <f t="shared" si="16"/>
        <v>3780422</v>
      </c>
      <c r="C22" s="6">
        <v>1191190</v>
      </c>
      <c r="D22" s="6">
        <v>2136512</v>
      </c>
      <c r="E22" s="6">
        <v>433612</v>
      </c>
      <c r="F22" s="6">
        <v>19108</v>
      </c>
      <c r="G22" s="6"/>
      <c r="H22" s="6"/>
      <c r="I22" s="6"/>
      <c r="J22" s="6">
        <f t="shared" si="18"/>
        <v>10357</v>
      </c>
      <c r="K22" s="6">
        <f t="shared" si="19"/>
        <v>3264</v>
      </c>
      <c r="L22" s="6">
        <f t="shared" si="20"/>
        <v>5853</v>
      </c>
      <c r="M22" s="6">
        <f t="shared" si="21"/>
        <v>1188</v>
      </c>
      <c r="N22" s="6">
        <f t="shared" si="22"/>
        <v>52</v>
      </c>
      <c r="O22" s="6">
        <f t="shared" si="23"/>
        <v>0</v>
      </c>
      <c r="P22" s="6">
        <f t="shared" si="24"/>
        <v>0</v>
      </c>
      <c r="Q22" s="6">
        <f t="shared" si="25"/>
        <v>0</v>
      </c>
      <c r="R22" s="8">
        <f t="shared" si="26"/>
        <v>380.2</v>
      </c>
      <c r="S22" s="8">
        <f t="shared" si="27"/>
        <v>119.8</v>
      </c>
      <c r="T22" s="8">
        <f t="shared" si="28"/>
        <v>260.39999999999998</v>
      </c>
      <c r="U22" s="10"/>
    </row>
    <row r="23" spans="1:21" ht="30" customHeight="1">
      <c r="A23" s="10" t="s">
        <v>5</v>
      </c>
      <c r="B23" s="6">
        <f t="shared" si="16"/>
        <v>4091000</v>
      </c>
      <c r="C23" s="6">
        <v>1252000</v>
      </c>
      <c r="D23" s="6">
        <v>2375000</v>
      </c>
      <c r="E23" s="6">
        <v>434000</v>
      </c>
      <c r="F23" s="6">
        <v>30000</v>
      </c>
      <c r="G23" s="6"/>
      <c r="H23" s="6"/>
      <c r="I23" s="6"/>
      <c r="J23" s="6">
        <f t="shared" si="18"/>
        <v>11208</v>
      </c>
      <c r="K23" s="6">
        <f t="shared" si="19"/>
        <v>3430</v>
      </c>
      <c r="L23" s="6">
        <f t="shared" si="20"/>
        <v>6507</v>
      </c>
      <c r="M23" s="6">
        <f t="shared" si="21"/>
        <v>1189</v>
      </c>
      <c r="N23" s="6">
        <f t="shared" si="22"/>
        <v>82</v>
      </c>
      <c r="O23" s="6">
        <f t="shared" si="23"/>
        <v>0</v>
      </c>
      <c r="P23" s="6">
        <f t="shared" si="24"/>
        <v>0</v>
      </c>
      <c r="Q23" s="6">
        <f t="shared" si="25"/>
        <v>0</v>
      </c>
      <c r="R23" s="8">
        <f t="shared" si="26"/>
        <v>403.6</v>
      </c>
      <c r="S23" s="8">
        <f t="shared" si="27"/>
        <v>123.5</v>
      </c>
      <c r="T23" s="8">
        <f t="shared" si="28"/>
        <v>280.10000000000002</v>
      </c>
      <c r="U23" s="10"/>
    </row>
    <row r="24" spans="1:21" ht="30" customHeight="1">
      <c r="A24" s="10" t="s">
        <v>6</v>
      </c>
      <c r="B24" s="6">
        <f t="shared" si="16"/>
        <v>4180000</v>
      </c>
      <c r="C24" s="6">
        <v>1302000</v>
      </c>
      <c r="D24" s="6">
        <v>2832000</v>
      </c>
      <c r="E24" s="6">
        <v>35000</v>
      </c>
      <c r="F24" s="6">
        <v>3000</v>
      </c>
      <c r="G24" s="6"/>
      <c r="H24" s="6"/>
      <c r="I24" s="6">
        <v>8000</v>
      </c>
      <c r="J24" s="6">
        <f t="shared" si="18"/>
        <v>11452</v>
      </c>
      <c r="K24" s="6">
        <f t="shared" si="19"/>
        <v>3567</v>
      </c>
      <c r="L24" s="6">
        <f t="shared" si="20"/>
        <v>7759</v>
      </c>
      <c r="M24" s="6">
        <f t="shared" si="21"/>
        <v>96</v>
      </c>
      <c r="N24" s="6">
        <f t="shared" si="22"/>
        <v>8</v>
      </c>
      <c r="O24" s="6">
        <f t="shared" si="23"/>
        <v>0</v>
      </c>
      <c r="P24" s="6">
        <f t="shared" si="24"/>
        <v>0</v>
      </c>
      <c r="Q24" s="6">
        <f t="shared" si="25"/>
        <v>22</v>
      </c>
      <c r="R24" s="8">
        <f t="shared" si="26"/>
        <v>411.8</v>
      </c>
      <c r="S24" s="8">
        <f t="shared" si="27"/>
        <v>128.30000000000001</v>
      </c>
      <c r="T24" s="8">
        <f t="shared" si="28"/>
        <v>283.5</v>
      </c>
      <c r="U24" s="10"/>
    </row>
    <row r="25" spans="1:21" ht="30" customHeight="1">
      <c r="A25" s="10" t="s">
        <v>7</v>
      </c>
      <c r="B25" s="6">
        <f t="shared" si="16"/>
        <v>4269568</v>
      </c>
      <c r="C25" s="6">
        <v>1280876</v>
      </c>
      <c r="D25" s="6">
        <v>2971380</v>
      </c>
      <c r="E25" s="6"/>
      <c r="F25" s="6"/>
      <c r="G25" s="6"/>
      <c r="H25" s="6">
        <v>17312</v>
      </c>
      <c r="I25" s="6"/>
      <c r="J25" s="6">
        <f t="shared" si="18"/>
        <v>11697</v>
      </c>
      <c r="K25" s="6">
        <f t="shared" si="19"/>
        <v>3509</v>
      </c>
      <c r="L25" s="6">
        <f t="shared" si="20"/>
        <v>8141</v>
      </c>
      <c r="M25" s="6">
        <f t="shared" si="21"/>
        <v>0</v>
      </c>
      <c r="N25" s="6">
        <f t="shared" si="22"/>
        <v>0</v>
      </c>
      <c r="O25" s="6">
        <f t="shared" si="23"/>
        <v>0</v>
      </c>
      <c r="P25" s="6">
        <f t="shared" si="24"/>
        <v>47</v>
      </c>
      <c r="Q25" s="6">
        <f t="shared" si="25"/>
        <v>0</v>
      </c>
      <c r="R25" s="8">
        <f t="shared" si="26"/>
        <v>539.29999999999995</v>
      </c>
      <c r="S25" s="8">
        <f t="shared" si="27"/>
        <v>161.80000000000001</v>
      </c>
      <c r="T25" s="8">
        <f t="shared" si="28"/>
        <v>377.5</v>
      </c>
      <c r="U25" s="10"/>
    </row>
    <row r="26" spans="1:21" ht="30" customHeight="1">
      <c r="A26" s="10" t="s">
        <v>8</v>
      </c>
      <c r="B26" s="6">
        <f t="shared" si="16"/>
        <v>4384688</v>
      </c>
      <c r="C26" s="6">
        <v>1283400</v>
      </c>
      <c r="D26" s="6">
        <v>3084834</v>
      </c>
      <c r="E26" s="6"/>
      <c r="F26" s="6"/>
      <c r="G26" s="6"/>
      <c r="H26" s="6">
        <v>16454</v>
      </c>
      <c r="I26" s="6"/>
      <c r="J26" s="6">
        <f t="shared" si="18"/>
        <v>12013</v>
      </c>
      <c r="K26" s="6">
        <f t="shared" si="19"/>
        <v>3516</v>
      </c>
      <c r="L26" s="6">
        <f t="shared" si="20"/>
        <v>8452</v>
      </c>
      <c r="M26" s="6">
        <f t="shared" si="21"/>
        <v>0</v>
      </c>
      <c r="N26" s="6">
        <f t="shared" si="22"/>
        <v>0</v>
      </c>
      <c r="O26" s="6">
        <f t="shared" si="23"/>
        <v>0</v>
      </c>
      <c r="P26" s="6">
        <f t="shared" si="24"/>
        <v>45</v>
      </c>
      <c r="Q26" s="6">
        <f t="shared" si="25"/>
        <v>0</v>
      </c>
      <c r="R26" s="8">
        <f t="shared" si="26"/>
        <v>584</v>
      </c>
      <c r="S26" s="8">
        <f t="shared" si="27"/>
        <v>170.9</v>
      </c>
      <c r="T26" s="8">
        <f t="shared" si="28"/>
        <v>413.1</v>
      </c>
      <c r="U26" s="10"/>
    </row>
    <row r="27" spans="1:21" ht="30" customHeight="1">
      <c r="A27" s="10" t="s">
        <v>9</v>
      </c>
      <c r="B27" s="6">
        <f t="shared" si="16"/>
        <v>4313065</v>
      </c>
      <c r="C27" s="6">
        <v>1316810</v>
      </c>
      <c r="D27" s="6">
        <v>2978206</v>
      </c>
      <c r="E27" s="6"/>
      <c r="F27" s="6"/>
      <c r="G27" s="6"/>
      <c r="H27" s="6">
        <v>18049</v>
      </c>
      <c r="I27" s="6"/>
      <c r="J27" s="6">
        <f t="shared" si="18"/>
        <v>11816</v>
      </c>
      <c r="K27" s="6">
        <f t="shared" si="19"/>
        <v>3608</v>
      </c>
      <c r="L27" s="6">
        <f t="shared" si="20"/>
        <v>8159</v>
      </c>
      <c r="M27" s="6">
        <f t="shared" si="21"/>
        <v>0</v>
      </c>
      <c r="N27" s="6">
        <f t="shared" si="22"/>
        <v>0</v>
      </c>
      <c r="O27" s="6">
        <f t="shared" si="23"/>
        <v>0</v>
      </c>
      <c r="P27" s="6">
        <f t="shared" si="24"/>
        <v>49</v>
      </c>
      <c r="Q27" s="6">
        <f t="shared" si="25"/>
        <v>0</v>
      </c>
      <c r="R27" s="8">
        <f t="shared" si="26"/>
        <v>465.4</v>
      </c>
      <c r="S27" s="8">
        <f t="shared" si="27"/>
        <v>142.1</v>
      </c>
      <c r="T27" s="8">
        <f t="shared" si="28"/>
        <v>323.3</v>
      </c>
      <c r="U27" s="10"/>
    </row>
    <row r="28" spans="1:21" ht="30" customHeight="1">
      <c r="A28" s="10" t="s">
        <v>10</v>
      </c>
      <c r="B28" s="6">
        <f t="shared" si="16"/>
        <v>4349158</v>
      </c>
      <c r="C28" s="6">
        <v>1379315</v>
      </c>
      <c r="D28" s="6"/>
      <c r="E28" s="6">
        <v>2915572</v>
      </c>
      <c r="F28" s="6"/>
      <c r="G28" s="6"/>
      <c r="H28" s="6">
        <v>23068</v>
      </c>
      <c r="I28" s="6">
        <v>31203</v>
      </c>
      <c r="J28" s="6">
        <f t="shared" si="18"/>
        <v>11915</v>
      </c>
      <c r="K28" s="6">
        <f t="shared" si="19"/>
        <v>3779</v>
      </c>
      <c r="L28" s="6">
        <f t="shared" si="20"/>
        <v>0</v>
      </c>
      <c r="M28" s="6">
        <f t="shared" si="21"/>
        <v>7988</v>
      </c>
      <c r="N28" s="6">
        <f t="shared" si="22"/>
        <v>0</v>
      </c>
      <c r="O28" s="6">
        <f t="shared" si="23"/>
        <v>0</v>
      </c>
      <c r="P28" s="6">
        <f t="shared" si="24"/>
        <v>63</v>
      </c>
      <c r="Q28" s="6">
        <f t="shared" si="25"/>
        <v>85</v>
      </c>
      <c r="R28" s="8">
        <f t="shared" si="26"/>
        <v>538.09999999999991</v>
      </c>
      <c r="S28" s="8">
        <f t="shared" si="27"/>
        <v>170.7</v>
      </c>
      <c r="T28" s="8">
        <f t="shared" si="28"/>
        <v>367.4</v>
      </c>
      <c r="U28" s="10"/>
    </row>
    <row r="29" spans="1:21" ht="30" customHeight="1">
      <c r="A29" s="10" t="s">
        <v>11</v>
      </c>
      <c r="B29" s="6">
        <f>SUM(C29:I29)</f>
        <v>4678990</v>
      </c>
      <c r="C29" s="6">
        <v>1436050</v>
      </c>
      <c r="D29" s="6"/>
      <c r="E29" s="6">
        <v>3125173</v>
      </c>
      <c r="F29" s="6"/>
      <c r="G29" s="6"/>
      <c r="H29" s="6"/>
      <c r="I29" s="6">
        <v>117767</v>
      </c>
      <c r="J29" s="6">
        <f t="shared" si="18"/>
        <v>12819</v>
      </c>
      <c r="K29" s="6">
        <f t="shared" si="19"/>
        <v>3934</v>
      </c>
      <c r="L29" s="6">
        <f t="shared" si="20"/>
        <v>0</v>
      </c>
      <c r="M29" s="6">
        <f t="shared" si="21"/>
        <v>8562</v>
      </c>
      <c r="N29" s="6">
        <f t="shared" si="22"/>
        <v>0</v>
      </c>
      <c r="O29" s="6">
        <f t="shared" si="23"/>
        <v>0</v>
      </c>
      <c r="P29" s="6">
        <f t="shared" si="24"/>
        <v>0</v>
      </c>
      <c r="Q29" s="6">
        <f t="shared" si="25"/>
        <v>323</v>
      </c>
      <c r="R29" s="8">
        <f t="shared" si="26"/>
        <v>562</v>
      </c>
      <c r="S29" s="8">
        <f t="shared" si="27"/>
        <v>172.5</v>
      </c>
      <c r="T29" s="8">
        <f t="shared" si="28"/>
        <v>389.5</v>
      </c>
      <c r="U29" s="10"/>
    </row>
    <row r="30" spans="1:21" ht="30" customHeight="1"/>
    <row r="31" spans="1:21" ht="30" customHeight="1">
      <c r="B31" s="661" t="s">
        <v>55</v>
      </c>
      <c r="C31" s="661" t="s">
        <v>50</v>
      </c>
      <c r="D31" s="661" t="s">
        <v>53</v>
      </c>
      <c r="E31" s="661"/>
      <c r="F31" s="661"/>
      <c r="G31" s="661"/>
      <c r="H31" s="661" t="s">
        <v>42</v>
      </c>
      <c r="I31" s="661"/>
      <c r="J31" s="661"/>
      <c r="K31" s="661"/>
      <c r="L31" s="770" t="s">
        <v>54</v>
      </c>
      <c r="M31" s="770"/>
      <c r="N31" s="770"/>
    </row>
    <row r="32" spans="1:21" ht="30" customHeight="1">
      <c r="B32" s="661"/>
      <c r="C32" s="661"/>
      <c r="D32" s="661" t="s">
        <v>46</v>
      </c>
      <c r="E32" s="661" t="s">
        <v>56</v>
      </c>
      <c r="F32" s="661"/>
      <c r="G32" s="661"/>
      <c r="H32" s="661" t="s">
        <v>46</v>
      </c>
      <c r="I32" s="661" t="s">
        <v>56</v>
      </c>
      <c r="J32" s="661"/>
      <c r="K32" s="661"/>
      <c r="L32" s="661" t="s">
        <v>51</v>
      </c>
      <c r="M32" s="661" t="s">
        <v>52</v>
      </c>
      <c r="N32" s="661" t="s">
        <v>49</v>
      </c>
    </row>
    <row r="33" spans="2:16" ht="30" customHeight="1">
      <c r="B33" s="661"/>
      <c r="C33" s="661"/>
      <c r="D33" s="661"/>
      <c r="E33" s="2" t="s">
        <v>51</v>
      </c>
      <c r="F33" s="2" t="s">
        <v>47</v>
      </c>
      <c r="G33" s="2" t="s">
        <v>49</v>
      </c>
      <c r="H33" s="661"/>
      <c r="I33" s="2" t="s">
        <v>51</v>
      </c>
      <c r="J33" s="2" t="s">
        <v>47</v>
      </c>
      <c r="K33" s="2" t="s">
        <v>49</v>
      </c>
      <c r="L33" s="661"/>
      <c r="M33" s="661"/>
      <c r="N33" s="661"/>
    </row>
    <row r="34" spans="2:16" ht="30" customHeight="1">
      <c r="B34" s="10" t="s">
        <v>1</v>
      </c>
      <c r="C34" s="11">
        <f>C5</f>
        <v>24085</v>
      </c>
      <c r="D34" s="5">
        <f>C19</f>
        <v>1125000</v>
      </c>
      <c r="E34" s="5">
        <f>D19+E19+F19+G19</f>
        <v>1984000</v>
      </c>
      <c r="F34" s="12">
        <v>0</v>
      </c>
      <c r="G34" s="11">
        <f>E34-F34</f>
        <v>1984000</v>
      </c>
      <c r="H34" s="5">
        <f>ROUND(D34/365,0)</f>
        <v>3082</v>
      </c>
      <c r="I34" s="5">
        <f t="shared" ref="I34:I44" si="29">E34/365</f>
        <v>5435.6164383561645</v>
      </c>
      <c r="J34" s="5">
        <f>ROUND(F34/365,0)</f>
        <v>0</v>
      </c>
      <c r="K34" s="5">
        <f>ROUND(G34/365,0)</f>
        <v>5436</v>
      </c>
      <c r="L34" s="13">
        <f>SUM(M34:N34)</f>
        <v>353.7</v>
      </c>
      <c r="M34" s="13">
        <f>ROUND(H34/C34*1000,1)</f>
        <v>128</v>
      </c>
      <c r="N34" s="13">
        <f>ROUND(K34/C34*1000,1)</f>
        <v>225.7</v>
      </c>
      <c r="P34" s="14"/>
    </row>
    <row r="35" spans="2:16" ht="30" customHeight="1">
      <c r="B35" s="10" t="s">
        <v>2</v>
      </c>
      <c r="C35" s="11">
        <f t="shared" ref="C35:C44" si="30">C6</f>
        <v>24447</v>
      </c>
      <c r="D35" s="5">
        <f t="shared" ref="D35:D44" si="31">C20</f>
        <v>1171000</v>
      </c>
      <c r="E35" s="5">
        <f t="shared" ref="E35:E44" si="32">D20+E20+F20+G20</f>
        <v>2183000</v>
      </c>
      <c r="F35" s="12">
        <v>1482868</v>
      </c>
      <c r="G35" s="11">
        <f t="shared" ref="G35:G44" si="33">E35-F35</f>
        <v>700132</v>
      </c>
      <c r="H35" s="5">
        <f t="shared" ref="H35:H44" si="34">ROUND(D35/365,0)</f>
        <v>3208</v>
      </c>
      <c r="I35" s="5">
        <f t="shared" si="29"/>
        <v>5980.821917808219</v>
      </c>
      <c r="J35" s="5">
        <f t="shared" ref="J35:J44" si="35">ROUND(F35/365,0)</f>
        <v>4063</v>
      </c>
      <c r="K35" s="5">
        <f t="shared" ref="K35:K44" si="36">ROUND(G35/365,0)</f>
        <v>1918</v>
      </c>
      <c r="L35" s="13">
        <f t="shared" ref="L35:L44" si="37">SUM(M35:N35)</f>
        <v>209.7</v>
      </c>
      <c r="M35" s="13">
        <f t="shared" ref="M35:M44" si="38">ROUND(H35/C35*1000,1)</f>
        <v>131.19999999999999</v>
      </c>
      <c r="N35" s="13">
        <f t="shared" ref="N35:N44" si="39">ROUND(K35/C35*1000,1)</f>
        <v>78.5</v>
      </c>
      <c r="P35" s="14"/>
    </row>
    <row r="36" spans="2:16" ht="30" customHeight="1">
      <c r="B36" s="10" t="s">
        <v>3</v>
      </c>
      <c r="C36" s="11">
        <f t="shared" si="30"/>
        <v>24447</v>
      </c>
      <c r="D36" s="5">
        <f t="shared" si="31"/>
        <v>1164000</v>
      </c>
      <c r="E36" s="5">
        <f t="shared" si="32"/>
        <v>2190373</v>
      </c>
      <c r="F36" s="12">
        <v>1479619</v>
      </c>
      <c r="G36" s="11">
        <f t="shared" si="33"/>
        <v>710754</v>
      </c>
      <c r="H36" s="5">
        <f t="shared" si="34"/>
        <v>3189</v>
      </c>
      <c r="I36" s="5">
        <f t="shared" si="29"/>
        <v>6001.0219178082189</v>
      </c>
      <c r="J36" s="5">
        <f t="shared" si="35"/>
        <v>4054</v>
      </c>
      <c r="K36" s="5">
        <f t="shared" si="36"/>
        <v>1947</v>
      </c>
      <c r="L36" s="13">
        <f t="shared" si="37"/>
        <v>210</v>
      </c>
      <c r="M36" s="13">
        <f t="shared" si="38"/>
        <v>130.4</v>
      </c>
      <c r="N36" s="13">
        <f t="shared" si="39"/>
        <v>79.599999999999994</v>
      </c>
      <c r="P36" s="14"/>
    </row>
    <row r="37" spans="2:16" ht="30" customHeight="1">
      <c r="B37" s="10" t="s">
        <v>4</v>
      </c>
      <c r="C37" s="11">
        <f t="shared" si="30"/>
        <v>27236</v>
      </c>
      <c r="D37" s="5">
        <f t="shared" si="31"/>
        <v>1191190</v>
      </c>
      <c r="E37" s="5">
        <f t="shared" si="32"/>
        <v>2589232</v>
      </c>
      <c r="F37" s="12">
        <v>1892498</v>
      </c>
      <c r="G37" s="11">
        <f t="shared" si="33"/>
        <v>696734</v>
      </c>
      <c r="H37" s="5">
        <f t="shared" si="34"/>
        <v>3264</v>
      </c>
      <c r="I37" s="5">
        <f t="shared" si="29"/>
        <v>7093.7863013698634</v>
      </c>
      <c r="J37" s="5">
        <f t="shared" si="35"/>
        <v>5185</v>
      </c>
      <c r="K37" s="5">
        <f t="shared" si="36"/>
        <v>1909</v>
      </c>
      <c r="L37" s="13">
        <f t="shared" si="37"/>
        <v>189.89999999999998</v>
      </c>
      <c r="M37" s="13">
        <f t="shared" si="38"/>
        <v>119.8</v>
      </c>
      <c r="N37" s="13">
        <f t="shared" si="39"/>
        <v>70.099999999999994</v>
      </c>
      <c r="P37" s="14"/>
    </row>
    <row r="38" spans="2:16" ht="30" customHeight="1">
      <c r="B38" s="10" t="s">
        <v>5</v>
      </c>
      <c r="C38" s="11">
        <f t="shared" si="30"/>
        <v>27768</v>
      </c>
      <c r="D38" s="5">
        <f t="shared" si="31"/>
        <v>1252000</v>
      </c>
      <c r="E38" s="5">
        <f t="shared" si="32"/>
        <v>2839000</v>
      </c>
      <c r="F38" s="12">
        <v>2138639</v>
      </c>
      <c r="G38" s="11">
        <f t="shared" si="33"/>
        <v>700361</v>
      </c>
      <c r="H38" s="5">
        <f t="shared" si="34"/>
        <v>3430</v>
      </c>
      <c r="I38" s="5">
        <f t="shared" si="29"/>
        <v>7778.0821917808216</v>
      </c>
      <c r="J38" s="5">
        <f t="shared" si="35"/>
        <v>5859</v>
      </c>
      <c r="K38" s="5">
        <f t="shared" si="36"/>
        <v>1919</v>
      </c>
      <c r="L38" s="13">
        <f t="shared" si="37"/>
        <v>192.6</v>
      </c>
      <c r="M38" s="13">
        <f t="shared" si="38"/>
        <v>123.5</v>
      </c>
      <c r="N38" s="13">
        <f t="shared" si="39"/>
        <v>69.099999999999994</v>
      </c>
      <c r="P38" s="14"/>
    </row>
    <row r="39" spans="2:16" ht="30" customHeight="1">
      <c r="B39" s="10" t="s">
        <v>6</v>
      </c>
      <c r="C39" s="11">
        <f t="shared" si="30"/>
        <v>27809</v>
      </c>
      <c r="D39" s="5">
        <f t="shared" si="31"/>
        <v>1302000</v>
      </c>
      <c r="E39" s="5">
        <f t="shared" si="32"/>
        <v>2870000</v>
      </c>
      <c r="F39" s="12">
        <v>2192807</v>
      </c>
      <c r="G39" s="11">
        <f t="shared" si="33"/>
        <v>677193</v>
      </c>
      <c r="H39" s="5">
        <f t="shared" si="34"/>
        <v>3567</v>
      </c>
      <c r="I39" s="5">
        <f t="shared" si="29"/>
        <v>7863.0136986301368</v>
      </c>
      <c r="J39" s="5">
        <f t="shared" si="35"/>
        <v>6008</v>
      </c>
      <c r="K39" s="5">
        <f t="shared" si="36"/>
        <v>1855</v>
      </c>
      <c r="L39" s="13">
        <f t="shared" si="37"/>
        <v>195</v>
      </c>
      <c r="M39" s="13">
        <f t="shared" si="38"/>
        <v>128.30000000000001</v>
      </c>
      <c r="N39" s="13">
        <f t="shared" si="39"/>
        <v>66.7</v>
      </c>
      <c r="P39" s="14"/>
    </row>
    <row r="40" spans="2:16" ht="30" customHeight="1">
      <c r="B40" s="10" t="s">
        <v>7</v>
      </c>
      <c r="C40" s="11">
        <f t="shared" si="30"/>
        <v>21688</v>
      </c>
      <c r="D40" s="5">
        <f t="shared" si="31"/>
        <v>1280876</v>
      </c>
      <c r="E40" s="5">
        <f t="shared" si="32"/>
        <v>2971380</v>
      </c>
      <c r="F40" s="12">
        <v>2299320</v>
      </c>
      <c r="G40" s="11">
        <f t="shared" si="33"/>
        <v>672060</v>
      </c>
      <c r="H40" s="5">
        <f t="shared" si="34"/>
        <v>3509</v>
      </c>
      <c r="I40" s="5">
        <f t="shared" si="29"/>
        <v>8140.767123287671</v>
      </c>
      <c r="J40" s="5">
        <f t="shared" si="35"/>
        <v>6300</v>
      </c>
      <c r="K40" s="5">
        <f t="shared" si="36"/>
        <v>1841</v>
      </c>
      <c r="L40" s="13">
        <f t="shared" si="37"/>
        <v>246.70000000000002</v>
      </c>
      <c r="M40" s="13">
        <f t="shared" si="38"/>
        <v>161.80000000000001</v>
      </c>
      <c r="N40" s="13">
        <f t="shared" si="39"/>
        <v>84.9</v>
      </c>
      <c r="P40" s="14"/>
    </row>
    <row r="41" spans="2:16" ht="30" customHeight="1">
      <c r="B41" s="10" t="s">
        <v>8</v>
      </c>
      <c r="C41" s="11">
        <f t="shared" si="30"/>
        <v>20568</v>
      </c>
      <c r="D41" s="5">
        <f t="shared" si="31"/>
        <v>1283400</v>
      </c>
      <c r="E41" s="5">
        <f t="shared" si="32"/>
        <v>3084834</v>
      </c>
      <c r="F41" s="12">
        <v>2409290</v>
      </c>
      <c r="G41" s="11">
        <f t="shared" si="33"/>
        <v>675544</v>
      </c>
      <c r="H41" s="5">
        <f t="shared" si="34"/>
        <v>3516</v>
      </c>
      <c r="I41" s="5">
        <f t="shared" si="29"/>
        <v>8451.6</v>
      </c>
      <c r="J41" s="5">
        <f t="shared" si="35"/>
        <v>6601</v>
      </c>
      <c r="K41" s="5">
        <f t="shared" si="36"/>
        <v>1851</v>
      </c>
      <c r="L41" s="13">
        <f t="shared" si="37"/>
        <v>260.89999999999998</v>
      </c>
      <c r="M41" s="13">
        <f t="shared" si="38"/>
        <v>170.9</v>
      </c>
      <c r="N41" s="13">
        <f t="shared" si="39"/>
        <v>90</v>
      </c>
      <c r="P41" s="14"/>
    </row>
    <row r="42" spans="2:16" ht="30" customHeight="1">
      <c r="B42" s="10" t="s">
        <v>9</v>
      </c>
      <c r="C42" s="11">
        <f t="shared" si="30"/>
        <v>25385</v>
      </c>
      <c r="D42" s="5">
        <f t="shared" si="31"/>
        <v>1316810</v>
      </c>
      <c r="E42" s="5">
        <f t="shared" si="32"/>
        <v>2978206</v>
      </c>
      <c r="F42" s="12">
        <v>2320688</v>
      </c>
      <c r="G42" s="11">
        <f t="shared" si="33"/>
        <v>657518</v>
      </c>
      <c r="H42" s="5">
        <f t="shared" si="34"/>
        <v>3608</v>
      </c>
      <c r="I42" s="5">
        <f t="shared" si="29"/>
        <v>8159.4684931506845</v>
      </c>
      <c r="J42" s="5">
        <f t="shared" si="35"/>
        <v>6358</v>
      </c>
      <c r="K42" s="5">
        <f t="shared" si="36"/>
        <v>1801</v>
      </c>
      <c r="L42" s="13">
        <f t="shared" si="37"/>
        <v>213</v>
      </c>
      <c r="M42" s="13">
        <f t="shared" si="38"/>
        <v>142.1</v>
      </c>
      <c r="N42" s="13">
        <f t="shared" si="39"/>
        <v>70.900000000000006</v>
      </c>
      <c r="P42" s="14"/>
    </row>
    <row r="43" spans="2:16" ht="30" customHeight="1">
      <c r="B43" s="10" t="s">
        <v>10</v>
      </c>
      <c r="C43" s="11">
        <f t="shared" si="30"/>
        <v>22143</v>
      </c>
      <c r="D43" s="5">
        <f t="shared" si="31"/>
        <v>1379315</v>
      </c>
      <c r="E43" s="5">
        <f t="shared" si="32"/>
        <v>2915572</v>
      </c>
      <c r="F43" s="12">
        <v>2275864</v>
      </c>
      <c r="G43" s="11">
        <f t="shared" si="33"/>
        <v>639708</v>
      </c>
      <c r="H43" s="5">
        <f t="shared" si="34"/>
        <v>3779</v>
      </c>
      <c r="I43" s="5">
        <f t="shared" si="29"/>
        <v>7987.868493150685</v>
      </c>
      <c r="J43" s="5">
        <f t="shared" si="35"/>
        <v>6235</v>
      </c>
      <c r="K43" s="5">
        <f t="shared" si="36"/>
        <v>1753</v>
      </c>
      <c r="L43" s="13">
        <f t="shared" si="37"/>
        <v>249.89999999999998</v>
      </c>
      <c r="M43" s="13">
        <f t="shared" si="38"/>
        <v>170.7</v>
      </c>
      <c r="N43" s="13">
        <f t="shared" si="39"/>
        <v>79.2</v>
      </c>
      <c r="P43" s="14"/>
    </row>
    <row r="44" spans="2:16" ht="30" customHeight="1">
      <c r="B44" s="10" t="s">
        <v>11</v>
      </c>
      <c r="C44" s="11">
        <f t="shared" si="30"/>
        <v>22810</v>
      </c>
      <c r="D44" s="5">
        <f t="shared" si="31"/>
        <v>1436050</v>
      </c>
      <c r="E44" s="5">
        <f t="shared" si="32"/>
        <v>3125173</v>
      </c>
      <c r="F44" s="12">
        <v>2452398</v>
      </c>
      <c r="G44" s="11">
        <f t="shared" si="33"/>
        <v>672775</v>
      </c>
      <c r="H44" s="5">
        <f t="shared" si="34"/>
        <v>3934</v>
      </c>
      <c r="I44" s="5">
        <f t="shared" si="29"/>
        <v>8562.1178082191782</v>
      </c>
      <c r="J44" s="5">
        <f t="shared" si="35"/>
        <v>6719</v>
      </c>
      <c r="K44" s="5">
        <f t="shared" si="36"/>
        <v>1843</v>
      </c>
      <c r="L44" s="13">
        <f t="shared" si="37"/>
        <v>253.3</v>
      </c>
      <c r="M44" s="13">
        <f t="shared" si="38"/>
        <v>172.5</v>
      </c>
      <c r="N44" s="13">
        <f t="shared" si="39"/>
        <v>80.8</v>
      </c>
      <c r="P44" s="14"/>
    </row>
    <row r="45" spans="2:16" ht="30" customHeight="1"/>
    <row r="46" spans="2:16" ht="30" customHeight="1"/>
    <row r="47" spans="2:16" ht="30" customHeight="1"/>
    <row r="48" spans="2:16" ht="30" customHeight="1"/>
    <row r="49" ht="30" customHeight="1"/>
    <row r="50" ht="30" customHeight="1"/>
    <row r="51" ht="30" customHeight="1"/>
    <row r="52" ht="30" customHeight="1"/>
    <row r="53" ht="30" customHeight="1"/>
    <row r="54" ht="30" customHeight="1"/>
    <row r="55" ht="30" customHeight="1"/>
    <row r="56" ht="30" customHeight="1"/>
    <row r="57" ht="30" customHeight="1"/>
    <row r="58" ht="30" customHeight="1"/>
    <row r="59" ht="30" customHeight="1"/>
    <row r="60" ht="30" customHeight="1"/>
    <row r="61" ht="30" customHeight="1"/>
    <row r="62" ht="30" customHeight="1"/>
    <row r="63" ht="30" customHeight="1"/>
    <row r="64" ht="30" customHeight="1"/>
    <row r="65" ht="30" customHeight="1"/>
    <row r="66" ht="30" customHeight="1"/>
    <row r="67" ht="30" customHeight="1"/>
    <row r="68" ht="30" customHeight="1"/>
    <row r="69" ht="30" customHeight="1"/>
    <row r="70" ht="30" customHeight="1"/>
    <row r="71" ht="30" customHeight="1"/>
    <row r="72" ht="30" customHeight="1"/>
    <row r="73" ht="30" customHeight="1"/>
    <row r="74" ht="30" customHeight="1"/>
    <row r="75" ht="30" customHeight="1"/>
    <row r="76" ht="30" customHeight="1"/>
    <row r="77" ht="30" customHeight="1"/>
    <row r="78" ht="30" customHeight="1"/>
    <row r="79" ht="30" customHeight="1"/>
    <row r="80" ht="30" customHeight="1"/>
    <row r="81" ht="30" customHeight="1"/>
    <row r="82" ht="30" customHeight="1"/>
    <row r="83" ht="30" customHeight="1"/>
    <row r="84" ht="30" customHeight="1"/>
    <row r="85" ht="30" customHeight="1"/>
    <row r="86" ht="30" customHeight="1"/>
    <row r="87" ht="30" customHeight="1"/>
    <row r="88" ht="30" customHeight="1"/>
    <row r="89" ht="30" customHeight="1"/>
    <row r="90" ht="30" customHeight="1"/>
    <row r="91" ht="30" customHeight="1"/>
    <row r="92" ht="30" customHeight="1"/>
    <row r="93" ht="30" customHeight="1"/>
    <row r="94" ht="30" customHeight="1"/>
    <row r="95" ht="30" customHeight="1"/>
    <row r="96" ht="30" customHeight="1"/>
    <row r="97" ht="30" customHeight="1"/>
    <row r="98" ht="30" customHeight="1"/>
    <row r="99" ht="30" customHeight="1"/>
    <row r="100" ht="30" customHeight="1"/>
    <row r="101" ht="30" customHeight="1"/>
    <row r="102" ht="30" customHeight="1"/>
    <row r="103" ht="30" customHeight="1"/>
    <row r="104" ht="30" customHeight="1"/>
    <row r="105" ht="30" customHeight="1"/>
    <row r="106" ht="30" customHeight="1"/>
    <row r="107" ht="30" customHeight="1"/>
    <row r="108" ht="30" customHeight="1"/>
    <row r="109" ht="30" customHeight="1"/>
    <row r="110" ht="30" customHeight="1"/>
    <row r="111" ht="30" customHeight="1"/>
    <row r="112" ht="30" customHeight="1"/>
    <row r="113" ht="30" customHeight="1"/>
    <row r="114" ht="30" customHeight="1"/>
    <row r="115" ht="30" customHeight="1"/>
    <row r="116" ht="30" customHeight="1"/>
    <row r="117" ht="30" customHeight="1"/>
    <row r="118" ht="30" customHeight="1"/>
    <row r="119" ht="30" customHeight="1"/>
    <row r="120" ht="30" customHeight="1"/>
    <row r="121" ht="30" customHeight="1"/>
    <row r="122" ht="30" customHeight="1"/>
    <row r="123" ht="30" customHeight="1"/>
    <row r="124" ht="30" customHeight="1"/>
    <row r="125" ht="30" customHeight="1"/>
    <row r="126" ht="30" customHeight="1"/>
    <row r="127" ht="30" customHeight="1"/>
    <row r="128" ht="30" customHeight="1"/>
    <row r="129" ht="30" customHeight="1"/>
    <row r="130" ht="30" customHeight="1"/>
    <row r="131" ht="30" customHeight="1"/>
    <row r="132" ht="30" customHeight="1"/>
    <row r="133" ht="30" customHeight="1"/>
    <row r="134" ht="30" customHeight="1"/>
    <row r="135" ht="30" customHeight="1"/>
    <row r="136" ht="30" customHeight="1"/>
    <row r="137" ht="30" customHeight="1"/>
    <row r="138" ht="30" customHeight="1"/>
    <row r="139" ht="30" customHeight="1"/>
    <row r="140" ht="30" customHeight="1"/>
    <row r="141" ht="30" customHeight="1"/>
    <row r="142" ht="30" customHeight="1"/>
    <row r="143" ht="30" customHeight="1"/>
    <row r="144" ht="30" customHeight="1"/>
    <row r="145" ht="30" customHeight="1"/>
    <row r="146" ht="30" customHeight="1"/>
    <row r="147" ht="30" customHeight="1"/>
    <row r="148" ht="30" customHeight="1"/>
    <row r="149" ht="30" customHeight="1"/>
    <row r="150" ht="30" customHeight="1"/>
    <row r="151" ht="30" customHeight="1"/>
    <row r="152" ht="30" customHeight="1"/>
    <row r="153" ht="30" customHeight="1"/>
    <row r="154" ht="30" customHeight="1"/>
    <row r="155" ht="30" customHeight="1"/>
    <row r="156" ht="30" customHeight="1"/>
    <row r="157" ht="30" customHeight="1"/>
    <row r="158" ht="30" customHeight="1"/>
    <row r="159" ht="30" customHeight="1"/>
    <row r="160" ht="30" customHeight="1"/>
    <row r="161" ht="30" customHeight="1"/>
    <row r="162" ht="30" customHeight="1"/>
    <row r="163" ht="30" customHeight="1"/>
    <row r="164" ht="30" customHeight="1"/>
    <row r="165" ht="30" customHeight="1"/>
    <row r="166" ht="30" customHeight="1"/>
    <row r="167" ht="30" customHeight="1"/>
    <row r="168" ht="30" customHeight="1"/>
    <row r="169" ht="30" customHeight="1"/>
    <row r="170" ht="30" customHeight="1"/>
    <row r="171" ht="30" customHeight="1"/>
    <row r="172" ht="30" customHeight="1"/>
    <row r="173" ht="30" customHeight="1"/>
    <row r="174" ht="30" customHeight="1"/>
    <row r="175" ht="30" customHeight="1"/>
    <row r="176" ht="30" customHeight="1"/>
    <row r="177" ht="30" customHeight="1"/>
    <row r="178" ht="30" customHeight="1"/>
    <row r="179" ht="30" customHeight="1"/>
    <row r="180" ht="30" customHeight="1"/>
    <row r="181" ht="30" customHeight="1"/>
  </sheetData>
  <mergeCells count="35">
    <mergeCell ref="N32:N33"/>
    <mergeCell ref="B31:B33"/>
    <mergeCell ref="C31:C33"/>
    <mergeCell ref="D32:D33"/>
    <mergeCell ref="M32:M33"/>
    <mergeCell ref="E32:G32"/>
    <mergeCell ref="H32:H33"/>
    <mergeCell ref="I32:K32"/>
    <mergeCell ref="L32:L33"/>
    <mergeCell ref="D31:G31"/>
    <mergeCell ref="L31:N31"/>
    <mergeCell ref="H31:K31"/>
    <mergeCell ref="X2:X4"/>
    <mergeCell ref="P3:R3"/>
    <mergeCell ref="V2:V4"/>
    <mergeCell ref="W2:W4"/>
    <mergeCell ref="S2:S4"/>
    <mergeCell ref="T2:T4"/>
    <mergeCell ref="U2:U4"/>
    <mergeCell ref="L2:R2"/>
    <mergeCell ref="M3:O3"/>
    <mergeCell ref="L3:L4"/>
    <mergeCell ref="D2:D4"/>
    <mergeCell ref="R17:T17"/>
    <mergeCell ref="U17:U18"/>
    <mergeCell ref="A17:A18"/>
    <mergeCell ref="B17:I17"/>
    <mergeCell ref="J17:Q17"/>
    <mergeCell ref="A2:A4"/>
    <mergeCell ref="B2:B4"/>
    <mergeCell ref="C2:C4"/>
    <mergeCell ref="I3:K3"/>
    <mergeCell ref="E2:K2"/>
    <mergeCell ref="E3:E4"/>
    <mergeCell ref="F3:H3"/>
  </mergeCells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dimension ref="A1:G81"/>
  <sheetViews>
    <sheetView workbookViewId="0">
      <selection sqref="A1:B1"/>
    </sheetView>
  </sheetViews>
  <sheetFormatPr defaultRowHeight="11.25"/>
  <cols>
    <col min="1" max="8" width="10.109375" style="1" customWidth="1"/>
    <col min="9" max="16384" width="8.88671875" style="1"/>
  </cols>
  <sheetData>
    <row r="1" spans="1:7" ht="30" customHeight="1">
      <c r="A1" s="661" t="s">
        <v>0</v>
      </c>
      <c r="B1" s="661"/>
      <c r="C1" s="17" t="s">
        <v>119</v>
      </c>
      <c r="D1" s="17" t="s">
        <v>120</v>
      </c>
      <c r="E1" s="17" t="s">
        <v>121</v>
      </c>
      <c r="F1" s="17" t="s">
        <v>122</v>
      </c>
      <c r="G1" s="2" t="s">
        <v>30</v>
      </c>
    </row>
    <row r="2" spans="1:7" ht="30" customHeight="1">
      <c r="A2" s="661" t="s">
        <v>96</v>
      </c>
      <c r="B2" s="2" t="s">
        <v>243</v>
      </c>
      <c r="C2" s="12">
        <v>15673</v>
      </c>
      <c r="D2" s="12">
        <v>16388</v>
      </c>
      <c r="E2" s="12">
        <v>16917</v>
      </c>
      <c r="F2" s="12">
        <v>17254</v>
      </c>
      <c r="G2" s="2"/>
    </row>
    <row r="3" spans="1:7" ht="30" customHeight="1">
      <c r="A3" s="661"/>
      <c r="B3" s="2" t="s">
        <v>244</v>
      </c>
      <c r="C3" s="5">
        <v>17383</v>
      </c>
      <c r="D3" s="5">
        <v>17211</v>
      </c>
      <c r="E3" s="5">
        <v>16877</v>
      </c>
      <c r="F3" s="5">
        <v>16379</v>
      </c>
      <c r="G3" s="2"/>
    </row>
    <row r="4" spans="1:7" ht="30" customHeight="1">
      <c r="A4" s="661"/>
      <c r="B4" s="2" t="s">
        <v>245</v>
      </c>
      <c r="C4" s="5">
        <f>C3-C2</f>
        <v>1710</v>
      </c>
      <c r="D4" s="5">
        <f>D3-D2</f>
        <v>823</v>
      </c>
      <c r="E4" s="5">
        <f>E3-E2</f>
        <v>-40</v>
      </c>
      <c r="F4" s="5">
        <f>F3-F2</f>
        <v>-875</v>
      </c>
      <c r="G4" s="2"/>
    </row>
    <row r="5" spans="1:7" ht="30" customHeight="1">
      <c r="A5" s="661" t="s">
        <v>107</v>
      </c>
      <c r="B5" s="2" t="s">
        <v>243</v>
      </c>
      <c r="C5" s="12">
        <v>1287</v>
      </c>
      <c r="D5" s="12">
        <v>1287</v>
      </c>
      <c r="E5" s="12">
        <v>1287</v>
      </c>
      <c r="F5" s="12">
        <v>1287</v>
      </c>
      <c r="G5" s="2"/>
    </row>
    <row r="6" spans="1:7" ht="30" customHeight="1">
      <c r="A6" s="661"/>
      <c r="B6" s="2" t="s">
        <v>244</v>
      </c>
      <c r="C6" s="5">
        <v>1189</v>
      </c>
      <c r="D6" s="5">
        <v>1189</v>
      </c>
      <c r="E6" s="5">
        <v>1189</v>
      </c>
      <c r="F6" s="5">
        <v>1189</v>
      </c>
      <c r="G6" s="2"/>
    </row>
    <row r="7" spans="1:7" ht="30" customHeight="1">
      <c r="A7" s="661"/>
      <c r="B7" s="2" t="s">
        <v>245</v>
      </c>
      <c r="C7" s="5">
        <f>C6-C5</f>
        <v>-98</v>
      </c>
      <c r="D7" s="5">
        <f>D6-D5</f>
        <v>-98</v>
      </c>
      <c r="E7" s="5">
        <f>E6-E5</f>
        <v>-98</v>
      </c>
      <c r="F7" s="5">
        <f>F6-F5</f>
        <v>-98</v>
      </c>
      <c r="G7" s="2"/>
    </row>
    <row r="8" spans="1:7" ht="30" customHeight="1">
      <c r="A8" s="661" t="s">
        <v>109</v>
      </c>
      <c r="B8" s="2" t="s">
        <v>243</v>
      </c>
      <c r="C8" s="12">
        <v>5391</v>
      </c>
      <c r="D8" s="12">
        <v>6054</v>
      </c>
      <c r="E8" s="12">
        <v>6270</v>
      </c>
      <c r="F8" s="12">
        <v>6486</v>
      </c>
      <c r="G8" s="2"/>
    </row>
    <row r="9" spans="1:7" ht="30" customHeight="1">
      <c r="A9" s="661"/>
      <c r="B9" s="2" t="s">
        <v>244</v>
      </c>
      <c r="C9" s="5">
        <v>1765</v>
      </c>
      <c r="D9" s="5">
        <v>2509</v>
      </c>
      <c r="E9" s="5">
        <v>2608</v>
      </c>
      <c r="F9" s="5">
        <v>2716</v>
      </c>
      <c r="G9" s="2"/>
    </row>
    <row r="10" spans="1:7" ht="30" customHeight="1">
      <c r="A10" s="661"/>
      <c r="B10" s="2" t="s">
        <v>245</v>
      </c>
      <c r="C10" s="5">
        <f>C9-C8</f>
        <v>-3626</v>
      </c>
      <c r="D10" s="5">
        <f>D9-D8</f>
        <v>-3545</v>
      </c>
      <c r="E10" s="5">
        <f>E9-E8</f>
        <v>-3662</v>
      </c>
      <c r="F10" s="5">
        <f>F9-F8</f>
        <v>-3770</v>
      </c>
      <c r="G10" s="2"/>
    </row>
    <row r="11" spans="1:7" ht="30" customHeight="1">
      <c r="A11" s="661" t="s">
        <v>110</v>
      </c>
      <c r="B11" s="2" t="s">
        <v>243</v>
      </c>
      <c r="C11" s="12">
        <v>15828</v>
      </c>
      <c r="D11" s="12">
        <v>18307</v>
      </c>
      <c r="E11" s="12">
        <v>18307</v>
      </c>
      <c r="F11" s="12">
        <v>18307</v>
      </c>
      <c r="G11" s="2"/>
    </row>
    <row r="12" spans="1:7" ht="30" customHeight="1">
      <c r="A12" s="661"/>
      <c r="B12" s="2" t="s">
        <v>244</v>
      </c>
      <c r="C12" s="5">
        <v>14544</v>
      </c>
      <c r="D12" s="5">
        <v>16821</v>
      </c>
      <c r="E12" s="5">
        <v>16821</v>
      </c>
      <c r="F12" s="5">
        <v>16821</v>
      </c>
      <c r="G12" s="2"/>
    </row>
    <row r="13" spans="1:7" ht="30" customHeight="1">
      <c r="A13" s="661"/>
      <c r="B13" s="2" t="s">
        <v>245</v>
      </c>
      <c r="C13" s="5">
        <f>C12-C11</f>
        <v>-1284</v>
      </c>
      <c r="D13" s="5">
        <f>D12-D11</f>
        <v>-1486</v>
      </c>
      <c r="E13" s="5">
        <f>E12-E11</f>
        <v>-1486</v>
      </c>
      <c r="F13" s="5">
        <f>F12-F11</f>
        <v>-1486</v>
      </c>
      <c r="G13" s="2"/>
    </row>
    <row r="14" spans="1:7" ht="30" customHeight="1">
      <c r="A14" s="671" t="s">
        <v>246</v>
      </c>
      <c r="B14" s="660"/>
      <c r="C14" s="5">
        <f>C13+C10+C7+C4</f>
        <v>-3298</v>
      </c>
      <c r="D14" s="5">
        <f>D13+D10+D7+D4</f>
        <v>-4306</v>
      </c>
      <c r="E14" s="5">
        <f>E13+E10+E7+E4</f>
        <v>-5286</v>
      </c>
      <c r="F14" s="5">
        <f>F13+F10+F7+F4</f>
        <v>-6229</v>
      </c>
      <c r="G14" s="2"/>
    </row>
    <row r="15" spans="1:7" ht="30" customHeight="1"/>
    <row r="16" spans="1:7" ht="30" customHeight="1"/>
    <row r="17" ht="30" customHeight="1"/>
    <row r="18" ht="30" customHeight="1"/>
    <row r="19" ht="30" customHeight="1"/>
    <row r="20" ht="30" customHeight="1"/>
    <row r="21" ht="30" customHeight="1"/>
    <row r="22" ht="30" customHeight="1"/>
    <row r="23" ht="30" customHeight="1"/>
    <row r="24" ht="30" customHeight="1"/>
    <row r="25" ht="30" customHeight="1"/>
    <row r="26" ht="24.95" customHeight="1"/>
    <row r="27" ht="24.95" customHeight="1"/>
    <row r="28" ht="24.95" customHeight="1"/>
    <row r="29" ht="24.95" customHeight="1"/>
    <row r="30" ht="24.95" customHeight="1"/>
    <row r="31" ht="24.95" customHeight="1"/>
    <row r="32" ht="24.95" customHeight="1"/>
    <row r="33" ht="24.95" customHeight="1"/>
    <row r="34" ht="24.95" customHeight="1"/>
    <row r="35" ht="24.95" customHeight="1"/>
    <row r="36" ht="24.95" customHeight="1"/>
    <row r="37" ht="24.95" customHeight="1"/>
    <row r="38" ht="24.95" customHeight="1"/>
    <row r="39" ht="24.95" customHeight="1"/>
    <row r="40" ht="24.95" customHeight="1"/>
    <row r="41" ht="24.95" customHeight="1"/>
    <row r="42" ht="24.95" customHeight="1"/>
    <row r="43" ht="24.95" customHeight="1"/>
    <row r="44" ht="24.95" customHeight="1"/>
    <row r="45" ht="24.95" customHeight="1"/>
    <row r="46" ht="24.95" customHeight="1"/>
    <row r="47" ht="24.95" customHeight="1"/>
    <row r="48" ht="24.95" customHeight="1"/>
    <row r="49" ht="24.95" customHeight="1"/>
    <row r="50" ht="24.95" customHeight="1"/>
    <row r="51" ht="24.95" customHeight="1"/>
    <row r="52" ht="24.95" customHeight="1"/>
    <row r="53" ht="24.95" customHeight="1"/>
    <row r="54" ht="24.95" customHeight="1"/>
    <row r="55" ht="24.95" customHeight="1"/>
    <row r="56" ht="24.95" customHeight="1"/>
    <row r="57" ht="24.95" customHeight="1"/>
    <row r="58" ht="24.95" customHeight="1"/>
    <row r="59" ht="24.95" customHeight="1"/>
    <row r="60" ht="24.95" customHeight="1"/>
    <row r="61" ht="24.95" customHeight="1"/>
    <row r="62" ht="24.95" customHeight="1"/>
    <row r="63" ht="24.95" customHeight="1"/>
    <row r="64" ht="24.95" customHeight="1"/>
    <row r="65" ht="24.95" customHeight="1"/>
    <row r="66" ht="24.95" customHeight="1"/>
    <row r="67" ht="24.95" customHeight="1"/>
    <row r="68" ht="24.95" customHeight="1"/>
    <row r="69" ht="24.95" customHeight="1"/>
    <row r="70" ht="24.95" customHeight="1"/>
    <row r="71" ht="24.95" customHeight="1"/>
    <row r="72" ht="24.95" customHeight="1"/>
    <row r="73" ht="24.95" customHeight="1"/>
    <row r="74" ht="24.95" customHeight="1"/>
    <row r="75" ht="24.95" customHeight="1"/>
    <row r="76" ht="24.95" customHeight="1"/>
    <row r="77" ht="24.95" customHeight="1"/>
    <row r="78" ht="24.95" customHeight="1"/>
    <row r="79" ht="24.95" customHeight="1"/>
    <row r="80" ht="24.95" customHeight="1"/>
    <row r="81" ht="24.95" customHeight="1"/>
  </sheetData>
  <mergeCells count="6">
    <mergeCell ref="A14:B14"/>
    <mergeCell ref="A2:A4"/>
    <mergeCell ref="A1:B1"/>
    <mergeCell ref="A5:A7"/>
    <mergeCell ref="A8:A10"/>
    <mergeCell ref="A11:A13"/>
  </mergeCells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dimension ref="A1:G291"/>
  <sheetViews>
    <sheetView workbookViewId="0"/>
  </sheetViews>
  <sheetFormatPr defaultRowHeight="11.25"/>
  <cols>
    <col min="1" max="6" width="10.5546875" style="1" customWidth="1"/>
    <col min="7" max="7" width="13.33203125" style="1" customWidth="1"/>
    <col min="8" max="16" width="16.109375" style="1" customWidth="1"/>
    <col min="17" max="16384" width="8.88671875" style="1"/>
  </cols>
  <sheetData>
    <row r="1" spans="1:7" ht="30" customHeight="1">
      <c r="A1" s="61" t="s">
        <v>322</v>
      </c>
      <c r="B1" s="61"/>
    </row>
    <row r="2" spans="1:7" ht="30" customHeight="1">
      <c r="A2" s="891" t="s">
        <v>323</v>
      </c>
      <c r="B2" s="892"/>
      <c r="C2" s="63" t="s">
        <v>327</v>
      </c>
      <c r="D2" s="63" t="s">
        <v>329</v>
      </c>
      <c r="E2" s="63" t="s">
        <v>330</v>
      </c>
      <c r="F2" s="63" t="s">
        <v>331</v>
      </c>
      <c r="G2" s="63" t="s">
        <v>328</v>
      </c>
    </row>
    <row r="3" spans="1:7" ht="30" customHeight="1">
      <c r="A3" s="671" t="s">
        <v>334</v>
      </c>
      <c r="B3" s="660"/>
      <c r="C3" s="2">
        <v>344</v>
      </c>
      <c r="D3" s="2">
        <v>344</v>
      </c>
      <c r="E3" s="2">
        <v>344</v>
      </c>
      <c r="F3" s="2">
        <v>344</v>
      </c>
      <c r="G3" s="2"/>
    </row>
    <row r="4" spans="1:7" ht="30" customHeight="1">
      <c r="A4" s="671" t="s">
        <v>332</v>
      </c>
      <c r="B4" s="660"/>
      <c r="C4" s="54">
        <v>1</v>
      </c>
      <c r="D4" s="54">
        <v>1</v>
      </c>
      <c r="E4" s="54">
        <v>1</v>
      </c>
      <c r="F4" s="54">
        <v>1</v>
      </c>
      <c r="G4" s="2"/>
    </row>
    <row r="5" spans="1:7" ht="30" customHeight="1">
      <c r="A5" s="671" t="s">
        <v>324</v>
      </c>
      <c r="B5" s="660"/>
      <c r="C5" s="2">
        <f>ROUND(C4*C3,0)</f>
        <v>344</v>
      </c>
      <c r="D5" s="2">
        <f>ROUND(D4*D3,0)</f>
        <v>344</v>
      </c>
      <c r="E5" s="2">
        <f>ROUND(E4*E3,0)</f>
        <v>344</v>
      </c>
      <c r="F5" s="2">
        <f>ROUND(F4*F3,0)</f>
        <v>344</v>
      </c>
      <c r="G5" s="2"/>
    </row>
    <row r="6" spans="1:7" ht="30" customHeight="1">
      <c r="A6" s="671" t="s">
        <v>325</v>
      </c>
      <c r="B6" s="660"/>
      <c r="C6" s="2">
        <f>ROUND(C5*$G$6,0)</f>
        <v>78</v>
      </c>
      <c r="D6" s="2">
        <f>ROUND(D5*$G$6,0)</f>
        <v>78</v>
      </c>
      <c r="E6" s="2">
        <f>ROUND(E5*$G$6,0)</f>
        <v>78</v>
      </c>
      <c r="F6" s="2">
        <f>ROUND(F5*$G$6,0)</f>
        <v>78</v>
      </c>
      <c r="G6" s="62">
        <v>0.2273</v>
      </c>
    </row>
    <row r="7" spans="1:7" ht="30" customHeight="1">
      <c r="A7" s="671" t="s">
        <v>336</v>
      </c>
      <c r="B7" s="660"/>
      <c r="C7" s="2">
        <f>ROUND((C6*0.67)*1.4,0)</f>
        <v>73</v>
      </c>
      <c r="D7" s="2">
        <f>ROUND((D6*0.67)*1.4,0)</f>
        <v>73</v>
      </c>
      <c r="E7" s="2">
        <f>ROUND((E6*0.67)*1.4,0)</f>
        <v>73</v>
      </c>
      <c r="F7" s="2">
        <f>ROUND((F6*0.67)*1.4,0)</f>
        <v>73</v>
      </c>
      <c r="G7" s="4" t="s">
        <v>335</v>
      </c>
    </row>
    <row r="8" spans="1:7" ht="30" customHeight="1">
      <c r="A8" s="671" t="s">
        <v>326</v>
      </c>
      <c r="B8" s="660"/>
      <c r="C8" s="2">
        <f>SUM(C6:C7)</f>
        <v>151</v>
      </c>
      <c r="D8" s="2">
        <f>SUM(D6:D7)</f>
        <v>151</v>
      </c>
      <c r="E8" s="2">
        <f>SUM(E6:E7)</f>
        <v>151</v>
      </c>
      <c r="F8" s="2">
        <f>SUM(F6:F7)</f>
        <v>151</v>
      </c>
      <c r="G8" s="2" t="s">
        <v>337</v>
      </c>
    </row>
    <row r="9" spans="1:7" ht="30" customHeight="1">
      <c r="A9" s="61" t="s">
        <v>338</v>
      </c>
      <c r="B9" s="61"/>
    </row>
    <row r="10" spans="1:7" ht="30" customHeight="1">
      <c r="A10" s="891" t="s">
        <v>323</v>
      </c>
      <c r="B10" s="892"/>
      <c r="C10" s="63" t="s">
        <v>327</v>
      </c>
      <c r="D10" s="63" t="s">
        <v>329</v>
      </c>
      <c r="E10" s="63" t="s">
        <v>330</v>
      </c>
      <c r="F10" s="63" t="s">
        <v>331</v>
      </c>
      <c r="G10" s="63" t="s">
        <v>328</v>
      </c>
    </row>
    <row r="11" spans="1:7" ht="30" customHeight="1">
      <c r="A11" s="671" t="s">
        <v>334</v>
      </c>
      <c r="B11" s="660"/>
      <c r="C11" s="2">
        <v>730</v>
      </c>
      <c r="D11" s="2">
        <v>730</v>
      </c>
      <c r="E11" s="2">
        <v>730</v>
      </c>
      <c r="F11" s="2">
        <v>730</v>
      </c>
      <c r="G11" s="2"/>
    </row>
    <row r="12" spans="1:7" ht="30" customHeight="1">
      <c r="A12" s="671" t="s">
        <v>332</v>
      </c>
      <c r="B12" s="660"/>
      <c r="C12" s="54">
        <v>0.5</v>
      </c>
      <c r="D12" s="54">
        <v>1</v>
      </c>
      <c r="E12" s="54">
        <v>1</v>
      </c>
      <c r="F12" s="54">
        <v>1</v>
      </c>
      <c r="G12" s="2"/>
    </row>
    <row r="13" spans="1:7" ht="30" customHeight="1">
      <c r="A13" s="671" t="s">
        <v>324</v>
      </c>
      <c r="B13" s="660"/>
      <c r="C13" s="2">
        <f>ROUND(C12*C11,0)</f>
        <v>365</v>
      </c>
      <c r="D13" s="2">
        <f>ROUND(D12*D11,0)</f>
        <v>730</v>
      </c>
      <c r="E13" s="2">
        <f>ROUND(E12*E11,0)</f>
        <v>730</v>
      </c>
      <c r="F13" s="2">
        <f>ROUND(F12*F11,0)</f>
        <v>730</v>
      </c>
      <c r="G13" s="2"/>
    </row>
    <row r="14" spans="1:7" ht="30" customHeight="1">
      <c r="A14" s="671" t="s">
        <v>325</v>
      </c>
      <c r="B14" s="660"/>
      <c r="C14" s="2">
        <f>ROUND(C13*$G$6,0)</f>
        <v>83</v>
      </c>
      <c r="D14" s="2">
        <f>ROUND(D13*$G$6,0)</f>
        <v>166</v>
      </c>
      <c r="E14" s="2">
        <f>ROUND(E13*$G$6,0)</f>
        <v>166</v>
      </c>
      <c r="F14" s="2">
        <f>ROUND(F13*$G$6,0)</f>
        <v>166</v>
      </c>
      <c r="G14" s="62">
        <v>0.2273</v>
      </c>
    </row>
    <row r="15" spans="1:7" ht="30" customHeight="1">
      <c r="A15" s="671" t="s">
        <v>336</v>
      </c>
      <c r="B15" s="660"/>
      <c r="C15" s="2">
        <f>ROUND((C14*0.67)*1.4,0)</f>
        <v>78</v>
      </c>
      <c r="D15" s="2">
        <f>ROUND((D14*0.67)*1.4,0)</f>
        <v>156</v>
      </c>
      <c r="E15" s="2">
        <f>ROUND((E14*0.67)*1.4,0)</f>
        <v>156</v>
      </c>
      <c r="F15" s="2">
        <f>ROUND((F14*0.67)*1.4,0)</f>
        <v>156</v>
      </c>
      <c r="G15" s="4" t="s">
        <v>335</v>
      </c>
    </row>
    <row r="16" spans="1:7" ht="30" customHeight="1">
      <c r="A16" s="671" t="s">
        <v>326</v>
      </c>
      <c r="B16" s="660"/>
      <c r="C16" s="2">
        <f>SUM(C14:C15)</f>
        <v>161</v>
      </c>
      <c r="D16" s="2">
        <f>SUM(D14:D15)</f>
        <v>322</v>
      </c>
      <c r="E16" s="2">
        <f>SUM(E14:E15)</f>
        <v>322</v>
      </c>
      <c r="F16" s="2">
        <f>SUM(F14:F15)</f>
        <v>322</v>
      </c>
      <c r="G16" s="2" t="s">
        <v>337</v>
      </c>
    </row>
    <row r="17" spans="1:7" ht="30" customHeight="1">
      <c r="A17" s="61" t="s">
        <v>339</v>
      </c>
      <c r="B17" s="61"/>
    </row>
    <row r="18" spans="1:7" ht="30" customHeight="1">
      <c r="A18" s="891" t="s">
        <v>323</v>
      </c>
      <c r="B18" s="892"/>
      <c r="C18" s="63" t="s">
        <v>327</v>
      </c>
      <c r="D18" s="63" t="s">
        <v>329</v>
      </c>
      <c r="E18" s="63" t="s">
        <v>330</v>
      </c>
      <c r="F18" s="63" t="s">
        <v>331</v>
      </c>
      <c r="G18" s="63" t="s">
        <v>328</v>
      </c>
    </row>
    <row r="19" spans="1:7" ht="30" customHeight="1">
      <c r="A19" s="671" t="s">
        <v>334</v>
      </c>
      <c r="B19" s="660"/>
      <c r="C19" s="2">
        <v>257</v>
      </c>
      <c r="D19" s="2">
        <v>257</v>
      </c>
      <c r="E19" s="2">
        <v>257</v>
      </c>
      <c r="F19" s="2">
        <v>257</v>
      </c>
      <c r="G19" s="2"/>
    </row>
    <row r="20" spans="1:7" ht="30" customHeight="1">
      <c r="A20" s="671" t="s">
        <v>332</v>
      </c>
      <c r="B20" s="660"/>
      <c r="C20" s="54">
        <v>1</v>
      </c>
      <c r="D20" s="54">
        <v>1</v>
      </c>
      <c r="E20" s="54">
        <v>1</v>
      </c>
      <c r="F20" s="54">
        <v>1</v>
      </c>
      <c r="G20" s="2"/>
    </row>
    <row r="21" spans="1:7" ht="30" customHeight="1">
      <c r="A21" s="671" t="s">
        <v>324</v>
      </c>
      <c r="B21" s="660"/>
      <c r="C21" s="2">
        <f>ROUND(C20*C19,0)</f>
        <v>257</v>
      </c>
      <c r="D21" s="2">
        <f>ROUND(D20*D19,0)</f>
        <v>257</v>
      </c>
      <c r="E21" s="2">
        <f>ROUND(E20*E19,0)</f>
        <v>257</v>
      </c>
      <c r="F21" s="2">
        <f>ROUND(F20*F19,0)</f>
        <v>257</v>
      </c>
      <c r="G21" s="2"/>
    </row>
    <row r="22" spans="1:7" ht="30" customHeight="1">
      <c r="A22" s="671" t="s">
        <v>325</v>
      </c>
      <c r="B22" s="660"/>
      <c r="C22" s="2">
        <f>ROUND(C21*$G$6,0)</f>
        <v>58</v>
      </c>
      <c r="D22" s="2">
        <f>ROUND(D21*$G$6,0)</f>
        <v>58</v>
      </c>
      <c r="E22" s="2">
        <f>ROUND(E21*$G$6,0)</f>
        <v>58</v>
      </c>
      <c r="F22" s="2">
        <f>ROUND(F21*$G$6,0)</f>
        <v>58</v>
      </c>
      <c r="G22" s="62">
        <v>0.2273</v>
      </c>
    </row>
    <row r="23" spans="1:7" ht="30" customHeight="1">
      <c r="A23" s="671" t="s">
        <v>336</v>
      </c>
      <c r="B23" s="660"/>
      <c r="C23" s="2">
        <f>ROUND((C22*0.67)*1.4,0)</f>
        <v>54</v>
      </c>
      <c r="D23" s="2">
        <f>ROUND((D22*0.67)*1.4,0)</f>
        <v>54</v>
      </c>
      <c r="E23" s="2">
        <f>ROUND((E22*0.67)*1.4,0)</f>
        <v>54</v>
      </c>
      <c r="F23" s="2">
        <f>ROUND((F22*0.67)*1.4,0)</f>
        <v>54</v>
      </c>
      <c r="G23" s="4" t="s">
        <v>335</v>
      </c>
    </row>
    <row r="24" spans="1:7" ht="30" customHeight="1">
      <c r="A24" s="671" t="s">
        <v>326</v>
      </c>
      <c r="B24" s="660"/>
      <c r="C24" s="2">
        <f>SUM(C22:C23)</f>
        <v>112</v>
      </c>
      <c r="D24" s="2">
        <f>SUM(D22:D23)</f>
        <v>112</v>
      </c>
      <c r="E24" s="2">
        <f>SUM(E22:E23)</f>
        <v>112</v>
      </c>
      <c r="F24" s="2">
        <f>SUM(F22:F23)</f>
        <v>112</v>
      </c>
      <c r="G24" s="2" t="s">
        <v>337</v>
      </c>
    </row>
    <row r="25" spans="1:7" ht="30" customHeight="1"/>
    <row r="26" spans="1:7" ht="30" customHeight="1">
      <c r="A26" s="61" t="s">
        <v>340</v>
      </c>
      <c r="B26" s="61"/>
    </row>
    <row r="27" spans="1:7" ht="30" customHeight="1">
      <c r="A27" s="891" t="s">
        <v>323</v>
      </c>
      <c r="B27" s="892"/>
      <c r="C27" s="63" t="s">
        <v>327</v>
      </c>
      <c r="D27" s="63" t="s">
        <v>329</v>
      </c>
      <c r="E27" s="63" t="s">
        <v>330</v>
      </c>
      <c r="F27" s="63" t="s">
        <v>331</v>
      </c>
      <c r="G27" s="63" t="s">
        <v>328</v>
      </c>
    </row>
    <row r="28" spans="1:7" ht="30" customHeight="1">
      <c r="A28" s="671" t="s">
        <v>334</v>
      </c>
      <c r="B28" s="660"/>
      <c r="C28" s="2">
        <v>66</v>
      </c>
      <c r="D28" s="2">
        <v>66</v>
      </c>
      <c r="E28" s="2">
        <v>66</v>
      </c>
      <c r="F28" s="2">
        <v>66</v>
      </c>
      <c r="G28" s="2"/>
    </row>
    <row r="29" spans="1:7" ht="30" customHeight="1">
      <c r="A29" s="671" t="s">
        <v>332</v>
      </c>
      <c r="B29" s="660"/>
      <c r="C29" s="54">
        <v>1</v>
      </c>
      <c r="D29" s="54">
        <v>1</v>
      </c>
      <c r="E29" s="54">
        <v>1</v>
      </c>
      <c r="F29" s="54">
        <v>1</v>
      </c>
      <c r="G29" s="2"/>
    </row>
    <row r="30" spans="1:7" ht="30" customHeight="1">
      <c r="A30" s="671" t="s">
        <v>324</v>
      </c>
      <c r="B30" s="660"/>
      <c r="C30" s="2">
        <f>ROUND(C29*C28,0)</f>
        <v>66</v>
      </c>
      <c r="D30" s="2">
        <f>ROUND(D29*D28,0)</f>
        <v>66</v>
      </c>
      <c r="E30" s="2">
        <f>ROUND(E29*E28,0)</f>
        <v>66</v>
      </c>
      <c r="F30" s="2">
        <f>ROUND(F29*F28,0)</f>
        <v>66</v>
      </c>
      <c r="G30" s="2"/>
    </row>
    <row r="31" spans="1:7" ht="30" customHeight="1">
      <c r="A31" s="671" t="s">
        <v>325</v>
      </c>
      <c r="B31" s="660"/>
      <c r="C31" s="2">
        <f>ROUND(C30*$G$6,0)</f>
        <v>15</v>
      </c>
      <c r="D31" s="2">
        <f>ROUND(D30*$G$6,0)</f>
        <v>15</v>
      </c>
      <c r="E31" s="2">
        <f>ROUND(E30*$G$6,0)</f>
        <v>15</v>
      </c>
      <c r="F31" s="2">
        <f>ROUND(F30*$G$6,0)</f>
        <v>15</v>
      </c>
      <c r="G31" s="62">
        <v>0.2273</v>
      </c>
    </row>
    <row r="32" spans="1:7" ht="30" customHeight="1">
      <c r="A32" s="671" t="s">
        <v>336</v>
      </c>
      <c r="B32" s="660"/>
      <c r="C32" s="2">
        <f>ROUND((C31*0.67)*1.4,0)</f>
        <v>14</v>
      </c>
      <c r="D32" s="2">
        <f>ROUND((D31*0.67)*1.4,0)</f>
        <v>14</v>
      </c>
      <c r="E32" s="2">
        <f>ROUND((E31*0.67)*1.4,0)</f>
        <v>14</v>
      </c>
      <c r="F32" s="2">
        <f>ROUND((F31*0.67)*1.4,0)</f>
        <v>14</v>
      </c>
      <c r="G32" s="4" t="s">
        <v>335</v>
      </c>
    </row>
    <row r="33" spans="1:7" ht="30" customHeight="1">
      <c r="A33" s="671" t="s">
        <v>355</v>
      </c>
      <c r="B33" s="660"/>
      <c r="C33" s="2">
        <f>SUM(C31:C32)</f>
        <v>29</v>
      </c>
      <c r="D33" s="2">
        <f>SUM(D31:D32)</f>
        <v>29</v>
      </c>
      <c r="E33" s="2">
        <f>SUM(E31:E32)</f>
        <v>29</v>
      </c>
      <c r="F33" s="2">
        <f>SUM(F31:F32)</f>
        <v>29</v>
      </c>
      <c r="G33" s="2" t="s">
        <v>356</v>
      </c>
    </row>
    <row r="34" spans="1:7" ht="30" customHeight="1">
      <c r="A34" s="61" t="s">
        <v>357</v>
      </c>
      <c r="B34" s="33"/>
    </row>
    <row r="35" spans="1:7" ht="30" customHeight="1">
      <c r="A35" s="65" t="s">
        <v>341</v>
      </c>
      <c r="B35" s="894" t="s">
        <v>342</v>
      </c>
      <c r="C35" s="894"/>
      <c r="D35" s="65" t="s">
        <v>343</v>
      </c>
      <c r="E35" s="65" t="s">
        <v>344</v>
      </c>
      <c r="F35" s="65" t="s">
        <v>333</v>
      </c>
      <c r="G35" s="65" t="s">
        <v>73</v>
      </c>
    </row>
    <row r="36" spans="1:7" ht="30" customHeight="1">
      <c r="A36" s="19" t="s">
        <v>64</v>
      </c>
      <c r="B36" s="893" t="s">
        <v>345</v>
      </c>
      <c r="C36" s="893"/>
      <c r="D36" s="19" t="s">
        <v>346</v>
      </c>
      <c r="E36" s="19">
        <v>150</v>
      </c>
      <c r="F36" s="19">
        <v>450</v>
      </c>
      <c r="G36" s="893" t="s">
        <v>347</v>
      </c>
    </row>
    <row r="37" spans="1:7" ht="30" customHeight="1">
      <c r="A37" s="893" t="s">
        <v>65</v>
      </c>
      <c r="B37" s="893" t="s">
        <v>348</v>
      </c>
      <c r="C37" s="893"/>
      <c r="D37" s="893" t="s">
        <v>349</v>
      </c>
      <c r="E37" s="19">
        <v>90</v>
      </c>
      <c r="F37" s="19">
        <v>270</v>
      </c>
      <c r="G37" s="893"/>
    </row>
    <row r="38" spans="1:7" ht="30" customHeight="1">
      <c r="A38" s="893"/>
      <c r="B38" s="893"/>
      <c r="C38" s="893"/>
      <c r="D38" s="893"/>
      <c r="E38" s="19">
        <v>250</v>
      </c>
      <c r="F38" s="19">
        <v>250</v>
      </c>
      <c r="G38" s="19" t="s">
        <v>350</v>
      </c>
    </row>
    <row r="39" spans="1:7" ht="30" customHeight="1">
      <c r="A39" s="893" t="s">
        <v>66</v>
      </c>
      <c r="B39" s="893" t="s">
        <v>351</v>
      </c>
      <c r="C39" s="893"/>
      <c r="D39" s="19" t="s">
        <v>346</v>
      </c>
      <c r="E39" s="19">
        <v>230</v>
      </c>
      <c r="F39" s="19">
        <v>690</v>
      </c>
      <c r="G39" s="893" t="s">
        <v>347</v>
      </c>
    </row>
    <row r="40" spans="1:7" ht="30" customHeight="1">
      <c r="A40" s="893"/>
      <c r="B40" s="893" t="s">
        <v>345</v>
      </c>
      <c r="C40" s="893"/>
      <c r="D40" s="19" t="s">
        <v>346</v>
      </c>
      <c r="E40" s="19">
        <v>16</v>
      </c>
      <c r="F40" s="19">
        <v>48</v>
      </c>
      <c r="G40" s="893"/>
    </row>
    <row r="41" spans="1:7" ht="30" customHeight="1">
      <c r="A41" s="893"/>
      <c r="B41" s="893" t="s">
        <v>352</v>
      </c>
      <c r="C41" s="893"/>
      <c r="D41" s="19" t="s">
        <v>346</v>
      </c>
      <c r="E41" s="19">
        <v>129</v>
      </c>
      <c r="F41" s="19">
        <v>387</v>
      </c>
      <c r="G41" s="893"/>
    </row>
    <row r="42" spans="1:7" ht="30" customHeight="1">
      <c r="A42" s="893"/>
      <c r="B42" s="893" t="s">
        <v>353</v>
      </c>
      <c r="C42" s="893"/>
      <c r="D42" s="19" t="s">
        <v>346</v>
      </c>
      <c r="E42" s="19">
        <v>129</v>
      </c>
      <c r="F42" s="19">
        <v>387</v>
      </c>
      <c r="G42" s="893"/>
    </row>
    <row r="43" spans="1:7" ht="30" customHeight="1">
      <c r="A43" s="893" t="s">
        <v>67</v>
      </c>
      <c r="B43" s="893" t="s">
        <v>354</v>
      </c>
      <c r="C43" s="893"/>
      <c r="D43" s="19" t="s">
        <v>346</v>
      </c>
      <c r="E43" s="19">
        <v>47</v>
      </c>
      <c r="F43" s="19">
        <v>141</v>
      </c>
      <c r="G43" s="893"/>
    </row>
    <row r="44" spans="1:7" ht="30" customHeight="1">
      <c r="A44" s="893"/>
      <c r="B44" s="893" t="s">
        <v>352</v>
      </c>
      <c r="C44" s="893"/>
      <c r="D44" s="19" t="s">
        <v>346</v>
      </c>
      <c r="E44" s="19">
        <v>48</v>
      </c>
      <c r="F44" s="19">
        <v>144</v>
      </c>
      <c r="G44" s="893"/>
    </row>
    <row r="45" spans="1:7" ht="30" customHeight="1">
      <c r="A45" s="19" t="s">
        <v>68</v>
      </c>
      <c r="B45" s="893" t="s">
        <v>351</v>
      </c>
      <c r="C45" s="893"/>
      <c r="D45" s="19" t="s">
        <v>346</v>
      </c>
      <c r="E45" s="19">
        <v>47</v>
      </c>
      <c r="F45" s="19">
        <v>141</v>
      </c>
      <c r="G45" s="893"/>
    </row>
    <row r="46" spans="1:7" ht="30" customHeight="1">
      <c r="A46" s="893" t="s">
        <v>69</v>
      </c>
      <c r="B46" s="893" t="s">
        <v>358</v>
      </c>
      <c r="C46" s="893"/>
      <c r="D46" s="893" t="s">
        <v>359</v>
      </c>
      <c r="E46" s="19">
        <v>190</v>
      </c>
      <c r="F46" s="19">
        <v>570</v>
      </c>
      <c r="G46" s="893"/>
    </row>
    <row r="47" spans="1:7" ht="30" customHeight="1">
      <c r="A47" s="893"/>
      <c r="B47" s="893"/>
      <c r="C47" s="893"/>
      <c r="D47" s="893"/>
      <c r="E47" s="19">
        <v>460</v>
      </c>
      <c r="F47" s="19">
        <v>460</v>
      </c>
      <c r="G47" s="19" t="s">
        <v>350</v>
      </c>
    </row>
    <row r="48" spans="1:7" ht="30" customHeight="1">
      <c r="A48" s="895" t="s">
        <v>59</v>
      </c>
      <c r="B48" s="896"/>
      <c r="C48" s="897"/>
      <c r="D48" s="19"/>
      <c r="E48" s="34">
        <f>SUM(E36:E47)</f>
        <v>1786</v>
      </c>
      <c r="F48" s="34">
        <f>SUM(F36:F47)</f>
        <v>3938</v>
      </c>
      <c r="G48" s="64"/>
    </row>
    <row r="49" spans="1:7" ht="30" customHeight="1"/>
    <row r="50" spans="1:7" ht="30" customHeight="1"/>
    <row r="51" spans="1:7" ht="30" customHeight="1">
      <c r="A51" s="61" t="s">
        <v>371</v>
      </c>
    </row>
    <row r="52" spans="1:7" ht="30" customHeight="1">
      <c r="A52" s="890" t="s">
        <v>364</v>
      </c>
      <c r="B52" s="890"/>
      <c r="C52" s="63" t="s">
        <v>365</v>
      </c>
      <c r="D52" s="63" t="s">
        <v>366</v>
      </c>
      <c r="E52" s="63" t="s">
        <v>367</v>
      </c>
      <c r="F52" s="63" t="s">
        <v>368</v>
      </c>
      <c r="G52" s="63" t="s">
        <v>369</v>
      </c>
    </row>
    <row r="53" spans="1:7" ht="30" customHeight="1">
      <c r="A53" s="770" t="s">
        <v>59</v>
      </c>
      <c r="B53" s="770"/>
      <c r="C53" s="12">
        <f>C56+C57+C60+C61+C64+C65+C66</f>
        <v>4391</v>
      </c>
      <c r="D53" s="12">
        <f>D56+D57+D60+D61+D64+D65+D66</f>
        <v>4552</v>
      </c>
      <c r="E53" s="12">
        <f>E56+E57+E60+E61+E64+E65+E66</f>
        <v>4552</v>
      </c>
      <c r="F53" s="12">
        <f>F56+F57+F60+F61+F64+F65+F66</f>
        <v>4552</v>
      </c>
      <c r="G53" s="4"/>
    </row>
    <row r="54" spans="1:7" ht="30" customHeight="1">
      <c r="A54" s="770" t="s">
        <v>64</v>
      </c>
      <c r="B54" s="4" t="s">
        <v>360</v>
      </c>
      <c r="C54" s="12">
        <f>F36</f>
        <v>450</v>
      </c>
      <c r="D54" s="12">
        <f>C54</f>
        <v>450</v>
      </c>
      <c r="E54" s="12">
        <f>D54</f>
        <v>450</v>
      </c>
      <c r="F54" s="12">
        <f>E54</f>
        <v>450</v>
      </c>
      <c r="G54" s="4"/>
    </row>
    <row r="55" spans="1:7" ht="30" customHeight="1">
      <c r="A55" s="770"/>
      <c r="B55" s="4" t="s">
        <v>361</v>
      </c>
      <c r="C55" s="12">
        <f>C16</f>
        <v>161</v>
      </c>
      <c r="D55" s="12">
        <f>D16</f>
        <v>322</v>
      </c>
      <c r="E55" s="12">
        <f>E16</f>
        <v>322</v>
      </c>
      <c r="F55" s="12">
        <f>F16</f>
        <v>322</v>
      </c>
      <c r="G55" s="4"/>
    </row>
    <row r="56" spans="1:7" ht="30" customHeight="1">
      <c r="A56" s="770"/>
      <c r="B56" s="4" t="s">
        <v>362</v>
      </c>
      <c r="C56" s="12">
        <f>SUM(C54:C55)</f>
        <v>611</v>
      </c>
      <c r="D56" s="12">
        <f>SUM(D54:D55)</f>
        <v>772</v>
      </c>
      <c r="E56" s="12">
        <f>SUM(E54:E55)</f>
        <v>772</v>
      </c>
      <c r="F56" s="12">
        <f>SUM(F54:F55)</f>
        <v>772</v>
      </c>
      <c r="G56" s="4"/>
    </row>
    <row r="57" spans="1:7" ht="30" customHeight="1">
      <c r="A57" s="4" t="s">
        <v>131</v>
      </c>
      <c r="B57" s="4" t="s">
        <v>360</v>
      </c>
      <c r="C57" s="12">
        <f>F38+F37</f>
        <v>520</v>
      </c>
      <c r="D57" s="12">
        <f t="shared" ref="D57:F58" si="0">C57</f>
        <v>520</v>
      </c>
      <c r="E57" s="12">
        <f t="shared" si="0"/>
        <v>520</v>
      </c>
      <c r="F57" s="12">
        <f t="shared" si="0"/>
        <v>520</v>
      </c>
      <c r="G57" s="4"/>
    </row>
    <row r="58" spans="1:7" ht="30" customHeight="1">
      <c r="A58" s="770" t="s">
        <v>132</v>
      </c>
      <c r="B58" s="4" t="s">
        <v>360</v>
      </c>
      <c r="C58" s="12">
        <f>F39+F40+F41+F42</f>
        <v>1512</v>
      </c>
      <c r="D58" s="12">
        <f t="shared" si="0"/>
        <v>1512</v>
      </c>
      <c r="E58" s="12">
        <f t="shared" si="0"/>
        <v>1512</v>
      </c>
      <c r="F58" s="12">
        <f t="shared" si="0"/>
        <v>1512</v>
      </c>
      <c r="G58" s="4"/>
    </row>
    <row r="59" spans="1:7" ht="30" customHeight="1">
      <c r="A59" s="770"/>
      <c r="B59" s="4" t="s">
        <v>363</v>
      </c>
      <c r="C59" s="12">
        <f>C8</f>
        <v>151</v>
      </c>
      <c r="D59" s="12">
        <f>D8</f>
        <v>151</v>
      </c>
      <c r="E59" s="12">
        <f>E8</f>
        <v>151</v>
      </c>
      <c r="F59" s="12">
        <f>F8</f>
        <v>151</v>
      </c>
      <c r="G59" s="4"/>
    </row>
    <row r="60" spans="1:7" ht="30" customHeight="1">
      <c r="A60" s="770"/>
      <c r="B60" s="4" t="s">
        <v>362</v>
      </c>
      <c r="C60" s="12">
        <f>SUM(C58:C59)</f>
        <v>1663</v>
      </c>
      <c r="D60" s="12">
        <f>SUM(D58:D59)</f>
        <v>1663</v>
      </c>
      <c r="E60" s="12">
        <f>SUM(E58:E59)</f>
        <v>1663</v>
      </c>
      <c r="F60" s="12">
        <f>SUM(F58:F59)</f>
        <v>1663</v>
      </c>
      <c r="G60" s="4"/>
    </row>
    <row r="61" spans="1:7" ht="30" customHeight="1">
      <c r="A61" s="4" t="s">
        <v>370</v>
      </c>
      <c r="B61" s="4" t="s">
        <v>361</v>
      </c>
      <c r="C61" s="12">
        <f>C33</f>
        <v>29</v>
      </c>
      <c r="D61" s="12">
        <f>D33</f>
        <v>29</v>
      </c>
      <c r="E61" s="12">
        <f>E33</f>
        <v>29</v>
      </c>
      <c r="F61" s="12">
        <f>F33</f>
        <v>29</v>
      </c>
      <c r="G61" s="4"/>
    </row>
    <row r="62" spans="1:7" ht="30" customHeight="1">
      <c r="A62" s="770" t="s">
        <v>67</v>
      </c>
      <c r="B62" s="4" t="s">
        <v>360</v>
      </c>
      <c r="C62" s="12">
        <f>F43+F44</f>
        <v>285</v>
      </c>
      <c r="D62" s="12">
        <f>C62</f>
        <v>285</v>
      </c>
      <c r="E62" s="12">
        <f>D62</f>
        <v>285</v>
      </c>
      <c r="F62" s="12">
        <f>E62</f>
        <v>285</v>
      </c>
      <c r="G62" s="4"/>
    </row>
    <row r="63" spans="1:7" ht="30" customHeight="1">
      <c r="A63" s="770"/>
      <c r="B63" s="4" t="s">
        <v>361</v>
      </c>
      <c r="C63" s="12">
        <f>C24</f>
        <v>112</v>
      </c>
      <c r="D63" s="12">
        <f>D24</f>
        <v>112</v>
      </c>
      <c r="E63" s="12">
        <f>E24</f>
        <v>112</v>
      </c>
      <c r="F63" s="12">
        <f>F24</f>
        <v>112</v>
      </c>
      <c r="G63" s="4"/>
    </row>
    <row r="64" spans="1:7" ht="30" customHeight="1">
      <c r="A64" s="770"/>
      <c r="B64" s="4" t="s">
        <v>362</v>
      </c>
      <c r="C64" s="12">
        <f>SUM(C62:C63)</f>
        <v>397</v>
      </c>
      <c r="D64" s="12">
        <f>SUM(D62:D63)</f>
        <v>397</v>
      </c>
      <c r="E64" s="12">
        <f>SUM(E62:E63)</f>
        <v>397</v>
      </c>
      <c r="F64" s="12">
        <f>SUM(F62:F63)</f>
        <v>397</v>
      </c>
      <c r="G64" s="4"/>
    </row>
    <row r="65" spans="1:7" ht="30" customHeight="1">
      <c r="A65" s="4" t="s">
        <v>68</v>
      </c>
      <c r="B65" s="4" t="s">
        <v>360</v>
      </c>
      <c r="C65" s="12">
        <f>F45</f>
        <v>141</v>
      </c>
      <c r="D65" s="12">
        <f t="shared" ref="D65:F66" si="1">C65</f>
        <v>141</v>
      </c>
      <c r="E65" s="12">
        <f t="shared" si="1"/>
        <v>141</v>
      </c>
      <c r="F65" s="12">
        <f t="shared" si="1"/>
        <v>141</v>
      </c>
      <c r="G65" s="4"/>
    </row>
    <row r="66" spans="1:7" ht="30" customHeight="1">
      <c r="A66" s="4" t="s">
        <v>69</v>
      </c>
      <c r="B66" s="4" t="s">
        <v>360</v>
      </c>
      <c r="C66" s="12">
        <f>F46+F47</f>
        <v>1030</v>
      </c>
      <c r="D66" s="12">
        <f t="shared" si="1"/>
        <v>1030</v>
      </c>
      <c r="E66" s="12">
        <f t="shared" si="1"/>
        <v>1030</v>
      </c>
      <c r="F66" s="12">
        <f t="shared" si="1"/>
        <v>1030</v>
      </c>
      <c r="G66" s="4"/>
    </row>
    <row r="67" spans="1:7" ht="30" customHeight="1"/>
    <row r="68" spans="1:7" ht="30" customHeight="1"/>
    <row r="69" spans="1:7" ht="30" customHeight="1"/>
    <row r="70" spans="1:7" ht="30" customHeight="1"/>
    <row r="71" spans="1:7" ht="30" customHeight="1"/>
    <row r="72" spans="1:7" ht="30" customHeight="1"/>
    <row r="73" spans="1:7" ht="30" customHeight="1"/>
    <row r="74" spans="1:7" ht="30" customHeight="1"/>
    <row r="75" spans="1:7" ht="30" customHeight="1"/>
    <row r="76" spans="1:7" ht="30" customHeight="1"/>
    <row r="77" spans="1:7" ht="30" customHeight="1"/>
    <row r="78" spans="1:7" ht="30" customHeight="1"/>
    <row r="79" spans="1:7" ht="30" customHeight="1"/>
    <row r="80" spans="1:7" ht="30" customHeight="1"/>
    <row r="81" ht="30" customHeight="1"/>
    <row r="82" ht="30" customHeight="1"/>
    <row r="83" ht="30" customHeight="1"/>
    <row r="84" ht="30" customHeight="1"/>
    <row r="85" ht="30" customHeight="1"/>
    <row r="86" ht="30" customHeight="1"/>
    <row r="87" ht="30" customHeight="1"/>
    <row r="88" ht="30" customHeight="1"/>
    <row r="89" ht="30" customHeight="1"/>
    <row r="90" ht="30" customHeight="1"/>
    <row r="91" ht="30" customHeight="1"/>
    <row r="92" ht="30" customHeight="1"/>
    <row r="93" ht="30" customHeight="1"/>
    <row r="94" ht="30" customHeight="1"/>
    <row r="95" ht="30" customHeight="1"/>
    <row r="96" ht="30" customHeight="1"/>
    <row r="97" ht="30" customHeight="1"/>
    <row r="98" ht="30" customHeight="1"/>
    <row r="99" ht="30" customHeight="1"/>
    <row r="100" ht="30" customHeight="1"/>
    <row r="101" ht="30" customHeight="1"/>
    <row r="102" ht="30" customHeight="1"/>
    <row r="103" ht="30" customHeight="1"/>
    <row r="104" ht="30" customHeight="1"/>
    <row r="105" ht="30" customHeight="1"/>
    <row r="106" ht="30" customHeight="1"/>
    <row r="107" ht="30" customHeight="1"/>
    <row r="108" ht="30" customHeight="1"/>
    <row r="109" ht="30" customHeight="1"/>
    <row r="110" ht="30" customHeight="1"/>
    <row r="111" ht="30" customHeight="1"/>
    <row r="112" ht="30" customHeight="1"/>
    <row r="113" ht="30" customHeight="1"/>
    <row r="114" ht="30" customHeight="1"/>
    <row r="115" ht="30" customHeight="1"/>
    <row r="116" ht="30" customHeight="1"/>
    <row r="117" ht="30" customHeight="1"/>
    <row r="118" ht="30" customHeight="1"/>
    <row r="119" ht="30" customHeight="1"/>
    <row r="120" ht="30" customHeight="1"/>
    <row r="121" ht="30" customHeight="1"/>
    <row r="122" ht="30" customHeight="1"/>
    <row r="123" ht="30" customHeight="1"/>
    <row r="124" ht="30" customHeight="1"/>
    <row r="125" ht="30" customHeight="1"/>
    <row r="126" ht="30" customHeight="1"/>
    <row r="127" ht="30" customHeight="1"/>
    <row r="128" ht="30" customHeight="1"/>
    <row r="129" ht="30" customHeight="1"/>
    <row r="130" ht="30" customHeight="1"/>
    <row r="131" ht="30" customHeight="1"/>
    <row r="132" ht="30" customHeight="1"/>
    <row r="133" ht="30" customHeight="1"/>
    <row r="134" ht="30" customHeight="1"/>
    <row r="135" ht="30" customHeight="1"/>
    <row r="136" ht="30" customHeight="1"/>
    <row r="137" ht="30" customHeight="1"/>
    <row r="138" ht="30" customHeight="1"/>
    <row r="139" ht="30" customHeight="1"/>
    <row r="140" ht="30" customHeight="1"/>
    <row r="141" ht="30" customHeight="1"/>
    <row r="142" ht="30" customHeight="1"/>
    <row r="143" ht="30" customHeight="1"/>
    <row r="144" ht="30" customHeight="1"/>
    <row r="145" ht="30" customHeight="1"/>
    <row r="146" ht="30" customHeight="1"/>
    <row r="147" ht="30" customHeight="1"/>
    <row r="148" ht="30" customHeight="1"/>
    <row r="149" ht="30" customHeight="1"/>
    <row r="150" ht="30" customHeight="1"/>
    <row r="151" ht="30" customHeight="1"/>
    <row r="152" ht="30" customHeight="1"/>
    <row r="153" ht="30" customHeight="1"/>
    <row r="154" ht="30" customHeight="1"/>
    <row r="155" ht="30" customHeight="1"/>
    <row r="156" ht="30" customHeight="1"/>
    <row r="157" ht="30" customHeight="1"/>
    <row r="158" ht="30" customHeight="1"/>
    <row r="159" ht="30" customHeight="1"/>
    <row r="160" ht="30" customHeight="1"/>
    <row r="161" ht="30" customHeight="1"/>
    <row r="162" ht="30" customHeight="1"/>
    <row r="163" ht="30" customHeight="1"/>
    <row r="164" ht="30" customHeight="1"/>
    <row r="165" ht="30" customHeight="1"/>
    <row r="166" ht="30" customHeight="1"/>
    <row r="167" ht="30" customHeight="1"/>
    <row r="168" ht="30" customHeight="1"/>
    <row r="169" ht="30" customHeight="1"/>
    <row r="170" ht="30" customHeight="1"/>
    <row r="171" ht="30" customHeight="1"/>
    <row r="172" ht="30" customHeight="1"/>
    <row r="173" ht="30" customHeight="1"/>
    <row r="174" ht="30" customHeight="1"/>
    <row r="175" ht="30" customHeight="1"/>
    <row r="176" ht="30" customHeight="1"/>
    <row r="177" ht="30" customHeight="1"/>
    <row r="178" ht="30" customHeight="1"/>
    <row r="179" ht="30" customHeight="1"/>
    <row r="180" ht="30" customHeight="1"/>
    <row r="181" ht="30" customHeight="1"/>
    <row r="182" ht="30" customHeight="1"/>
    <row r="183" ht="30" customHeight="1"/>
    <row r="184" ht="30" customHeight="1"/>
    <row r="185" ht="30" customHeight="1"/>
    <row r="186" ht="30" customHeight="1"/>
    <row r="187" ht="30" customHeight="1"/>
    <row r="188" ht="30" customHeight="1"/>
    <row r="189" ht="30" customHeight="1"/>
    <row r="190" ht="30" customHeight="1"/>
    <row r="191" ht="30" customHeight="1"/>
    <row r="192" ht="30" customHeight="1"/>
    <row r="193" ht="30" customHeight="1"/>
    <row r="194" ht="30" customHeight="1"/>
    <row r="195" ht="30" customHeight="1"/>
    <row r="196" ht="30" customHeight="1"/>
    <row r="197" ht="30" customHeight="1"/>
    <row r="198" ht="30" customHeight="1"/>
    <row r="199" ht="30" customHeight="1"/>
    <row r="200" ht="30" customHeight="1"/>
    <row r="201" ht="30" customHeight="1"/>
    <row r="202" ht="30" customHeight="1"/>
    <row r="203" ht="30" customHeight="1"/>
    <row r="204" ht="30" customHeight="1"/>
    <row r="205" ht="30" customHeight="1"/>
    <row r="206" ht="30" customHeight="1"/>
    <row r="207" ht="30" customHeight="1"/>
    <row r="208" ht="30" customHeight="1"/>
    <row r="209" ht="30" customHeight="1"/>
    <row r="210" ht="30" customHeight="1"/>
    <row r="211" ht="30" customHeight="1"/>
    <row r="212" ht="30" customHeight="1"/>
    <row r="213" ht="30" customHeight="1"/>
    <row r="214" ht="30" customHeight="1"/>
    <row r="215" ht="30" customHeight="1"/>
    <row r="216" ht="30" customHeight="1"/>
    <row r="217" ht="30" customHeight="1"/>
    <row r="218" ht="30" customHeight="1"/>
    <row r="219" ht="30" customHeight="1"/>
    <row r="220" ht="30" customHeight="1"/>
    <row r="221" ht="30" customHeight="1"/>
    <row r="222" ht="30" customHeight="1"/>
    <row r="223" ht="30" customHeight="1"/>
    <row r="224" ht="30" customHeight="1"/>
    <row r="225" ht="30" customHeight="1"/>
    <row r="226" ht="30" customHeight="1"/>
    <row r="227" ht="30" customHeight="1"/>
    <row r="228" ht="30" customHeight="1"/>
    <row r="229" ht="30" customHeight="1"/>
    <row r="230" ht="30" customHeight="1"/>
    <row r="231" ht="30" customHeight="1"/>
    <row r="232" ht="30" customHeight="1"/>
    <row r="233" ht="30" customHeight="1"/>
    <row r="234" ht="30" customHeight="1"/>
    <row r="235" ht="30" customHeight="1"/>
    <row r="236" ht="30" customHeight="1"/>
    <row r="237" ht="30" customHeight="1"/>
    <row r="238" ht="30" customHeight="1"/>
    <row r="239" ht="30" customHeight="1"/>
    <row r="240" ht="30" customHeight="1"/>
    <row r="241" ht="30" customHeight="1"/>
    <row r="242" ht="30" customHeight="1"/>
    <row r="243" ht="30" customHeight="1"/>
    <row r="244" ht="30" customHeight="1"/>
    <row r="245" ht="30" customHeight="1"/>
    <row r="246" ht="30" customHeight="1"/>
    <row r="247" ht="30" customHeight="1"/>
    <row r="248" ht="30" customHeight="1"/>
    <row r="249" ht="30" customHeight="1"/>
    <row r="250" ht="30" customHeight="1"/>
    <row r="251" ht="30" customHeight="1"/>
    <row r="252" ht="30" customHeight="1"/>
    <row r="253" ht="30" customHeight="1"/>
    <row r="254" ht="30" customHeight="1"/>
    <row r="255" ht="30" customHeight="1"/>
    <row r="256" ht="30" customHeight="1"/>
    <row r="257" ht="30" customHeight="1"/>
    <row r="258" ht="30" customHeight="1"/>
    <row r="259" ht="30" customHeight="1"/>
    <row r="260" ht="30" customHeight="1"/>
    <row r="261" ht="30" customHeight="1"/>
    <row r="262" ht="30" customHeight="1"/>
    <row r="263" ht="30" customHeight="1"/>
    <row r="264" ht="30" customHeight="1"/>
    <row r="265" ht="30" customHeight="1"/>
    <row r="266" ht="30" customHeight="1"/>
    <row r="267" ht="30" customHeight="1"/>
    <row r="268" ht="30" customHeight="1"/>
    <row r="269" ht="30" customHeight="1"/>
    <row r="270" ht="30" customHeight="1"/>
    <row r="271" ht="30" customHeight="1"/>
    <row r="272" ht="30" customHeight="1"/>
    <row r="273" ht="30" customHeight="1"/>
    <row r="274" ht="30" customHeight="1"/>
    <row r="275" ht="30" customHeight="1"/>
    <row r="276" ht="30" customHeight="1"/>
    <row r="277" ht="30" customHeight="1"/>
    <row r="278" ht="30" customHeight="1"/>
    <row r="279" ht="30" customHeight="1"/>
    <row r="280" ht="30" customHeight="1"/>
    <row r="281" ht="30" customHeight="1"/>
    <row r="282" ht="30" customHeight="1"/>
    <row r="283" ht="30" customHeight="1"/>
    <row r="284" ht="30" customHeight="1"/>
    <row r="285" ht="30" customHeight="1"/>
    <row r="286" ht="30" customHeight="1"/>
    <row r="287" ht="30" customHeight="1"/>
    <row r="288" ht="30" customHeight="1"/>
    <row r="289" ht="30" customHeight="1"/>
    <row r="290" ht="30" customHeight="1"/>
    <row r="291" ht="30" customHeight="1"/>
  </sheetData>
  <mergeCells count="53">
    <mergeCell ref="G36:G37"/>
    <mergeCell ref="G39:G46"/>
    <mergeCell ref="B40:C40"/>
    <mergeCell ref="B41:C41"/>
    <mergeCell ref="B42:C42"/>
    <mergeCell ref="B43:C43"/>
    <mergeCell ref="D46:D47"/>
    <mergeCell ref="A39:A42"/>
    <mergeCell ref="A43:A44"/>
    <mergeCell ref="A46:A47"/>
    <mergeCell ref="A62:A64"/>
    <mergeCell ref="A53:B53"/>
    <mergeCell ref="A54:A56"/>
    <mergeCell ref="A58:A60"/>
    <mergeCell ref="B44:C44"/>
    <mergeCell ref="B45:C45"/>
    <mergeCell ref="B46:C47"/>
    <mergeCell ref="A48:C48"/>
    <mergeCell ref="A23:B23"/>
    <mergeCell ref="D37:D38"/>
    <mergeCell ref="A52:B52"/>
    <mergeCell ref="A30:B30"/>
    <mergeCell ref="A31:B31"/>
    <mergeCell ref="A32:B32"/>
    <mergeCell ref="A33:B33"/>
    <mergeCell ref="B35:C35"/>
    <mergeCell ref="B36:C36"/>
    <mergeCell ref="B39:C39"/>
    <mergeCell ref="B37:C38"/>
    <mergeCell ref="A37:A38"/>
    <mergeCell ref="A24:B24"/>
    <mergeCell ref="A27:B27"/>
    <mergeCell ref="A28:B28"/>
    <mergeCell ref="A29:B29"/>
    <mergeCell ref="A18:B18"/>
    <mergeCell ref="A19:B19"/>
    <mergeCell ref="A20:B20"/>
    <mergeCell ref="A21:B21"/>
    <mergeCell ref="A22:B22"/>
    <mergeCell ref="A15:B15"/>
    <mergeCell ref="A16:B16"/>
    <mergeCell ref="A11:B11"/>
    <mergeCell ref="A12:B12"/>
    <mergeCell ref="A13:B13"/>
    <mergeCell ref="A14:B14"/>
    <mergeCell ref="A6:B6"/>
    <mergeCell ref="A7:B7"/>
    <mergeCell ref="A8:B8"/>
    <mergeCell ref="A10:B10"/>
    <mergeCell ref="A2:B2"/>
    <mergeCell ref="A3:B3"/>
    <mergeCell ref="A4:B4"/>
    <mergeCell ref="A5:B5"/>
  </mergeCells>
  <phoneticPr fontId="3" type="noConversion"/>
  <printOptions horizontalCentered="1"/>
  <pageMargins left="0.6692913385826772" right="0.62992125984251968" top="0.59055118110236227" bottom="0.55118110236220474" header="0.51181102362204722" footer="0.51181102362204722"/>
  <pageSetup paperSize="9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>
  <dimension ref="A1:AE267"/>
  <sheetViews>
    <sheetView workbookViewId="0"/>
  </sheetViews>
  <sheetFormatPr defaultRowHeight="11.25"/>
  <cols>
    <col min="1" max="24" width="8.88671875" style="1"/>
    <col min="25" max="26" width="12.6640625" style="1" customWidth="1"/>
    <col min="27" max="16384" width="8.88671875" style="1"/>
  </cols>
  <sheetData>
    <row r="1" spans="1:31" ht="24.95" customHeight="1"/>
    <row r="2" spans="1:31" ht="24.95" customHeight="1">
      <c r="A2" s="829" t="s">
        <v>57</v>
      </c>
      <c r="B2" s="829"/>
      <c r="C2" s="24" t="s">
        <v>126</v>
      </c>
      <c r="D2" s="24" t="s">
        <v>119</v>
      </c>
      <c r="E2" s="24" t="s">
        <v>120</v>
      </c>
      <c r="F2" s="24" t="s">
        <v>121</v>
      </c>
      <c r="G2" s="24" t="s">
        <v>122</v>
      </c>
      <c r="H2" s="24" t="s">
        <v>127</v>
      </c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</row>
    <row r="3" spans="1:31" ht="24.95" customHeight="1">
      <c r="A3" s="787" t="s">
        <v>128</v>
      </c>
      <c r="B3" s="23" t="s">
        <v>129</v>
      </c>
      <c r="C3" s="898">
        <v>1</v>
      </c>
      <c r="D3" s="29">
        <v>14437</v>
      </c>
      <c r="E3" s="29">
        <v>19641</v>
      </c>
      <c r="F3" s="29">
        <v>19641</v>
      </c>
      <c r="G3" s="29">
        <v>19641</v>
      </c>
      <c r="H3" s="23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2" t="s">
        <v>138</v>
      </c>
    </row>
    <row r="4" spans="1:31" ht="24.95" customHeight="1">
      <c r="A4" s="787"/>
      <c r="B4" s="23" t="s">
        <v>130</v>
      </c>
      <c r="C4" s="898"/>
      <c r="D4" s="29">
        <v>21655</v>
      </c>
      <c r="E4" s="29">
        <v>29461</v>
      </c>
      <c r="F4" s="29">
        <v>29461</v>
      </c>
      <c r="G4" s="29">
        <v>29461</v>
      </c>
      <c r="H4" s="23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782" t="s">
        <v>0</v>
      </c>
      <c r="Z4" s="782"/>
      <c r="AA4" s="17" t="s">
        <v>119</v>
      </c>
      <c r="AB4" s="17" t="s">
        <v>120</v>
      </c>
      <c r="AC4" s="17" t="s">
        <v>121</v>
      </c>
      <c r="AD4" s="17" t="s">
        <v>122</v>
      </c>
      <c r="AE4" s="2" t="s">
        <v>30</v>
      </c>
    </row>
    <row r="5" spans="1:31" ht="24.95" customHeight="1">
      <c r="A5" s="787" t="s">
        <v>64</v>
      </c>
      <c r="B5" s="23" t="s">
        <v>129</v>
      </c>
      <c r="C5" s="899">
        <v>0.43919999999999998</v>
      </c>
      <c r="D5" s="29">
        <v>6342</v>
      </c>
      <c r="E5" s="29">
        <v>8627</v>
      </c>
      <c r="F5" s="29">
        <v>8627</v>
      </c>
      <c r="G5" s="29">
        <v>8627</v>
      </c>
      <c r="H5" s="23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781" t="s">
        <v>98</v>
      </c>
      <c r="Z5" s="10" t="s">
        <v>99</v>
      </c>
      <c r="AA5" s="4">
        <v>279</v>
      </c>
      <c r="AB5" s="4">
        <v>289</v>
      </c>
      <c r="AC5" s="4">
        <v>296</v>
      </c>
      <c r="AD5" s="4">
        <v>303</v>
      </c>
      <c r="AE5" s="2"/>
    </row>
    <row r="6" spans="1:31" ht="24.95" customHeight="1">
      <c r="A6" s="787"/>
      <c r="B6" s="23" t="s">
        <v>130</v>
      </c>
      <c r="C6" s="899"/>
      <c r="D6" s="29">
        <v>9512</v>
      </c>
      <c r="E6" s="29">
        <v>12943</v>
      </c>
      <c r="F6" s="29">
        <v>12943</v>
      </c>
      <c r="G6" s="29">
        <v>12943</v>
      </c>
      <c r="H6" s="23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782"/>
      <c r="Z6" s="10" t="s">
        <v>101</v>
      </c>
      <c r="AA6" s="4">
        <v>235</v>
      </c>
      <c r="AB6" s="4">
        <v>250</v>
      </c>
      <c r="AC6" s="4">
        <v>265</v>
      </c>
      <c r="AD6" s="4">
        <v>278</v>
      </c>
      <c r="AE6" s="2"/>
    </row>
    <row r="7" spans="1:31" ht="24.95" customHeight="1">
      <c r="A7" s="787" t="s">
        <v>131</v>
      </c>
      <c r="B7" s="23" t="s">
        <v>129</v>
      </c>
      <c r="C7" s="899">
        <v>3.9699999999999999E-2</v>
      </c>
      <c r="D7" s="23">
        <v>573</v>
      </c>
      <c r="E7" s="23">
        <v>780</v>
      </c>
      <c r="F7" s="23">
        <v>780</v>
      </c>
      <c r="G7" s="23">
        <v>780</v>
      </c>
      <c r="H7" s="23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770" t="s">
        <v>139</v>
      </c>
      <c r="Z7" s="10" t="s">
        <v>99</v>
      </c>
      <c r="AA7" s="2">
        <f>ROUND(AA5*0.65,0)</f>
        <v>181</v>
      </c>
      <c r="AB7" s="2">
        <f t="shared" ref="AB7:AD8" si="0">ROUND(AB5*0.65,0)</f>
        <v>188</v>
      </c>
      <c r="AC7" s="2">
        <f t="shared" si="0"/>
        <v>192</v>
      </c>
      <c r="AD7" s="2">
        <f t="shared" si="0"/>
        <v>197</v>
      </c>
      <c r="AE7" s="31">
        <v>0.65</v>
      </c>
    </row>
    <row r="8" spans="1:31" ht="24.95" customHeight="1">
      <c r="A8" s="787"/>
      <c r="B8" s="23" t="s">
        <v>130</v>
      </c>
      <c r="C8" s="899"/>
      <c r="D8" s="23">
        <v>860</v>
      </c>
      <c r="E8" s="29">
        <v>1170</v>
      </c>
      <c r="F8" s="29">
        <v>1170</v>
      </c>
      <c r="G8" s="29">
        <v>1170</v>
      </c>
      <c r="H8" s="23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770"/>
      <c r="Z8" s="10" t="s">
        <v>101</v>
      </c>
      <c r="AA8" s="2">
        <f>ROUND(AA6*0.65,0)</f>
        <v>153</v>
      </c>
      <c r="AB8" s="2">
        <f t="shared" si="0"/>
        <v>163</v>
      </c>
      <c r="AC8" s="2">
        <f t="shared" si="0"/>
        <v>172</v>
      </c>
      <c r="AD8" s="2">
        <f t="shared" si="0"/>
        <v>181</v>
      </c>
      <c r="AE8" s="31">
        <v>0.65</v>
      </c>
    </row>
    <row r="9" spans="1:31" ht="24.95" customHeight="1">
      <c r="A9" s="787" t="s">
        <v>132</v>
      </c>
      <c r="B9" s="23" t="s">
        <v>129</v>
      </c>
      <c r="C9" s="899">
        <v>0.1013</v>
      </c>
      <c r="D9" s="29">
        <v>1462</v>
      </c>
      <c r="E9" s="29">
        <v>1990</v>
      </c>
      <c r="F9" s="29">
        <v>1990</v>
      </c>
      <c r="G9" s="29">
        <v>1990</v>
      </c>
      <c r="H9" s="23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770" t="s">
        <v>140</v>
      </c>
      <c r="Z9" s="2" t="s">
        <v>136</v>
      </c>
      <c r="AA9" s="2">
        <f>ROUND(AA7*0.5,0)</f>
        <v>91</v>
      </c>
      <c r="AB9" s="2">
        <f>ROUND(AB7*0.5,0)</f>
        <v>94</v>
      </c>
      <c r="AC9" s="2">
        <f>ROUND(AC7*0.5,0)</f>
        <v>96</v>
      </c>
      <c r="AD9" s="2">
        <f>ROUND(AD7*0.5,0)</f>
        <v>99</v>
      </c>
      <c r="AE9" s="31">
        <v>0.5</v>
      </c>
    </row>
    <row r="10" spans="1:31" ht="24.95" customHeight="1">
      <c r="A10" s="787"/>
      <c r="B10" s="23" t="s">
        <v>130</v>
      </c>
      <c r="C10" s="899"/>
      <c r="D10" s="29">
        <v>2194</v>
      </c>
      <c r="E10" s="29">
        <v>2984</v>
      </c>
      <c r="F10" s="29">
        <v>2984</v>
      </c>
      <c r="G10" s="29">
        <v>2984</v>
      </c>
      <c r="H10" s="23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770"/>
      <c r="Z10" s="2" t="s">
        <v>137</v>
      </c>
      <c r="AA10" s="2">
        <f>ROUND(AA7*0.15,0)</f>
        <v>27</v>
      </c>
      <c r="AB10" s="2">
        <f>ROUND(AB7*0.15,0)</f>
        <v>28</v>
      </c>
      <c r="AC10" s="2">
        <f>ROUND(AC7*0.15,0)</f>
        <v>29</v>
      </c>
      <c r="AD10" s="2">
        <f>ROUND(AD7*0.15,0)</f>
        <v>30</v>
      </c>
      <c r="AE10" s="31">
        <v>0.15</v>
      </c>
    </row>
    <row r="11" spans="1:31" ht="24.95" customHeight="1">
      <c r="A11" s="788" t="s">
        <v>133</v>
      </c>
      <c r="B11" s="23" t="s">
        <v>129</v>
      </c>
      <c r="C11" s="899">
        <v>0.15690000000000001</v>
      </c>
      <c r="D11" s="29">
        <v>2265</v>
      </c>
      <c r="E11" s="29">
        <v>3082</v>
      </c>
      <c r="F11" s="29">
        <v>3082</v>
      </c>
      <c r="G11" s="29">
        <v>3082</v>
      </c>
      <c r="H11" s="23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770" t="s">
        <v>141</v>
      </c>
      <c r="Z11" s="2" t="s">
        <v>136</v>
      </c>
      <c r="AA11" s="2">
        <f>ROUND(AA8*0.5,0)</f>
        <v>77</v>
      </c>
      <c r="AB11" s="2">
        <f>ROUND(AB8*0.5,0)</f>
        <v>82</v>
      </c>
      <c r="AC11" s="2">
        <f>ROUND(AC8*0.5,0)</f>
        <v>86</v>
      </c>
      <c r="AD11" s="2">
        <f>ROUND(AD8*0.5,0)</f>
        <v>91</v>
      </c>
      <c r="AE11" s="31">
        <v>0.5</v>
      </c>
    </row>
    <row r="12" spans="1:31" ht="24.95" customHeight="1">
      <c r="A12" s="790"/>
      <c r="B12" s="23" t="s">
        <v>130</v>
      </c>
      <c r="C12" s="899"/>
      <c r="D12" s="29">
        <v>3398</v>
      </c>
      <c r="E12" s="29">
        <v>4622</v>
      </c>
      <c r="F12" s="29">
        <v>4622</v>
      </c>
      <c r="G12" s="29">
        <v>4622</v>
      </c>
      <c r="H12" s="23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770"/>
      <c r="Z12" s="2" t="s">
        <v>137</v>
      </c>
      <c r="AA12" s="2">
        <f>ROUND(AA8*0.15,0)</f>
        <v>23</v>
      </c>
      <c r="AB12" s="2">
        <f>ROUND(AB8*0.15,0)</f>
        <v>24</v>
      </c>
      <c r="AC12" s="2">
        <f>ROUND(AC8*0.15,0)</f>
        <v>26</v>
      </c>
      <c r="AD12" s="2">
        <f>ROUND(AD8*0.15,0)</f>
        <v>27</v>
      </c>
      <c r="AE12" s="31">
        <v>0.15</v>
      </c>
    </row>
    <row r="13" spans="1:31" ht="24.95" customHeight="1">
      <c r="A13" s="787" t="s">
        <v>67</v>
      </c>
      <c r="B13" s="23" t="s">
        <v>129</v>
      </c>
      <c r="C13" s="899">
        <v>0.18720000000000001</v>
      </c>
      <c r="D13" s="29">
        <v>2703</v>
      </c>
      <c r="E13" s="29">
        <v>3677</v>
      </c>
      <c r="F13" s="29">
        <v>3677</v>
      </c>
      <c r="G13" s="29">
        <v>3677</v>
      </c>
      <c r="H13" s="23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</row>
    <row r="14" spans="1:31" ht="24.95" customHeight="1">
      <c r="A14" s="787"/>
      <c r="B14" s="23" t="s">
        <v>130</v>
      </c>
      <c r="C14" s="899"/>
      <c r="D14" s="29">
        <v>4054</v>
      </c>
      <c r="E14" s="29">
        <v>5515</v>
      </c>
      <c r="F14" s="29">
        <v>5515</v>
      </c>
      <c r="G14" s="29">
        <v>5515</v>
      </c>
      <c r="H14" s="23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</row>
    <row r="15" spans="1:31" ht="24.95" customHeight="1">
      <c r="A15" s="787" t="s">
        <v>68</v>
      </c>
      <c r="B15" s="23" t="s">
        <v>129</v>
      </c>
      <c r="C15" s="899">
        <v>2.18E-2</v>
      </c>
      <c r="D15" s="23">
        <v>315</v>
      </c>
      <c r="E15" s="23">
        <v>428</v>
      </c>
      <c r="F15" s="23">
        <v>428</v>
      </c>
      <c r="G15" s="23">
        <v>428</v>
      </c>
      <c r="H15" s="23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</row>
    <row r="16" spans="1:31" ht="24.95" customHeight="1">
      <c r="A16" s="787"/>
      <c r="B16" s="23" t="s">
        <v>130</v>
      </c>
      <c r="C16" s="899"/>
      <c r="D16" s="23">
        <v>472</v>
      </c>
      <c r="E16" s="23">
        <v>642</v>
      </c>
      <c r="F16" s="23">
        <v>642</v>
      </c>
      <c r="G16" s="23">
        <v>642</v>
      </c>
      <c r="H16" s="23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</row>
    <row r="17" spans="1:31" ht="24.95" customHeight="1">
      <c r="A17" s="787" t="s">
        <v>69</v>
      </c>
      <c r="B17" s="23" t="s">
        <v>129</v>
      </c>
      <c r="C17" s="899">
        <v>5.3800000000000001E-2</v>
      </c>
      <c r="D17" s="23">
        <v>777</v>
      </c>
      <c r="E17" s="29">
        <v>1057</v>
      </c>
      <c r="F17" s="29">
        <v>1057</v>
      </c>
      <c r="G17" s="29">
        <v>1057</v>
      </c>
      <c r="H17" s="23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2" t="s">
        <v>142</v>
      </c>
    </row>
    <row r="18" spans="1:31" ht="24.95" customHeight="1">
      <c r="A18" s="787"/>
      <c r="B18" s="23" t="s">
        <v>130</v>
      </c>
      <c r="C18" s="899"/>
      <c r="D18" s="29">
        <v>1165</v>
      </c>
      <c r="E18" s="29">
        <v>1585</v>
      </c>
      <c r="F18" s="29">
        <v>1585</v>
      </c>
      <c r="G18" s="29">
        <v>1585</v>
      </c>
      <c r="H18" s="23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782" t="s">
        <v>0</v>
      </c>
      <c r="Z18" s="782"/>
      <c r="AA18" s="17" t="s">
        <v>119</v>
      </c>
      <c r="AB18" s="17" t="s">
        <v>120</v>
      </c>
      <c r="AC18" s="17" t="s">
        <v>121</v>
      </c>
      <c r="AD18" s="17" t="s">
        <v>122</v>
      </c>
      <c r="AE18" s="2" t="s">
        <v>30</v>
      </c>
    </row>
    <row r="19" spans="1:31" ht="24.95" customHeight="1">
      <c r="Y19" s="770" t="s">
        <v>134</v>
      </c>
      <c r="Z19" s="661"/>
      <c r="AA19" s="19">
        <v>178</v>
      </c>
      <c r="AB19" s="19">
        <v>188</v>
      </c>
      <c r="AC19" s="19">
        <v>196</v>
      </c>
      <c r="AD19" s="19">
        <v>204</v>
      </c>
      <c r="AE19" s="2"/>
    </row>
    <row r="20" spans="1:31" ht="24.95" customHeight="1">
      <c r="A20" s="32" t="s">
        <v>144</v>
      </c>
      <c r="I20" s="32" t="s">
        <v>151</v>
      </c>
      <c r="Q20" s="32" t="s">
        <v>151</v>
      </c>
      <c r="Y20" s="770" t="s">
        <v>135</v>
      </c>
      <c r="Z20" s="2" t="s">
        <v>136</v>
      </c>
      <c r="AA20" s="2">
        <f>ROUND(AA19*0.5,0)</f>
        <v>89</v>
      </c>
      <c r="AB20" s="2">
        <f>ROUND(AB19*0.5,0)</f>
        <v>94</v>
      </c>
      <c r="AC20" s="2">
        <f>ROUND(AC19*0.5,0)</f>
        <v>98</v>
      </c>
      <c r="AD20" s="2">
        <f>ROUND(AD19*0.5,0)</f>
        <v>102</v>
      </c>
      <c r="AE20" s="31">
        <v>0.5</v>
      </c>
    </row>
    <row r="21" spans="1:31" ht="24.95" customHeight="1">
      <c r="A21" s="829" t="s">
        <v>57</v>
      </c>
      <c r="B21" s="829"/>
      <c r="C21" s="24" t="s">
        <v>119</v>
      </c>
      <c r="D21" s="24" t="s">
        <v>120</v>
      </c>
      <c r="E21" s="24" t="s">
        <v>121</v>
      </c>
      <c r="F21" s="24" t="s">
        <v>122</v>
      </c>
      <c r="G21" s="24" t="s">
        <v>127</v>
      </c>
      <c r="I21" s="829" t="s">
        <v>57</v>
      </c>
      <c r="J21" s="829"/>
      <c r="K21" s="24" t="s">
        <v>119</v>
      </c>
      <c r="L21" s="24" t="s">
        <v>120</v>
      </c>
      <c r="M21" s="24" t="s">
        <v>121</v>
      </c>
      <c r="N21" s="24" t="s">
        <v>122</v>
      </c>
      <c r="O21" s="24" t="s">
        <v>127</v>
      </c>
      <c r="P21" s="36"/>
      <c r="Q21" s="829" t="s">
        <v>57</v>
      </c>
      <c r="R21" s="829"/>
      <c r="S21" s="24" t="s">
        <v>119</v>
      </c>
      <c r="T21" s="24" t="s">
        <v>120</v>
      </c>
      <c r="U21" s="24" t="s">
        <v>121</v>
      </c>
      <c r="V21" s="24" t="s">
        <v>122</v>
      </c>
      <c r="W21" s="24" t="s">
        <v>127</v>
      </c>
      <c r="X21" s="36"/>
      <c r="Y21" s="770"/>
      <c r="Z21" s="2" t="s">
        <v>137</v>
      </c>
      <c r="AA21" s="2">
        <f>ROUND(AA19*0.15,0)</f>
        <v>27</v>
      </c>
      <c r="AB21" s="2">
        <f>ROUND(AB19*0.15,0)</f>
        <v>28</v>
      </c>
      <c r="AC21" s="2">
        <f>ROUND(AC19*0.15,0)</f>
        <v>29</v>
      </c>
      <c r="AD21" s="2">
        <f>ROUND(AD19*0.15,0)</f>
        <v>31</v>
      </c>
      <c r="AE21" s="31">
        <v>0.15</v>
      </c>
    </row>
    <row r="22" spans="1:31" ht="24.95" customHeight="1">
      <c r="A22" s="787" t="s">
        <v>59</v>
      </c>
      <c r="B22" s="23" t="s">
        <v>129</v>
      </c>
      <c r="C22" s="35">
        <v>14437</v>
      </c>
      <c r="D22" s="35">
        <v>19641</v>
      </c>
      <c r="E22" s="35">
        <v>19641</v>
      </c>
      <c r="F22" s="35">
        <v>19641</v>
      </c>
      <c r="G22" s="23"/>
      <c r="I22" s="787" t="s">
        <v>59</v>
      </c>
      <c r="J22" s="23" t="s">
        <v>150</v>
      </c>
      <c r="K22" s="29">
        <v>21655</v>
      </c>
      <c r="L22" s="29">
        <v>29461</v>
      </c>
      <c r="M22" s="29">
        <v>29461</v>
      </c>
      <c r="N22" s="29">
        <v>29461</v>
      </c>
      <c r="O22" s="23"/>
      <c r="P22" s="37"/>
      <c r="Q22" s="787" t="s">
        <v>59</v>
      </c>
      <c r="R22" s="23" t="s">
        <v>152</v>
      </c>
      <c r="S22" s="29">
        <f t="shared" ref="S22:V23" si="1">S25+S28+S31+S34+S37+S40+S43</f>
        <v>1220</v>
      </c>
      <c r="T22" s="29">
        <f t="shared" si="1"/>
        <v>1739</v>
      </c>
      <c r="U22" s="29">
        <f t="shared" si="1"/>
        <v>1795</v>
      </c>
      <c r="V22" s="29">
        <f t="shared" si="1"/>
        <v>1872</v>
      </c>
      <c r="W22" s="23"/>
      <c r="X22" s="37"/>
    </row>
    <row r="23" spans="1:31" ht="24.95" customHeight="1">
      <c r="A23" s="787"/>
      <c r="B23" s="23" t="s">
        <v>70</v>
      </c>
      <c r="C23" s="35" t="s">
        <v>143</v>
      </c>
      <c r="D23" s="35" t="s">
        <v>143</v>
      </c>
      <c r="E23" s="35" t="s">
        <v>143</v>
      </c>
      <c r="F23" s="35" t="s">
        <v>143</v>
      </c>
      <c r="G23" s="23"/>
      <c r="I23" s="787"/>
      <c r="J23" s="23" t="s">
        <v>70</v>
      </c>
      <c r="K23" s="35" t="s">
        <v>143</v>
      </c>
      <c r="L23" s="35" t="s">
        <v>143</v>
      </c>
      <c r="M23" s="35" t="s">
        <v>143</v>
      </c>
      <c r="N23" s="35" t="s">
        <v>143</v>
      </c>
      <c r="O23" s="23"/>
      <c r="P23" s="37"/>
      <c r="Q23" s="787"/>
      <c r="R23" s="23" t="s">
        <v>150</v>
      </c>
      <c r="S23" s="29">
        <f t="shared" si="1"/>
        <v>545</v>
      </c>
      <c r="T23" s="29">
        <f t="shared" si="1"/>
        <v>770</v>
      </c>
      <c r="U23" s="29">
        <f t="shared" si="1"/>
        <v>813</v>
      </c>
      <c r="V23" s="29">
        <f t="shared" si="1"/>
        <v>844</v>
      </c>
      <c r="W23" s="23"/>
      <c r="X23" s="37"/>
    </row>
    <row r="24" spans="1:31" ht="24.95" customHeight="1">
      <c r="A24" s="787"/>
      <c r="B24" s="23" t="s">
        <v>124</v>
      </c>
      <c r="C24" s="35">
        <f>C27+C30+C33+C36+C39+C42+C45</f>
        <v>1220</v>
      </c>
      <c r="D24" s="35">
        <f>D27+D30+D33+D36+D39+D42+D45</f>
        <v>1739</v>
      </c>
      <c r="E24" s="35">
        <f>E27+E30+E33+E36+E39+E42+E45</f>
        <v>1795</v>
      </c>
      <c r="F24" s="35">
        <f>F27+F30+F33+F36+F39+F42+F45</f>
        <v>1872</v>
      </c>
      <c r="G24" s="23"/>
      <c r="I24" s="787"/>
      <c r="J24" s="23" t="s">
        <v>124</v>
      </c>
      <c r="K24" s="35">
        <f>K27+K30+K33+K36+K39+K42+K45</f>
        <v>545</v>
      </c>
      <c r="L24" s="35">
        <f>L27+L30+L33+L36+L39+L42+L45</f>
        <v>770</v>
      </c>
      <c r="M24" s="35">
        <f>M27+M30+M33+M36+M39+M42+M45</f>
        <v>813</v>
      </c>
      <c r="N24" s="35">
        <f>N27+N30+N33+N36+N39+N42+N45</f>
        <v>844</v>
      </c>
      <c r="O24" s="23"/>
      <c r="P24" s="37"/>
      <c r="Q24" s="787"/>
      <c r="R24" s="23" t="s">
        <v>153</v>
      </c>
      <c r="S24" s="35">
        <f>SUM(S22:S23)</f>
        <v>1765</v>
      </c>
      <c r="T24" s="35">
        <f>SUM(T22:T23)</f>
        <v>2509</v>
      </c>
      <c r="U24" s="35">
        <f>SUM(U22:U23)</f>
        <v>2608</v>
      </c>
      <c r="V24" s="35">
        <f>SUM(V22:V23)</f>
        <v>2716</v>
      </c>
      <c r="W24" s="23"/>
      <c r="X24" s="37"/>
      <c r="Y24" s="32" t="s">
        <v>146</v>
      </c>
    </row>
    <row r="25" spans="1:31" ht="24.95" customHeight="1">
      <c r="A25" s="787" t="s">
        <v>64</v>
      </c>
      <c r="B25" s="23" t="s">
        <v>129</v>
      </c>
      <c r="C25" s="35">
        <v>6342</v>
      </c>
      <c r="D25" s="35">
        <v>8627</v>
      </c>
      <c r="E25" s="35">
        <v>8627</v>
      </c>
      <c r="F25" s="35">
        <v>8627</v>
      </c>
      <c r="G25" s="23"/>
      <c r="I25" s="787" t="s">
        <v>64</v>
      </c>
      <c r="J25" s="23" t="s">
        <v>150</v>
      </c>
      <c r="K25" s="29">
        <v>9512</v>
      </c>
      <c r="L25" s="29">
        <v>12943</v>
      </c>
      <c r="M25" s="29">
        <v>12943</v>
      </c>
      <c r="N25" s="29">
        <v>12943</v>
      </c>
      <c r="O25" s="23"/>
      <c r="P25" s="37"/>
      <c r="Q25" s="787" t="s">
        <v>64</v>
      </c>
      <c r="R25" s="23" t="s">
        <v>152</v>
      </c>
      <c r="S25" s="29">
        <f>C27</f>
        <v>577</v>
      </c>
      <c r="T25" s="29">
        <f>D27</f>
        <v>811</v>
      </c>
      <c r="U25" s="29">
        <f>E27</f>
        <v>828</v>
      </c>
      <c r="V25" s="29">
        <f>F27</f>
        <v>854</v>
      </c>
      <c r="W25" s="23"/>
      <c r="X25" s="37"/>
      <c r="Y25" s="782" t="s">
        <v>0</v>
      </c>
      <c r="Z25" s="782"/>
      <c r="AA25" s="17" t="s">
        <v>119</v>
      </c>
      <c r="AB25" s="17" t="s">
        <v>120</v>
      </c>
      <c r="AC25" s="17" t="s">
        <v>121</v>
      </c>
      <c r="AD25" s="17" t="s">
        <v>122</v>
      </c>
      <c r="AE25" s="2" t="s">
        <v>30</v>
      </c>
    </row>
    <row r="26" spans="1:31" ht="24.95" customHeight="1">
      <c r="A26" s="787"/>
      <c r="B26" s="23" t="s">
        <v>70</v>
      </c>
      <c r="C26" s="35">
        <v>91</v>
      </c>
      <c r="D26" s="35">
        <v>94</v>
      </c>
      <c r="E26" s="35">
        <v>96</v>
      </c>
      <c r="F26" s="35">
        <v>99</v>
      </c>
      <c r="G26" s="23"/>
      <c r="I26" s="787"/>
      <c r="J26" s="23" t="s">
        <v>70</v>
      </c>
      <c r="K26" s="35">
        <v>27</v>
      </c>
      <c r="L26" s="35">
        <v>28</v>
      </c>
      <c r="M26" s="35">
        <v>29</v>
      </c>
      <c r="N26" s="35">
        <v>30</v>
      </c>
      <c r="O26" s="23"/>
      <c r="P26" s="37"/>
      <c r="Q26" s="787"/>
      <c r="R26" s="23" t="s">
        <v>150</v>
      </c>
      <c r="S26" s="35">
        <f>K27</f>
        <v>257</v>
      </c>
      <c r="T26" s="35">
        <f>L27</f>
        <v>362</v>
      </c>
      <c r="U26" s="35">
        <f>M27</f>
        <v>375</v>
      </c>
      <c r="V26" s="35">
        <f>N27</f>
        <v>388</v>
      </c>
      <c r="W26" s="23"/>
      <c r="X26" s="37"/>
      <c r="Y26" s="781" t="s">
        <v>112</v>
      </c>
      <c r="Z26" s="781"/>
      <c r="AA26" s="4">
        <v>284</v>
      </c>
      <c r="AB26" s="4">
        <v>318</v>
      </c>
      <c r="AC26" s="4">
        <v>351</v>
      </c>
      <c r="AD26" s="4">
        <v>383</v>
      </c>
      <c r="AE26" s="2"/>
    </row>
    <row r="27" spans="1:31" ht="24.95" customHeight="1">
      <c r="A27" s="787"/>
      <c r="B27" s="23" t="s">
        <v>124</v>
      </c>
      <c r="C27" s="35">
        <f>ROUND(C25*C26/1000,0)</f>
        <v>577</v>
      </c>
      <c r="D27" s="35">
        <f>ROUND(D25*D26/1000,0)</f>
        <v>811</v>
      </c>
      <c r="E27" s="35">
        <f>ROUND(E25*E26/1000,0)</f>
        <v>828</v>
      </c>
      <c r="F27" s="35">
        <f>ROUND(F25*F26/1000,0)</f>
        <v>854</v>
      </c>
      <c r="G27" s="23"/>
      <c r="I27" s="787"/>
      <c r="J27" s="23" t="s">
        <v>124</v>
      </c>
      <c r="K27" s="35">
        <f>ROUND(K25*K26/1000,0)</f>
        <v>257</v>
      </c>
      <c r="L27" s="35">
        <f>ROUND(L25*L26/1000,0)</f>
        <v>362</v>
      </c>
      <c r="M27" s="35">
        <f>ROUND(M25*M26/1000,0)</f>
        <v>375</v>
      </c>
      <c r="N27" s="35">
        <f>ROUND(N25*N26/1000,0)</f>
        <v>388</v>
      </c>
      <c r="O27" s="23"/>
      <c r="P27" s="37"/>
      <c r="Q27" s="787"/>
      <c r="R27" s="23" t="s">
        <v>153</v>
      </c>
      <c r="S27" s="35">
        <f>SUM(S25:S26)</f>
        <v>834</v>
      </c>
      <c r="T27" s="35">
        <f>SUM(T25:T26)</f>
        <v>1173</v>
      </c>
      <c r="U27" s="35">
        <f>SUM(U25:U26)</f>
        <v>1203</v>
      </c>
      <c r="V27" s="35">
        <f>SUM(V25:V26)</f>
        <v>1242</v>
      </c>
      <c r="W27" s="23"/>
      <c r="X27" s="37"/>
      <c r="Y27" s="770" t="s">
        <v>134</v>
      </c>
      <c r="Z27" s="661"/>
      <c r="AA27" s="2">
        <f>ROUND(AA26*0.65,0)</f>
        <v>185</v>
      </c>
      <c r="AB27" s="2">
        <f>ROUND(AB26*0.65,0)</f>
        <v>207</v>
      </c>
      <c r="AC27" s="2">
        <f>ROUND(AC26*0.65,0)</f>
        <v>228</v>
      </c>
      <c r="AD27" s="2">
        <f>ROUND(AD26*0.65,0)</f>
        <v>249</v>
      </c>
      <c r="AE27" s="31">
        <v>0.65</v>
      </c>
    </row>
    <row r="28" spans="1:31" ht="24.95" customHeight="1">
      <c r="A28" s="787" t="s">
        <v>131</v>
      </c>
      <c r="B28" s="23" t="s">
        <v>129</v>
      </c>
      <c r="C28" s="35">
        <v>573</v>
      </c>
      <c r="D28" s="35">
        <v>780</v>
      </c>
      <c r="E28" s="35">
        <v>780</v>
      </c>
      <c r="F28" s="35">
        <v>780</v>
      </c>
      <c r="G28" s="23"/>
      <c r="I28" s="787" t="s">
        <v>131</v>
      </c>
      <c r="J28" s="23" t="s">
        <v>150</v>
      </c>
      <c r="K28" s="23">
        <v>860</v>
      </c>
      <c r="L28" s="29">
        <v>1170</v>
      </c>
      <c r="M28" s="29">
        <v>1170</v>
      </c>
      <c r="N28" s="29">
        <v>1170</v>
      </c>
      <c r="O28" s="23"/>
      <c r="P28" s="37"/>
      <c r="Q28" s="787" t="s">
        <v>131</v>
      </c>
      <c r="R28" s="23" t="s">
        <v>152</v>
      </c>
      <c r="S28" s="29">
        <f>C30</f>
        <v>44</v>
      </c>
      <c r="T28" s="29">
        <f>D30</f>
        <v>64</v>
      </c>
      <c r="U28" s="29">
        <f>E30</f>
        <v>67</v>
      </c>
      <c r="V28" s="29">
        <f>F30</f>
        <v>71</v>
      </c>
      <c r="W28" s="23"/>
      <c r="X28" s="37"/>
      <c r="Y28" s="770" t="s">
        <v>135</v>
      </c>
      <c r="Z28" s="2" t="s">
        <v>136</v>
      </c>
      <c r="AA28" s="2">
        <f>ROUND(AA27*0.5,0)</f>
        <v>93</v>
      </c>
      <c r="AB28" s="2">
        <f>ROUND(AB27*0.5,0)</f>
        <v>104</v>
      </c>
      <c r="AC28" s="2">
        <f>ROUND(AC27*0.5,0)</f>
        <v>114</v>
      </c>
      <c r="AD28" s="2">
        <f>ROUND(AD27*0.5,0)</f>
        <v>125</v>
      </c>
      <c r="AE28" s="31">
        <v>0.5</v>
      </c>
    </row>
    <row r="29" spans="1:31" ht="24.95" customHeight="1">
      <c r="A29" s="787"/>
      <c r="B29" s="23" t="s">
        <v>70</v>
      </c>
      <c r="C29" s="35">
        <v>77</v>
      </c>
      <c r="D29" s="35">
        <v>82</v>
      </c>
      <c r="E29" s="35">
        <v>86</v>
      </c>
      <c r="F29" s="35">
        <v>91</v>
      </c>
      <c r="G29" s="23"/>
      <c r="I29" s="787"/>
      <c r="J29" s="23" t="s">
        <v>70</v>
      </c>
      <c r="K29" s="35">
        <v>23</v>
      </c>
      <c r="L29" s="35">
        <v>24</v>
      </c>
      <c r="M29" s="35">
        <v>26</v>
      </c>
      <c r="N29" s="35">
        <v>27</v>
      </c>
      <c r="O29" s="23"/>
      <c r="P29" s="37"/>
      <c r="Q29" s="787"/>
      <c r="R29" s="23" t="s">
        <v>150</v>
      </c>
      <c r="S29" s="35">
        <f>K30</f>
        <v>20</v>
      </c>
      <c r="T29" s="35">
        <f>L30</f>
        <v>28</v>
      </c>
      <c r="U29" s="35">
        <f>M30</f>
        <v>30</v>
      </c>
      <c r="V29" s="35">
        <f>N30</f>
        <v>32</v>
      </c>
      <c r="W29" s="23"/>
      <c r="X29" s="37"/>
      <c r="Y29" s="770"/>
      <c r="Z29" s="2" t="s">
        <v>137</v>
      </c>
      <c r="AA29" s="2">
        <f>ROUND(AA27*0.15,0)</f>
        <v>28</v>
      </c>
      <c r="AB29" s="2">
        <f>ROUND(AB27*0.15,0)</f>
        <v>31</v>
      </c>
      <c r="AC29" s="2">
        <f>ROUND(AC27*0.15,0)</f>
        <v>34</v>
      </c>
      <c r="AD29" s="2">
        <f>ROUND(AD27*0.15,0)</f>
        <v>37</v>
      </c>
      <c r="AE29" s="31">
        <v>0.15</v>
      </c>
    </row>
    <row r="30" spans="1:31" ht="24.95" customHeight="1">
      <c r="A30" s="787"/>
      <c r="B30" s="23" t="s">
        <v>124</v>
      </c>
      <c r="C30" s="35">
        <f>ROUND(C28*C29/1000,0)</f>
        <v>44</v>
      </c>
      <c r="D30" s="35">
        <f>ROUND(D28*D29/1000,0)</f>
        <v>64</v>
      </c>
      <c r="E30" s="35">
        <f>ROUND(E28*E29/1000,0)</f>
        <v>67</v>
      </c>
      <c r="F30" s="35">
        <f>ROUND(F28*F29/1000,0)</f>
        <v>71</v>
      </c>
      <c r="G30" s="23"/>
      <c r="I30" s="787"/>
      <c r="J30" s="23" t="s">
        <v>124</v>
      </c>
      <c r="K30" s="35">
        <f>ROUND(K28*K29/1000,0)</f>
        <v>20</v>
      </c>
      <c r="L30" s="35">
        <f>ROUND(L28*L29/1000,0)</f>
        <v>28</v>
      </c>
      <c r="M30" s="35">
        <f>ROUND(M28*M29/1000,0)</f>
        <v>30</v>
      </c>
      <c r="N30" s="35">
        <f>ROUND(N28*N29/1000,0)</f>
        <v>32</v>
      </c>
      <c r="O30" s="23"/>
      <c r="P30" s="37"/>
      <c r="Q30" s="787"/>
      <c r="R30" s="23" t="s">
        <v>153</v>
      </c>
      <c r="S30" s="35">
        <f>SUM(S28:S29)</f>
        <v>64</v>
      </c>
      <c r="T30" s="35">
        <f>SUM(T28:T29)</f>
        <v>92</v>
      </c>
      <c r="U30" s="35">
        <f>SUM(U28:U29)</f>
        <v>97</v>
      </c>
      <c r="V30" s="35">
        <f>SUM(V28:V29)</f>
        <v>103</v>
      </c>
      <c r="W30" s="23"/>
      <c r="X30" s="37"/>
    </row>
    <row r="31" spans="1:31" ht="24.95" customHeight="1">
      <c r="A31" s="787" t="s">
        <v>132</v>
      </c>
      <c r="B31" s="23" t="s">
        <v>129</v>
      </c>
      <c r="C31" s="35">
        <v>1462</v>
      </c>
      <c r="D31" s="35">
        <v>1990</v>
      </c>
      <c r="E31" s="35">
        <v>1990</v>
      </c>
      <c r="F31" s="35">
        <v>1990</v>
      </c>
      <c r="G31" s="23"/>
      <c r="I31" s="787" t="s">
        <v>132</v>
      </c>
      <c r="J31" s="23" t="s">
        <v>150</v>
      </c>
      <c r="K31" s="29">
        <v>2194</v>
      </c>
      <c r="L31" s="29">
        <v>2984</v>
      </c>
      <c r="M31" s="29">
        <v>2984</v>
      </c>
      <c r="N31" s="29">
        <v>2984</v>
      </c>
      <c r="O31" s="23"/>
      <c r="P31" s="37"/>
      <c r="Q31" s="787" t="s">
        <v>132</v>
      </c>
      <c r="R31" s="23" t="s">
        <v>152</v>
      </c>
      <c r="S31" s="29">
        <f>C33</f>
        <v>133</v>
      </c>
      <c r="T31" s="29">
        <f>D33</f>
        <v>187</v>
      </c>
      <c r="U31" s="29">
        <f>E33</f>
        <v>191</v>
      </c>
      <c r="V31" s="29">
        <f>F33</f>
        <v>197</v>
      </c>
      <c r="W31" s="23"/>
      <c r="X31" s="37"/>
    </row>
    <row r="32" spans="1:31" ht="24.95" customHeight="1">
      <c r="A32" s="787"/>
      <c r="B32" s="23" t="s">
        <v>70</v>
      </c>
      <c r="C32" s="35">
        <v>91</v>
      </c>
      <c r="D32" s="35">
        <v>94</v>
      </c>
      <c r="E32" s="35">
        <v>96</v>
      </c>
      <c r="F32" s="35">
        <v>99</v>
      </c>
      <c r="G32" s="23"/>
      <c r="I32" s="787"/>
      <c r="J32" s="23" t="s">
        <v>70</v>
      </c>
      <c r="K32" s="35">
        <v>27</v>
      </c>
      <c r="L32" s="35">
        <v>28</v>
      </c>
      <c r="M32" s="35">
        <v>29</v>
      </c>
      <c r="N32" s="35">
        <v>30</v>
      </c>
      <c r="O32" s="23"/>
      <c r="P32" s="37"/>
      <c r="Q32" s="787"/>
      <c r="R32" s="23" t="s">
        <v>150</v>
      </c>
      <c r="S32" s="35">
        <f>K33</f>
        <v>59</v>
      </c>
      <c r="T32" s="35">
        <f>L33</f>
        <v>84</v>
      </c>
      <c r="U32" s="35">
        <f>M33</f>
        <v>87</v>
      </c>
      <c r="V32" s="35">
        <f>N33</f>
        <v>90</v>
      </c>
      <c r="W32" s="23"/>
      <c r="X32" s="37"/>
    </row>
    <row r="33" spans="1:24" ht="24.95" customHeight="1">
      <c r="A33" s="787"/>
      <c r="B33" s="23" t="s">
        <v>124</v>
      </c>
      <c r="C33" s="35">
        <f>ROUND(C31*C32/1000,0)</f>
        <v>133</v>
      </c>
      <c r="D33" s="35">
        <f>ROUND(D31*D32/1000,0)</f>
        <v>187</v>
      </c>
      <c r="E33" s="35">
        <f>ROUND(E31*E32/1000,0)</f>
        <v>191</v>
      </c>
      <c r="F33" s="35">
        <f>ROUND(F31*F32/1000,0)</f>
        <v>197</v>
      </c>
      <c r="G33" s="23"/>
      <c r="I33" s="787"/>
      <c r="J33" s="23" t="s">
        <v>124</v>
      </c>
      <c r="K33" s="35">
        <f>ROUND(K31*K32/1000,0)</f>
        <v>59</v>
      </c>
      <c r="L33" s="35">
        <f>ROUND(L31*L32/1000,0)</f>
        <v>84</v>
      </c>
      <c r="M33" s="35">
        <f>ROUND(M31*M32/1000,0)</f>
        <v>87</v>
      </c>
      <c r="N33" s="35">
        <f>ROUND(N31*N32/1000,0)</f>
        <v>90</v>
      </c>
      <c r="O33" s="23"/>
      <c r="P33" s="37"/>
      <c r="Q33" s="787"/>
      <c r="R33" s="23" t="s">
        <v>153</v>
      </c>
      <c r="S33" s="35">
        <f>SUM(S31:S32)</f>
        <v>192</v>
      </c>
      <c r="T33" s="35">
        <f>SUM(T31:T32)</f>
        <v>271</v>
      </c>
      <c r="U33" s="35">
        <f>SUM(U31:U32)</f>
        <v>278</v>
      </c>
      <c r="V33" s="35">
        <f>SUM(V31:V32)</f>
        <v>287</v>
      </c>
      <c r="W33" s="23"/>
      <c r="X33" s="37"/>
    </row>
    <row r="34" spans="1:24" ht="24.95" customHeight="1">
      <c r="A34" s="788" t="s">
        <v>133</v>
      </c>
      <c r="B34" s="23" t="s">
        <v>129</v>
      </c>
      <c r="C34" s="35">
        <v>2265</v>
      </c>
      <c r="D34" s="35">
        <v>3082</v>
      </c>
      <c r="E34" s="35">
        <v>3082</v>
      </c>
      <c r="F34" s="35">
        <v>3082</v>
      </c>
      <c r="G34" s="23"/>
      <c r="I34" s="788" t="s">
        <v>133</v>
      </c>
      <c r="J34" s="23" t="s">
        <v>150</v>
      </c>
      <c r="K34" s="29">
        <v>3398</v>
      </c>
      <c r="L34" s="29">
        <v>4622</v>
      </c>
      <c r="M34" s="29">
        <v>4622</v>
      </c>
      <c r="N34" s="29">
        <v>4622</v>
      </c>
      <c r="O34" s="23"/>
      <c r="P34" s="37"/>
      <c r="Q34" s="788" t="s">
        <v>133</v>
      </c>
      <c r="R34" s="23" t="s">
        <v>152</v>
      </c>
      <c r="S34" s="29">
        <f>C36</f>
        <v>174</v>
      </c>
      <c r="T34" s="29">
        <f>D36</f>
        <v>253</v>
      </c>
      <c r="U34" s="29">
        <f>E36</f>
        <v>265</v>
      </c>
      <c r="V34" s="29">
        <f>F36</f>
        <v>280</v>
      </c>
      <c r="W34" s="23"/>
      <c r="X34" s="37"/>
    </row>
    <row r="35" spans="1:24" ht="24.95" customHeight="1">
      <c r="A35" s="789"/>
      <c r="B35" s="23" t="s">
        <v>70</v>
      </c>
      <c r="C35" s="35">
        <v>77</v>
      </c>
      <c r="D35" s="35">
        <v>82</v>
      </c>
      <c r="E35" s="35">
        <v>86</v>
      </c>
      <c r="F35" s="35">
        <v>91</v>
      </c>
      <c r="G35" s="23"/>
      <c r="I35" s="789"/>
      <c r="J35" s="23" t="s">
        <v>70</v>
      </c>
      <c r="K35" s="35">
        <v>23</v>
      </c>
      <c r="L35" s="35">
        <v>24</v>
      </c>
      <c r="M35" s="35">
        <v>26</v>
      </c>
      <c r="N35" s="35">
        <v>27</v>
      </c>
      <c r="O35" s="23"/>
      <c r="P35" s="37"/>
      <c r="Q35" s="789"/>
      <c r="R35" s="23" t="s">
        <v>150</v>
      </c>
      <c r="S35" s="35">
        <f>K36</f>
        <v>78</v>
      </c>
      <c r="T35" s="35">
        <f>L36</f>
        <v>111</v>
      </c>
      <c r="U35" s="35">
        <f>M36</f>
        <v>120</v>
      </c>
      <c r="V35" s="35">
        <f>N36</f>
        <v>125</v>
      </c>
      <c r="W35" s="23"/>
      <c r="X35" s="37"/>
    </row>
    <row r="36" spans="1:24" ht="24.95" customHeight="1">
      <c r="A36" s="790"/>
      <c r="B36" s="23" t="s">
        <v>124</v>
      </c>
      <c r="C36" s="35">
        <f>ROUND(C34*C35/1000,0)</f>
        <v>174</v>
      </c>
      <c r="D36" s="35">
        <f>ROUND(D34*D35/1000,0)</f>
        <v>253</v>
      </c>
      <c r="E36" s="35">
        <f>ROUND(E34*E35/1000,0)</f>
        <v>265</v>
      </c>
      <c r="F36" s="35">
        <f>ROUND(F34*F35/1000,0)</f>
        <v>280</v>
      </c>
      <c r="G36" s="23"/>
      <c r="I36" s="790"/>
      <c r="J36" s="23" t="s">
        <v>124</v>
      </c>
      <c r="K36" s="35">
        <f>ROUND(K34*K35/1000,0)</f>
        <v>78</v>
      </c>
      <c r="L36" s="35">
        <f>ROUND(L34*L35/1000,0)</f>
        <v>111</v>
      </c>
      <c r="M36" s="35">
        <f>ROUND(M34*M35/1000,0)</f>
        <v>120</v>
      </c>
      <c r="N36" s="35">
        <f>ROUND(N34*N35/1000,0)</f>
        <v>125</v>
      </c>
      <c r="O36" s="23"/>
      <c r="P36" s="37"/>
      <c r="Q36" s="790"/>
      <c r="R36" s="23" t="s">
        <v>153</v>
      </c>
      <c r="S36" s="35">
        <f>SUM(S34:S35)</f>
        <v>252</v>
      </c>
      <c r="T36" s="35">
        <f>SUM(T34:T35)</f>
        <v>364</v>
      </c>
      <c r="U36" s="35">
        <f>SUM(U34:U35)</f>
        <v>385</v>
      </c>
      <c r="V36" s="35">
        <f>SUM(V34:V35)</f>
        <v>405</v>
      </c>
      <c r="W36" s="23"/>
      <c r="X36" s="37"/>
    </row>
    <row r="37" spans="1:24" ht="24.95" customHeight="1">
      <c r="A37" s="787" t="s">
        <v>67</v>
      </c>
      <c r="B37" s="23" t="s">
        <v>129</v>
      </c>
      <c r="C37" s="35">
        <v>2703</v>
      </c>
      <c r="D37" s="35">
        <v>3677</v>
      </c>
      <c r="E37" s="35">
        <v>3677</v>
      </c>
      <c r="F37" s="35">
        <v>3677</v>
      </c>
      <c r="G37" s="23"/>
      <c r="I37" s="787" t="s">
        <v>67</v>
      </c>
      <c r="J37" s="23" t="s">
        <v>150</v>
      </c>
      <c r="K37" s="29">
        <v>4054</v>
      </c>
      <c r="L37" s="29">
        <v>5515</v>
      </c>
      <c r="M37" s="29">
        <v>5515</v>
      </c>
      <c r="N37" s="29">
        <v>5515</v>
      </c>
      <c r="O37" s="23"/>
      <c r="P37" s="37"/>
      <c r="Q37" s="787" t="s">
        <v>67</v>
      </c>
      <c r="R37" s="23" t="s">
        <v>152</v>
      </c>
      <c r="S37" s="29">
        <f>C39</f>
        <v>208</v>
      </c>
      <c r="T37" s="29">
        <f>D39</f>
        <v>302</v>
      </c>
      <c r="U37" s="29">
        <f>E39</f>
        <v>316</v>
      </c>
      <c r="V37" s="29">
        <f>F39</f>
        <v>335</v>
      </c>
      <c r="W37" s="23"/>
      <c r="X37" s="37"/>
    </row>
    <row r="38" spans="1:24" ht="24.95" customHeight="1">
      <c r="A38" s="787"/>
      <c r="B38" s="23" t="s">
        <v>70</v>
      </c>
      <c r="C38" s="35">
        <v>77</v>
      </c>
      <c r="D38" s="35">
        <v>82</v>
      </c>
      <c r="E38" s="35">
        <v>86</v>
      </c>
      <c r="F38" s="35">
        <v>91</v>
      </c>
      <c r="G38" s="23"/>
      <c r="I38" s="787"/>
      <c r="J38" s="23" t="s">
        <v>70</v>
      </c>
      <c r="K38" s="35">
        <v>23</v>
      </c>
      <c r="L38" s="35">
        <v>24</v>
      </c>
      <c r="M38" s="35">
        <v>26</v>
      </c>
      <c r="N38" s="35">
        <v>27</v>
      </c>
      <c r="O38" s="23"/>
      <c r="P38" s="37"/>
      <c r="Q38" s="787"/>
      <c r="R38" s="23" t="s">
        <v>150</v>
      </c>
      <c r="S38" s="35">
        <f>K39</f>
        <v>93</v>
      </c>
      <c r="T38" s="35">
        <f>L39</f>
        <v>132</v>
      </c>
      <c r="U38" s="35">
        <f>M39</f>
        <v>143</v>
      </c>
      <c r="V38" s="35">
        <f>N39</f>
        <v>149</v>
      </c>
      <c r="W38" s="23"/>
      <c r="X38" s="37"/>
    </row>
    <row r="39" spans="1:24" ht="24.95" customHeight="1">
      <c r="A39" s="787"/>
      <c r="B39" s="23" t="s">
        <v>124</v>
      </c>
      <c r="C39" s="35">
        <f>ROUND(C37*C38/1000,0)</f>
        <v>208</v>
      </c>
      <c r="D39" s="35">
        <f>ROUND(D37*D38/1000,0)</f>
        <v>302</v>
      </c>
      <c r="E39" s="35">
        <f>ROUND(E37*E38/1000,0)</f>
        <v>316</v>
      </c>
      <c r="F39" s="35">
        <f>ROUND(F37*F38/1000,0)</f>
        <v>335</v>
      </c>
      <c r="G39" s="23"/>
      <c r="I39" s="787"/>
      <c r="J39" s="23" t="s">
        <v>124</v>
      </c>
      <c r="K39" s="35">
        <f>ROUND(K37*K38/1000,0)</f>
        <v>93</v>
      </c>
      <c r="L39" s="35">
        <f>ROUND(L37*L38/1000,0)</f>
        <v>132</v>
      </c>
      <c r="M39" s="35">
        <f>ROUND(M37*M38/1000,0)</f>
        <v>143</v>
      </c>
      <c r="N39" s="35">
        <f>ROUND(N37*N38/1000,0)</f>
        <v>149</v>
      </c>
      <c r="O39" s="23"/>
      <c r="P39" s="37"/>
      <c r="Q39" s="787"/>
      <c r="R39" s="23" t="s">
        <v>153</v>
      </c>
      <c r="S39" s="35">
        <f>SUM(S37:S38)</f>
        <v>301</v>
      </c>
      <c r="T39" s="35">
        <f>SUM(T37:T38)</f>
        <v>434</v>
      </c>
      <c r="U39" s="35">
        <f>SUM(U37:U38)</f>
        <v>459</v>
      </c>
      <c r="V39" s="35">
        <f>SUM(V37:V38)</f>
        <v>484</v>
      </c>
      <c r="W39" s="23"/>
      <c r="X39" s="37"/>
    </row>
    <row r="40" spans="1:24" ht="24.95" customHeight="1">
      <c r="A40" s="787" t="s">
        <v>68</v>
      </c>
      <c r="B40" s="23" t="s">
        <v>129</v>
      </c>
      <c r="C40" s="35">
        <v>315</v>
      </c>
      <c r="D40" s="35">
        <v>428</v>
      </c>
      <c r="E40" s="35">
        <v>428</v>
      </c>
      <c r="F40" s="35">
        <v>428</v>
      </c>
      <c r="G40" s="23"/>
      <c r="I40" s="787" t="s">
        <v>68</v>
      </c>
      <c r="J40" s="23" t="s">
        <v>150</v>
      </c>
      <c r="K40" s="23">
        <v>472</v>
      </c>
      <c r="L40" s="23">
        <v>642</v>
      </c>
      <c r="M40" s="23">
        <v>642</v>
      </c>
      <c r="N40" s="23">
        <v>642</v>
      </c>
      <c r="O40" s="23"/>
      <c r="P40" s="37"/>
      <c r="Q40" s="787" t="s">
        <v>68</v>
      </c>
      <c r="R40" s="23" t="s">
        <v>152</v>
      </c>
      <c r="S40" s="29">
        <f>C42</f>
        <v>24</v>
      </c>
      <c r="T40" s="29">
        <f>D42</f>
        <v>35</v>
      </c>
      <c r="U40" s="29">
        <f>E42</f>
        <v>37</v>
      </c>
      <c r="V40" s="29">
        <f>F42</f>
        <v>39</v>
      </c>
      <c r="W40" s="23"/>
      <c r="X40" s="37"/>
    </row>
    <row r="41" spans="1:24" ht="24.95" customHeight="1">
      <c r="A41" s="787"/>
      <c r="B41" s="23" t="s">
        <v>70</v>
      </c>
      <c r="C41" s="35">
        <v>77</v>
      </c>
      <c r="D41" s="35">
        <v>82</v>
      </c>
      <c r="E41" s="35">
        <v>86</v>
      </c>
      <c r="F41" s="35">
        <v>91</v>
      </c>
      <c r="G41" s="23"/>
      <c r="I41" s="787"/>
      <c r="J41" s="23" t="s">
        <v>70</v>
      </c>
      <c r="K41" s="35">
        <v>23</v>
      </c>
      <c r="L41" s="35">
        <v>24</v>
      </c>
      <c r="M41" s="35">
        <v>26</v>
      </c>
      <c r="N41" s="35">
        <v>27</v>
      </c>
      <c r="O41" s="23"/>
      <c r="P41" s="37"/>
      <c r="Q41" s="787"/>
      <c r="R41" s="23" t="s">
        <v>150</v>
      </c>
      <c r="S41" s="35">
        <f>K42</f>
        <v>11</v>
      </c>
      <c r="T41" s="35">
        <f>L42</f>
        <v>15</v>
      </c>
      <c r="U41" s="35">
        <f>M42</f>
        <v>17</v>
      </c>
      <c r="V41" s="35">
        <f>N42</f>
        <v>17</v>
      </c>
      <c r="W41" s="23"/>
      <c r="X41" s="37"/>
    </row>
    <row r="42" spans="1:24" ht="24.95" customHeight="1">
      <c r="A42" s="787"/>
      <c r="B42" s="23" t="s">
        <v>124</v>
      </c>
      <c r="C42" s="35">
        <f>ROUND(C40*C41/1000,0)</f>
        <v>24</v>
      </c>
      <c r="D42" s="35">
        <f>ROUND(D40*D41/1000,0)</f>
        <v>35</v>
      </c>
      <c r="E42" s="35">
        <f>ROUND(E40*E41/1000,0)</f>
        <v>37</v>
      </c>
      <c r="F42" s="35">
        <f>ROUND(F40*F41/1000,0)</f>
        <v>39</v>
      </c>
      <c r="G42" s="23"/>
      <c r="I42" s="787"/>
      <c r="J42" s="23" t="s">
        <v>124</v>
      </c>
      <c r="K42" s="35">
        <f>ROUND(K40*K41/1000,0)</f>
        <v>11</v>
      </c>
      <c r="L42" s="35">
        <f>ROUND(L40*L41/1000,0)</f>
        <v>15</v>
      </c>
      <c r="M42" s="35">
        <f>ROUND(M40*M41/1000,0)</f>
        <v>17</v>
      </c>
      <c r="N42" s="35">
        <f>ROUND(N40*N41/1000,0)</f>
        <v>17</v>
      </c>
      <c r="O42" s="23"/>
      <c r="P42" s="37"/>
      <c r="Q42" s="787"/>
      <c r="R42" s="23" t="s">
        <v>153</v>
      </c>
      <c r="S42" s="35">
        <f>SUM(S40:S41)</f>
        <v>35</v>
      </c>
      <c r="T42" s="35">
        <f>SUM(T40:T41)</f>
        <v>50</v>
      </c>
      <c r="U42" s="35">
        <f>SUM(U40:U41)</f>
        <v>54</v>
      </c>
      <c r="V42" s="35">
        <f>SUM(V40:V41)</f>
        <v>56</v>
      </c>
      <c r="W42" s="23"/>
      <c r="X42" s="37"/>
    </row>
    <row r="43" spans="1:24" ht="24.95" customHeight="1">
      <c r="A43" s="787" t="s">
        <v>69</v>
      </c>
      <c r="B43" s="23" t="s">
        <v>129</v>
      </c>
      <c r="C43" s="35">
        <v>777</v>
      </c>
      <c r="D43" s="35">
        <v>1057</v>
      </c>
      <c r="E43" s="35">
        <v>1057</v>
      </c>
      <c r="F43" s="35">
        <v>1057</v>
      </c>
      <c r="G43" s="23"/>
      <c r="I43" s="787" t="s">
        <v>69</v>
      </c>
      <c r="J43" s="23" t="s">
        <v>150</v>
      </c>
      <c r="K43" s="29">
        <v>1165</v>
      </c>
      <c r="L43" s="29">
        <v>1585</v>
      </c>
      <c r="M43" s="29">
        <v>1585</v>
      </c>
      <c r="N43" s="29">
        <v>1585</v>
      </c>
      <c r="O43" s="23"/>
      <c r="P43" s="37"/>
      <c r="Q43" s="787" t="s">
        <v>69</v>
      </c>
      <c r="R43" s="23" t="s">
        <v>152</v>
      </c>
      <c r="S43" s="29">
        <f>C45</f>
        <v>60</v>
      </c>
      <c r="T43" s="29">
        <f>D45</f>
        <v>87</v>
      </c>
      <c r="U43" s="29">
        <f>E45</f>
        <v>91</v>
      </c>
      <c r="V43" s="29">
        <f>F45</f>
        <v>96</v>
      </c>
      <c r="W43" s="23"/>
      <c r="X43" s="37"/>
    </row>
    <row r="44" spans="1:24" ht="24.95" customHeight="1">
      <c r="A44" s="787"/>
      <c r="B44" s="23" t="s">
        <v>70</v>
      </c>
      <c r="C44" s="35">
        <v>77</v>
      </c>
      <c r="D44" s="35">
        <v>82</v>
      </c>
      <c r="E44" s="35">
        <v>86</v>
      </c>
      <c r="F44" s="35">
        <v>91</v>
      </c>
      <c r="G44" s="23"/>
      <c r="I44" s="787"/>
      <c r="J44" s="23" t="s">
        <v>70</v>
      </c>
      <c r="K44" s="35">
        <v>23</v>
      </c>
      <c r="L44" s="35">
        <v>24</v>
      </c>
      <c r="M44" s="35">
        <v>26</v>
      </c>
      <c r="N44" s="35">
        <v>27</v>
      </c>
      <c r="O44" s="23"/>
      <c r="P44" s="37"/>
      <c r="Q44" s="787"/>
      <c r="R44" s="23" t="s">
        <v>150</v>
      </c>
      <c r="S44" s="35">
        <f>K45</f>
        <v>27</v>
      </c>
      <c r="T44" s="35">
        <f>L45</f>
        <v>38</v>
      </c>
      <c r="U44" s="35">
        <f>M45</f>
        <v>41</v>
      </c>
      <c r="V44" s="35">
        <f>N45</f>
        <v>43</v>
      </c>
      <c r="W44" s="23"/>
      <c r="X44" s="37"/>
    </row>
    <row r="45" spans="1:24" ht="24.95" customHeight="1">
      <c r="A45" s="787"/>
      <c r="B45" s="23" t="s">
        <v>124</v>
      </c>
      <c r="C45" s="35">
        <f>ROUND(C43*C44/1000,0)</f>
        <v>60</v>
      </c>
      <c r="D45" s="35">
        <f>ROUND(D43*D44/1000,0)</f>
        <v>87</v>
      </c>
      <c r="E45" s="35">
        <f>ROUND(E43*E44/1000,0)</f>
        <v>91</v>
      </c>
      <c r="F45" s="35">
        <f>ROUND(F43*F44/1000,0)</f>
        <v>96</v>
      </c>
      <c r="G45" s="23"/>
      <c r="I45" s="787"/>
      <c r="J45" s="23" t="s">
        <v>124</v>
      </c>
      <c r="K45" s="35">
        <f>ROUND(K43*K44/1000,0)</f>
        <v>27</v>
      </c>
      <c r="L45" s="35">
        <f>ROUND(L43*L44/1000,0)</f>
        <v>38</v>
      </c>
      <c r="M45" s="35">
        <f>ROUND(M43*M44/1000,0)</f>
        <v>41</v>
      </c>
      <c r="N45" s="35">
        <f>ROUND(N43*N44/1000,0)</f>
        <v>43</v>
      </c>
      <c r="O45" s="23"/>
      <c r="P45" s="37"/>
      <c r="Q45" s="787"/>
      <c r="R45" s="23" t="s">
        <v>153</v>
      </c>
      <c r="S45" s="35">
        <f>SUM(S43:S44)</f>
        <v>87</v>
      </c>
      <c r="T45" s="35">
        <f>SUM(T43:T44)</f>
        <v>125</v>
      </c>
      <c r="U45" s="35">
        <f>SUM(U43:U44)</f>
        <v>132</v>
      </c>
      <c r="V45" s="35">
        <f>SUM(V43:V44)</f>
        <v>139</v>
      </c>
      <c r="W45" s="23"/>
      <c r="X45" s="37"/>
    </row>
    <row r="46" spans="1:24" ht="24.95" customHeight="1"/>
    <row r="47" spans="1:24" ht="24.95" customHeight="1">
      <c r="A47" s="32" t="s">
        <v>145</v>
      </c>
      <c r="I47" s="32" t="s">
        <v>148</v>
      </c>
      <c r="Q47" s="32" t="s">
        <v>148</v>
      </c>
    </row>
    <row r="48" spans="1:24" ht="24.95" customHeight="1">
      <c r="A48" s="829" t="s">
        <v>57</v>
      </c>
      <c r="B48" s="829"/>
      <c r="C48" s="24" t="s">
        <v>119</v>
      </c>
      <c r="D48" s="24" t="s">
        <v>120</v>
      </c>
      <c r="E48" s="24" t="s">
        <v>121</v>
      </c>
      <c r="F48" s="24" t="s">
        <v>122</v>
      </c>
      <c r="G48" s="24" t="s">
        <v>127</v>
      </c>
      <c r="I48" s="829" t="s">
        <v>57</v>
      </c>
      <c r="J48" s="829"/>
      <c r="K48" s="24" t="s">
        <v>119</v>
      </c>
      <c r="L48" s="24" t="s">
        <v>120</v>
      </c>
      <c r="M48" s="24" t="s">
        <v>121</v>
      </c>
      <c r="N48" s="24" t="s">
        <v>122</v>
      </c>
      <c r="O48" s="24" t="s">
        <v>127</v>
      </c>
      <c r="P48" s="36"/>
      <c r="Q48" s="829" t="s">
        <v>57</v>
      </c>
      <c r="R48" s="829"/>
      <c r="S48" s="24" t="s">
        <v>119</v>
      </c>
      <c r="T48" s="24" t="s">
        <v>120</v>
      </c>
      <c r="U48" s="24" t="s">
        <v>121</v>
      </c>
      <c r="V48" s="24" t="s">
        <v>122</v>
      </c>
      <c r="W48" s="24" t="s">
        <v>127</v>
      </c>
      <c r="X48" s="36"/>
    </row>
    <row r="49" spans="1:24" ht="24.95" customHeight="1">
      <c r="A49" s="787" t="s">
        <v>59</v>
      </c>
      <c r="B49" s="23" t="s">
        <v>129</v>
      </c>
      <c r="C49" s="35">
        <v>14437</v>
      </c>
      <c r="D49" s="35">
        <v>19641</v>
      </c>
      <c r="E49" s="35">
        <v>19641</v>
      </c>
      <c r="F49" s="35">
        <v>19641</v>
      </c>
      <c r="G49" s="23"/>
      <c r="I49" s="787" t="s">
        <v>59</v>
      </c>
      <c r="J49" s="23" t="s">
        <v>150</v>
      </c>
      <c r="K49" s="29">
        <v>21655</v>
      </c>
      <c r="L49" s="29">
        <v>29461</v>
      </c>
      <c r="M49" s="29">
        <v>29461</v>
      </c>
      <c r="N49" s="29">
        <v>29461</v>
      </c>
      <c r="O49" s="23"/>
      <c r="P49" s="37"/>
      <c r="Q49" s="787" t="s">
        <v>59</v>
      </c>
      <c r="R49" s="23" t="s">
        <v>152</v>
      </c>
      <c r="S49" s="29">
        <f t="shared" ref="S49:V50" si="2">S52+S55+S58+S61+S64+S67+S70</f>
        <v>1285</v>
      </c>
      <c r="T49" s="29">
        <f t="shared" si="2"/>
        <v>1846</v>
      </c>
      <c r="U49" s="29">
        <f t="shared" si="2"/>
        <v>1924</v>
      </c>
      <c r="V49" s="29">
        <f t="shared" si="2"/>
        <v>2004</v>
      </c>
      <c r="W49" s="23"/>
      <c r="X49" s="37"/>
    </row>
    <row r="50" spans="1:24" ht="24.95" customHeight="1">
      <c r="A50" s="787"/>
      <c r="B50" s="23" t="s">
        <v>70</v>
      </c>
      <c r="C50" s="35" t="s">
        <v>143</v>
      </c>
      <c r="D50" s="35" t="s">
        <v>143</v>
      </c>
      <c r="E50" s="35" t="s">
        <v>143</v>
      </c>
      <c r="F50" s="35" t="s">
        <v>143</v>
      </c>
      <c r="G50" s="23"/>
      <c r="I50" s="787"/>
      <c r="J50" s="23" t="s">
        <v>70</v>
      </c>
      <c r="K50" s="35" t="s">
        <v>143</v>
      </c>
      <c r="L50" s="35" t="s">
        <v>143</v>
      </c>
      <c r="M50" s="35" t="s">
        <v>143</v>
      </c>
      <c r="N50" s="35" t="s">
        <v>143</v>
      </c>
      <c r="O50" s="23"/>
      <c r="P50" s="37"/>
      <c r="Q50" s="787"/>
      <c r="R50" s="23" t="s">
        <v>150</v>
      </c>
      <c r="S50" s="29">
        <f t="shared" si="2"/>
        <v>584</v>
      </c>
      <c r="T50" s="29">
        <f t="shared" si="2"/>
        <v>824</v>
      </c>
      <c r="U50" s="29">
        <f t="shared" si="2"/>
        <v>855</v>
      </c>
      <c r="V50" s="29">
        <f t="shared" si="2"/>
        <v>913</v>
      </c>
      <c r="W50" s="23"/>
      <c r="X50" s="37"/>
    </row>
    <row r="51" spans="1:24" ht="24.95" customHeight="1">
      <c r="A51" s="787"/>
      <c r="B51" s="23" t="s">
        <v>124</v>
      </c>
      <c r="C51" s="35">
        <f>C54+C57+C60+C63+C66+C69+C72</f>
        <v>1285</v>
      </c>
      <c r="D51" s="35">
        <f>D54+D57+D60+D63+D66+D69+D72</f>
        <v>1846</v>
      </c>
      <c r="E51" s="35">
        <f>E54+E57+E60+E63+E66+E69+E72</f>
        <v>1924</v>
      </c>
      <c r="F51" s="35">
        <f>F54+F57+F60+F63+F66+F69+F72</f>
        <v>2004</v>
      </c>
      <c r="G51" s="23"/>
      <c r="I51" s="787"/>
      <c r="J51" s="23" t="s">
        <v>124</v>
      </c>
      <c r="K51" s="35">
        <f>K54+K57+K60+K63+K66+K69+K72</f>
        <v>584</v>
      </c>
      <c r="L51" s="35">
        <f>L54+L57+L60+L63+L66+L69+L72</f>
        <v>824</v>
      </c>
      <c r="M51" s="35">
        <f>M54+M57+M60+M63+M66+M69+M72</f>
        <v>855</v>
      </c>
      <c r="N51" s="35">
        <f>N54+N57+N60+N63+N66+N69+N72</f>
        <v>913</v>
      </c>
      <c r="O51" s="23"/>
      <c r="P51" s="37"/>
      <c r="Q51" s="787"/>
      <c r="R51" s="23" t="s">
        <v>153</v>
      </c>
      <c r="S51" s="35">
        <f>SUM(S49:S50)</f>
        <v>1869</v>
      </c>
      <c r="T51" s="35">
        <f>SUM(T49:T50)</f>
        <v>2670</v>
      </c>
      <c r="U51" s="35">
        <f>SUM(U49:U50)</f>
        <v>2779</v>
      </c>
      <c r="V51" s="35">
        <f>SUM(V49:V50)</f>
        <v>2917</v>
      </c>
      <c r="W51" s="23"/>
      <c r="X51" s="37"/>
    </row>
    <row r="52" spans="1:24" ht="24.95" customHeight="1">
      <c r="A52" s="787" t="s">
        <v>64</v>
      </c>
      <c r="B52" s="23" t="s">
        <v>129</v>
      </c>
      <c r="C52" s="35">
        <v>6342</v>
      </c>
      <c r="D52" s="35">
        <v>8627</v>
      </c>
      <c r="E52" s="35">
        <v>8627</v>
      </c>
      <c r="F52" s="35">
        <v>8627</v>
      </c>
      <c r="G52" s="23"/>
      <c r="I52" s="787" t="s">
        <v>64</v>
      </c>
      <c r="J52" s="23" t="s">
        <v>150</v>
      </c>
      <c r="K52" s="29">
        <v>9512</v>
      </c>
      <c r="L52" s="29">
        <v>12943</v>
      </c>
      <c r="M52" s="29">
        <v>12943</v>
      </c>
      <c r="N52" s="29">
        <v>12943</v>
      </c>
      <c r="O52" s="23"/>
      <c r="P52" s="37"/>
      <c r="Q52" s="787" t="s">
        <v>64</v>
      </c>
      <c r="R52" s="23" t="s">
        <v>152</v>
      </c>
      <c r="S52" s="29">
        <f>C54</f>
        <v>564</v>
      </c>
      <c r="T52" s="29">
        <f>D54</f>
        <v>811</v>
      </c>
      <c r="U52" s="29">
        <f>E54</f>
        <v>845</v>
      </c>
      <c r="V52" s="29">
        <f>F54</f>
        <v>880</v>
      </c>
      <c r="W52" s="23"/>
      <c r="X52" s="37"/>
    </row>
    <row r="53" spans="1:24" ht="24.95" customHeight="1">
      <c r="A53" s="787"/>
      <c r="B53" s="23" t="s">
        <v>70</v>
      </c>
      <c r="C53" s="35">
        <v>89</v>
      </c>
      <c r="D53" s="35">
        <v>94</v>
      </c>
      <c r="E53" s="35">
        <v>98</v>
      </c>
      <c r="F53" s="35">
        <v>102</v>
      </c>
      <c r="G53" s="23"/>
      <c r="I53" s="787"/>
      <c r="J53" s="23" t="s">
        <v>70</v>
      </c>
      <c r="K53" s="35">
        <v>27</v>
      </c>
      <c r="L53" s="35">
        <v>28</v>
      </c>
      <c r="M53" s="35">
        <v>29</v>
      </c>
      <c r="N53" s="35">
        <v>31</v>
      </c>
      <c r="O53" s="23"/>
      <c r="P53" s="37"/>
      <c r="Q53" s="787"/>
      <c r="R53" s="23" t="s">
        <v>150</v>
      </c>
      <c r="S53" s="35">
        <f>K54</f>
        <v>257</v>
      </c>
      <c r="T53" s="35">
        <f>L54</f>
        <v>362</v>
      </c>
      <c r="U53" s="35">
        <f>M54</f>
        <v>375</v>
      </c>
      <c r="V53" s="35">
        <f>N54</f>
        <v>401</v>
      </c>
      <c r="W53" s="23"/>
      <c r="X53" s="37"/>
    </row>
    <row r="54" spans="1:24" ht="24.95" customHeight="1">
      <c r="A54" s="787"/>
      <c r="B54" s="23" t="s">
        <v>124</v>
      </c>
      <c r="C54" s="35">
        <f>ROUND(C52*C53/1000,0)</f>
        <v>564</v>
      </c>
      <c r="D54" s="35">
        <f>ROUND(D52*D53/1000,0)</f>
        <v>811</v>
      </c>
      <c r="E54" s="35">
        <f>ROUND(E52*E53/1000,0)</f>
        <v>845</v>
      </c>
      <c r="F54" s="35">
        <f>ROUND(F52*F53/1000,0)</f>
        <v>880</v>
      </c>
      <c r="G54" s="23"/>
      <c r="I54" s="787"/>
      <c r="J54" s="23" t="s">
        <v>124</v>
      </c>
      <c r="K54" s="35">
        <f>ROUND(K52*K53/1000,0)</f>
        <v>257</v>
      </c>
      <c r="L54" s="35">
        <f>ROUND(L52*L53/1000,0)</f>
        <v>362</v>
      </c>
      <c r="M54" s="35">
        <f>ROUND(M52*M53/1000,0)</f>
        <v>375</v>
      </c>
      <c r="N54" s="35">
        <f>ROUND(N52*N53/1000,0)</f>
        <v>401</v>
      </c>
      <c r="O54" s="23"/>
      <c r="P54" s="37"/>
      <c r="Q54" s="787"/>
      <c r="R54" s="23" t="s">
        <v>153</v>
      </c>
      <c r="S54" s="35">
        <f>SUM(S52:S53)</f>
        <v>821</v>
      </c>
      <c r="T54" s="35">
        <f>SUM(T52:T53)</f>
        <v>1173</v>
      </c>
      <c r="U54" s="35">
        <f>SUM(U52:U53)</f>
        <v>1220</v>
      </c>
      <c r="V54" s="35">
        <f>SUM(V52:V53)</f>
        <v>1281</v>
      </c>
      <c r="W54" s="23"/>
      <c r="X54" s="37"/>
    </row>
    <row r="55" spans="1:24" ht="24.95" customHeight="1">
      <c r="A55" s="787" t="s">
        <v>131</v>
      </c>
      <c r="B55" s="23" t="s">
        <v>129</v>
      </c>
      <c r="C55" s="35">
        <v>573</v>
      </c>
      <c r="D55" s="35">
        <v>780</v>
      </c>
      <c r="E55" s="35">
        <v>780</v>
      </c>
      <c r="F55" s="35">
        <v>780</v>
      </c>
      <c r="G55" s="23"/>
      <c r="I55" s="787" t="s">
        <v>131</v>
      </c>
      <c r="J55" s="23" t="s">
        <v>150</v>
      </c>
      <c r="K55" s="23">
        <v>860</v>
      </c>
      <c r="L55" s="29">
        <v>1170</v>
      </c>
      <c r="M55" s="29">
        <v>1170</v>
      </c>
      <c r="N55" s="29">
        <v>1170</v>
      </c>
      <c r="O55" s="23"/>
      <c r="P55" s="37"/>
      <c r="Q55" s="787" t="s">
        <v>131</v>
      </c>
      <c r="R55" s="23" t="s">
        <v>152</v>
      </c>
      <c r="S55" s="29">
        <f>C57</f>
        <v>51</v>
      </c>
      <c r="T55" s="29">
        <f>D57</f>
        <v>73</v>
      </c>
      <c r="U55" s="29">
        <f>E57</f>
        <v>76</v>
      </c>
      <c r="V55" s="29">
        <f>F57</f>
        <v>80</v>
      </c>
      <c r="W55" s="23"/>
      <c r="X55" s="37"/>
    </row>
    <row r="56" spans="1:24" ht="24.95" customHeight="1">
      <c r="A56" s="787"/>
      <c r="B56" s="23" t="s">
        <v>70</v>
      </c>
      <c r="C56" s="35">
        <v>89</v>
      </c>
      <c r="D56" s="35">
        <v>94</v>
      </c>
      <c r="E56" s="35">
        <v>98</v>
      </c>
      <c r="F56" s="35">
        <v>102</v>
      </c>
      <c r="G56" s="23"/>
      <c r="I56" s="787"/>
      <c r="J56" s="23" t="s">
        <v>70</v>
      </c>
      <c r="K56" s="35">
        <v>27</v>
      </c>
      <c r="L56" s="35">
        <v>28</v>
      </c>
      <c r="M56" s="35">
        <v>29</v>
      </c>
      <c r="N56" s="35">
        <v>31</v>
      </c>
      <c r="O56" s="23"/>
      <c r="P56" s="37"/>
      <c r="Q56" s="787"/>
      <c r="R56" s="23" t="s">
        <v>150</v>
      </c>
      <c r="S56" s="35">
        <f>K57</f>
        <v>23</v>
      </c>
      <c r="T56" s="35">
        <f>L57</f>
        <v>33</v>
      </c>
      <c r="U56" s="35">
        <f>M57</f>
        <v>34</v>
      </c>
      <c r="V56" s="35">
        <f>N57</f>
        <v>36</v>
      </c>
      <c r="W56" s="23"/>
      <c r="X56" s="37"/>
    </row>
    <row r="57" spans="1:24" ht="24.95" customHeight="1">
      <c r="A57" s="787"/>
      <c r="B57" s="23" t="s">
        <v>124</v>
      </c>
      <c r="C57" s="35">
        <f>ROUND(C55*C56/1000,0)</f>
        <v>51</v>
      </c>
      <c r="D57" s="35">
        <f>ROUND(D55*D56/1000,0)</f>
        <v>73</v>
      </c>
      <c r="E57" s="35">
        <f>ROUND(E55*E56/1000,0)</f>
        <v>76</v>
      </c>
      <c r="F57" s="35">
        <f>ROUND(F55*F56/1000,0)</f>
        <v>80</v>
      </c>
      <c r="G57" s="23"/>
      <c r="I57" s="787"/>
      <c r="J57" s="23" t="s">
        <v>124</v>
      </c>
      <c r="K57" s="35">
        <f>ROUND(K55*K56/1000,0)</f>
        <v>23</v>
      </c>
      <c r="L57" s="35">
        <f>ROUND(L55*L56/1000,0)</f>
        <v>33</v>
      </c>
      <c r="M57" s="35">
        <f>ROUND(M55*M56/1000,0)</f>
        <v>34</v>
      </c>
      <c r="N57" s="35">
        <f>ROUND(N55*N56/1000,0)</f>
        <v>36</v>
      </c>
      <c r="O57" s="23"/>
      <c r="P57" s="37"/>
      <c r="Q57" s="787"/>
      <c r="R57" s="23" t="s">
        <v>153</v>
      </c>
      <c r="S57" s="35">
        <f>SUM(S55:S56)</f>
        <v>74</v>
      </c>
      <c r="T57" s="35">
        <f>SUM(T55:T56)</f>
        <v>106</v>
      </c>
      <c r="U57" s="35">
        <f>SUM(U55:U56)</f>
        <v>110</v>
      </c>
      <c r="V57" s="35">
        <f>SUM(V55:V56)</f>
        <v>116</v>
      </c>
      <c r="W57" s="23"/>
      <c r="X57" s="37"/>
    </row>
    <row r="58" spans="1:24" ht="24.95" customHeight="1">
      <c r="A58" s="787" t="s">
        <v>132</v>
      </c>
      <c r="B58" s="23" t="s">
        <v>129</v>
      </c>
      <c r="C58" s="35">
        <v>1462</v>
      </c>
      <c r="D58" s="35">
        <v>1990</v>
      </c>
      <c r="E58" s="35">
        <v>1990</v>
      </c>
      <c r="F58" s="35">
        <v>1990</v>
      </c>
      <c r="G58" s="23"/>
      <c r="I58" s="787" t="s">
        <v>132</v>
      </c>
      <c r="J58" s="23" t="s">
        <v>150</v>
      </c>
      <c r="K58" s="29">
        <v>2194</v>
      </c>
      <c r="L58" s="29">
        <v>2984</v>
      </c>
      <c r="M58" s="29">
        <v>2984</v>
      </c>
      <c r="N58" s="29">
        <v>2984</v>
      </c>
      <c r="O58" s="23"/>
      <c r="P58" s="37"/>
      <c r="Q58" s="787" t="s">
        <v>132</v>
      </c>
      <c r="R58" s="23" t="s">
        <v>152</v>
      </c>
      <c r="S58" s="29">
        <f>C60</f>
        <v>130</v>
      </c>
      <c r="T58" s="29">
        <f>D60</f>
        <v>187</v>
      </c>
      <c r="U58" s="29">
        <f>E60</f>
        <v>195</v>
      </c>
      <c r="V58" s="29">
        <f>F60</f>
        <v>203</v>
      </c>
      <c r="W58" s="23"/>
      <c r="X58" s="37"/>
    </row>
    <row r="59" spans="1:24" ht="24.95" customHeight="1">
      <c r="A59" s="787"/>
      <c r="B59" s="23" t="s">
        <v>70</v>
      </c>
      <c r="C59" s="35">
        <v>89</v>
      </c>
      <c r="D59" s="35">
        <v>94</v>
      </c>
      <c r="E59" s="35">
        <v>98</v>
      </c>
      <c r="F59" s="35">
        <v>102</v>
      </c>
      <c r="G59" s="23"/>
      <c r="I59" s="787"/>
      <c r="J59" s="23" t="s">
        <v>70</v>
      </c>
      <c r="K59" s="35">
        <v>27</v>
      </c>
      <c r="L59" s="35">
        <v>28</v>
      </c>
      <c r="M59" s="35">
        <v>29</v>
      </c>
      <c r="N59" s="35">
        <v>31</v>
      </c>
      <c r="O59" s="23"/>
      <c r="P59" s="37"/>
      <c r="Q59" s="787"/>
      <c r="R59" s="23" t="s">
        <v>150</v>
      </c>
      <c r="S59" s="35">
        <f>K60</f>
        <v>59</v>
      </c>
      <c r="T59" s="35">
        <f>L60</f>
        <v>84</v>
      </c>
      <c r="U59" s="35">
        <f>M60</f>
        <v>87</v>
      </c>
      <c r="V59" s="35">
        <f>N60</f>
        <v>93</v>
      </c>
      <c r="W59" s="23"/>
      <c r="X59" s="37"/>
    </row>
    <row r="60" spans="1:24" ht="24.95" customHeight="1">
      <c r="A60" s="787"/>
      <c r="B60" s="23" t="s">
        <v>124</v>
      </c>
      <c r="C60" s="35">
        <f>ROUND(C58*C59/1000,0)</f>
        <v>130</v>
      </c>
      <c r="D60" s="35">
        <f>ROUND(D58*D59/1000,0)</f>
        <v>187</v>
      </c>
      <c r="E60" s="35">
        <f>ROUND(E58*E59/1000,0)</f>
        <v>195</v>
      </c>
      <c r="F60" s="35">
        <f>ROUND(F58*F59/1000,0)</f>
        <v>203</v>
      </c>
      <c r="G60" s="23"/>
      <c r="I60" s="787"/>
      <c r="J60" s="23" t="s">
        <v>124</v>
      </c>
      <c r="K60" s="35">
        <f>ROUND(K58*K59/1000,0)</f>
        <v>59</v>
      </c>
      <c r="L60" s="35">
        <f>ROUND(L58*L59/1000,0)</f>
        <v>84</v>
      </c>
      <c r="M60" s="35">
        <f>ROUND(M58*M59/1000,0)</f>
        <v>87</v>
      </c>
      <c r="N60" s="35">
        <f>ROUND(N58*N59/1000,0)</f>
        <v>93</v>
      </c>
      <c r="O60" s="23"/>
      <c r="P60" s="37"/>
      <c r="Q60" s="787"/>
      <c r="R60" s="23" t="s">
        <v>153</v>
      </c>
      <c r="S60" s="35">
        <f>SUM(S58:S59)</f>
        <v>189</v>
      </c>
      <c r="T60" s="35">
        <f>SUM(T58:T59)</f>
        <v>271</v>
      </c>
      <c r="U60" s="35">
        <f>SUM(U58:U59)</f>
        <v>282</v>
      </c>
      <c r="V60" s="35">
        <f>SUM(V58:V59)</f>
        <v>296</v>
      </c>
      <c r="W60" s="23"/>
      <c r="X60" s="37"/>
    </row>
    <row r="61" spans="1:24" ht="24.95" customHeight="1">
      <c r="A61" s="788" t="s">
        <v>133</v>
      </c>
      <c r="B61" s="23" t="s">
        <v>129</v>
      </c>
      <c r="C61" s="35">
        <v>2265</v>
      </c>
      <c r="D61" s="35">
        <v>3082</v>
      </c>
      <c r="E61" s="35">
        <v>3082</v>
      </c>
      <c r="F61" s="35">
        <v>3082</v>
      </c>
      <c r="G61" s="23"/>
      <c r="I61" s="788" t="s">
        <v>133</v>
      </c>
      <c r="J61" s="23" t="s">
        <v>150</v>
      </c>
      <c r="K61" s="29">
        <v>3398</v>
      </c>
      <c r="L61" s="29">
        <v>4622</v>
      </c>
      <c r="M61" s="29">
        <v>4622</v>
      </c>
      <c r="N61" s="29">
        <v>4622</v>
      </c>
      <c r="O61" s="23"/>
      <c r="P61" s="37"/>
      <c r="Q61" s="788" t="s">
        <v>133</v>
      </c>
      <c r="R61" s="23" t="s">
        <v>152</v>
      </c>
      <c r="S61" s="29">
        <f>C63</f>
        <v>202</v>
      </c>
      <c r="T61" s="29">
        <f>D63</f>
        <v>290</v>
      </c>
      <c r="U61" s="29">
        <f>E63</f>
        <v>302</v>
      </c>
      <c r="V61" s="29">
        <f>F63</f>
        <v>314</v>
      </c>
      <c r="W61" s="23"/>
      <c r="X61" s="37"/>
    </row>
    <row r="62" spans="1:24" ht="24.95" customHeight="1">
      <c r="A62" s="789"/>
      <c r="B62" s="23" t="s">
        <v>70</v>
      </c>
      <c r="C62" s="35">
        <v>89</v>
      </c>
      <c r="D62" s="35">
        <v>94</v>
      </c>
      <c r="E62" s="35">
        <v>98</v>
      </c>
      <c r="F62" s="35">
        <v>102</v>
      </c>
      <c r="G62" s="23"/>
      <c r="I62" s="789"/>
      <c r="J62" s="23" t="s">
        <v>70</v>
      </c>
      <c r="K62" s="35">
        <v>27</v>
      </c>
      <c r="L62" s="35">
        <v>28</v>
      </c>
      <c r="M62" s="35">
        <v>29</v>
      </c>
      <c r="N62" s="35">
        <v>31</v>
      </c>
      <c r="O62" s="23"/>
      <c r="P62" s="37"/>
      <c r="Q62" s="789"/>
      <c r="R62" s="23" t="s">
        <v>150</v>
      </c>
      <c r="S62" s="35">
        <f>K63</f>
        <v>92</v>
      </c>
      <c r="T62" s="35">
        <f>L63</f>
        <v>129</v>
      </c>
      <c r="U62" s="35">
        <f>M63</f>
        <v>134</v>
      </c>
      <c r="V62" s="35">
        <f>N63</f>
        <v>143</v>
      </c>
      <c r="W62" s="23"/>
      <c r="X62" s="37"/>
    </row>
    <row r="63" spans="1:24" ht="24.95" customHeight="1">
      <c r="A63" s="790"/>
      <c r="B63" s="23" t="s">
        <v>124</v>
      </c>
      <c r="C63" s="35">
        <f>ROUND(C61*C62/1000,0)</f>
        <v>202</v>
      </c>
      <c r="D63" s="35">
        <f>ROUND(D61*D62/1000,0)</f>
        <v>290</v>
      </c>
      <c r="E63" s="35">
        <f>ROUND(E61*E62/1000,0)</f>
        <v>302</v>
      </c>
      <c r="F63" s="35">
        <f>ROUND(F61*F62/1000,0)</f>
        <v>314</v>
      </c>
      <c r="G63" s="23"/>
      <c r="I63" s="790"/>
      <c r="J63" s="23" t="s">
        <v>124</v>
      </c>
      <c r="K63" s="35">
        <f>ROUND(K61*K62/1000,0)</f>
        <v>92</v>
      </c>
      <c r="L63" s="35">
        <f>ROUND(L61*L62/1000,0)</f>
        <v>129</v>
      </c>
      <c r="M63" s="35">
        <f>ROUND(M61*M62/1000,0)</f>
        <v>134</v>
      </c>
      <c r="N63" s="35">
        <f>ROUND(N61*N62/1000,0)</f>
        <v>143</v>
      </c>
      <c r="O63" s="23"/>
      <c r="P63" s="37"/>
      <c r="Q63" s="790"/>
      <c r="R63" s="23" t="s">
        <v>153</v>
      </c>
      <c r="S63" s="35">
        <f>SUM(S61:S62)</f>
        <v>294</v>
      </c>
      <c r="T63" s="35">
        <f>SUM(T61:T62)</f>
        <v>419</v>
      </c>
      <c r="U63" s="35">
        <f>SUM(U61:U62)</f>
        <v>436</v>
      </c>
      <c r="V63" s="35">
        <f>SUM(V61:V62)</f>
        <v>457</v>
      </c>
      <c r="W63" s="23"/>
      <c r="X63" s="37"/>
    </row>
    <row r="64" spans="1:24" ht="24.95" customHeight="1">
      <c r="A64" s="787" t="s">
        <v>67</v>
      </c>
      <c r="B64" s="23" t="s">
        <v>129</v>
      </c>
      <c r="C64" s="35">
        <v>2703</v>
      </c>
      <c r="D64" s="35">
        <v>3677</v>
      </c>
      <c r="E64" s="35">
        <v>3677</v>
      </c>
      <c r="F64" s="35">
        <v>3677</v>
      </c>
      <c r="G64" s="23"/>
      <c r="I64" s="787" t="s">
        <v>67</v>
      </c>
      <c r="J64" s="23" t="s">
        <v>150</v>
      </c>
      <c r="K64" s="29">
        <v>4054</v>
      </c>
      <c r="L64" s="29">
        <v>5515</v>
      </c>
      <c r="M64" s="29">
        <v>5515</v>
      </c>
      <c r="N64" s="29">
        <v>5515</v>
      </c>
      <c r="O64" s="23"/>
      <c r="P64" s="37"/>
      <c r="Q64" s="787" t="s">
        <v>67</v>
      </c>
      <c r="R64" s="23" t="s">
        <v>152</v>
      </c>
      <c r="S64" s="29">
        <f>C66</f>
        <v>241</v>
      </c>
      <c r="T64" s="29">
        <f>D66</f>
        <v>346</v>
      </c>
      <c r="U64" s="29">
        <f>E66</f>
        <v>360</v>
      </c>
      <c r="V64" s="29">
        <f>F66</f>
        <v>375</v>
      </c>
      <c r="W64" s="23"/>
      <c r="X64" s="37"/>
    </row>
    <row r="65" spans="1:24" ht="24.95" customHeight="1">
      <c r="A65" s="787"/>
      <c r="B65" s="23" t="s">
        <v>70</v>
      </c>
      <c r="C65" s="35">
        <v>89</v>
      </c>
      <c r="D65" s="35">
        <v>94</v>
      </c>
      <c r="E65" s="35">
        <v>98</v>
      </c>
      <c r="F65" s="35">
        <v>102</v>
      </c>
      <c r="G65" s="23"/>
      <c r="I65" s="787"/>
      <c r="J65" s="23" t="s">
        <v>70</v>
      </c>
      <c r="K65" s="35">
        <v>27</v>
      </c>
      <c r="L65" s="35">
        <v>28</v>
      </c>
      <c r="M65" s="35">
        <v>29</v>
      </c>
      <c r="N65" s="35">
        <v>31</v>
      </c>
      <c r="O65" s="23"/>
      <c r="P65" s="37"/>
      <c r="Q65" s="787"/>
      <c r="R65" s="23" t="s">
        <v>150</v>
      </c>
      <c r="S65" s="35">
        <f>K66</f>
        <v>109</v>
      </c>
      <c r="T65" s="35">
        <f>L66</f>
        <v>154</v>
      </c>
      <c r="U65" s="35">
        <f>M66</f>
        <v>160</v>
      </c>
      <c r="V65" s="35">
        <f>N66</f>
        <v>171</v>
      </c>
      <c r="W65" s="23"/>
      <c r="X65" s="37"/>
    </row>
    <row r="66" spans="1:24" ht="24.95" customHeight="1">
      <c r="A66" s="787"/>
      <c r="B66" s="23" t="s">
        <v>124</v>
      </c>
      <c r="C66" s="35">
        <f>ROUND(C64*C65/1000,0)</f>
        <v>241</v>
      </c>
      <c r="D66" s="35">
        <f>ROUND(D64*D65/1000,0)</f>
        <v>346</v>
      </c>
      <c r="E66" s="35">
        <f>ROUND(E64*E65/1000,0)</f>
        <v>360</v>
      </c>
      <c r="F66" s="35">
        <f>ROUND(F64*F65/1000,0)</f>
        <v>375</v>
      </c>
      <c r="G66" s="23"/>
      <c r="I66" s="787"/>
      <c r="J66" s="23" t="s">
        <v>124</v>
      </c>
      <c r="K66" s="35">
        <f>ROUND(K64*K65/1000,0)</f>
        <v>109</v>
      </c>
      <c r="L66" s="35">
        <f>ROUND(L64*L65/1000,0)</f>
        <v>154</v>
      </c>
      <c r="M66" s="35">
        <f>ROUND(M64*M65/1000,0)</f>
        <v>160</v>
      </c>
      <c r="N66" s="35">
        <f>ROUND(N64*N65/1000,0)</f>
        <v>171</v>
      </c>
      <c r="O66" s="23"/>
      <c r="P66" s="37"/>
      <c r="Q66" s="787"/>
      <c r="R66" s="23" t="s">
        <v>153</v>
      </c>
      <c r="S66" s="35">
        <f>SUM(S64:S65)</f>
        <v>350</v>
      </c>
      <c r="T66" s="35">
        <f>SUM(T64:T65)</f>
        <v>500</v>
      </c>
      <c r="U66" s="35">
        <f>SUM(U64:U65)</f>
        <v>520</v>
      </c>
      <c r="V66" s="35">
        <f>SUM(V64:V65)</f>
        <v>546</v>
      </c>
      <c r="W66" s="23"/>
      <c r="X66" s="37"/>
    </row>
    <row r="67" spans="1:24" ht="24.95" customHeight="1">
      <c r="A67" s="787" t="s">
        <v>68</v>
      </c>
      <c r="B67" s="23" t="s">
        <v>129</v>
      </c>
      <c r="C67" s="35">
        <v>315</v>
      </c>
      <c r="D67" s="35">
        <v>428</v>
      </c>
      <c r="E67" s="35">
        <v>428</v>
      </c>
      <c r="F67" s="35">
        <v>428</v>
      </c>
      <c r="G67" s="23"/>
      <c r="I67" s="787" t="s">
        <v>68</v>
      </c>
      <c r="J67" s="23" t="s">
        <v>150</v>
      </c>
      <c r="K67" s="23">
        <v>472</v>
      </c>
      <c r="L67" s="23">
        <v>642</v>
      </c>
      <c r="M67" s="23">
        <v>642</v>
      </c>
      <c r="N67" s="23">
        <v>642</v>
      </c>
      <c r="O67" s="23"/>
      <c r="P67" s="37"/>
      <c r="Q67" s="787" t="s">
        <v>68</v>
      </c>
      <c r="R67" s="23" t="s">
        <v>152</v>
      </c>
      <c r="S67" s="29">
        <f>C69</f>
        <v>28</v>
      </c>
      <c r="T67" s="29">
        <f>D69</f>
        <v>40</v>
      </c>
      <c r="U67" s="29">
        <f>E69</f>
        <v>42</v>
      </c>
      <c r="V67" s="29">
        <f>F69</f>
        <v>44</v>
      </c>
      <c r="W67" s="23"/>
      <c r="X67" s="37"/>
    </row>
    <row r="68" spans="1:24" ht="24.95" customHeight="1">
      <c r="A68" s="787"/>
      <c r="B68" s="23" t="s">
        <v>70</v>
      </c>
      <c r="C68" s="35">
        <v>89</v>
      </c>
      <c r="D68" s="35">
        <v>94</v>
      </c>
      <c r="E68" s="35">
        <v>98</v>
      </c>
      <c r="F68" s="35">
        <v>102</v>
      </c>
      <c r="G68" s="23"/>
      <c r="I68" s="787"/>
      <c r="J68" s="23" t="s">
        <v>70</v>
      </c>
      <c r="K68" s="35">
        <v>27</v>
      </c>
      <c r="L68" s="35">
        <v>28</v>
      </c>
      <c r="M68" s="35">
        <v>29</v>
      </c>
      <c r="N68" s="35">
        <v>31</v>
      </c>
      <c r="O68" s="23"/>
      <c r="P68" s="37"/>
      <c r="Q68" s="787"/>
      <c r="R68" s="23" t="s">
        <v>150</v>
      </c>
      <c r="S68" s="35">
        <f>K69</f>
        <v>13</v>
      </c>
      <c r="T68" s="35">
        <f>L69</f>
        <v>18</v>
      </c>
      <c r="U68" s="35">
        <f>M69</f>
        <v>19</v>
      </c>
      <c r="V68" s="35">
        <f>N69</f>
        <v>20</v>
      </c>
      <c r="W68" s="23"/>
      <c r="X68" s="37"/>
    </row>
    <row r="69" spans="1:24" ht="24.95" customHeight="1">
      <c r="A69" s="787"/>
      <c r="B69" s="23" t="s">
        <v>124</v>
      </c>
      <c r="C69" s="35">
        <f>ROUND(C67*C68/1000,0)</f>
        <v>28</v>
      </c>
      <c r="D69" s="35">
        <f>ROUND(D67*D68/1000,0)</f>
        <v>40</v>
      </c>
      <c r="E69" s="35">
        <f>ROUND(E67*E68/1000,0)</f>
        <v>42</v>
      </c>
      <c r="F69" s="35">
        <f>ROUND(F67*F68/1000,0)</f>
        <v>44</v>
      </c>
      <c r="G69" s="23"/>
      <c r="I69" s="787"/>
      <c r="J69" s="23" t="s">
        <v>124</v>
      </c>
      <c r="K69" s="35">
        <f>ROUND(K67*K68/1000,0)</f>
        <v>13</v>
      </c>
      <c r="L69" s="35">
        <f>ROUND(L67*L68/1000,0)</f>
        <v>18</v>
      </c>
      <c r="M69" s="35">
        <f>ROUND(M67*M68/1000,0)</f>
        <v>19</v>
      </c>
      <c r="N69" s="35">
        <f>ROUND(N67*N68/1000,0)</f>
        <v>20</v>
      </c>
      <c r="O69" s="23"/>
      <c r="P69" s="37"/>
      <c r="Q69" s="787"/>
      <c r="R69" s="23" t="s">
        <v>153</v>
      </c>
      <c r="S69" s="35">
        <f>SUM(S67:S68)</f>
        <v>41</v>
      </c>
      <c r="T69" s="35">
        <f>SUM(T67:T68)</f>
        <v>58</v>
      </c>
      <c r="U69" s="35">
        <f>SUM(U67:U68)</f>
        <v>61</v>
      </c>
      <c r="V69" s="35">
        <f>SUM(V67:V68)</f>
        <v>64</v>
      </c>
      <c r="W69" s="23"/>
      <c r="X69" s="37"/>
    </row>
    <row r="70" spans="1:24" ht="24.95" customHeight="1">
      <c r="A70" s="787" t="s">
        <v>69</v>
      </c>
      <c r="B70" s="23" t="s">
        <v>129</v>
      </c>
      <c r="C70" s="35">
        <v>777</v>
      </c>
      <c r="D70" s="35">
        <v>1057</v>
      </c>
      <c r="E70" s="35">
        <v>1057</v>
      </c>
      <c r="F70" s="35">
        <v>1057</v>
      </c>
      <c r="G70" s="23"/>
      <c r="I70" s="787" t="s">
        <v>69</v>
      </c>
      <c r="J70" s="23" t="s">
        <v>150</v>
      </c>
      <c r="K70" s="29">
        <v>1165</v>
      </c>
      <c r="L70" s="29">
        <v>1585</v>
      </c>
      <c r="M70" s="29">
        <v>1585</v>
      </c>
      <c r="N70" s="29">
        <v>1585</v>
      </c>
      <c r="O70" s="23"/>
      <c r="P70" s="37"/>
      <c r="Q70" s="787" t="s">
        <v>69</v>
      </c>
      <c r="R70" s="23" t="s">
        <v>152</v>
      </c>
      <c r="S70" s="29">
        <f>C72</f>
        <v>69</v>
      </c>
      <c r="T70" s="29">
        <f>D72</f>
        <v>99</v>
      </c>
      <c r="U70" s="29">
        <f>E72</f>
        <v>104</v>
      </c>
      <c r="V70" s="29">
        <f>F72</f>
        <v>108</v>
      </c>
      <c r="W70" s="23"/>
      <c r="X70" s="37"/>
    </row>
    <row r="71" spans="1:24" ht="24.95" customHeight="1">
      <c r="A71" s="787"/>
      <c r="B71" s="23" t="s">
        <v>70</v>
      </c>
      <c r="C71" s="35">
        <v>89</v>
      </c>
      <c r="D71" s="35">
        <v>94</v>
      </c>
      <c r="E71" s="35">
        <v>98</v>
      </c>
      <c r="F71" s="35">
        <v>102</v>
      </c>
      <c r="G71" s="23"/>
      <c r="I71" s="787"/>
      <c r="J71" s="23" t="s">
        <v>70</v>
      </c>
      <c r="K71" s="35">
        <v>27</v>
      </c>
      <c r="L71" s="35">
        <v>28</v>
      </c>
      <c r="M71" s="35">
        <v>29</v>
      </c>
      <c r="N71" s="35">
        <v>31</v>
      </c>
      <c r="O71" s="23"/>
      <c r="P71" s="37"/>
      <c r="Q71" s="787"/>
      <c r="R71" s="23" t="s">
        <v>150</v>
      </c>
      <c r="S71" s="35">
        <f>K72</f>
        <v>31</v>
      </c>
      <c r="T71" s="35">
        <f>L72</f>
        <v>44</v>
      </c>
      <c r="U71" s="35">
        <f>M72</f>
        <v>46</v>
      </c>
      <c r="V71" s="35">
        <f>N72</f>
        <v>49</v>
      </c>
      <c r="W71" s="23"/>
      <c r="X71" s="37"/>
    </row>
    <row r="72" spans="1:24" ht="24.95" customHeight="1">
      <c r="A72" s="787"/>
      <c r="B72" s="23" t="s">
        <v>124</v>
      </c>
      <c r="C72" s="35">
        <f>ROUND(C70*C71/1000,0)</f>
        <v>69</v>
      </c>
      <c r="D72" s="35">
        <f>ROUND(D70*D71/1000,0)</f>
        <v>99</v>
      </c>
      <c r="E72" s="35">
        <f>ROUND(E70*E71/1000,0)</f>
        <v>104</v>
      </c>
      <c r="F72" s="35">
        <f>ROUND(F70*F71/1000,0)</f>
        <v>108</v>
      </c>
      <c r="G72" s="23"/>
      <c r="I72" s="787"/>
      <c r="J72" s="23" t="s">
        <v>124</v>
      </c>
      <c r="K72" s="35">
        <f>ROUND(K70*K71/1000,0)</f>
        <v>31</v>
      </c>
      <c r="L72" s="35">
        <f>ROUND(L70*L71/1000,0)</f>
        <v>44</v>
      </c>
      <c r="M72" s="35">
        <f>ROUND(M70*M71/1000,0)</f>
        <v>46</v>
      </c>
      <c r="N72" s="35">
        <f>ROUND(N70*N71/1000,0)</f>
        <v>49</v>
      </c>
      <c r="O72" s="23"/>
      <c r="P72" s="37"/>
      <c r="Q72" s="787"/>
      <c r="R72" s="23" t="s">
        <v>153</v>
      </c>
      <c r="S72" s="35">
        <f>SUM(S70:S71)</f>
        <v>100</v>
      </c>
      <c r="T72" s="35">
        <f>SUM(T70:T71)</f>
        <v>143</v>
      </c>
      <c r="U72" s="35">
        <f>SUM(U70:U71)</f>
        <v>150</v>
      </c>
      <c r="V72" s="35">
        <f>SUM(V70:V71)</f>
        <v>157</v>
      </c>
      <c r="W72" s="23"/>
      <c r="X72" s="37"/>
    </row>
    <row r="73" spans="1:24" ht="24.95" customHeight="1"/>
    <row r="74" spans="1:24" ht="24.95" customHeight="1">
      <c r="A74" s="32" t="s">
        <v>147</v>
      </c>
      <c r="I74" s="32" t="s">
        <v>149</v>
      </c>
      <c r="Q74" s="32" t="s">
        <v>149</v>
      </c>
    </row>
    <row r="75" spans="1:24" ht="24.95" customHeight="1">
      <c r="A75" s="829" t="s">
        <v>57</v>
      </c>
      <c r="B75" s="829"/>
      <c r="C75" s="24" t="s">
        <v>119</v>
      </c>
      <c r="D75" s="24" t="s">
        <v>120</v>
      </c>
      <c r="E75" s="24" t="s">
        <v>121</v>
      </c>
      <c r="F75" s="24" t="s">
        <v>122</v>
      </c>
      <c r="G75" s="24" t="s">
        <v>127</v>
      </c>
      <c r="I75" s="829" t="s">
        <v>57</v>
      </c>
      <c r="J75" s="829"/>
      <c r="K75" s="24" t="s">
        <v>119</v>
      </c>
      <c r="L75" s="24" t="s">
        <v>120</v>
      </c>
      <c r="M75" s="24" t="s">
        <v>121</v>
      </c>
      <c r="N75" s="24" t="s">
        <v>122</v>
      </c>
      <c r="O75" s="24" t="s">
        <v>127</v>
      </c>
      <c r="P75" s="36"/>
      <c r="Q75" s="829" t="s">
        <v>57</v>
      </c>
      <c r="R75" s="829"/>
      <c r="S75" s="24" t="s">
        <v>119</v>
      </c>
      <c r="T75" s="24" t="s">
        <v>120</v>
      </c>
      <c r="U75" s="24" t="s">
        <v>121</v>
      </c>
      <c r="V75" s="24" t="s">
        <v>122</v>
      </c>
      <c r="W75" s="24" t="s">
        <v>127</v>
      </c>
      <c r="X75" s="36"/>
    </row>
    <row r="76" spans="1:24" ht="24.95" customHeight="1">
      <c r="A76" s="787" t="s">
        <v>59</v>
      </c>
      <c r="B76" s="23" t="s">
        <v>129</v>
      </c>
      <c r="C76" s="35">
        <v>14437</v>
      </c>
      <c r="D76" s="35">
        <v>19641</v>
      </c>
      <c r="E76" s="35">
        <v>19641</v>
      </c>
      <c r="F76" s="35">
        <v>19641</v>
      </c>
      <c r="G76" s="23"/>
      <c r="I76" s="787" t="s">
        <v>59</v>
      </c>
      <c r="J76" s="23" t="s">
        <v>150</v>
      </c>
      <c r="K76" s="29">
        <v>21655</v>
      </c>
      <c r="L76" s="29">
        <v>29461</v>
      </c>
      <c r="M76" s="29">
        <v>29461</v>
      </c>
      <c r="N76" s="29">
        <v>29461</v>
      </c>
      <c r="O76" s="23"/>
      <c r="P76" s="37"/>
      <c r="Q76" s="787" t="s">
        <v>59</v>
      </c>
      <c r="R76" s="23" t="s">
        <v>152</v>
      </c>
      <c r="S76" s="29">
        <f t="shared" ref="S76:V77" si="3">S79+S82+S85+S88+S91+S94+S97</f>
        <v>1342</v>
      </c>
      <c r="T76" s="29">
        <f t="shared" si="3"/>
        <v>2043</v>
      </c>
      <c r="U76" s="29">
        <f t="shared" si="3"/>
        <v>2238</v>
      </c>
      <c r="V76" s="29">
        <f t="shared" si="3"/>
        <v>2456</v>
      </c>
      <c r="W76" s="23"/>
      <c r="X76" s="37"/>
    </row>
    <row r="77" spans="1:24" ht="24.95" customHeight="1">
      <c r="A77" s="787"/>
      <c r="B77" s="23" t="s">
        <v>70</v>
      </c>
      <c r="C77" s="35" t="s">
        <v>143</v>
      </c>
      <c r="D77" s="35" t="s">
        <v>143</v>
      </c>
      <c r="E77" s="35" t="s">
        <v>143</v>
      </c>
      <c r="F77" s="35" t="s">
        <v>143</v>
      </c>
      <c r="G77" s="23"/>
      <c r="I77" s="787"/>
      <c r="J77" s="23" t="s">
        <v>70</v>
      </c>
      <c r="K77" s="35" t="s">
        <v>143</v>
      </c>
      <c r="L77" s="35" t="s">
        <v>143</v>
      </c>
      <c r="M77" s="35" t="s">
        <v>143</v>
      </c>
      <c r="N77" s="35" t="s">
        <v>143</v>
      </c>
      <c r="O77" s="23"/>
      <c r="P77" s="37"/>
      <c r="Q77" s="787"/>
      <c r="R77" s="23" t="s">
        <v>150</v>
      </c>
      <c r="S77" s="29">
        <f t="shared" si="3"/>
        <v>606</v>
      </c>
      <c r="T77" s="29">
        <f t="shared" si="3"/>
        <v>913</v>
      </c>
      <c r="U77" s="29">
        <f t="shared" si="3"/>
        <v>1002</v>
      </c>
      <c r="V77" s="29">
        <f t="shared" si="3"/>
        <v>1090</v>
      </c>
      <c r="W77" s="23"/>
      <c r="X77" s="37"/>
    </row>
    <row r="78" spans="1:24" ht="24.95" customHeight="1">
      <c r="A78" s="787"/>
      <c r="B78" s="23" t="s">
        <v>124</v>
      </c>
      <c r="C78" s="35">
        <f>C81+C84+C87+C90+C93+C96+C99</f>
        <v>1342</v>
      </c>
      <c r="D78" s="35">
        <f>D81+D84+D87+D90+D93+D96+D99</f>
        <v>2043</v>
      </c>
      <c r="E78" s="35">
        <f>E81+E84+E87+E90+E93+E96+E99</f>
        <v>2238</v>
      </c>
      <c r="F78" s="35">
        <f>F81+F84+F87+F90+F93+F96+F99</f>
        <v>2456</v>
      </c>
      <c r="G78" s="23"/>
      <c r="I78" s="787"/>
      <c r="J78" s="23" t="s">
        <v>124</v>
      </c>
      <c r="K78" s="35">
        <f>K81+K84+K87+K90+K93+K96+K99</f>
        <v>606</v>
      </c>
      <c r="L78" s="35">
        <f>L81+L84+L87+L90+L93+L96+L99</f>
        <v>913</v>
      </c>
      <c r="M78" s="35">
        <f>M81+M84+M87+M90+M93+M96+M99</f>
        <v>1002</v>
      </c>
      <c r="N78" s="35">
        <f>N81+N84+N87+N90+N93+N96+N99</f>
        <v>1090</v>
      </c>
      <c r="O78" s="23"/>
      <c r="P78" s="37"/>
      <c r="Q78" s="787"/>
      <c r="R78" s="23" t="s">
        <v>153</v>
      </c>
      <c r="S78" s="35">
        <f>SUM(S76:S77)</f>
        <v>1948</v>
      </c>
      <c r="T78" s="35">
        <f>SUM(T76:T77)</f>
        <v>2956</v>
      </c>
      <c r="U78" s="35">
        <f>SUM(U76:U77)</f>
        <v>3240</v>
      </c>
      <c r="V78" s="35">
        <f>SUM(V76:V77)</f>
        <v>3546</v>
      </c>
      <c r="W78" s="23"/>
      <c r="X78" s="37"/>
    </row>
    <row r="79" spans="1:24" ht="24.95" customHeight="1">
      <c r="A79" s="787" t="s">
        <v>64</v>
      </c>
      <c r="B79" s="23" t="s">
        <v>129</v>
      </c>
      <c r="C79" s="35">
        <v>6342</v>
      </c>
      <c r="D79" s="35">
        <v>8627</v>
      </c>
      <c r="E79" s="35">
        <v>8627</v>
      </c>
      <c r="F79" s="35">
        <v>8627</v>
      </c>
      <c r="G79" s="23"/>
      <c r="I79" s="787" t="s">
        <v>64</v>
      </c>
      <c r="J79" s="23" t="s">
        <v>150</v>
      </c>
      <c r="K79" s="29">
        <v>9512</v>
      </c>
      <c r="L79" s="29">
        <v>12943</v>
      </c>
      <c r="M79" s="29">
        <v>12943</v>
      </c>
      <c r="N79" s="29">
        <v>12943</v>
      </c>
      <c r="O79" s="23"/>
      <c r="P79" s="37"/>
      <c r="Q79" s="787" t="s">
        <v>64</v>
      </c>
      <c r="R79" s="23" t="s">
        <v>152</v>
      </c>
      <c r="S79" s="29">
        <f>C81</f>
        <v>590</v>
      </c>
      <c r="T79" s="29">
        <f>D81</f>
        <v>897</v>
      </c>
      <c r="U79" s="29">
        <f>E81</f>
        <v>983</v>
      </c>
      <c r="V79" s="29">
        <f>F81</f>
        <v>1078</v>
      </c>
      <c r="W79" s="23"/>
      <c r="X79" s="37"/>
    </row>
    <row r="80" spans="1:24" ht="24.95" customHeight="1">
      <c r="A80" s="787"/>
      <c r="B80" s="23" t="s">
        <v>70</v>
      </c>
      <c r="C80" s="35">
        <v>93</v>
      </c>
      <c r="D80" s="35">
        <v>104</v>
      </c>
      <c r="E80" s="35">
        <v>114</v>
      </c>
      <c r="F80" s="35">
        <v>125</v>
      </c>
      <c r="G80" s="23"/>
      <c r="I80" s="787"/>
      <c r="J80" s="23" t="s">
        <v>70</v>
      </c>
      <c r="K80" s="35">
        <v>28</v>
      </c>
      <c r="L80" s="35">
        <v>31</v>
      </c>
      <c r="M80" s="35">
        <v>34</v>
      </c>
      <c r="N80" s="35">
        <v>37</v>
      </c>
      <c r="O80" s="23"/>
      <c r="P80" s="37"/>
      <c r="Q80" s="787"/>
      <c r="R80" s="23" t="s">
        <v>150</v>
      </c>
      <c r="S80" s="35">
        <f>K81</f>
        <v>266</v>
      </c>
      <c r="T80" s="35">
        <f>L81</f>
        <v>401</v>
      </c>
      <c r="U80" s="35">
        <f>M81</f>
        <v>440</v>
      </c>
      <c r="V80" s="35">
        <f>N81</f>
        <v>479</v>
      </c>
      <c r="W80" s="23"/>
      <c r="X80" s="37"/>
    </row>
    <row r="81" spans="1:24" ht="24.95" customHeight="1">
      <c r="A81" s="787"/>
      <c r="B81" s="23" t="s">
        <v>124</v>
      </c>
      <c r="C81" s="35">
        <f>ROUND(C79*C80/1000,0)</f>
        <v>590</v>
      </c>
      <c r="D81" s="35">
        <f>ROUND(D79*D80/1000,0)</f>
        <v>897</v>
      </c>
      <c r="E81" s="35">
        <f>ROUND(E79*E80/1000,0)</f>
        <v>983</v>
      </c>
      <c r="F81" s="35">
        <f>ROUND(F79*F80/1000,0)</f>
        <v>1078</v>
      </c>
      <c r="G81" s="23"/>
      <c r="I81" s="787"/>
      <c r="J81" s="23" t="s">
        <v>124</v>
      </c>
      <c r="K81" s="35">
        <f>ROUND(K79*K80/1000,0)</f>
        <v>266</v>
      </c>
      <c r="L81" s="35">
        <f>ROUND(L79*L80/1000,0)</f>
        <v>401</v>
      </c>
      <c r="M81" s="35">
        <f>ROUND(M79*M80/1000,0)</f>
        <v>440</v>
      </c>
      <c r="N81" s="35">
        <f>ROUND(N79*N80/1000,0)</f>
        <v>479</v>
      </c>
      <c r="O81" s="23"/>
      <c r="P81" s="37"/>
      <c r="Q81" s="787"/>
      <c r="R81" s="23" t="s">
        <v>153</v>
      </c>
      <c r="S81" s="35">
        <f>SUM(S79:S80)</f>
        <v>856</v>
      </c>
      <c r="T81" s="35">
        <f>SUM(T79:T80)</f>
        <v>1298</v>
      </c>
      <c r="U81" s="35">
        <f>SUM(U79:U80)</f>
        <v>1423</v>
      </c>
      <c r="V81" s="35">
        <f>SUM(V79:V80)</f>
        <v>1557</v>
      </c>
      <c r="W81" s="23"/>
      <c r="X81" s="37"/>
    </row>
    <row r="82" spans="1:24" ht="24.95" customHeight="1">
      <c r="A82" s="787" t="s">
        <v>131</v>
      </c>
      <c r="B82" s="23" t="s">
        <v>129</v>
      </c>
      <c r="C82" s="35">
        <v>573</v>
      </c>
      <c r="D82" s="35">
        <v>780</v>
      </c>
      <c r="E82" s="35">
        <v>780</v>
      </c>
      <c r="F82" s="35">
        <v>780</v>
      </c>
      <c r="G82" s="23"/>
      <c r="I82" s="787" t="s">
        <v>131</v>
      </c>
      <c r="J82" s="23" t="s">
        <v>150</v>
      </c>
      <c r="K82" s="23">
        <v>860</v>
      </c>
      <c r="L82" s="29">
        <v>1170</v>
      </c>
      <c r="M82" s="29">
        <v>1170</v>
      </c>
      <c r="N82" s="29">
        <v>1170</v>
      </c>
      <c r="O82" s="23"/>
      <c r="P82" s="37"/>
      <c r="Q82" s="787" t="s">
        <v>131</v>
      </c>
      <c r="R82" s="23" t="s">
        <v>152</v>
      </c>
      <c r="S82" s="29">
        <f>C84</f>
        <v>53</v>
      </c>
      <c r="T82" s="29">
        <f>D84</f>
        <v>81</v>
      </c>
      <c r="U82" s="29">
        <f>E84</f>
        <v>89</v>
      </c>
      <c r="V82" s="29">
        <f>F84</f>
        <v>98</v>
      </c>
      <c r="W82" s="23"/>
      <c r="X82" s="37"/>
    </row>
    <row r="83" spans="1:24" ht="24.95" customHeight="1">
      <c r="A83" s="787"/>
      <c r="B83" s="23" t="s">
        <v>70</v>
      </c>
      <c r="C83" s="35">
        <v>93</v>
      </c>
      <c r="D83" s="35">
        <v>104</v>
      </c>
      <c r="E83" s="35">
        <v>114</v>
      </c>
      <c r="F83" s="35">
        <v>125</v>
      </c>
      <c r="G83" s="23"/>
      <c r="I83" s="787"/>
      <c r="J83" s="23" t="s">
        <v>70</v>
      </c>
      <c r="K83" s="35">
        <v>28</v>
      </c>
      <c r="L83" s="35">
        <v>31</v>
      </c>
      <c r="M83" s="35">
        <v>34</v>
      </c>
      <c r="N83" s="35">
        <v>37</v>
      </c>
      <c r="O83" s="23"/>
      <c r="P83" s="37"/>
      <c r="Q83" s="787"/>
      <c r="R83" s="23" t="s">
        <v>150</v>
      </c>
      <c r="S83" s="35">
        <f>K84</f>
        <v>24</v>
      </c>
      <c r="T83" s="35">
        <f>L84</f>
        <v>36</v>
      </c>
      <c r="U83" s="35">
        <f>M84</f>
        <v>40</v>
      </c>
      <c r="V83" s="35">
        <f>N84</f>
        <v>43</v>
      </c>
      <c r="W83" s="23"/>
      <c r="X83" s="37"/>
    </row>
    <row r="84" spans="1:24" ht="24.95" customHeight="1">
      <c r="A84" s="787"/>
      <c r="B84" s="23" t="s">
        <v>124</v>
      </c>
      <c r="C84" s="35">
        <f>ROUND(C82*C83/1000,0)</f>
        <v>53</v>
      </c>
      <c r="D84" s="35">
        <f>ROUND(D82*D83/1000,0)</f>
        <v>81</v>
      </c>
      <c r="E84" s="35">
        <f>ROUND(E82*E83/1000,0)</f>
        <v>89</v>
      </c>
      <c r="F84" s="35">
        <f>ROUND(F82*F83/1000,0)</f>
        <v>98</v>
      </c>
      <c r="G84" s="23"/>
      <c r="I84" s="787"/>
      <c r="J84" s="23" t="s">
        <v>124</v>
      </c>
      <c r="K84" s="35">
        <f>ROUND(K82*K83/1000,0)</f>
        <v>24</v>
      </c>
      <c r="L84" s="35">
        <f>ROUND(L82*L83/1000,0)</f>
        <v>36</v>
      </c>
      <c r="M84" s="35">
        <f>ROUND(M82*M83/1000,0)</f>
        <v>40</v>
      </c>
      <c r="N84" s="35">
        <f>ROUND(N82*N83/1000,0)</f>
        <v>43</v>
      </c>
      <c r="O84" s="23"/>
      <c r="P84" s="37"/>
      <c r="Q84" s="787"/>
      <c r="R84" s="23" t="s">
        <v>153</v>
      </c>
      <c r="S84" s="35">
        <f>SUM(S82:S83)</f>
        <v>77</v>
      </c>
      <c r="T84" s="35">
        <f>SUM(T82:T83)</f>
        <v>117</v>
      </c>
      <c r="U84" s="35">
        <f>SUM(U82:U83)</f>
        <v>129</v>
      </c>
      <c r="V84" s="35">
        <f>SUM(V82:V83)</f>
        <v>141</v>
      </c>
      <c r="W84" s="23"/>
      <c r="X84" s="37"/>
    </row>
    <row r="85" spans="1:24" ht="24.95" customHeight="1">
      <c r="A85" s="787" t="s">
        <v>132</v>
      </c>
      <c r="B85" s="23" t="s">
        <v>129</v>
      </c>
      <c r="C85" s="35">
        <v>1462</v>
      </c>
      <c r="D85" s="35">
        <v>1990</v>
      </c>
      <c r="E85" s="35">
        <v>1990</v>
      </c>
      <c r="F85" s="35">
        <v>1990</v>
      </c>
      <c r="G85" s="23"/>
      <c r="I85" s="787" t="s">
        <v>132</v>
      </c>
      <c r="J85" s="23" t="s">
        <v>150</v>
      </c>
      <c r="K85" s="29">
        <v>2194</v>
      </c>
      <c r="L85" s="29">
        <v>2984</v>
      </c>
      <c r="M85" s="29">
        <v>2984</v>
      </c>
      <c r="N85" s="29">
        <v>2984</v>
      </c>
      <c r="O85" s="23"/>
      <c r="P85" s="37"/>
      <c r="Q85" s="787" t="s">
        <v>132</v>
      </c>
      <c r="R85" s="23" t="s">
        <v>152</v>
      </c>
      <c r="S85" s="29">
        <f>C87</f>
        <v>136</v>
      </c>
      <c r="T85" s="29">
        <f>D87</f>
        <v>207</v>
      </c>
      <c r="U85" s="29">
        <f>E87</f>
        <v>227</v>
      </c>
      <c r="V85" s="29">
        <f>F87</f>
        <v>249</v>
      </c>
      <c r="W85" s="23"/>
      <c r="X85" s="37"/>
    </row>
    <row r="86" spans="1:24" ht="24.95" customHeight="1">
      <c r="A86" s="787"/>
      <c r="B86" s="23" t="s">
        <v>70</v>
      </c>
      <c r="C86" s="35">
        <v>93</v>
      </c>
      <c r="D86" s="35">
        <v>104</v>
      </c>
      <c r="E86" s="35">
        <v>114</v>
      </c>
      <c r="F86" s="35">
        <v>125</v>
      </c>
      <c r="G86" s="23"/>
      <c r="I86" s="787"/>
      <c r="J86" s="23" t="s">
        <v>70</v>
      </c>
      <c r="K86" s="35">
        <v>28</v>
      </c>
      <c r="L86" s="35">
        <v>31</v>
      </c>
      <c r="M86" s="35">
        <v>34</v>
      </c>
      <c r="N86" s="35">
        <v>37</v>
      </c>
      <c r="O86" s="23"/>
      <c r="P86" s="37"/>
      <c r="Q86" s="787"/>
      <c r="R86" s="23" t="s">
        <v>150</v>
      </c>
      <c r="S86" s="35">
        <f>K87</f>
        <v>61</v>
      </c>
      <c r="T86" s="35">
        <f>L87</f>
        <v>93</v>
      </c>
      <c r="U86" s="35">
        <f>M87</f>
        <v>101</v>
      </c>
      <c r="V86" s="35">
        <f>N87</f>
        <v>110</v>
      </c>
      <c r="W86" s="23"/>
      <c r="X86" s="37"/>
    </row>
    <row r="87" spans="1:24" ht="24.95" customHeight="1">
      <c r="A87" s="787"/>
      <c r="B87" s="23" t="s">
        <v>124</v>
      </c>
      <c r="C87" s="35">
        <f>ROUND(C85*C86/1000,0)</f>
        <v>136</v>
      </c>
      <c r="D87" s="35">
        <f>ROUND(D85*D86/1000,0)</f>
        <v>207</v>
      </c>
      <c r="E87" s="35">
        <f>ROUND(E85*E86/1000,0)</f>
        <v>227</v>
      </c>
      <c r="F87" s="35">
        <f>ROUND(F85*F86/1000,0)</f>
        <v>249</v>
      </c>
      <c r="G87" s="23"/>
      <c r="I87" s="787"/>
      <c r="J87" s="23" t="s">
        <v>124</v>
      </c>
      <c r="K87" s="35">
        <f>ROUND(K85*K86/1000,0)</f>
        <v>61</v>
      </c>
      <c r="L87" s="35">
        <f>ROUND(L85*L86/1000,0)</f>
        <v>93</v>
      </c>
      <c r="M87" s="35">
        <f>ROUND(M85*M86/1000,0)</f>
        <v>101</v>
      </c>
      <c r="N87" s="35">
        <f>ROUND(N85*N86/1000,0)</f>
        <v>110</v>
      </c>
      <c r="O87" s="23"/>
      <c r="P87" s="37"/>
      <c r="Q87" s="787"/>
      <c r="R87" s="23" t="s">
        <v>153</v>
      </c>
      <c r="S87" s="35">
        <f>SUM(S85:S86)</f>
        <v>197</v>
      </c>
      <c r="T87" s="35">
        <f>SUM(T85:T86)</f>
        <v>300</v>
      </c>
      <c r="U87" s="35">
        <f>SUM(U85:U86)</f>
        <v>328</v>
      </c>
      <c r="V87" s="35">
        <f>SUM(V85:V86)</f>
        <v>359</v>
      </c>
      <c r="W87" s="23"/>
      <c r="X87" s="37"/>
    </row>
    <row r="88" spans="1:24" ht="24.95" customHeight="1">
      <c r="A88" s="788" t="s">
        <v>133</v>
      </c>
      <c r="B88" s="23" t="s">
        <v>129</v>
      </c>
      <c r="C88" s="35">
        <v>2265</v>
      </c>
      <c r="D88" s="35">
        <v>3082</v>
      </c>
      <c r="E88" s="35">
        <v>3082</v>
      </c>
      <c r="F88" s="35">
        <v>3082</v>
      </c>
      <c r="G88" s="23"/>
      <c r="I88" s="788" t="s">
        <v>133</v>
      </c>
      <c r="J88" s="23" t="s">
        <v>150</v>
      </c>
      <c r="K88" s="29">
        <v>3398</v>
      </c>
      <c r="L88" s="29">
        <v>4622</v>
      </c>
      <c r="M88" s="29">
        <v>4622</v>
      </c>
      <c r="N88" s="29">
        <v>4622</v>
      </c>
      <c r="O88" s="23"/>
      <c r="P88" s="37"/>
      <c r="Q88" s="788" t="s">
        <v>133</v>
      </c>
      <c r="R88" s="23" t="s">
        <v>152</v>
      </c>
      <c r="S88" s="29">
        <f>C90</f>
        <v>211</v>
      </c>
      <c r="T88" s="29">
        <f>D90</f>
        <v>321</v>
      </c>
      <c r="U88" s="29">
        <f>E90</f>
        <v>351</v>
      </c>
      <c r="V88" s="29">
        <f>F90</f>
        <v>385</v>
      </c>
      <c r="W88" s="23"/>
      <c r="X88" s="37"/>
    </row>
    <row r="89" spans="1:24" ht="24.95" customHeight="1">
      <c r="A89" s="789"/>
      <c r="B89" s="23" t="s">
        <v>70</v>
      </c>
      <c r="C89" s="35">
        <v>93</v>
      </c>
      <c r="D89" s="35">
        <v>104</v>
      </c>
      <c r="E89" s="35">
        <v>114</v>
      </c>
      <c r="F89" s="35">
        <v>125</v>
      </c>
      <c r="G89" s="23"/>
      <c r="I89" s="789"/>
      <c r="J89" s="23" t="s">
        <v>70</v>
      </c>
      <c r="K89" s="35">
        <v>28</v>
      </c>
      <c r="L89" s="35">
        <v>31</v>
      </c>
      <c r="M89" s="35">
        <v>34</v>
      </c>
      <c r="N89" s="35">
        <v>37</v>
      </c>
      <c r="O89" s="23"/>
      <c r="P89" s="37"/>
      <c r="Q89" s="789"/>
      <c r="R89" s="23" t="s">
        <v>150</v>
      </c>
      <c r="S89" s="35">
        <f>K90</f>
        <v>95</v>
      </c>
      <c r="T89" s="35">
        <f>L90</f>
        <v>143</v>
      </c>
      <c r="U89" s="35">
        <f>M90</f>
        <v>157</v>
      </c>
      <c r="V89" s="35">
        <f>N90</f>
        <v>171</v>
      </c>
      <c r="W89" s="23"/>
      <c r="X89" s="37"/>
    </row>
    <row r="90" spans="1:24" ht="24.95" customHeight="1">
      <c r="A90" s="790"/>
      <c r="B90" s="23" t="s">
        <v>124</v>
      </c>
      <c r="C90" s="35">
        <f>ROUND(C88*C89/1000,0)</f>
        <v>211</v>
      </c>
      <c r="D90" s="35">
        <f>ROUND(D88*D89/1000,0)</f>
        <v>321</v>
      </c>
      <c r="E90" s="35">
        <f>ROUND(E88*E89/1000,0)</f>
        <v>351</v>
      </c>
      <c r="F90" s="35">
        <f>ROUND(F88*F89/1000,0)</f>
        <v>385</v>
      </c>
      <c r="G90" s="23"/>
      <c r="I90" s="790"/>
      <c r="J90" s="23" t="s">
        <v>124</v>
      </c>
      <c r="K90" s="35">
        <f>ROUND(K88*K89/1000,0)</f>
        <v>95</v>
      </c>
      <c r="L90" s="35">
        <f>ROUND(L88*L89/1000,0)</f>
        <v>143</v>
      </c>
      <c r="M90" s="35">
        <f>ROUND(M88*M89/1000,0)</f>
        <v>157</v>
      </c>
      <c r="N90" s="35">
        <f>ROUND(N88*N89/1000,0)</f>
        <v>171</v>
      </c>
      <c r="O90" s="23"/>
      <c r="P90" s="37"/>
      <c r="Q90" s="790"/>
      <c r="R90" s="23" t="s">
        <v>153</v>
      </c>
      <c r="S90" s="35">
        <f>SUM(S88:S89)</f>
        <v>306</v>
      </c>
      <c r="T90" s="35">
        <f>SUM(T88:T89)</f>
        <v>464</v>
      </c>
      <c r="U90" s="35">
        <f>SUM(U88:U89)</f>
        <v>508</v>
      </c>
      <c r="V90" s="35">
        <f>SUM(V88:V89)</f>
        <v>556</v>
      </c>
      <c r="W90" s="23"/>
      <c r="X90" s="37"/>
    </row>
    <row r="91" spans="1:24" ht="24.95" customHeight="1">
      <c r="A91" s="787" t="s">
        <v>67</v>
      </c>
      <c r="B91" s="23" t="s">
        <v>129</v>
      </c>
      <c r="C91" s="35">
        <v>2703</v>
      </c>
      <c r="D91" s="35">
        <v>3677</v>
      </c>
      <c r="E91" s="35">
        <v>3677</v>
      </c>
      <c r="F91" s="35">
        <v>3677</v>
      </c>
      <c r="G91" s="23"/>
      <c r="I91" s="787" t="s">
        <v>67</v>
      </c>
      <c r="J91" s="23" t="s">
        <v>150</v>
      </c>
      <c r="K91" s="29">
        <v>4054</v>
      </c>
      <c r="L91" s="29">
        <v>5515</v>
      </c>
      <c r="M91" s="29">
        <v>5515</v>
      </c>
      <c r="N91" s="29">
        <v>5515</v>
      </c>
      <c r="O91" s="23"/>
      <c r="P91" s="37"/>
      <c r="Q91" s="787" t="s">
        <v>67</v>
      </c>
      <c r="R91" s="23" t="s">
        <v>152</v>
      </c>
      <c r="S91" s="29">
        <f>C93</f>
        <v>251</v>
      </c>
      <c r="T91" s="29">
        <f>D93</f>
        <v>382</v>
      </c>
      <c r="U91" s="29">
        <f>E93</f>
        <v>419</v>
      </c>
      <c r="V91" s="29">
        <f>F93</f>
        <v>460</v>
      </c>
      <c r="W91" s="23"/>
      <c r="X91" s="37"/>
    </row>
    <row r="92" spans="1:24" ht="24.95" customHeight="1">
      <c r="A92" s="787"/>
      <c r="B92" s="23" t="s">
        <v>70</v>
      </c>
      <c r="C92" s="35">
        <v>93</v>
      </c>
      <c r="D92" s="35">
        <v>104</v>
      </c>
      <c r="E92" s="35">
        <v>114</v>
      </c>
      <c r="F92" s="35">
        <v>125</v>
      </c>
      <c r="G92" s="23"/>
      <c r="I92" s="787"/>
      <c r="J92" s="23" t="s">
        <v>70</v>
      </c>
      <c r="K92" s="35">
        <v>28</v>
      </c>
      <c r="L92" s="35">
        <v>31</v>
      </c>
      <c r="M92" s="35">
        <v>34</v>
      </c>
      <c r="N92" s="35">
        <v>37</v>
      </c>
      <c r="O92" s="23"/>
      <c r="P92" s="37"/>
      <c r="Q92" s="787"/>
      <c r="R92" s="23" t="s">
        <v>150</v>
      </c>
      <c r="S92" s="35">
        <f>K93</f>
        <v>114</v>
      </c>
      <c r="T92" s="35">
        <f>L93</f>
        <v>171</v>
      </c>
      <c r="U92" s="35">
        <f>M93</f>
        <v>188</v>
      </c>
      <c r="V92" s="35">
        <f>N93</f>
        <v>204</v>
      </c>
      <c r="W92" s="23"/>
      <c r="X92" s="37"/>
    </row>
    <row r="93" spans="1:24" ht="24.95" customHeight="1">
      <c r="A93" s="787"/>
      <c r="B93" s="23" t="s">
        <v>124</v>
      </c>
      <c r="C93" s="35">
        <f>ROUND(C91*C92/1000,0)</f>
        <v>251</v>
      </c>
      <c r="D93" s="35">
        <f>ROUND(D91*D92/1000,0)</f>
        <v>382</v>
      </c>
      <c r="E93" s="35">
        <f>ROUND(E91*E92/1000,0)</f>
        <v>419</v>
      </c>
      <c r="F93" s="35">
        <f>ROUND(F91*F92/1000,0)</f>
        <v>460</v>
      </c>
      <c r="G93" s="23"/>
      <c r="I93" s="787"/>
      <c r="J93" s="23" t="s">
        <v>124</v>
      </c>
      <c r="K93" s="35">
        <f>ROUND(K91*K92/1000,0)</f>
        <v>114</v>
      </c>
      <c r="L93" s="35">
        <f>ROUND(L91*L92/1000,0)</f>
        <v>171</v>
      </c>
      <c r="M93" s="35">
        <f>ROUND(M91*M92/1000,0)</f>
        <v>188</v>
      </c>
      <c r="N93" s="35">
        <f>ROUND(N91*N92/1000,0)</f>
        <v>204</v>
      </c>
      <c r="O93" s="23"/>
      <c r="P93" s="37"/>
      <c r="Q93" s="787"/>
      <c r="R93" s="23" t="s">
        <v>153</v>
      </c>
      <c r="S93" s="35">
        <f>SUM(S91:S92)</f>
        <v>365</v>
      </c>
      <c r="T93" s="35">
        <f>SUM(T91:T92)</f>
        <v>553</v>
      </c>
      <c r="U93" s="35">
        <f>SUM(U91:U92)</f>
        <v>607</v>
      </c>
      <c r="V93" s="35">
        <f>SUM(V91:V92)</f>
        <v>664</v>
      </c>
      <c r="W93" s="23"/>
      <c r="X93" s="37"/>
    </row>
    <row r="94" spans="1:24" ht="24.95" customHeight="1">
      <c r="A94" s="787" t="s">
        <v>68</v>
      </c>
      <c r="B94" s="23" t="s">
        <v>129</v>
      </c>
      <c r="C94" s="35">
        <v>315</v>
      </c>
      <c r="D94" s="35">
        <v>428</v>
      </c>
      <c r="E94" s="35">
        <v>428</v>
      </c>
      <c r="F94" s="35">
        <v>428</v>
      </c>
      <c r="G94" s="23"/>
      <c r="I94" s="787" t="s">
        <v>68</v>
      </c>
      <c r="J94" s="23" t="s">
        <v>150</v>
      </c>
      <c r="K94" s="23">
        <v>472</v>
      </c>
      <c r="L94" s="23">
        <v>642</v>
      </c>
      <c r="M94" s="23">
        <v>642</v>
      </c>
      <c r="N94" s="23">
        <v>642</v>
      </c>
      <c r="O94" s="23"/>
      <c r="P94" s="37"/>
      <c r="Q94" s="787" t="s">
        <v>68</v>
      </c>
      <c r="R94" s="23" t="s">
        <v>152</v>
      </c>
      <c r="S94" s="29">
        <f>C96</f>
        <v>29</v>
      </c>
      <c r="T94" s="29">
        <f>D96</f>
        <v>45</v>
      </c>
      <c r="U94" s="29">
        <f>E96</f>
        <v>49</v>
      </c>
      <c r="V94" s="29">
        <f>F96</f>
        <v>54</v>
      </c>
      <c r="W94" s="23"/>
      <c r="X94" s="37"/>
    </row>
    <row r="95" spans="1:24" ht="24.95" customHeight="1">
      <c r="A95" s="787"/>
      <c r="B95" s="23" t="s">
        <v>70</v>
      </c>
      <c r="C95" s="35">
        <v>93</v>
      </c>
      <c r="D95" s="35">
        <v>104</v>
      </c>
      <c r="E95" s="35">
        <v>114</v>
      </c>
      <c r="F95" s="35">
        <v>125</v>
      </c>
      <c r="G95" s="23"/>
      <c r="I95" s="787"/>
      <c r="J95" s="23" t="s">
        <v>70</v>
      </c>
      <c r="K95" s="35">
        <v>28</v>
      </c>
      <c r="L95" s="35">
        <v>31</v>
      </c>
      <c r="M95" s="35">
        <v>34</v>
      </c>
      <c r="N95" s="35">
        <v>37</v>
      </c>
      <c r="O95" s="23"/>
      <c r="P95" s="37"/>
      <c r="Q95" s="787"/>
      <c r="R95" s="23" t="s">
        <v>150</v>
      </c>
      <c r="S95" s="35">
        <f>K96</f>
        <v>13</v>
      </c>
      <c r="T95" s="35">
        <f>L96</f>
        <v>20</v>
      </c>
      <c r="U95" s="35">
        <f>M96</f>
        <v>22</v>
      </c>
      <c r="V95" s="35">
        <f>N96</f>
        <v>24</v>
      </c>
      <c r="W95" s="23"/>
      <c r="X95" s="37"/>
    </row>
    <row r="96" spans="1:24" ht="24.95" customHeight="1">
      <c r="A96" s="787"/>
      <c r="B96" s="23" t="s">
        <v>124</v>
      </c>
      <c r="C96" s="35">
        <f>ROUND(C94*C95/1000,0)</f>
        <v>29</v>
      </c>
      <c r="D96" s="35">
        <f>ROUND(D94*D95/1000,0)</f>
        <v>45</v>
      </c>
      <c r="E96" s="35">
        <f>ROUND(E94*E95/1000,0)</f>
        <v>49</v>
      </c>
      <c r="F96" s="35">
        <f>ROUND(F94*F95/1000,0)</f>
        <v>54</v>
      </c>
      <c r="G96" s="23"/>
      <c r="I96" s="787"/>
      <c r="J96" s="23" t="s">
        <v>124</v>
      </c>
      <c r="K96" s="35">
        <f>ROUND(K94*K95/1000,0)</f>
        <v>13</v>
      </c>
      <c r="L96" s="35">
        <f>ROUND(L94*L95/1000,0)</f>
        <v>20</v>
      </c>
      <c r="M96" s="35">
        <f>ROUND(M94*M95/1000,0)</f>
        <v>22</v>
      </c>
      <c r="N96" s="35">
        <f>ROUND(N94*N95/1000,0)</f>
        <v>24</v>
      </c>
      <c r="O96" s="23"/>
      <c r="P96" s="37"/>
      <c r="Q96" s="787"/>
      <c r="R96" s="23" t="s">
        <v>153</v>
      </c>
      <c r="S96" s="35">
        <f>SUM(S94:S95)</f>
        <v>42</v>
      </c>
      <c r="T96" s="35">
        <f>SUM(T94:T95)</f>
        <v>65</v>
      </c>
      <c r="U96" s="35">
        <f>SUM(U94:U95)</f>
        <v>71</v>
      </c>
      <c r="V96" s="35">
        <f>SUM(V94:V95)</f>
        <v>78</v>
      </c>
      <c r="W96" s="23"/>
      <c r="X96" s="37"/>
    </row>
    <row r="97" spans="1:24" ht="24.95" customHeight="1">
      <c r="A97" s="787" t="s">
        <v>69</v>
      </c>
      <c r="B97" s="23" t="s">
        <v>129</v>
      </c>
      <c r="C97" s="35">
        <v>777</v>
      </c>
      <c r="D97" s="35">
        <v>1057</v>
      </c>
      <c r="E97" s="35">
        <v>1057</v>
      </c>
      <c r="F97" s="35">
        <v>1057</v>
      </c>
      <c r="G97" s="23"/>
      <c r="I97" s="787" t="s">
        <v>69</v>
      </c>
      <c r="J97" s="23" t="s">
        <v>150</v>
      </c>
      <c r="K97" s="29">
        <v>1165</v>
      </c>
      <c r="L97" s="29">
        <v>1585</v>
      </c>
      <c r="M97" s="29">
        <v>1585</v>
      </c>
      <c r="N97" s="29">
        <v>1585</v>
      </c>
      <c r="O97" s="23"/>
      <c r="P97" s="37"/>
      <c r="Q97" s="787" t="s">
        <v>69</v>
      </c>
      <c r="R97" s="23" t="s">
        <v>152</v>
      </c>
      <c r="S97" s="29">
        <f>C99</f>
        <v>72</v>
      </c>
      <c r="T97" s="29">
        <f>D99</f>
        <v>110</v>
      </c>
      <c r="U97" s="29">
        <f>E99</f>
        <v>120</v>
      </c>
      <c r="V97" s="29">
        <f>F99</f>
        <v>132</v>
      </c>
      <c r="W97" s="23"/>
      <c r="X97" s="37"/>
    </row>
    <row r="98" spans="1:24" ht="24.95" customHeight="1">
      <c r="A98" s="787"/>
      <c r="B98" s="23" t="s">
        <v>70</v>
      </c>
      <c r="C98" s="35">
        <v>93</v>
      </c>
      <c r="D98" s="35">
        <v>104</v>
      </c>
      <c r="E98" s="35">
        <v>114</v>
      </c>
      <c r="F98" s="35">
        <v>125</v>
      </c>
      <c r="G98" s="23"/>
      <c r="I98" s="787"/>
      <c r="J98" s="23" t="s">
        <v>70</v>
      </c>
      <c r="K98" s="35">
        <v>28</v>
      </c>
      <c r="L98" s="35">
        <v>31</v>
      </c>
      <c r="M98" s="35">
        <v>34</v>
      </c>
      <c r="N98" s="35">
        <v>37</v>
      </c>
      <c r="O98" s="23"/>
      <c r="P98" s="37"/>
      <c r="Q98" s="787"/>
      <c r="R98" s="23" t="s">
        <v>150</v>
      </c>
      <c r="S98" s="35">
        <f>K99</f>
        <v>33</v>
      </c>
      <c r="T98" s="35">
        <f>L99</f>
        <v>49</v>
      </c>
      <c r="U98" s="35">
        <f>M99</f>
        <v>54</v>
      </c>
      <c r="V98" s="35">
        <f>N99</f>
        <v>59</v>
      </c>
      <c r="W98" s="23"/>
      <c r="X98" s="37"/>
    </row>
    <row r="99" spans="1:24" ht="24.95" customHeight="1">
      <c r="A99" s="787"/>
      <c r="B99" s="23" t="s">
        <v>124</v>
      </c>
      <c r="C99" s="35">
        <f>ROUND(C97*C98/1000,0)</f>
        <v>72</v>
      </c>
      <c r="D99" s="35">
        <f>ROUND(D97*D98/1000,0)</f>
        <v>110</v>
      </c>
      <c r="E99" s="35">
        <f>ROUND(E97*E98/1000,0)</f>
        <v>120</v>
      </c>
      <c r="F99" s="35">
        <f>ROUND(F97*F98/1000,0)</f>
        <v>132</v>
      </c>
      <c r="G99" s="23"/>
      <c r="I99" s="787"/>
      <c r="J99" s="23" t="s">
        <v>124</v>
      </c>
      <c r="K99" s="35">
        <f>ROUND(K97*K98/1000,0)</f>
        <v>33</v>
      </c>
      <c r="L99" s="35">
        <f>ROUND(L97*L98/1000,0)</f>
        <v>49</v>
      </c>
      <c r="M99" s="35">
        <f>ROUND(M97*M98/1000,0)</f>
        <v>54</v>
      </c>
      <c r="N99" s="35">
        <f>ROUND(N97*N98/1000,0)</f>
        <v>59</v>
      </c>
      <c r="O99" s="23"/>
      <c r="P99" s="37"/>
      <c r="Q99" s="787"/>
      <c r="R99" s="23" t="s">
        <v>153</v>
      </c>
      <c r="S99" s="35">
        <f>SUM(S97:S98)</f>
        <v>105</v>
      </c>
      <c r="T99" s="35">
        <f>SUM(T97:T98)</f>
        <v>159</v>
      </c>
      <c r="U99" s="35">
        <f>SUM(U97:U98)</f>
        <v>174</v>
      </c>
      <c r="V99" s="35">
        <f>SUM(V97:V98)</f>
        <v>191</v>
      </c>
      <c r="W99" s="23"/>
      <c r="X99" s="37"/>
    </row>
    <row r="100" spans="1:24" ht="24.95" customHeight="1"/>
    <row r="101" spans="1:24" ht="24.95" customHeight="1"/>
    <row r="102" spans="1:24" ht="24.95" customHeight="1">
      <c r="A102" s="32" t="s">
        <v>303</v>
      </c>
    </row>
    <row r="103" spans="1:24" ht="24.95" customHeight="1">
      <c r="A103" s="2" t="s">
        <v>0</v>
      </c>
      <c r="B103" s="2" t="s">
        <v>266</v>
      </c>
      <c r="C103" s="2" t="s">
        <v>267</v>
      </c>
      <c r="D103" s="2" t="s">
        <v>268</v>
      </c>
      <c r="E103" s="2" t="s">
        <v>269</v>
      </c>
      <c r="F103" s="2" t="s">
        <v>191</v>
      </c>
    </row>
    <row r="104" spans="1:24" ht="24.95" customHeight="1">
      <c r="A104" s="2" t="s">
        <v>270</v>
      </c>
      <c r="B104" s="50" t="s">
        <v>271</v>
      </c>
      <c r="C104" s="51" t="s">
        <v>272</v>
      </c>
      <c r="D104" s="51" t="s">
        <v>273</v>
      </c>
      <c r="E104" s="51" t="s">
        <v>274</v>
      </c>
      <c r="F104" s="2"/>
    </row>
    <row r="105" spans="1:24" ht="24.95" customHeight="1">
      <c r="A105" s="32" t="s">
        <v>304</v>
      </c>
    </row>
    <row r="106" spans="1:24" ht="24.95" customHeight="1">
      <c r="A106" s="2" t="s">
        <v>275</v>
      </c>
      <c r="B106" s="2" t="s">
        <v>277</v>
      </c>
      <c r="C106" s="2" t="s">
        <v>278</v>
      </c>
      <c r="D106" s="2" t="s">
        <v>279</v>
      </c>
      <c r="E106" s="57" t="s">
        <v>280</v>
      </c>
      <c r="F106" s="2" t="s">
        <v>281</v>
      </c>
      <c r="G106" s="2" t="s">
        <v>282</v>
      </c>
      <c r="H106" s="2" t="s">
        <v>283</v>
      </c>
      <c r="I106" s="2" t="s">
        <v>284</v>
      </c>
    </row>
    <row r="107" spans="1:24" ht="24.95" customHeight="1">
      <c r="A107" s="2" t="s">
        <v>276</v>
      </c>
      <c r="B107" s="51" t="s">
        <v>285</v>
      </c>
      <c r="C107" s="51" t="s">
        <v>286</v>
      </c>
      <c r="D107" s="51" t="s">
        <v>287</v>
      </c>
      <c r="E107" s="58" t="s">
        <v>288</v>
      </c>
      <c r="F107" s="51" t="s">
        <v>289</v>
      </c>
      <c r="G107" s="51" t="s">
        <v>290</v>
      </c>
      <c r="H107" s="51" t="s">
        <v>291</v>
      </c>
      <c r="I107" s="51" t="s">
        <v>292</v>
      </c>
    </row>
    <row r="108" spans="1:24" ht="24.95" customHeight="1"/>
    <row r="109" spans="1:24" ht="39.950000000000003" customHeight="1">
      <c r="A109" s="2" t="s">
        <v>0</v>
      </c>
      <c r="B109" s="2" t="s">
        <v>293</v>
      </c>
      <c r="C109" s="4" t="s">
        <v>294</v>
      </c>
      <c r="D109" s="2" t="s">
        <v>295</v>
      </c>
      <c r="E109" s="4" t="s">
        <v>301</v>
      </c>
      <c r="F109" s="4" t="s">
        <v>296</v>
      </c>
      <c r="G109" s="4" t="s">
        <v>297</v>
      </c>
      <c r="H109" s="2" t="s">
        <v>191</v>
      </c>
      <c r="I109" s="56"/>
    </row>
    <row r="110" spans="1:24" ht="24.95" customHeight="1">
      <c r="A110" s="2" t="s">
        <v>298</v>
      </c>
      <c r="B110" s="5">
        <v>10095000</v>
      </c>
      <c r="C110" s="54">
        <v>0.5</v>
      </c>
      <c r="D110" s="5">
        <v>80</v>
      </c>
      <c r="E110" s="55">
        <f>1/8</f>
        <v>0.125</v>
      </c>
      <c r="F110" s="54">
        <v>0.7</v>
      </c>
      <c r="G110" s="5">
        <f>ROUND((B110*C110)/D110/E110*(1-F110),0)</f>
        <v>151425</v>
      </c>
      <c r="H110" s="2" t="s">
        <v>266</v>
      </c>
      <c r="I110" s="56"/>
    </row>
    <row r="111" spans="1:24" ht="24.95" customHeight="1">
      <c r="A111" s="2" t="s">
        <v>299</v>
      </c>
      <c r="B111" s="5">
        <v>1054111</v>
      </c>
      <c r="C111" s="54">
        <v>0.5</v>
      </c>
      <c r="D111" s="5">
        <v>80</v>
      </c>
      <c r="E111" s="55">
        <f>1/8</f>
        <v>0.125</v>
      </c>
      <c r="F111" s="54">
        <v>0.7</v>
      </c>
      <c r="G111" s="5">
        <f>ROUND((B111*C111)/D111/E111*(1-F111),0)</f>
        <v>15812</v>
      </c>
      <c r="H111" s="2" t="s">
        <v>305</v>
      </c>
      <c r="I111" s="56"/>
    </row>
    <row r="112" spans="1:24" ht="24.95" customHeight="1">
      <c r="A112" s="2" t="s">
        <v>300</v>
      </c>
      <c r="B112" s="5">
        <v>289754</v>
      </c>
      <c r="C112" s="54">
        <v>0.5</v>
      </c>
      <c r="D112" s="5">
        <v>80</v>
      </c>
      <c r="E112" s="55">
        <f>1/8</f>
        <v>0.125</v>
      </c>
      <c r="F112" s="54">
        <v>0.7</v>
      </c>
      <c r="G112" s="5">
        <f>ROUND((B112*C112)/D112/E112*(1-F112),0)</f>
        <v>4346</v>
      </c>
      <c r="H112" s="2" t="s">
        <v>266</v>
      </c>
      <c r="I112" s="56"/>
    </row>
    <row r="113" spans="1:8" ht="24.95" customHeight="1">
      <c r="A113" s="2" t="s">
        <v>302</v>
      </c>
      <c r="B113" s="2"/>
      <c r="C113" s="2"/>
      <c r="D113" s="2"/>
      <c r="E113" s="2"/>
      <c r="F113" s="2"/>
      <c r="G113" s="11">
        <f>SUM(G110:G112)</f>
        <v>171583</v>
      </c>
      <c r="H113" s="2"/>
    </row>
    <row r="114" spans="1:8" ht="24.95" customHeight="1"/>
    <row r="115" spans="1:8" ht="24.95" customHeight="1"/>
    <row r="116" spans="1:8" ht="24.95" customHeight="1">
      <c r="A116" s="32"/>
    </row>
    <row r="117" spans="1:8" ht="24.95" customHeight="1"/>
    <row r="118" spans="1:8" ht="24.95" customHeight="1"/>
    <row r="119" spans="1:8" ht="24.95" customHeight="1"/>
    <row r="120" spans="1:8" ht="24.95" customHeight="1"/>
    <row r="121" spans="1:8" ht="24.95" customHeight="1"/>
    <row r="122" spans="1:8" ht="24.95" customHeight="1"/>
    <row r="123" spans="1:8" ht="24.95" customHeight="1"/>
    <row r="124" spans="1:8" ht="24.95" customHeight="1"/>
    <row r="125" spans="1:8" ht="24.95" customHeight="1"/>
    <row r="126" spans="1:8" ht="24.95" customHeight="1"/>
    <row r="127" spans="1:8" ht="24.95" customHeight="1"/>
    <row r="128" spans="1:8" ht="24.95" customHeight="1"/>
    <row r="129" ht="24.95" customHeight="1"/>
    <row r="130" ht="24.95" customHeight="1"/>
    <row r="131" ht="24.95" customHeight="1"/>
    <row r="132" ht="24.95" customHeight="1"/>
    <row r="133" ht="24.95" customHeight="1"/>
    <row r="134" ht="24.95" customHeight="1"/>
    <row r="135" ht="24.95" customHeight="1"/>
    <row r="136" ht="24.95" customHeight="1"/>
    <row r="137" ht="24.95" customHeight="1"/>
    <row r="138" ht="24.95" customHeight="1"/>
    <row r="139" ht="24.95" customHeight="1"/>
    <row r="140" ht="24.95" customHeight="1"/>
    <row r="141" ht="24.95" customHeight="1"/>
    <row r="142" ht="24.95" customHeight="1"/>
    <row r="143" ht="24.95" customHeight="1"/>
    <row r="144" ht="24.95" customHeight="1"/>
    <row r="145" ht="24.95" customHeight="1"/>
    <row r="146" ht="24.95" customHeight="1"/>
    <row r="147" ht="24.95" customHeight="1"/>
    <row r="148" ht="24.95" customHeight="1"/>
    <row r="149" ht="24.95" customHeight="1"/>
    <row r="150" ht="24.95" customHeight="1"/>
    <row r="151" ht="24.95" customHeight="1"/>
    <row r="152" ht="24.95" customHeight="1"/>
    <row r="153" ht="24.95" customHeight="1"/>
    <row r="154" ht="24.95" customHeight="1"/>
    <row r="155" ht="24.95" customHeight="1"/>
    <row r="156" ht="24.95" customHeight="1"/>
    <row r="157" ht="24.95" customHeight="1"/>
    <row r="158" ht="24.95" customHeight="1"/>
    <row r="159" ht="24.95" customHeight="1"/>
    <row r="160" ht="24.95" customHeight="1"/>
    <row r="161" ht="24.95" customHeight="1"/>
    <row r="162" ht="24.95" customHeight="1"/>
    <row r="163" ht="24.95" customHeight="1"/>
    <row r="164" ht="24.95" customHeight="1"/>
    <row r="165" ht="24.95" customHeight="1"/>
    <row r="166" ht="24.95" customHeight="1"/>
    <row r="167" ht="24.95" customHeight="1"/>
    <row r="168" ht="24.95" customHeight="1"/>
    <row r="169" ht="24.95" customHeight="1"/>
    <row r="170" ht="24.95" customHeight="1"/>
    <row r="171" ht="24.95" customHeight="1"/>
    <row r="172" ht="24.95" customHeight="1"/>
    <row r="173" ht="24.95" customHeight="1"/>
    <row r="174" ht="24.95" customHeight="1"/>
    <row r="175" ht="24.95" customHeight="1"/>
    <row r="176" ht="24.95" customHeight="1"/>
    <row r="177" ht="24.95" customHeight="1"/>
    <row r="178" ht="24.95" customHeight="1"/>
    <row r="179" ht="24.95" customHeight="1"/>
    <row r="180" ht="24.95" customHeight="1"/>
    <row r="181" ht="24.95" customHeight="1"/>
    <row r="182" ht="24.95" customHeight="1"/>
    <row r="183" ht="24.95" customHeight="1"/>
    <row r="184" ht="24.95" customHeight="1"/>
    <row r="185" ht="24.95" customHeight="1"/>
    <row r="186" ht="24.95" customHeight="1"/>
    <row r="187" ht="24.95" customHeight="1"/>
    <row r="188" ht="24.95" customHeight="1"/>
    <row r="189" ht="24.95" customHeight="1"/>
    <row r="190" ht="24.95" customHeight="1"/>
    <row r="191" ht="24.95" customHeight="1"/>
    <row r="192" ht="24.95" customHeight="1"/>
    <row r="193" ht="24.95" customHeight="1"/>
    <row r="194" ht="24.95" customHeight="1"/>
    <row r="195" ht="24.95" customHeight="1"/>
    <row r="196" ht="24.95" customHeight="1"/>
    <row r="197" ht="24.95" customHeight="1"/>
    <row r="198" ht="24.95" customHeight="1"/>
    <row r="199" ht="24.95" customHeight="1"/>
    <row r="200" ht="24.95" customHeight="1"/>
    <row r="201" ht="24.95" customHeight="1"/>
    <row r="202" ht="24.95" customHeight="1"/>
    <row r="203" ht="24.95" customHeight="1"/>
    <row r="204" ht="24.95" customHeight="1"/>
    <row r="205" ht="24.95" customHeight="1"/>
    <row r="206" ht="24.95" customHeight="1"/>
    <row r="207" ht="24.95" customHeight="1"/>
    <row r="208" ht="24.95" customHeight="1"/>
    <row r="209" ht="24.95" customHeight="1"/>
    <row r="210" ht="24.95" customHeight="1"/>
    <row r="211" ht="24.95" customHeight="1"/>
    <row r="212" ht="24.95" customHeight="1"/>
    <row r="213" ht="24.95" customHeight="1"/>
    <row r="214" ht="24.95" customHeight="1"/>
    <row r="215" ht="24.95" customHeight="1"/>
    <row r="216" ht="24.95" customHeight="1"/>
    <row r="217" ht="24.95" customHeight="1"/>
    <row r="218" ht="24.95" customHeight="1"/>
    <row r="219" ht="24.95" customHeight="1"/>
    <row r="220" ht="24.95" customHeight="1"/>
    <row r="221" ht="24.95" customHeight="1"/>
    <row r="222" ht="24.95" customHeight="1"/>
    <row r="223" ht="24.95" customHeight="1"/>
    <row r="224" ht="24.95" customHeight="1"/>
    <row r="225" ht="24.95" customHeight="1"/>
    <row r="226" ht="24.95" customHeight="1"/>
    <row r="227" ht="24.95" customHeight="1"/>
    <row r="228" ht="24.95" customHeight="1"/>
    <row r="229" ht="24.95" customHeight="1"/>
    <row r="230" ht="24.95" customHeight="1"/>
    <row r="231" ht="24.95" customHeight="1"/>
    <row r="232" ht="24.95" customHeight="1"/>
    <row r="233" ht="24.95" customHeight="1"/>
    <row r="234" ht="24.95" customHeight="1"/>
    <row r="235" ht="24.95" customHeight="1"/>
    <row r="236" ht="24.95" customHeight="1"/>
    <row r="237" ht="24.95" customHeight="1"/>
    <row r="238" ht="24.95" customHeight="1"/>
    <row r="239" ht="24.95" customHeight="1"/>
    <row r="240" ht="24.95" customHeight="1"/>
    <row r="241" ht="24.95" customHeight="1"/>
    <row r="242" ht="24.95" customHeight="1"/>
    <row r="243" ht="24.95" customHeight="1"/>
    <row r="244" ht="24.95" customHeight="1"/>
    <row r="245" ht="24.95" customHeight="1"/>
    <row r="246" ht="24.95" customHeight="1"/>
    <row r="247" ht="24.95" customHeight="1"/>
    <row r="248" ht="24.95" customHeight="1"/>
    <row r="249" ht="24.95" customHeight="1"/>
    <row r="250" ht="24.95" customHeight="1"/>
    <row r="251" ht="24.95" customHeight="1"/>
    <row r="252" ht="24.95" customHeight="1"/>
    <row r="253" ht="24.95" customHeight="1"/>
    <row r="254" ht="24.95" customHeight="1"/>
    <row r="255" ht="24.95" customHeight="1"/>
    <row r="256" ht="24.95" customHeight="1"/>
    <row r="257" ht="24.95" customHeight="1"/>
    <row r="258" ht="24.95" customHeight="1"/>
    <row r="259" ht="24.95" customHeight="1"/>
    <row r="260" ht="24.95" customHeight="1"/>
    <row r="261" ht="24.95" customHeight="1"/>
    <row r="262" ht="24.95" customHeight="1"/>
    <row r="263" ht="24.95" customHeight="1"/>
    <row r="264" ht="24.95" customHeight="1"/>
    <row r="265" ht="24.95" customHeight="1"/>
    <row r="266" ht="24.95" customHeight="1"/>
    <row r="267" ht="24.95" customHeight="1"/>
  </sheetData>
  <mergeCells count="110">
    <mergeCell ref="Q75:R75"/>
    <mergeCell ref="Q76:Q78"/>
    <mergeCell ref="Q79:Q81"/>
    <mergeCell ref="Q82:Q84"/>
    <mergeCell ref="Q97:Q99"/>
    <mergeCell ref="Q85:Q87"/>
    <mergeCell ref="Q88:Q90"/>
    <mergeCell ref="Q91:Q93"/>
    <mergeCell ref="Q94:Q96"/>
    <mergeCell ref="I82:I84"/>
    <mergeCell ref="I85:I87"/>
    <mergeCell ref="I88:I90"/>
    <mergeCell ref="I91:I93"/>
    <mergeCell ref="I94:I96"/>
    <mergeCell ref="I97:I99"/>
    <mergeCell ref="Q21:R21"/>
    <mergeCell ref="Q22:Q24"/>
    <mergeCell ref="Q25:Q27"/>
    <mergeCell ref="Q28:Q30"/>
    <mergeCell ref="Q31:Q33"/>
    <mergeCell ref="Q34:Q36"/>
    <mergeCell ref="Q37:Q39"/>
    <mergeCell ref="Q40:Q42"/>
    <mergeCell ref="Q43:Q45"/>
    <mergeCell ref="Q49:Q51"/>
    <mergeCell ref="Q52:Q54"/>
    <mergeCell ref="Q55:Q57"/>
    <mergeCell ref="Q48:R48"/>
    <mergeCell ref="Q58:Q60"/>
    <mergeCell ref="Q61:Q63"/>
    <mergeCell ref="Q64:Q66"/>
    <mergeCell ref="Q67:Q69"/>
    <mergeCell ref="Q70:Q72"/>
    <mergeCell ref="A91:A93"/>
    <mergeCell ref="A94:A96"/>
    <mergeCell ref="A97:A99"/>
    <mergeCell ref="I21:J21"/>
    <mergeCell ref="I22:I24"/>
    <mergeCell ref="I25:I27"/>
    <mergeCell ref="I28:I30"/>
    <mergeCell ref="I31:I33"/>
    <mergeCell ref="I34:I36"/>
    <mergeCell ref="I37:I39"/>
    <mergeCell ref="I40:I42"/>
    <mergeCell ref="I43:I45"/>
    <mergeCell ref="I49:I51"/>
    <mergeCell ref="I52:I54"/>
    <mergeCell ref="I55:I57"/>
    <mergeCell ref="I48:J48"/>
    <mergeCell ref="I58:I60"/>
    <mergeCell ref="I61:I63"/>
    <mergeCell ref="I64:I66"/>
    <mergeCell ref="I67:I69"/>
    <mergeCell ref="I70:I72"/>
    <mergeCell ref="I75:J75"/>
    <mergeCell ref="I76:I78"/>
    <mergeCell ref="I79:I81"/>
    <mergeCell ref="A64:A66"/>
    <mergeCell ref="A67:A69"/>
    <mergeCell ref="A70:A72"/>
    <mergeCell ref="A75:B75"/>
    <mergeCell ref="A76:A78"/>
    <mergeCell ref="A79:A81"/>
    <mergeCell ref="A82:A84"/>
    <mergeCell ref="A85:A87"/>
    <mergeCell ref="A88:A90"/>
    <mergeCell ref="A40:A42"/>
    <mergeCell ref="A43:A45"/>
    <mergeCell ref="A34:A36"/>
    <mergeCell ref="A49:A51"/>
    <mergeCell ref="A48:B48"/>
    <mergeCell ref="A52:A54"/>
    <mergeCell ref="A55:A57"/>
    <mergeCell ref="A58:A60"/>
    <mergeCell ref="A61:A63"/>
    <mergeCell ref="A37:A39"/>
    <mergeCell ref="Y5:Y6"/>
    <mergeCell ref="Y7:Y8"/>
    <mergeCell ref="Y9:Y10"/>
    <mergeCell ref="Y11:Y12"/>
    <mergeCell ref="A9:A10"/>
    <mergeCell ref="C9:C10"/>
    <mergeCell ref="C11:C12"/>
    <mergeCell ref="A7:A8"/>
    <mergeCell ref="C7:C8"/>
    <mergeCell ref="A11:A12"/>
    <mergeCell ref="A2:B2"/>
    <mergeCell ref="A3:A4"/>
    <mergeCell ref="C3:C4"/>
    <mergeCell ref="A5:A6"/>
    <mergeCell ref="C5:C6"/>
    <mergeCell ref="A28:A30"/>
    <mergeCell ref="A31:A33"/>
    <mergeCell ref="A25:A27"/>
    <mergeCell ref="Y25:Z25"/>
    <mergeCell ref="Y26:Z26"/>
    <mergeCell ref="Y27:Z27"/>
    <mergeCell ref="Y28:Y29"/>
    <mergeCell ref="Y19:Z19"/>
    <mergeCell ref="Y20:Y21"/>
    <mergeCell ref="A13:A14"/>
    <mergeCell ref="C13:C14"/>
    <mergeCell ref="A15:A16"/>
    <mergeCell ref="C15:C16"/>
    <mergeCell ref="A21:B21"/>
    <mergeCell ref="A17:A18"/>
    <mergeCell ref="C17:C18"/>
    <mergeCell ref="Y18:Z18"/>
    <mergeCell ref="A22:A24"/>
    <mergeCell ref="Y4:Z4"/>
  </mergeCells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>
  <dimension ref="A1:P116"/>
  <sheetViews>
    <sheetView workbookViewId="0"/>
  </sheetViews>
  <sheetFormatPr defaultRowHeight="11.25"/>
  <cols>
    <col min="1" max="7" width="12" style="1" customWidth="1"/>
    <col min="8" max="9" width="8.88671875" style="1"/>
    <col min="10" max="10" width="12.21875" style="1" customWidth="1"/>
    <col min="11" max="16" width="10.33203125" style="1" customWidth="1"/>
    <col min="17" max="16384" width="8.88671875" style="1"/>
  </cols>
  <sheetData>
    <row r="1" spans="1:16" ht="24.95" customHeight="1">
      <c r="A1" s="33" t="s">
        <v>159</v>
      </c>
    </row>
    <row r="2" spans="1:16" ht="24.95" customHeight="1">
      <c r="A2" s="24" t="s">
        <v>57</v>
      </c>
      <c r="B2" s="24" t="s">
        <v>160</v>
      </c>
      <c r="C2" s="24" t="s">
        <v>161</v>
      </c>
      <c r="D2" s="24" t="s">
        <v>162</v>
      </c>
      <c r="E2" s="24" t="s">
        <v>163</v>
      </c>
      <c r="F2" s="24" t="s">
        <v>127</v>
      </c>
    </row>
    <row r="3" spans="1:16" ht="24.95" customHeight="1">
      <c r="A3" s="23" t="s">
        <v>154</v>
      </c>
      <c r="B3" s="29">
        <f>SUM(B4:B10)</f>
        <v>15960</v>
      </c>
      <c r="C3" s="29">
        <f>SUM(C4:C10)</f>
        <v>17216</v>
      </c>
      <c r="D3" s="29">
        <f>SUM(D4:D10)</f>
        <v>16155</v>
      </c>
      <c r="E3" s="29">
        <f>SUM(E4:E10)</f>
        <v>15185</v>
      </c>
      <c r="F3" s="23"/>
    </row>
    <row r="4" spans="1:16" ht="24.95" customHeight="1">
      <c r="A4" s="23" t="s">
        <v>64</v>
      </c>
      <c r="B4" s="29">
        <f>C20</f>
        <v>1827</v>
      </c>
      <c r="C4" s="29">
        <f>D20</f>
        <v>1704</v>
      </c>
      <c r="D4" s="29">
        <f>E20</f>
        <v>1599</v>
      </c>
      <c r="E4" s="29">
        <f>F20</f>
        <v>1503</v>
      </c>
      <c r="F4" s="23"/>
    </row>
    <row r="5" spans="1:16" ht="24.95" customHeight="1">
      <c r="A5" s="23" t="s">
        <v>65</v>
      </c>
      <c r="B5" s="29">
        <f>C30</f>
        <v>3879</v>
      </c>
      <c r="C5" s="29">
        <f>D30</f>
        <v>3618</v>
      </c>
      <c r="D5" s="29">
        <f>E30</f>
        <v>3395</v>
      </c>
      <c r="E5" s="29">
        <f>F30</f>
        <v>3191</v>
      </c>
      <c r="F5" s="23"/>
    </row>
    <row r="6" spans="1:16" ht="24.95" customHeight="1">
      <c r="A6" s="23" t="s">
        <v>66</v>
      </c>
      <c r="B6" s="29">
        <f>C40</f>
        <v>1188</v>
      </c>
      <c r="C6" s="29">
        <f>D40</f>
        <v>1108</v>
      </c>
      <c r="D6" s="29">
        <f>E40</f>
        <v>1039</v>
      </c>
      <c r="E6" s="29">
        <f>F40</f>
        <v>977</v>
      </c>
      <c r="F6" s="23"/>
      <c r="J6" s="2" t="s">
        <v>175</v>
      </c>
      <c r="K6" s="2" t="s">
        <v>174</v>
      </c>
      <c r="L6" s="17" t="s">
        <v>160</v>
      </c>
      <c r="M6" s="17" t="s">
        <v>161</v>
      </c>
      <c r="N6" s="17" t="s">
        <v>162</v>
      </c>
      <c r="O6" s="17" t="s">
        <v>163</v>
      </c>
      <c r="P6" s="17" t="s">
        <v>127</v>
      </c>
    </row>
    <row r="7" spans="1:16" ht="24.95" customHeight="1">
      <c r="A7" s="23" t="s">
        <v>155</v>
      </c>
      <c r="B7" s="29">
        <f>C50</f>
        <v>987</v>
      </c>
      <c r="C7" s="29">
        <f>D50</f>
        <v>920</v>
      </c>
      <c r="D7" s="29">
        <f>E50</f>
        <v>863</v>
      </c>
      <c r="E7" s="29">
        <f>F50</f>
        <v>812</v>
      </c>
      <c r="F7" s="23"/>
      <c r="J7" s="2" t="s">
        <v>173</v>
      </c>
      <c r="K7" s="2">
        <v>426</v>
      </c>
      <c r="L7" s="2">
        <f>K7</f>
        <v>426</v>
      </c>
      <c r="M7" s="2">
        <f>L7</f>
        <v>426</v>
      </c>
      <c r="N7" s="2">
        <f>M7</f>
        <v>426</v>
      </c>
      <c r="O7" s="2">
        <f>N7</f>
        <v>426</v>
      </c>
      <c r="P7" s="2"/>
    </row>
    <row r="8" spans="1:16" ht="24.95" customHeight="1">
      <c r="A8" s="23" t="s">
        <v>67</v>
      </c>
      <c r="B8" s="29">
        <f>C60</f>
        <v>1340</v>
      </c>
      <c r="C8" s="29">
        <f>D60</f>
        <v>1250</v>
      </c>
      <c r="D8" s="29">
        <f>E60</f>
        <v>1173</v>
      </c>
      <c r="E8" s="29">
        <f>F60</f>
        <v>1102</v>
      </c>
      <c r="F8" s="23"/>
      <c r="J8" s="2" t="s">
        <v>176</v>
      </c>
      <c r="K8" s="38">
        <v>0.624</v>
      </c>
      <c r="L8" s="38">
        <v>0.65</v>
      </c>
      <c r="M8" s="38">
        <v>0.7</v>
      </c>
      <c r="N8" s="38">
        <v>0.75</v>
      </c>
      <c r="O8" s="38">
        <v>0.8</v>
      </c>
      <c r="P8" s="2"/>
    </row>
    <row r="9" spans="1:16" ht="24.95" customHeight="1">
      <c r="A9" s="23" t="s">
        <v>68</v>
      </c>
      <c r="B9" s="29">
        <f>C70</f>
        <v>5369</v>
      </c>
      <c r="C9" s="29">
        <f>D70</f>
        <v>6259</v>
      </c>
      <c r="D9" s="29">
        <f>E70</f>
        <v>5874</v>
      </c>
      <c r="E9" s="29">
        <f>F70</f>
        <v>5521</v>
      </c>
      <c r="F9" s="23"/>
      <c r="J9" s="2" t="s">
        <v>177</v>
      </c>
      <c r="K9" s="2">
        <f>ROUND(K7/K8,0)</f>
        <v>683</v>
      </c>
      <c r="L9" s="2">
        <f>ROUND(L7/L8,0)</f>
        <v>655</v>
      </c>
      <c r="M9" s="2">
        <f>ROUND(M7/M8,0)</f>
        <v>609</v>
      </c>
      <c r="N9" s="2">
        <f>ROUND(N7/N8,0)</f>
        <v>568</v>
      </c>
      <c r="O9" s="2">
        <f>ROUND(O7/O8,0)</f>
        <v>533</v>
      </c>
      <c r="P9" s="2"/>
    </row>
    <row r="10" spans="1:16" ht="24.95" customHeight="1">
      <c r="A10" s="23" t="s">
        <v>69</v>
      </c>
      <c r="B10" s="29">
        <f>C80</f>
        <v>1370</v>
      </c>
      <c r="C10" s="29">
        <f>D80</f>
        <v>2357</v>
      </c>
      <c r="D10" s="29">
        <f>E80</f>
        <v>2212</v>
      </c>
      <c r="E10" s="29">
        <f>F80</f>
        <v>2079</v>
      </c>
      <c r="F10" s="23"/>
    </row>
    <row r="11" spans="1:16" ht="24.95" customHeight="1"/>
    <row r="12" spans="1:16" ht="24.95" customHeight="1">
      <c r="A12" s="33" t="s">
        <v>164</v>
      </c>
    </row>
    <row r="13" spans="1:16" ht="24.95" customHeight="1">
      <c r="A13" s="829" t="s">
        <v>57</v>
      </c>
      <c r="B13" s="829"/>
      <c r="C13" s="24" t="s">
        <v>160</v>
      </c>
      <c r="D13" s="24" t="s">
        <v>161</v>
      </c>
      <c r="E13" s="24" t="s">
        <v>162</v>
      </c>
      <c r="F13" s="24" t="s">
        <v>163</v>
      </c>
      <c r="G13" s="24" t="s">
        <v>127</v>
      </c>
    </row>
    <row r="14" spans="1:16" ht="24.95" customHeight="1">
      <c r="A14" s="787" t="s">
        <v>156</v>
      </c>
      <c r="B14" s="787"/>
      <c r="C14" s="29">
        <v>3577</v>
      </c>
      <c r="D14" s="29">
        <v>3577</v>
      </c>
      <c r="E14" s="29">
        <v>3577</v>
      </c>
      <c r="F14" s="29">
        <v>3577</v>
      </c>
      <c r="G14" s="23"/>
    </row>
    <row r="15" spans="1:16" ht="24.95" customHeight="1">
      <c r="A15" s="787" t="s">
        <v>157</v>
      </c>
      <c r="B15" s="787"/>
      <c r="C15" s="23">
        <v>83.9</v>
      </c>
      <c r="D15" s="23">
        <v>83.9</v>
      </c>
      <c r="E15" s="23">
        <v>83.9</v>
      </c>
      <c r="F15" s="23">
        <v>83.9</v>
      </c>
      <c r="G15" s="23"/>
    </row>
    <row r="16" spans="1:16" ht="24.95" customHeight="1">
      <c r="A16" s="787" t="s">
        <v>158</v>
      </c>
      <c r="B16" s="787"/>
      <c r="C16" s="29">
        <v>3000</v>
      </c>
      <c r="D16" s="29">
        <v>3000</v>
      </c>
      <c r="E16" s="29">
        <v>3000</v>
      </c>
      <c r="F16" s="29">
        <v>3000</v>
      </c>
      <c r="G16" s="23"/>
    </row>
    <row r="17" spans="1:7" ht="24.95" customHeight="1">
      <c r="A17" s="788" t="s">
        <v>165</v>
      </c>
      <c r="B17" s="23" t="s">
        <v>71</v>
      </c>
      <c r="C17" s="23">
        <v>0</v>
      </c>
      <c r="D17" s="23">
        <v>0</v>
      </c>
      <c r="E17" s="23">
        <v>0</v>
      </c>
      <c r="F17" s="23">
        <v>0</v>
      </c>
      <c r="G17" s="23"/>
    </row>
    <row r="18" spans="1:7" ht="24.95" customHeight="1">
      <c r="A18" s="790"/>
      <c r="B18" s="23" t="s">
        <v>72</v>
      </c>
      <c r="C18" s="23">
        <v>609</v>
      </c>
      <c r="D18" s="23">
        <v>568</v>
      </c>
      <c r="E18" s="23">
        <v>533</v>
      </c>
      <c r="F18" s="23">
        <v>501</v>
      </c>
      <c r="G18" s="23"/>
    </row>
    <row r="19" spans="1:7" ht="24.95" customHeight="1">
      <c r="A19" s="788" t="s">
        <v>166</v>
      </c>
      <c r="B19" s="23" t="s">
        <v>71</v>
      </c>
      <c r="C19" s="29">
        <f>ROUND(C16*C17/1000,0)</f>
        <v>0</v>
      </c>
      <c r="D19" s="29">
        <f>ROUND(D16*D17/1000,0)</f>
        <v>0</v>
      </c>
      <c r="E19" s="29">
        <f>ROUND(E16*E17/1000,0)</f>
        <v>0</v>
      </c>
      <c r="F19" s="29">
        <f>ROUND(F16*F17/1000,0)</f>
        <v>0</v>
      </c>
      <c r="G19" s="23"/>
    </row>
    <row r="20" spans="1:7" ht="24.95" customHeight="1">
      <c r="A20" s="790"/>
      <c r="B20" s="23" t="s">
        <v>72</v>
      </c>
      <c r="C20" s="29">
        <f>ROUND(C16*C18/1000,0)</f>
        <v>1827</v>
      </c>
      <c r="D20" s="29">
        <f>ROUND(D16*D18/1000,0)</f>
        <v>1704</v>
      </c>
      <c r="E20" s="29">
        <f>ROUND(E16*E18/1000,0)</f>
        <v>1599</v>
      </c>
      <c r="F20" s="29">
        <f>ROUND(F16*F18/1000,0)</f>
        <v>1503</v>
      </c>
      <c r="G20" s="23"/>
    </row>
    <row r="21" spans="1:7" ht="24.95" customHeight="1"/>
    <row r="22" spans="1:7" ht="24.95" customHeight="1">
      <c r="A22" s="33" t="s">
        <v>167</v>
      </c>
    </row>
    <row r="23" spans="1:7" ht="24.95" customHeight="1">
      <c r="A23" s="829" t="s">
        <v>57</v>
      </c>
      <c r="B23" s="829"/>
      <c r="C23" s="24" t="s">
        <v>160</v>
      </c>
      <c r="D23" s="24" t="s">
        <v>161</v>
      </c>
      <c r="E23" s="24" t="s">
        <v>162</v>
      </c>
      <c r="F23" s="24" t="s">
        <v>163</v>
      </c>
      <c r="G23" s="24" t="s">
        <v>127</v>
      </c>
    </row>
    <row r="24" spans="1:7" ht="24.95" customHeight="1">
      <c r="A24" s="787" t="s">
        <v>156</v>
      </c>
      <c r="B24" s="787"/>
      <c r="C24" s="34">
        <v>6370</v>
      </c>
      <c r="D24" s="34">
        <v>6370</v>
      </c>
      <c r="E24" s="34">
        <v>6370</v>
      </c>
      <c r="F24" s="34">
        <v>6370</v>
      </c>
      <c r="G24" s="23"/>
    </row>
    <row r="25" spans="1:7" ht="24.95" customHeight="1">
      <c r="A25" s="787" t="s">
        <v>157</v>
      </c>
      <c r="B25" s="787"/>
      <c r="C25" s="19">
        <v>100</v>
      </c>
      <c r="D25" s="19">
        <v>100</v>
      </c>
      <c r="E25" s="19">
        <v>100</v>
      </c>
      <c r="F25" s="19">
        <v>100</v>
      </c>
      <c r="G25" s="23"/>
    </row>
    <row r="26" spans="1:7" ht="24.95" customHeight="1">
      <c r="A26" s="787" t="s">
        <v>158</v>
      </c>
      <c r="B26" s="787"/>
      <c r="C26" s="34">
        <v>6370</v>
      </c>
      <c r="D26" s="34">
        <v>6370</v>
      </c>
      <c r="E26" s="34">
        <v>6370</v>
      </c>
      <c r="F26" s="34">
        <v>6370</v>
      </c>
      <c r="G26" s="23"/>
    </row>
    <row r="27" spans="1:7" ht="24.95" customHeight="1">
      <c r="A27" s="788" t="s">
        <v>165</v>
      </c>
      <c r="B27" s="23" t="s">
        <v>71</v>
      </c>
      <c r="C27" s="23">
        <v>0</v>
      </c>
      <c r="D27" s="23">
        <v>0</v>
      </c>
      <c r="E27" s="23">
        <v>0</v>
      </c>
      <c r="F27" s="23">
        <v>0</v>
      </c>
      <c r="G27" s="23"/>
    </row>
    <row r="28" spans="1:7" ht="24.95" customHeight="1">
      <c r="A28" s="790"/>
      <c r="B28" s="23" t="s">
        <v>72</v>
      </c>
      <c r="C28" s="23">
        <v>609</v>
      </c>
      <c r="D28" s="23">
        <v>568</v>
      </c>
      <c r="E28" s="23">
        <v>533</v>
      </c>
      <c r="F28" s="23">
        <v>501</v>
      </c>
      <c r="G28" s="23"/>
    </row>
    <row r="29" spans="1:7" ht="24.95" customHeight="1">
      <c r="A29" s="788" t="s">
        <v>166</v>
      </c>
      <c r="B29" s="23" t="s">
        <v>71</v>
      </c>
      <c r="C29" s="29">
        <f>ROUND(C26*C27/1000,0)</f>
        <v>0</v>
      </c>
      <c r="D29" s="29">
        <f>ROUND(D26*D27/1000,0)</f>
        <v>0</v>
      </c>
      <c r="E29" s="29">
        <f>ROUND(E26*E27/1000,0)</f>
        <v>0</v>
      </c>
      <c r="F29" s="29">
        <f>ROUND(F26*F27/1000,0)</f>
        <v>0</v>
      </c>
      <c r="G29" s="23"/>
    </row>
    <row r="30" spans="1:7" ht="24.95" customHeight="1">
      <c r="A30" s="790"/>
      <c r="B30" s="23" t="s">
        <v>72</v>
      </c>
      <c r="C30" s="29">
        <f>ROUND(C26*C28/1000,0)</f>
        <v>3879</v>
      </c>
      <c r="D30" s="29">
        <f>ROUND(D26*D28/1000,0)</f>
        <v>3618</v>
      </c>
      <c r="E30" s="29">
        <f>ROUND(E26*E28/1000,0)</f>
        <v>3395</v>
      </c>
      <c r="F30" s="29">
        <f>ROUND(F26*F28/1000,0)</f>
        <v>3191</v>
      </c>
      <c r="G30" s="23"/>
    </row>
    <row r="31" spans="1:7" ht="24.95" customHeight="1"/>
    <row r="32" spans="1:7" ht="24.95" customHeight="1">
      <c r="A32" s="33" t="s">
        <v>168</v>
      </c>
    </row>
    <row r="33" spans="1:7" ht="24.95" customHeight="1">
      <c r="A33" s="829" t="s">
        <v>57</v>
      </c>
      <c r="B33" s="829"/>
      <c r="C33" s="24" t="s">
        <v>160</v>
      </c>
      <c r="D33" s="24" t="s">
        <v>161</v>
      </c>
      <c r="E33" s="24" t="s">
        <v>162</v>
      </c>
      <c r="F33" s="24" t="s">
        <v>163</v>
      </c>
      <c r="G33" s="24" t="s">
        <v>127</v>
      </c>
    </row>
    <row r="34" spans="1:7" ht="24.95" customHeight="1">
      <c r="A34" s="787" t="s">
        <v>156</v>
      </c>
      <c r="B34" s="787"/>
      <c r="C34" s="34">
        <v>2710</v>
      </c>
      <c r="D34" s="34">
        <v>2710</v>
      </c>
      <c r="E34" s="34">
        <v>2710</v>
      </c>
      <c r="F34" s="34">
        <v>2710</v>
      </c>
      <c r="G34" s="23"/>
    </row>
    <row r="35" spans="1:7" ht="24.95" customHeight="1">
      <c r="A35" s="787" t="s">
        <v>157</v>
      </c>
      <c r="B35" s="787"/>
      <c r="C35" s="19">
        <v>72</v>
      </c>
      <c r="D35" s="19">
        <v>72</v>
      </c>
      <c r="E35" s="19">
        <v>72</v>
      </c>
      <c r="F35" s="19">
        <v>72</v>
      </c>
      <c r="G35" s="23"/>
    </row>
    <row r="36" spans="1:7" ht="24.95" customHeight="1">
      <c r="A36" s="787" t="s">
        <v>158</v>
      </c>
      <c r="B36" s="787"/>
      <c r="C36" s="34">
        <v>1950</v>
      </c>
      <c r="D36" s="34">
        <v>1950</v>
      </c>
      <c r="E36" s="34">
        <v>1950</v>
      </c>
      <c r="F36" s="34">
        <v>1950</v>
      </c>
      <c r="G36" s="23"/>
    </row>
    <row r="37" spans="1:7" ht="24.95" customHeight="1">
      <c r="A37" s="788" t="s">
        <v>165</v>
      </c>
      <c r="B37" s="23" t="s">
        <v>71</v>
      </c>
      <c r="C37" s="23">
        <v>0</v>
      </c>
      <c r="D37" s="23">
        <v>0</v>
      </c>
      <c r="E37" s="23">
        <v>0</v>
      </c>
      <c r="F37" s="23">
        <v>0</v>
      </c>
      <c r="G37" s="23"/>
    </row>
    <row r="38" spans="1:7" ht="24.95" customHeight="1">
      <c r="A38" s="790"/>
      <c r="B38" s="23" t="s">
        <v>72</v>
      </c>
      <c r="C38" s="23">
        <v>609</v>
      </c>
      <c r="D38" s="23">
        <v>568</v>
      </c>
      <c r="E38" s="23">
        <v>533</v>
      </c>
      <c r="F38" s="23">
        <v>501</v>
      </c>
      <c r="G38" s="23"/>
    </row>
    <row r="39" spans="1:7" ht="24.95" customHeight="1">
      <c r="A39" s="788" t="s">
        <v>166</v>
      </c>
      <c r="B39" s="23" t="s">
        <v>71</v>
      </c>
      <c r="C39" s="29">
        <f>ROUND(C36*C37/1000,0)</f>
        <v>0</v>
      </c>
      <c r="D39" s="29">
        <f>ROUND(D36*D37/1000,0)</f>
        <v>0</v>
      </c>
      <c r="E39" s="29">
        <f>ROUND(E36*E37/1000,0)</f>
        <v>0</v>
      </c>
      <c r="F39" s="29">
        <f>ROUND(F36*F37/1000,0)</f>
        <v>0</v>
      </c>
      <c r="G39" s="23"/>
    </row>
    <row r="40" spans="1:7" ht="24.95" customHeight="1">
      <c r="A40" s="790"/>
      <c r="B40" s="23" t="s">
        <v>72</v>
      </c>
      <c r="C40" s="29">
        <f>ROUND(C36*C38/1000,0)</f>
        <v>1188</v>
      </c>
      <c r="D40" s="29">
        <f>ROUND(D36*D38/1000,0)</f>
        <v>1108</v>
      </c>
      <c r="E40" s="29">
        <f>ROUND(E36*E38/1000,0)</f>
        <v>1039</v>
      </c>
      <c r="F40" s="29">
        <f>ROUND(F36*F38/1000,0)</f>
        <v>977</v>
      </c>
      <c r="G40" s="23"/>
    </row>
    <row r="41" spans="1:7" ht="24.95" customHeight="1"/>
    <row r="42" spans="1:7" ht="24.95" customHeight="1">
      <c r="A42" s="33" t="s">
        <v>169</v>
      </c>
    </row>
    <row r="43" spans="1:7" ht="24.95" customHeight="1">
      <c r="A43" s="829" t="s">
        <v>57</v>
      </c>
      <c r="B43" s="829"/>
      <c r="C43" s="24" t="s">
        <v>160</v>
      </c>
      <c r="D43" s="24" t="s">
        <v>161</v>
      </c>
      <c r="E43" s="24" t="s">
        <v>162</v>
      </c>
      <c r="F43" s="24" t="s">
        <v>163</v>
      </c>
      <c r="G43" s="24" t="s">
        <v>127</v>
      </c>
    </row>
    <row r="44" spans="1:7" ht="24.95" customHeight="1">
      <c r="A44" s="787" t="s">
        <v>156</v>
      </c>
      <c r="B44" s="787"/>
      <c r="C44" s="34">
        <v>3300</v>
      </c>
      <c r="D44" s="34">
        <v>3300</v>
      </c>
      <c r="E44" s="34">
        <v>3300</v>
      </c>
      <c r="F44" s="34">
        <v>3300</v>
      </c>
      <c r="G44" s="23"/>
    </row>
    <row r="45" spans="1:7" ht="24.95" customHeight="1">
      <c r="A45" s="787" t="s">
        <v>157</v>
      </c>
      <c r="B45" s="787"/>
      <c r="C45" s="19">
        <v>49.1</v>
      </c>
      <c r="D45" s="19">
        <v>49.1</v>
      </c>
      <c r="E45" s="19">
        <v>49.1</v>
      </c>
      <c r="F45" s="19">
        <v>49.1</v>
      </c>
      <c r="G45" s="23"/>
    </row>
    <row r="46" spans="1:7" ht="24.95" customHeight="1">
      <c r="A46" s="787" t="s">
        <v>158</v>
      </c>
      <c r="B46" s="787"/>
      <c r="C46" s="34">
        <v>1620</v>
      </c>
      <c r="D46" s="34">
        <v>1620</v>
      </c>
      <c r="E46" s="34">
        <v>1620</v>
      </c>
      <c r="F46" s="34">
        <v>1620</v>
      </c>
      <c r="G46" s="23"/>
    </row>
    <row r="47" spans="1:7" ht="24.95" customHeight="1">
      <c r="A47" s="788" t="s">
        <v>165</v>
      </c>
      <c r="B47" s="23" t="s">
        <v>71</v>
      </c>
      <c r="C47" s="23">
        <v>0</v>
      </c>
      <c r="D47" s="23">
        <v>0</v>
      </c>
      <c r="E47" s="23">
        <v>0</v>
      </c>
      <c r="F47" s="23">
        <v>0</v>
      </c>
      <c r="G47" s="23"/>
    </row>
    <row r="48" spans="1:7" ht="24.95" customHeight="1">
      <c r="A48" s="790"/>
      <c r="B48" s="23" t="s">
        <v>72</v>
      </c>
      <c r="C48" s="23">
        <v>609</v>
      </c>
      <c r="D48" s="23">
        <v>568</v>
      </c>
      <c r="E48" s="23">
        <v>533</v>
      </c>
      <c r="F48" s="23">
        <v>501</v>
      </c>
      <c r="G48" s="23"/>
    </row>
    <row r="49" spans="1:7" ht="24.95" customHeight="1">
      <c r="A49" s="788" t="s">
        <v>166</v>
      </c>
      <c r="B49" s="23" t="s">
        <v>71</v>
      </c>
      <c r="C49" s="29">
        <f>ROUND(C46*C47/1000,0)</f>
        <v>0</v>
      </c>
      <c r="D49" s="29">
        <f>ROUND(D46*D47/1000,0)</f>
        <v>0</v>
      </c>
      <c r="E49" s="29">
        <f>ROUND(E46*E47/1000,0)</f>
        <v>0</v>
      </c>
      <c r="F49" s="29">
        <f>ROUND(F46*F47/1000,0)</f>
        <v>0</v>
      </c>
      <c r="G49" s="23"/>
    </row>
    <row r="50" spans="1:7" ht="24.95" customHeight="1">
      <c r="A50" s="790"/>
      <c r="B50" s="23" t="s">
        <v>72</v>
      </c>
      <c r="C50" s="29">
        <f>ROUND(C46*C48/1000,0)</f>
        <v>987</v>
      </c>
      <c r="D50" s="29">
        <f>ROUND(D46*D48/1000,0)</f>
        <v>920</v>
      </c>
      <c r="E50" s="29">
        <f>ROUND(E46*E48/1000,0)</f>
        <v>863</v>
      </c>
      <c r="F50" s="29">
        <f>ROUND(F46*F48/1000,0)</f>
        <v>812</v>
      </c>
      <c r="G50" s="23"/>
    </row>
    <row r="51" spans="1:7" ht="24.95" customHeight="1"/>
    <row r="52" spans="1:7" ht="24.95" customHeight="1">
      <c r="A52" s="33" t="s">
        <v>170</v>
      </c>
    </row>
    <row r="53" spans="1:7" ht="24.95" customHeight="1">
      <c r="A53" s="829" t="s">
        <v>57</v>
      </c>
      <c r="B53" s="829"/>
      <c r="C53" s="24" t="s">
        <v>160</v>
      </c>
      <c r="D53" s="24" t="s">
        <v>161</v>
      </c>
      <c r="E53" s="24" t="s">
        <v>162</v>
      </c>
      <c r="F53" s="24" t="s">
        <v>163</v>
      </c>
      <c r="G53" s="24" t="s">
        <v>127</v>
      </c>
    </row>
    <row r="54" spans="1:7" ht="24.95" customHeight="1">
      <c r="A54" s="787" t="s">
        <v>156</v>
      </c>
      <c r="B54" s="787"/>
      <c r="C54" s="34">
        <v>2710</v>
      </c>
      <c r="D54" s="34">
        <v>2710</v>
      </c>
      <c r="E54" s="34">
        <v>2710</v>
      </c>
      <c r="F54" s="34">
        <v>2710</v>
      </c>
      <c r="G54" s="23"/>
    </row>
    <row r="55" spans="1:7" ht="24.95" customHeight="1">
      <c r="A55" s="787" t="s">
        <v>157</v>
      </c>
      <c r="B55" s="787"/>
      <c r="C55" s="19">
        <v>81.2</v>
      </c>
      <c r="D55" s="19">
        <v>81.2</v>
      </c>
      <c r="E55" s="19">
        <v>81.2</v>
      </c>
      <c r="F55" s="19">
        <v>81.2</v>
      </c>
      <c r="G55" s="23"/>
    </row>
    <row r="56" spans="1:7" ht="24.95" customHeight="1">
      <c r="A56" s="787" t="s">
        <v>158</v>
      </c>
      <c r="B56" s="787"/>
      <c r="C56" s="34">
        <v>2200</v>
      </c>
      <c r="D56" s="34">
        <v>2200</v>
      </c>
      <c r="E56" s="34">
        <v>2200</v>
      </c>
      <c r="F56" s="34">
        <v>2200</v>
      </c>
      <c r="G56" s="23"/>
    </row>
    <row r="57" spans="1:7" ht="24.95" customHeight="1">
      <c r="A57" s="788" t="s">
        <v>165</v>
      </c>
      <c r="B57" s="23" t="s">
        <v>71</v>
      </c>
      <c r="C57" s="23">
        <v>0</v>
      </c>
      <c r="D57" s="23">
        <v>0</v>
      </c>
      <c r="E57" s="23">
        <v>0</v>
      </c>
      <c r="F57" s="23">
        <v>0</v>
      </c>
      <c r="G57" s="23"/>
    </row>
    <row r="58" spans="1:7" ht="24.95" customHeight="1">
      <c r="A58" s="790"/>
      <c r="B58" s="23" t="s">
        <v>72</v>
      </c>
      <c r="C58" s="23">
        <v>609</v>
      </c>
      <c r="D58" s="23">
        <v>568</v>
      </c>
      <c r="E58" s="23">
        <v>533</v>
      </c>
      <c r="F58" s="23">
        <v>501</v>
      </c>
      <c r="G58" s="23"/>
    </row>
    <row r="59" spans="1:7" ht="24.95" customHeight="1">
      <c r="A59" s="788" t="s">
        <v>166</v>
      </c>
      <c r="B59" s="23" t="s">
        <v>71</v>
      </c>
      <c r="C59" s="29">
        <f>ROUND(C56*C57/1000,0)</f>
        <v>0</v>
      </c>
      <c r="D59" s="29">
        <f>ROUND(D56*D57/1000,0)</f>
        <v>0</v>
      </c>
      <c r="E59" s="29">
        <f>ROUND(E56*E57/1000,0)</f>
        <v>0</v>
      </c>
      <c r="F59" s="29">
        <f>ROUND(F56*F57/1000,0)</f>
        <v>0</v>
      </c>
      <c r="G59" s="23"/>
    </row>
    <row r="60" spans="1:7" ht="24.95" customHeight="1">
      <c r="A60" s="790"/>
      <c r="B60" s="23" t="s">
        <v>72</v>
      </c>
      <c r="C60" s="29">
        <f>ROUND(C56*C58/1000,0)</f>
        <v>1340</v>
      </c>
      <c r="D60" s="29">
        <f>ROUND(D56*D58/1000,0)</f>
        <v>1250</v>
      </c>
      <c r="E60" s="29">
        <f>ROUND(E56*E58/1000,0)</f>
        <v>1173</v>
      </c>
      <c r="F60" s="29">
        <f>ROUND(F56*F58/1000,0)</f>
        <v>1102</v>
      </c>
      <c r="G60" s="23"/>
    </row>
    <row r="61" spans="1:7" ht="24.95" customHeight="1"/>
    <row r="62" spans="1:7" ht="24.95" customHeight="1">
      <c r="A62" s="33" t="s">
        <v>171</v>
      </c>
    </row>
    <row r="63" spans="1:7" ht="24.95" customHeight="1">
      <c r="A63" s="829" t="s">
        <v>57</v>
      </c>
      <c r="B63" s="829"/>
      <c r="C63" s="24" t="s">
        <v>160</v>
      </c>
      <c r="D63" s="24" t="s">
        <v>161</v>
      </c>
      <c r="E63" s="24" t="s">
        <v>162</v>
      </c>
      <c r="F63" s="24" t="s">
        <v>163</v>
      </c>
      <c r="G63" s="24" t="s">
        <v>127</v>
      </c>
    </row>
    <row r="64" spans="1:7" ht="24.95" customHeight="1">
      <c r="A64" s="787" t="s">
        <v>156</v>
      </c>
      <c r="B64" s="787"/>
      <c r="C64" s="34">
        <v>11020</v>
      </c>
      <c r="D64" s="34">
        <v>11020</v>
      </c>
      <c r="E64" s="34">
        <v>11020</v>
      </c>
      <c r="F64" s="34">
        <v>11020</v>
      </c>
      <c r="G64" s="23"/>
    </row>
    <row r="65" spans="1:7" ht="24.95" customHeight="1">
      <c r="A65" s="787" t="s">
        <v>157</v>
      </c>
      <c r="B65" s="787"/>
      <c r="C65" s="19">
        <v>80</v>
      </c>
      <c r="D65" s="19">
        <v>100</v>
      </c>
      <c r="E65" s="19">
        <v>100</v>
      </c>
      <c r="F65" s="19">
        <v>100</v>
      </c>
      <c r="G65" s="23"/>
    </row>
    <row r="66" spans="1:7" ht="24.95" customHeight="1">
      <c r="A66" s="787" t="s">
        <v>158</v>
      </c>
      <c r="B66" s="787"/>
      <c r="C66" s="34">
        <v>8816</v>
      </c>
      <c r="D66" s="34">
        <v>11020</v>
      </c>
      <c r="E66" s="34">
        <v>11020</v>
      </c>
      <c r="F66" s="34">
        <v>11020</v>
      </c>
      <c r="G66" s="23"/>
    </row>
    <row r="67" spans="1:7" ht="24.95" customHeight="1">
      <c r="A67" s="788" t="s">
        <v>165</v>
      </c>
      <c r="B67" s="23" t="s">
        <v>71</v>
      </c>
      <c r="C67" s="23">
        <v>0</v>
      </c>
      <c r="D67" s="23">
        <v>0</v>
      </c>
      <c r="E67" s="23">
        <v>0</v>
      </c>
      <c r="F67" s="23">
        <v>0</v>
      </c>
      <c r="G67" s="23"/>
    </row>
    <row r="68" spans="1:7" ht="24.95" customHeight="1">
      <c r="A68" s="790"/>
      <c r="B68" s="23" t="s">
        <v>72</v>
      </c>
      <c r="C68" s="23">
        <v>609</v>
      </c>
      <c r="D68" s="23">
        <v>568</v>
      </c>
      <c r="E68" s="23">
        <v>533</v>
      </c>
      <c r="F68" s="23">
        <v>501</v>
      </c>
      <c r="G68" s="23"/>
    </row>
    <row r="69" spans="1:7" ht="24.95" customHeight="1">
      <c r="A69" s="788" t="s">
        <v>166</v>
      </c>
      <c r="B69" s="23" t="s">
        <v>71</v>
      </c>
      <c r="C69" s="29">
        <f>ROUND(C66*C67/1000,0)</f>
        <v>0</v>
      </c>
      <c r="D69" s="29">
        <f>ROUND(D66*D67/1000,0)</f>
        <v>0</v>
      </c>
      <c r="E69" s="29">
        <f>ROUND(E66*E67/1000,0)</f>
        <v>0</v>
      </c>
      <c r="F69" s="29">
        <f>ROUND(F66*F67/1000,0)</f>
        <v>0</v>
      </c>
      <c r="G69" s="23"/>
    </row>
    <row r="70" spans="1:7" ht="24.95" customHeight="1">
      <c r="A70" s="790"/>
      <c r="B70" s="23" t="s">
        <v>72</v>
      </c>
      <c r="C70" s="29">
        <f>ROUND(C66*C68/1000,0)</f>
        <v>5369</v>
      </c>
      <c r="D70" s="29">
        <f>ROUND(D66*D68/1000,0)</f>
        <v>6259</v>
      </c>
      <c r="E70" s="29">
        <f>ROUND(E66*E68/1000,0)</f>
        <v>5874</v>
      </c>
      <c r="F70" s="29">
        <f>ROUND(F66*F68/1000,0)</f>
        <v>5521</v>
      </c>
      <c r="G70" s="23"/>
    </row>
    <row r="71" spans="1:7" ht="24.95" customHeight="1"/>
    <row r="72" spans="1:7" ht="24.95" customHeight="1">
      <c r="A72" s="33" t="s">
        <v>172</v>
      </c>
    </row>
    <row r="73" spans="1:7" ht="24.95" customHeight="1">
      <c r="A73" s="829" t="s">
        <v>57</v>
      </c>
      <c r="B73" s="829"/>
      <c r="C73" s="24" t="s">
        <v>160</v>
      </c>
      <c r="D73" s="24" t="s">
        <v>161</v>
      </c>
      <c r="E73" s="24" t="s">
        <v>162</v>
      </c>
      <c r="F73" s="24" t="s">
        <v>163</v>
      </c>
      <c r="G73" s="24" t="s">
        <v>127</v>
      </c>
    </row>
    <row r="74" spans="1:7" ht="24.95" customHeight="1">
      <c r="A74" s="787" t="s">
        <v>156</v>
      </c>
      <c r="B74" s="787"/>
      <c r="C74" s="34">
        <v>4150</v>
      </c>
      <c r="D74" s="34">
        <v>4150</v>
      </c>
      <c r="E74" s="34">
        <v>4150</v>
      </c>
      <c r="F74" s="34">
        <v>4150</v>
      </c>
      <c r="G74" s="23"/>
    </row>
    <row r="75" spans="1:7" ht="24.95" customHeight="1">
      <c r="A75" s="787" t="s">
        <v>157</v>
      </c>
      <c r="B75" s="787"/>
      <c r="C75" s="19">
        <v>54.2</v>
      </c>
      <c r="D75" s="19">
        <v>100</v>
      </c>
      <c r="E75" s="19">
        <v>100</v>
      </c>
      <c r="F75" s="19">
        <v>100</v>
      </c>
      <c r="G75" s="23"/>
    </row>
    <row r="76" spans="1:7" ht="24.95" customHeight="1">
      <c r="A76" s="787" t="s">
        <v>158</v>
      </c>
      <c r="B76" s="787"/>
      <c r="C76" s="34">
        <v>2250</v>
      </c>
      <c r="D76" s="34">
        <v>4150</v>
      </c>
      <c r="E76" s="34">
        <v>4150</v>
      </c>
      <c r="F76" s="34">
        <v>4150</v>
      </c>
      <c r="G76" s="23"/>
    </row>
    <row r="77" spans="1:7" ht="24.95" customHeight="1">
      <c r="A77" s="788" t="s">
        <v>165</v>
      </c>
      <c r="B77" s="23" t="s">
        <v>71</v>
      </c>
      <c r="C77" s="23">
        <v>0</v>
      </c>
      <c r="D77" s="23">
        <v>0</v>
      </c>
      <c r="E77" s="23">
        <v>0</v>
      </c>
      <c r="F77" s="23">
        <v>0</v>
      </c>
      <c r="G77" s="23"/>
    </row>
    <row r="78" spans="1:7" ht="24.95" customHeight="1">
      <c r="A78" s="790"/>
      <c r="B78" s="23" t="s">
        <v>72</v>
      </c>
      <c r="C78" s="23">
        <v>609</v>
      </c>
      <c r="D78" s="23">
        <v>568</v>
      </c>
      <c r="E78" s="23">
        <v>533</v>
      </c>
      <c r="F78" s="23">
        <v>501</v>
      </c>
      <c r="G78" s="23"/>
    </row>
    <row r="79" spans="1:7" ht="24.95" customHeight="1">
      <c r="A79" s="788" t="s">
        <v>166</v>
      </c>
      <c r="B79" s="23" t="s">
        <v>71</v>
      </c>
      <c r="C79" s="29">
        <f>ROUND(C76*C77/1000,0)</f>
        <v>0</v>
      </c>
      <c r="D79" s="29">
        <f>ROUND(D76*D77/1000,0)</f>
        <v>0</v>
      </c>
      <c r="E79" s="29">
        <f>ROUND(E76*E77/1000,0)</f>
        <v>0</v>
      </c>
      <c r="F79" s="29">
        <f>ROUND(F76*F77/1000,0)</f>
        <v>0</v>
      </c>
      <c r="G79" s="23"/>
    </row>
    <row r="80" spans="1:7" ht="24.95" customHeight="1">
      <c r="A80" s="790"/>
      <c r="B80" s="23" t="s">
        <v>72</v>
      </c>
      <c r="C80" s="29">
        <f>ROUND(C76*C78/1000,0)</f>
        <v>1370</v>
      </c>
      <c r="D80" s="29">
        <f>ROUND(D76*D78/1000,0)</f>
        <v>2357</v>
      </c>
      <c r="E80" s="29">
        <f>ROUND(E76*E78/1000,0)</f>
        <v>2212</v>
      </c>
      <c r="F80" s="29">
        <f>ROUND(F76*F78/1000,0)</f>
        <v>2079</v>
      </c>
      <c r="G80" s="23"/>
    </row>
    <row r="81" ht="24.95" customHeight="1"/>
    <row r="82" ht="24.95" customHeight="1"/>
    <row r="83" ht="24.95" customHeight="1"/>
    <row r="84" ht="24.95" customHeight="1"/>
    <row r="85" ht="24.95" customHeight="1"/>
    <row r="86" ht="24.95" customHeight="1"/>
    <row r="87" ht="24.95" customHeight="1"/>
    <row r="88" ht="24.95" customHeight="1"/>
    <row r="89" ht="24.95" customHeight="1"/>
    <row r="90" ht="24.95" customHeight="1"/>
    <row r="91" ht="24.95" customHeight="1"/>
    <row r="92" ht="24.95" customHeight="1"/>
    <row r="93" ht="24.95" customHeight="1"/>
    <row r="94" ht="24.95" customHeight="1"/>
    <row r="95" ht="24.95" customHeight="1"/>
    <row r="96" ht="24.95" customHeight="1"/>
    <row r="97" ht="24.95" customHeight="1"/>
    <row r="98" ht="24.95" customHeight="1"/>
    <row r="99" ht="24.95" customHeight="1"/>
    <row r="100" ht="24.95" customHeight="1"/>
    <row r="101" ht="24.95" customHeight="1"/>
    <row r="102" ht="24.95" customHeight="1"/>
    <row r="103" ht="24.95" customHeight="1"/>
    <row r="104" ht="24.95" customHeight="1"/>
    <row r="105" ht="24.95" customHeight="1"/>
    <row r="106" ht="24.95" customHeight="1"/>
    <row r="107" ht="24.95" customHeight="1"/>
    <row r="108" ht="24.95" customHeight="1"/>
    <row r="109" ht="24.95" customHeight="1"/>
    <row r="110" ht="24.95" customHeight="1"/>
    <row r="111" ht="24.95" customHeight="1"/>
    <row r="112" ht="24.95" customHeight="1"/>
    <row r="113" ht="24.95" customHeight="1"/>
    <row r="114" ht="24.95" customHeight="1"/>
    <row r="115" ht="24.95" customHeight="1"/>
    <row r="116" ht="24.95" customHeight="1"/>
  </sheetData>
  <mergeCells count="42">
    <mergeCell ref="A19:A20"/>
    <mergeCell ref="A16:B16"/>
    <mergeCell ref="A13:B13"/>
    <mergeCell ref="A14:B14"/>
    <mergeCell ref="A15:B15"/>
    <mergeCell ref="A17:A18"/>
    <mergeCell ref="A53:B53"/>
    <mergeCell ref="A54:B54"/>
    <mergeCell ref="A55:B55"/>
    <mergeCell ref="A56:B56"/>
    <mergeCell ref="A33:B33"/>
    <mergeCell ref="A34:B34"/>
    <mergeCell ref="A35:B35"/>
    <mergeCell ref="A36:B36"/>
    <mergeCell ref="A37:A38"/>
    <mergeCell ref="A39:A40"/>
    <mergeCell ref="A47:A48"/>
    <mergeCell ref="A49:A50"/>
    <mergeCell ref="A43:B43"/>
    <mergeCell ref="A44:B44"/>
    <mergeCell ref="A45:B45"/>
    <mergeCell ref="A46:B46"/>
    <mergeCell ref="A27:A28"/>
    <mergeCell ref="A29:A30"/>
    <mergeCell ref="A23:B23"/>
    <mergeCell ref="A24:B24"/>
    <mergeCell ref="A25:B25"/>
    <mergeCell ref="A26:B26"/>
    <mergeCell ref="A77:A78"/>
    <mergeCell ref="A79:A80"/>
    <mergeCell ref="A57:A58"/>
    <mergeCell ref="A59:A60"/>
    <mergeCell ref="A67:A68"/>
    <mergeCell ref="A69:A70"/>
    <mergeCell ref="A73:B73"/>
    <mergeCell ref="A74:B74"/>
    <mergeCell ref="A75:B75"/>
    <mergeCell ref="A76:B76"/>
    <mergeCell ref="A63:B63"/>
    <mergeCell ref="A64:B64"/>
    <mergeCell ref="A65:B65"/>
    <mergeCell ref="A66:B66"/>
  </mergeCells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dimension ref="A1:P116"/>
  <sheetViews>
    <sheetView workbookViewId="0"/>
  </sheetViews>
  <sheetFormatPr defaultRowHeight="11.25"/>
  <cols>
    <col min="1" max="7" width="12" style="1" customWidth="1"/>
    <col min="8" max="9" width="8.88671875" style="1"/>
    <col min="10" max="10" width="12.21875" style="1" customWidth="1"/>
    <col min="11" max="16" width="10.33203125" style="1" customWidth="1"/>
    <col min="17" max="16384" width="8.88671875" style="1"/>
  </cols>
  <sheetData>
    <row r="1" spans="1:16" ht="24.95" customHeight="1">
      <c r="A1" s="33" t="s">
        <v>192</v>
      </c>
    </row>
    <row r="2" spans="1:16" ht="24.95" customHeight="1">
      <c r="A2" s="24" t="s">
        <v>57</v>
      </c>
      <c r="B2" s="24" t="s">
        <v>193</v>
      </c>
      <c r="C2" s="24" t="s">
        <v>194</v>
      </c>
      <c r="D2" s="24" t="s">
        <v>195</v>
      </c>
      <c r="E2" s="24" t="s">
        <v>196</v>
      </c>
      <c r="F2" s="24" t="s">
        <v>127</v>
      </c>
    </row>
    <row r="3" spans="1:16" ht="24.95" customHeight="1">
      <c r="A3" s="23" t="s">
        <v>154</v>
      </c>
      <c r="B3" s="29">
        <f>SUM(B4:B10)</f>
        <v>16983</v>
      </c>
      <c r="C3" s="29">
        <f>SUM(C4:C10)</f>
        <v>19642</v>
      </c>
      <c r="D3" s="29">
        <f>SUM(D4:D10)</f>
        <v>19642</v>
      </c>
      <c r="E3" s="29">
        <f>SUM(E4:E10)</f>
        <v>19642</v>
      </c>
      <c r="F3" s="23"/>
    </row>
    <row r="4" spans="1:16" ht="24.95" customHeight="1">
      <c r="A4" s="23" t="s">
        <v>64</v>
      </c>
      <c r="B4" s="29">
        <f>C20</f>
        <v>1944</v>
      </c>
      <c r="C4" s="29">
        <f>D20</f>
        <v>1944</v>
      </c>
      <c r="D4" s="29">
        <f>E20</f>
        <v>1944</v>
      </c>
      <c r="E4" s="29">
        <f>F20</f>
        <v>1944</v>
      </c>
      <c r="F4" s="23"/>
    </row>
    <row r="5" spans="1:16" ht="24.95" customHeight="1">
      <c r="A5" s="23" t="s">
        <v>65</v>
      </c>
      <c r="B5" s="29">
        <f>C30</f>
        <v>4128</v>
      </c>
      <c r="C5" s="29">
        <f>D30</f>
        <v>4128</v>
      </c>
      <c r="D5" s="29">
        <f>E30</f>
        <v>4128</v>
      </c>
      <c r="E5" s="29">
        <f>F30</f>
        <v>4128</v>
      </c>
      <c r="F5" s="23"/>
    </row>
    <row r="6" spans="1:16" ht="24.95" customHeight="1">
      <c r="A6" s="23" t="s">
        <v>66</v>
      </c>
      <c r="B6" s="29">
        <f>C40</f>
        <v>1264</v>
      </c>
      <c r="C6" s="29">
        <f>D40</f>
        <v>1264</v>
      </c>
      <c r="D6" s="29">
        <f>E40</f>
        <v>1264</v>
      </c>
      <c r="E6" s="29">
        <f>F40</f>
        <v>1264</v>
      </c>
      <c r="F6" s="23"/>
      <c r="J6" s="2" t="s">
        <v>197</v>
      </c>
      <c r="K6" s="2" t="s">
        <v>198</v>
      </c>
      <c r="L6" s="17" t="s">
        <v>193</v>
      </c>
      <c r="M6" s="17" t="s">
        <v>194</v>
      </c>
      <c r="N6" s="17" t="s">
        <v>195</v>
      </c>
      <c r="O6" s="17" t="s">
        <v>196</v>
      </c>
      <c r="P6" s="17" t="s">
        <v>127</v>
      </c>
    </row>
    <row r="7" spans="1:16" ht="24.95" customHeight="1">
      <c r="A7" s="23" t="s">
        <v>155</v>
      </c>
      <c r="B7" s="29">
        <f>C50</f>
        <v>1050</v>
      </c>
      <c r="C7" s="29">
        <f>D50</f>
        <v>1050</v>
      </c>
      <c r="D7" s="29">
        <f>E50</f>
        <v>1050</v>
      </c>
      <c r="E7" s="29">
        <f>F50</f>
        <v>1050</v>
      </c>
      <c r="F7" s="23"/>
      <c r="J7" s="2" t="s">
        <v>199</v>
      </c>
      <c r="K7" s="2">
        <v>410</v>
      </c>
      <c r="L7" s="2">
        <f>K7</f>
        <v>410</v>
      </c>
      <c r="M7" s="2">
        <f>L7</f>
        <v>410</v>
      </c>
      <c r="N7" s="2">
        <f>M7</f>
        <v>410</v>
      </c>
      <c r="O7" s="2">
        <f>N7</f>
        <v>410</v>
      </c>
      <c r="P7" s="2"/>
    </row>
    <row r="8" spans="1:16" ht="24.95" customHeight="1">
      <c r="A8" s="23" t="s">
        <v>67</v>
      </c>
      <c r="B8" s="29">
        <f>C60</f>
        <v>1426</v>
      </c>
      <c r="C8" s="29">
        <f>D60</f>
        <v>1426</v>
      </c>
      <c r="D8" s="29">
        <f>E60</f>
        <v>1426</v>
      </c>
      <c r="E8" s="29">
        <f>F60</f>
        <v>1426</v>
      </c>
      <c r="F8" s="23"/>
      <c r="J8" s="2" t="s">
        <v>200</v>
      </c>
      <c r="K8" s="38">
        <v>0.63300000000000001</v>
      </c>
      <c r="L8" s="38">
        <v>0.7</v>
      </c>
      <c r="M8" s="38">
        <v>0.75</v>
      </c>
      <c r="N8" s="38">
        <v>0.8</v>
      </c>
      <c r="O8" s="38">
        <v>0.85</v>
      </c>
      <c r="P8" s="2"/>
    </row>
    <row r="9" spans="1:16" ht="24.95" customHeight="1">
      <c r="A9" s="23" t="s">
        <v>68</v>
      </c>
      <c r="B9" s="29">
        <f>C70</f>
        <v>5713</v>
      </c>
      <c r="C9" s="29">
        <f>D70</f>
        <v>7141</v>
      </c>
      <c r="D9" s="29">
        <f>E70</f>
        <v>7141</v>
      </c>
      <c r="E9" s="29">
        <f>F70</f>
        <v>7141</v>
      </c>
      <c r="F9" s="23"/>
      <c r="J9" s="2" t="s">
        <v>201</v>
      </c>
      <c r="K9" s="2">
        <f>ROUND(K7/K8,0)</f>
        <v>648</v>
      </c>
      <c r="L9" s="2">
        <f>ROUND(L7/L8,0)</f>
        <v>586</v>
      </c>
      <c r="M9" s="2">
        <f>ROUND(M7/M8,0)</f>
        <v>547</v>
      </c>
      <c r="N9" s="2">
        <f>ROUND(N7/N8,0)</f>
        <v>513</v>
      </c>
      <c r="O9" s="2">
        <f>ROUND(O7/O8,0)</f>
        <v>482</v>
      </c>
      <c r="P9" s="2"/>
    </row>
    <row r="10" spans="1:16" ht="24.95" customHeight="1">
      <c r="A10" s="23" t="s">
        <v>69</v>
      </c>
      <c r="B10" s="29">
        <f>C80</f>
        <v>1458</v>
      </c>
      <c r="C10" s="29">
        <f>D80</f>
        <v>2689</v>
      </c>
      <c r="D10" s="29">
        <f>E80</f>
        <v>2689</v>
      </c>
      <c r="E10" s="29">
        <f>F80</f>
        <v>2689</v>
      </c>
      <c r="F10" s="23"/>
    </row>
    <row r="11" spans="1:16" ht="24.95" customHeight="1"/>
    <row r="12" spans="1:16" ht="24.95" customHeight="1">
      <c r="A12" s="33" t="s">
        <v>202</v>
      </c>
    </row>
    <row r="13" spans="1:16" ht="24.95" customHeight="1">
      <c r="A13" s="829" t="s">
        <v>57</v>
      </c>
      <c r="B13" s="829"/>
      <c r="C13" s="24" t="s">
        <v>193</v>
      </c>
      <c r="D13" s="24" t="s">
        <v>194</v>
      </c>
      <c r="E13" s="24" t="s">
        <v>195</v>
      </c>
      <c r="F13" s="24" t="s">
        <v>196</v>
      </c>
      <c r="G13" s="24" t="s">
        <v>127</v>
      </c>
    </row>
    <row r="14" spans="1:16" ht="24.95" customHeight="1">
      <c r="A14" s="787" t="s">
        <v>156</v>
      </c>
      <c r="B14" s="787"/>
      <c r="C14" s="29">
        <v>3577</v>
      </c>
      <c r="D14" s="29">
        <v>3577</v>
      </c>
      <c r="E14" s="29">
        <v>3577</v>
      </c>
      <c r="F14" s="29">
        <v>3577</v>
      </c>
      <c r="G14" s="23"/>
    </row>
    <row r="15" spans="1:16" ht="24.95" customHeight="1">
      <c r="A15" s="787" t="s">
        <v>157</v>
      </c>
      <c r="B15" s="787"/>
      <c r="C15" s="23">
        <v>83.9</v>
      </c>
      <c r="D15" s="23">
        <v>83.9</v>
      </c>
      <c r="E15" s="23">
        <v>83.9</v>
      </c>
      <c r="F15" s="23">
        <v>83.9</v>
      </c>
      <c r="G15" s="23"/>
    </row>
    <row r="16" spans="1:16" ht="24.95" customHeight="1">
      <c r="A16" s="787" t="s">
        <v>158</v>
      </c>
      <c r="B16" s="787"/>
      <c r="C16" s="29">
        <v>3000</v>
      </c>
      <c r="D16" s="29">
        <v>3000</v>
      </c>
      <c r="E16" s="29">
        <v>3000</v>
      </c>
      <c r="F16" s="29">
        <v>3000</v>
      </c>
      <c r="G16" s="23"/>
    </row>
    <row r="17" spans="1:7" ht="24.95" customHeight="1">
      <c r="A17" s="788" t="s">
        <v>203</v>
      </c>
      <c r="B17" s="23" t="s">
        <v>71</v>
      </c>
      <c r="C17" s="23">
        <v>0</v>
      </c>
      <c r="D17" s="23">
        <v>0</v>
      </c>
      <c r="E17" s="23">
        <v>0</v>
      </c>
      <c r="F17" s="23">
        <v>0</v>
      </c>
      <c r="G17" s="23"/>
    </row>
    <row r="18" spans="1:7" ht="24.95" customHeight="1">
      <c r="A18" s="790"/>
      <c r="B18" s="23" t="s">
        <v>72</v>
      </c>
      <c r="C18" s="23">
        <v>648</v>
      </c>
      <c r="D18" s="23">
        <v>648</v>
      </c>
      <c r="E18" s="23">
        <v>648</v>
      </c>
      <c r="F18" s="23">
        <v>648</v>
      </c>
      <c r="G18" s="23"/>
    </row>
    <row r="19" spans="1:7" ht="24.95" customHeight="1">
      <c r="A19" s="788" t="s">
        <v>204</v>
      </c>
      <c r="B19" s="23" t="s">
        <v>71</v>
      </c>
      <c r="C19" s="29">
        <f>ROUND(C16*C17/1000,0)</f>
        <v>0</v>
      </c>
      <c r="D19" s="29">
        <f>ROUND(D16*D17/1000,0)</f>
        <v>0</v>
      </c>
      <c r="E19" s="29">
        <f>ROUND(E16*E17/1000,0)</f>
        <v>0</v>
      </c>
      <c r="F19" s="29">
        <f>ROUND(F16*F17/1000,0)</f>
        <v>0</v>
      </c>
      <c r="G19" s="23"/>
    </row>
    <row r="20" spans="1:7" ht="24.95" customHeight="1">
      <c r="A20" s="790"/>
      <c r="B20" s="23" t="s">
        <v>72</v>
      </c>
      <c r="C20" s="29">
        <f>ROUND(C16*C18/1000,0)</f>
        <v>1944</v>
      </c>
      <c r="D20" s="29">
        <f>ROUND(D16*D18/1000,0)</f>
        <v>1944</v>
      </c>
      <c r="E20" s="29">
        <f>ROUND(E16*E18/1000,0)</f>
        <v>1944</v>
      </c>
      <c r="F20" s="29">
        <f>ROUND(F16*F18/1000,0)</f>
        <v>1944</v>
      </c>
      <c r="G20" s="23"/>
    </row>
    <row r="21" spans="1:7" ht="24.95" customHeight="1"/>
    <row r="22" spans="1:7" ht="24.95" customHeight="1">
      <c r="A22" s="33" t="s">
        <v>205</v>
      </c>
    </row>
    <row r="23" spans="1:7" ht="24.95" customHeight="1">
      <c r="A23" s="829" t="s">
        <v>57</v>
      </c>
      <c r="B23" s="829"/>
      <c r="C23" s="24" t="s">
        <v>193</v>
      </c>
      <c r="D23" s="24" t="s">
        <v>194</v>
      </c>
      <c r="E23" s="24" t="s">
        <v>195</v>
      </c>
      <c r="F23" s="24" t="s">
        <v>196</v>
      </c>
      <c r="G23" s="24" t="s">
        <v>127</v>
      </c>
    </row>
    <row r="24" spans="1:7" ht="24.95" customHeight="1">
      <c r="A24" s="787" t="s">
        <v>156</v>
      </c>
      <c r="B24" s="787"/>
      <c r="C24" s="34">
        <v>6370</v>
      </c>
      <c r="D24" s="34">
        <v>6370</v>
      </c>
      <c r="E24" s="34">
        <v>6370</v>
      </c>
      <c r="F24" s="34">
        <v>6370</v>
      </c>
      <c r="G24" s="23"/>
    </row>
    <row r="25" spans="1:7" ht="24.95" customHeight="1">
      <c r="A25" s="787" t="s">
        <v>157</v>
      </c>
      <c r="B25" s="787"/>
      <c r="C25" s="19">
        <v>100</v>
      </c>
      <c r="D25" s="19">
        <v>100</v>
      </c>
      <c r="E25" s="19">
        <v>100</v>
      </c>
      <c r="F25" s="19">
        <v>100</v>
      </c>
      <c r="G25" s="23"/>
    </row>
    <row r="26" spans="1:7" ht="24.95" customHeight="1">
      <c r="A26" s="787" t="s">
        <v>158</v>
      </c>
      <c r="B26" s="787"/>
      <c r="C26" s="34">
        <v>6370</v>
      </c>
      <c r="D26" s="34">
        <v>6370</v>
      </c>
      <c r="E26" s="34">
        <v>6370</v>
      </c>
      <c r="F26" s="34">
        <v>6370</v>
      </c>
      <c r="G26" s="23"/>
    </row>
    <row r="27" spans="1:7" ht="24.95" customHeight="1">
      <c r="A27" s="788" t="s">
        <v>203</v>
      </c>
      <c r="B27" s="23" t="s">
        <v>71</v>
      </c>
      <c r="C27" s="23">
        <v>0</v>
      </c>
      <c r="D27" s="23">
        <v>0</v>
      </c>
      <c r="E27" s="23">
        <v>0</v>
      </c>
      <c r="F27" s="23">
        <v>0</v>
      </c>
      <c r="G27" s="23"/>
    </row>
    <row r="28" spans="1:7" ht="24.95" customHeight="1">
      <c r="A28" s="790"/>
      <c r="B28" s="23" t="s">
        <v>72</v>
      </c>
      <c r="C28" s="23">
        <v>648</v>
      </c>
      <c r="D28" s="23">
        <v>648</v>
      </c>
      <c r="E28" s="23">
        <v>648</v>
      </c>
      <c r="F28" s="23">
        <v>648</v>
      </c>
      <c r="G28" s="23"/>
    </row>
    <row r="29" spans="1:7" ht="24.95" customHeight="1">
      <c r="A29" s="788" t="s">
        <v>204</v>
      </c>
      <c r="B29" s="23" t="s">
        <v>71</v>
      </c>
      <c r="C29" s="29">
        <f>ROUND(C26*C27/1000,0)</f>
        <v>0</v>
      </c>
      <c r="D29" s="29">
        <f>ROUND(D26*D27/1000,0)</f>
        <v>0</v>
      </c>
      <c r="E29" s="29">
        <f>ROUND(E26*E27/1000,0)</f>
        <v>0</v>
      </c>
      <c r="F29" s="29">
        <f>ROUND(F26*F27/1000,0)</f>
        <v>0</v>
      </c>
      <c r="G29" s="23"/>
    </row>
    <row r="30" spans="1:7" ht="24.95" customHeight="1">
      <c r="A30" s="790"/>
      <c r="B30" s="23" t="s">
        <v>72</v>
      </c>
      <c r="C30" s="29">
        <f>ROUND(C26*C28/1000,0)</f>
        <v>4128</v>
      </c>
      <c r="D30" s="29">
        <f>ROUND(D26*D28/1000,0)</f>
        <v>4128</v>
      </c>
      <c r="E30" s="29">
        <f>ROUND(E26*E28/1000,0)</f>
        <v>4128</v>
      </c>
      <c r="F30" s="29">
        <f>ROUND(F26*F28/1000,0)</f>
        <v>4128</v>
      </c>
      <c r="G30" s="23"/>
    </row>
    <row r="31" spans="1:7" ht="24.95" customHeight="1"/>
    <row r="32" spans="1:7" ht="24.95" customHeight="1">
      <c r="A32" s="33" t="s">
        <v>206</v>
      </c>
    </row>
    <row r="33" spans="1:7" ht="24.95" customHeight="1">
      <c r="A33" s="829" t="s">
        <v>57</v>
      </c>
      <c r="B33" s="829"/>
      <c r="C33" s="24" t="s">
        <v>193</v>
      </c>
      <c r="D33" s="24" t="s">
        <v>194</v>
      </c>
      <c r="E33" s="24" t="s">
        <v>195</v>
      </c>
      <c r="F33" s="24" t="s">
        <v>196</v>
      </c>
      <c r="G33" s="24" t="s">
        <v>127</v>
      </c>
    </row>
    <row r="34" spans="1:7" ht="24.95" customHeight="1">
      <c r="A34" s="787" t="s">
        <v>156</v>
      </c>
      <c r="B34" s="787"/>
      <c r="C34" s="34">
        <v>2710</v>
      </c>
      <c r="D34" s="34">
        <v>2710</v>
      </c>
      <c r="E34" s="34">
        <v>2710</v>
      </c>
      <c r="F34" s="34">
        <v>2710</v>
      </c>
      <c r="G34" s="23"/>
    </row>
    <row r="35" spans="1:7" ht="24.95" customHeight="1">
      <c r="A35" s="787" t="s">
        <v>157</v>
      </c>
      <c r="B35" s="787"/>
      <c r="C35" s="19">
        <v>72</v>
      </c>
      <c r="D35" s="19">
        <v>72</v>
      </c>
      <c r="E35" s="19">
        <v>72</v>
      </c>
      <c r="F35" s="19">
        <v>72</v>
      </c>
      <c r="G35" s="23"/>
    </row>
    <row r="36" spans="1:7" ht="24.95" customHeight="1">
      <c r="A36" s="787" t="s">
        <v>158</v>
      </c>
      <c r="B36" s="787"/>
      <c r="C36" s="34">
        <v>1950</v>
      </c>
      <c r="D36" s="34">
        <v>1950</v>
      </c>
      <c r="E36" s="34">
        <v>1950</v>
      </c>
      <c r="F36" s="34">
        <v>1950</v>
      </c>
      <c r="G36" s="23"/>
    </row>
    <row r="37" spans="1:7" ht="24.95" customHeight="1">
      <c r="A37" s="788" t="s">
        <v>203</v>
      </c>
      <c r="B37" s="23" t="s">
        <v>71</v>
      </c>
      <c r="C37" s="23">
        <v>0</v>
      </c>
      <c r="D37" s="23">
        <v>0</v>
      </c>
      <c r="E37" s="23">
        <v>0</v>
      </c>
      <c r="F37" s="23">
        <v>0</v>
      </c>
      <c r="G37" s="23"/>
    </row>
    <row r="38" spans="1:7" ht="24.95" customHeight="1">
      <c r="A38" s="790"/>
      <c r="B38" s="23" t="s">
        <v>72</v>
      </c>
      <c r="C38" s="23">
        <v>648</v>
      </c>
      <c r="D38" s="23">
        <v>648</v>
      </c>
      <c r="E38" s="23">
        <v>648</v>
      </c>
      <c r="F38" s="23">
        <v>648</v>
      </c>
      <c r="G38" s="23"/>
    </row>
    <row r="39" spans="1:7" ht="24.95" customHeight="1">
      <c r="A39" s="788" t="s">
        <v>204</v>
      </c>
      <c r="B39" s="23" t="s">
        <v>71</v>
      </c>
      <c r="C39" s="29">
        <f>ROUND(C36*C37/1000,0)</f>
        <v>0</v>
      </c>
      <c r="D39" s="29">
        <f>ROUND(D36*D37/1000,0)</f>
        <v>0</v>
      </c>
      <c r="E39" s="29">
        <f>ROUND(E36*E37/1000,0)</f>
        <v>0</v>
      </c>
      <c r="F39" s="29">
        <f>ROUND(F36*F37/1000,0)</f>
        <v>0</v>
      </c>
      <c r="G39" s="23"/>
    </row>
    <row r="40" spans="1:7" ht="24.95" customHeight="1">
      <c r="A40" s="790"/>
      <c r="B40" s="23" t="s">
        <v>72</v>
      </c>
      <c r="C40" s="29">
        <f>ROUND(C36*C38/1000,0)</f>
        <v>1264</v>
      </c>
      <c r="D40" s="29">
        <f>ROUND(D36*D38/1000,0)</f>
        <v>1264</v>
      </c>
      <c r="E40" s="29">
        <f>ROUND(E36*E38/1000,0)</f>
        <v>1264</v>
      </c>
      <c r="F40" s="29">
        <f>ROUND(F36*F38/1000,0)</f>
        <v>1264</v>
      </c>
      <c r="G40" s="23"/>
    </row>
    <row r="41" spans="1:7" ht="24.95" customHeight="1"/>
    <row r="42" spans="1:7" ht="24.95" customHeight="1">
      <c r="A42" s="33" t="s">
        <v>207</v>
      </c>
    </row>
    <row r="43" spans="1:7" ht="24.95" customHeight="1">
      <c r="A43" s="829" t="s">
        <v>57</v>
      </c>
      <c r="B43" s="829"/>
      <c r="C43" s="24" t="s">
        <v>193</v>
      </c>
      <c r="D43" s="24" t="s">
        <v>194</v>
      </c>
      <c r="E43" s="24" t="s">
        <v>195</v>
      </c>
      <c r="F43" s="24" t="s">
        <v>196</v>
      </c>
      <c r="G43" s="24" t="s">
        <v>127</v>
      </c>
    </row>
    <row r="44" spans="1:7" ht="24.95" customHeight="1">
      <c r="A44" s="787" t="s">
        <v>156</v>
      </c>
      <c r="B44" s="787"/>
      <c r="C44" s="34">
        <v>3300</v>
      </c>
      <c r="D44" s="34">
        <v>3300</v>
      </c>
      <c r="E44" s="34">
        <v>3300</v>
      </c>
      <c r="F44" s="34">
        <v>3300</v>
      </c>
      <c r="G44" s="23"/>
    </row>
    <row r="45" spans="1:7" ht="24.95" customHeight="1">
      <c r="A45" s="787" t="s">
        <v>157</v>
      </c>
      <c r="B45" s="787"/>
      <c r="C45" s="19">
        <v>49.1</v>
      </c>
      <c r="D45" s="19">
        <v>49.1</v>
      </c>
      <c r="E45" s="19">
        <v>49.1</v>
      </c>
      <c r="F45" s="19">
        <v>49.1</v>
      </c>
      <c r="G45" s="23"/>
    </row>
    <row r="46" spans="1:7" ht="24.95" customHeight="1">
      <c r="A46" s="787" t="s">
        <v>158</v>
      </c>
      <c r="B46" s="787"/>
      <c r="C46" s="34">
        <v>1620</v>
      </c>
      <c r="D46" s="34">
        <v>1620</v>
      </c>
      <c r="E46" s="34">
        <v>1620</v>
      </c>
      <c r="F46" s="34">
        <v>1620</v>
      </c>
      <c r="G46" s="23"/>
    </row>
    <row r="47" spans="1:7" ht="24.95" customHeight="1">
      <c r="A47" s="788" t="s">
        <v>203</v>
      </c>
      <c r="B47" s="23" t="s">
        <v>71</v>
      </c>
      <c r="C47" s="23">
        <v>0</v>
      </c>
      <c r="D47" s="23">
        <v>0</v>
      </c>
      <c r="E47" s="23">
        <v>0</v>
      </c>
      <c r="F47" s="23">
        <v>0</v>
      </c>
      <c r="G47" s="23"/>
    </row>
    <row r="48" spans="1:7" ht="24.95" customHeight="1">
      <c r="A48" s="790"/>
      <c r="B48" s="23" t="s">
        <v>72</v>
      </c>
      <c r="C48" s="23">
        <v>648</v>
      </c>
      <c r="D48" s="23">
        <v>648</v>
      </c>
      <c r="E48" s="23">
        <v>648</v>
      </c>
      <c r="F48" s="23">
        <v>648</v>
      </c>
      <c r="G48" s="23"/>
    </row>
    <row r="49" spans="1:7" ht="24.95" customHeight="1">
      <c r="A49" s="788" t="s">
        <v>204</v>
      </c>
      <c r="B49" s="23" t="s">
        <v>71</v>
      </c>
      <c r="C49" s="29">
        <f>ROUND(C46*C47/1000,0)</f>
        <v>0</v>
      </c>
      <c r="D49" s="29">
        <f>ROUND(D46*D47/1000,0)</f>
        <v>0</v>
      </c>
      <c r="E49" s="29">
        <f>ROUND(E46*E47/1000,0)</f>
        <v>0</v>
      </c>
      <c r="F49" s="29">
        <f>ROUND(F46*F47/1000,0)</f>
        <v>0</v>
      </c>
      <c r="G49" s="23"/>
    </row>
    <row r="50" spans="1:7" ht="24.95" customHeight="1">
      <c r="A50" s="790"/>
      <c r="B50" s="23" t="s">
        <v>72</v>
      </c>
      <c r="C50" s="29">
        <f>ROUND(C46*C48/1000,0)</f>
        <v>1050</v>
      </c>
      <c r="D50" s="29">
        <f>ROUND(D46*D48/1000,0)</f>
        <v>1050</v>
      </c>
      <c r="E50" s="29">
        <f>ROUND(E46*E48/1000,0)</f>
        <v>1050</v>
      </c>
      <c r="F50" s="29">
        <f>ROUND(F46*F48/1000,0)</f>
        <v>1050</v>
      </c>
      <c r="G50" s="23"/>
    </row>
    <row r="51" spans="1:7" ht="24.95" customHeight="1"/>
    <row r="52" spans="1:7" ht="24.95" customHeight="1">
      <c r="A52" s="33" t="s">
        <v>208</v>
      </c>
    </row>
    <row r="53" spans="1:7" ht="24.95" customHeight="1">
      <c r="A53" s="829" t="s">
        <v>57</v>
      </c>
      <c r="B53" s="829"/>
      <c r="C53" s="24" t="s">
        <v>193</v>
      </c>
      <c r="D53" s="24" t="s">
        <v>194</v>
      </c>
      <c r="E53" s="24" t="s">
        <v>195</v>
      </c>
      <c r="F53" s="24" t="s">
        <v>196</v>
      </c>
      <c r="G53" s="24" t="s">
        <v>127</v>
      </c>
    </row>
    <row r="54" spans="1:7" ht="24.95" customHeight="1">
      <c r="A54" s="787" t="s">
        <v>156</v>
      </c>
      <c r="B54" s="787"/>
      <c r="C54" s="34">
        <v>2710</v>
      </c>
      <c r="D54" s="34">
        <v>2710</v>
      </c>
      <c r="E54" s="34">
        <v>2710</v>
      </c>
      <c r="F54" s="34">
        <v>2710</v>
      </c>
      <c r="G54" s="23"/>
    </row>
    <row r="55" spans="1:7" ht="24.95" customHeight="1">
      <c r="A55" s="787" t="s">
        <v>157</v>
      </c>
      <c r="B55" s="787"/>
      <c r="C55" s="19">
        <v>81.2</v>
      </c>
      <c r="D55" s="19">
        <v>81.2</v>
      </c>
      <c r="E55" s="19">
        <v>81.2</v>
      </c>
      <c r="F55" s="19">
        <v>81.2</v>
      </c>
      <c r="G55" s="23"/>
    </row>
    <row r="56" spans="1:7" ht="24.95" customHeight="1">
      <c r="A56" s="787" t="s">
        <v>158</v>
      </c>
      <c r="B56" s="787"/>
      <c r="C56" s="34">
        <v>2200</v>
      </c>
      <c r="D56" s="34">
        <v>2200</v>
      </c>
      <c r="E56" s="34">
        <v>2200</v>
      </c>
      <c r="F56" s="34">
        <v>2200</v>
      </c>
      <c r="G56" s="23"/>
    </row>
    <row r="57" spans="1:7" ht="24.95" customHeight="1">
      <c r="A57" s="788" t="s">
        <v>203</v>
      </c>
      <c r="B57" s="23" t="s">
        <v>71</v>
      </c>
      <c r="C57" s="23">
        <v>0</v>
      </c>
      <c r="D57" s="23">
        <v>0</v>
      </c>
      <c r="E57" s="23">
        <v>0</v>
      </c>
      <c r="F57" s="23">
        <v>0</v>
      </c>
      <c r="G57" s="23"/>
    </row>
    <row r="58" spans="1:7" ht="24.95" customHeight="1">
      <c r="A58" s="790"/>
      <c r="B58" s="23" t="s">
        <v>72</v>
      </c>
      <c r="C58" s="23">
        <v>648</v>
      </c>
      <c r="D58" s="23">
        <v>648</v>
      </c>
      <c r="E58" s="23">
        <v>648</v>
      </c>
      <c r="F58" s="23">
        <v>648</v>
      </c>
      <c r="G58" s="23"/>
    </row>
    <row r="59" spans="1:7" ht="24.95" customHeight="1">
      <c r="A59" s="788" t="s">
        <v>204</v>
      </c>
      <c r="B59" s="23" t="s">
        <v>71</v>
      </c>
      <c r="C59" s="29">
        <f>ROUND(C56*C57/1000,0)</f>
        <v>0</v>
      </c>
      <c r="D59" s="29">
        <f>ROUND(D56*D57/1000,0)</f>
        <v>0</v>
      </c>
      <c r="E59" s="29">
        <f>ROUND(E56*E57/1000,0)</f>
        <v>0</v>
      </c>
      <c r="F59" s="29">
        <f>ROUND(F56*F57/1000,0)</f>
        <v>0</v>
      </c>
      <c r="G59" s="23"/>
    </row>
    <row r="60" spans="1:7" ht="24.95" customHeight="1">
      <c r="A60" s="790"/>
      <c r="B60" s="23" t="s">
        <v>72</v>
      </c>
      <c r="C60" s="29">
        <f>ROUND(C56*C58/1000,0)</f>
        <v>1426</v>
      </c>
      <c r="D60" s="29">
        <f>ROUND(D56*D58/1000,0)</f>
        <v>1426</v>
      </c>
      <c r="E60" s="29">
        <f>ROUND(E56*E58/1000,0)</f>
        <v>1426</v>
      </c>
      <c r="F60" s="29">
        <f>ROUND(F56*F58/1000,0)</f>
        <v>1426</v>
      </c>
      <c r="G60" s="23"/>
    </row>
    <row r="61" spans="1:7" ht="24.95" customHeight="1"/>
    <row r="62" spans="1:7" ht="24.95" customHeight="1">
      <c r="A62" s="33" t="s">
        <v>209</v>
      </c>
    </row>
    <row r="63" spans="1:7" ht="24.95" customHeight="1">
      <c r="A63" s="829" t="s">
        <v>57</v>
      </c>
      <c r="B63" s="829"/>
      <c r="C63" s="24" t="s">
        <v>193</v>
      </c>
      <c r="D63" s="24" t="s">
        <v>194</v>
      </c>
      <c r="E63" s="24" t="s">
        <v>195</v>
      </c>
      <c r="F63" s="24" t="s">
        <v>196</v>
      </c>
      <c r="G63" s="24" t="s">
        <v>127</v>
      </c>
    </row>
    <row r="64" spans="1:7" ht="24.95" customHeight="1">
      <c r="A64" s="787" t="s">
        <v>156</v>
      </c>
      <c r="B64" s="787"/>
      <c r="C64" s="34">
        <v>11020</v>
      </c>
      <c r="D64" s="34">
        <v>11020</v>
      </c>
      <c r="E64" s="34">
        <v>11020</v>
      </c>
      <c r="F64" s="34">
        <v>11020</v>
      </c>
      <c r="G64" s="23"/>
    </row>
    <row r="65" spans="1:7" ht="24.95" customHeight="1">
      <c r="A65" s="787" t="s">
        <v>157</v>
      </c>
      <c r="B65" s="787"/>
      <c r="C65" s="19">
        <v>80</v>
      </c>
      <c r="D65" s="19">
        <v>100</v>
      </c>
      <c r="E65" s="19">
        <v>100</v>
      </c>
      <c r="F65" s="19">
        <v>100</v>
      </c>
      <c r="G65" s="23"/>
    </row>
    <row r="66" spans="1:7" ht="24.95" customHeight="1">
      <c r="A66" s="787" t="s">
        <v>158</v>
      </c>
      <c r="B66" s="787"/>
      <c r="C66" s="34">
        <v>8816</v>
      </c>
      <c r="D66" s="34">
        <v>11020</v>
      </c>
      <c r="E66" s="34">
        <v>11020</v>
      </c>
      <c r="F66" s="34">
        <v>11020</v>
      </c>
      <c r="G66" s="23"/>
    </row>
    <row r="67" spans="1:7" ht="24.95" customHeight="1">
      <c r="A67" s="788" t="s">
        <v>203</v>
      </c>
      <c r="B67" s="23" t="s">
        <v>71</v>
      </c>
      <c r="C67" s="23">
        <v>0</v>
      </c>
      <c r="D67" s="23">
        <v>0</v>
      </c>
      <c r="E67" s="23">
        <v>0</v>
      </c>
      <c r="F67" s="23">
        <v>0</v>
      </c>
      <c r="G67" s="23"/>
    </row>
    <row r="68" spans="1:7" ht="24.95" customHeight="1">
      <c r="A68" s="790"/>
      <c r="B68" s="23" t="s">
        <v>72</v>
      </c>
      <c r="C68" s="23">
        <v>648</v>
      </c>
      <c r="D68" s="23">
        <v>648</v>
      </c>
      <c r="E68" s="23">
        <v>648</v>
      </c>
      <c r="F68" s="23">
        <v>648</v>
      </c>
      <c r="G68" s="23"/>
    </row>
    <row r="69" spans="1:7" ht="24.95" customHeight="1">
      <c r="A69" s="788" t="s">
        <v>204</v>
      </c>
      <c r="B69" s="23" t="s">
        <v>71</v>
      </c>
      <c r="C69" s="29">
        <f>ROUND(C66*C67/1000,0)</f>
        <v>0</v>
      </c>
      <c r="D69" s="29">
        <f>ROUND(D66*D67/1000,0)</f>
        <v>0</v>
      </c>
      <c r="E69" s="29">
        <f>ROUND(E66*E67/1000,0)</f>
        <v>0</v>
      </c>
      <c r="F69" s="29">
        <f>ROUND(F66*F67/1000,0)</f>
        <v>0</v>
      </c>
      <c r="G69" s="23"/>
    </row>
    <row r="70" spans="1:7" ht="24.95" customHeight="1">
      <c r="A70" s="790"/>
      <c r="B70" s="23" t="s">
        <v>72</v>
      </c>
      <c r="C70" s="29">
        <f>ROUND(C66*C68/1000,0)</f>
        <v>5713</v>
      </c>
      <c r="D70" s="29">
        <f>ROUND(D66*D68/1000,0)</f>
        <v>7141</v>
      </c>
      <c r="E70" s="29">
        <f>ROUND(E66*E68/1000,0)</f>
        <v>7141</v>
      </c>
      <c r="F70" s="29">
        <f>ROUND(F66*F68/1000,0)</f>
        <v>7141</v>
      </c>
      <c r="G70" s="23"/>
    </row>
    <row r="71" spans="1:7" ht="24.95" customHeight="1"/>
    <row r="72" spans="1:7" ht="24.95" customHeight="1">
      <c r="A72" s="33" t="s">
        <v>210</v>
      </c>
    </row>
    <row r="73" spans="1:7" ht="24.95" customHeight="1">
      <c r="A73" s="829" t="s">
        <v>57</v>
      </c>
      <c r="B73" s="829"/>
      <c r="C73" s="24" t="s">
        <v>193</v>
      </c>
      <c r="D73" s="24" t="s">
        <v>194</v>
      </c>
      <c r="E73" s="24" t="s">
        <v>195</v>
      </c>
      <c r="F73" s="24" t="s">
        <v>196</v>
      </c>
      <c r="G73" s="24" t="s">
        <v>127</v>
      </c>
    </row>
    <row r="74" spans="1:7" ht="24.95" customHeight="1">
      <c r="A74" s="787" t="s">
        <v>156</v>
      </c>
      <c r="B74" s="787"/>
      <c r="C74" s="34">
        <v>4150</v>
      </c>
      <c r="D74" s="34">
        <v>4150</v>
      </c>
      <c r="E74" s="34">
        <v>4150</v>
      </c>
      <c r="F74" s="34">
        <v>4150</v>
      </c>
      <c r="G74" s="23"/>
    </row>
    <row r="75" spans="1:7" ht="24.95" customHeight="1">
      <c r="A75" s="787" t="s">
        <v>157</v>
      </c>
      <c r="B75" s="787"/>
      <c r="C75" s="19">
        <v>54.2</v>
      </c>
      <c r="D75" s="19">
        <v>100</v>
      </c>
      <c r="E75" s="19">
        <v>100</v>
      </c>
      <c r="F75" s="19">
        <v>100</v>
      </c>
      <c r="G75" s="23"/>
    </row>
    <row r="76" spans="1:7" ht="24.95" customHeight="1">
      <c r="A76" s="787" t="s">
        <v>158</v>
      </c>
      <c r="B76" s="787"/>
      <c r="C76" s="34">
        <v>2250</v>
      </c>
      <c r="D76" s="34">
        <v>4150</v>
      </c>
      <c r="E76" s="34">
        <v>4150</v>
      </c>
      <c r="F76" s="34">
        <v>4150</v>
      </c>
      <c r="G76" s="23"/>
    </row>
    <row r="77" spans="1:7" ht="24.95" customHeight="1">
      <c r="A77" s="788" t="s">
        <v>203</v>
      </c>
      <c r="B77" s="23" t="s">
        <v>71</v>
      </c>
      <c r="C77" s="23">
        <v>0</v>
      </c>
      <c r="D77" s="23">
        <v>0</v>
      </c>
      <c r="E77" s="23">
        <v>0</v>
      </c>
      <c r="F77" s="23">
        <v>0</v>
      </c>
      <c r="G77" s="23"/>
    </row>
    <row r="78" spans="1:7" ht="24.95" customHeight="1">
      <c r="A78" s="790"/>
      <c r="B78" s="23" t="s">
        <v>72</v>
      </c>
      <c r="C78" s="23">
        <v>648</v>
      </c>
      <c r="D78" s="23">
        <v>648</v>
      </c>
      <c r="E78" s="23">
        <v>648</v>
      </c>
      <c r="F78" s="23">
        <v>648</v>
      </c>
      <c r="G78" s="23"/>
    </row>
    <row r="79" spans="1:7" ht="24.95" customHeight="1">
      <c r="A79" s="788" t="s">
        <v>204</v>
      </c>
      <c r="B79" s="23" t="s">
        <v>71</v>
      </c>
      <c r="C79" s="29">
        <f>ROUND(C76*C77/1000,0)</f>
        <v>0</v>
      </c>
      <c r="D79" s="29">
        <f>ROUND(D76*D77/1000,0)</f>
        <v>0</v>
      </c>
      <c r="E79" s="29">
        <f>ROUND(E76*E77/1000,0)</f>
        <v>0</v>
      </c>
      <c r="F79" s="29">
        <f>ROUND(F76*F77/1000,0)</f>
        <v>0</v>
      </c>
      <c r="G79" s="23"/>
    </row>
    <row r="80" spans="1:7" ht="24.95" customHeight="1">
      <c r="A80" s="790"/>
      <c r="B80" s="23" t="s">
        <v>72</v>
      </c>
      <c r="C80" s="29">
        <f>ROUND(C76*C78/1000,0)</f>
        <v>1458</v>
      </c>
      <c r="D80" s="29">
        <f>ROUND(D76*D78/1000,0)</f>
        <v>2689</v>
      </c>
      <c r="E80" s="29">
        <f>ROUND(E76*E78/1000,0)</f>
        <v>2689</v>
      </c>
      <c r="F80" s="29">
        <f>ROUND(F76*F78/1000,0)</f>
        <v>2689</v>
      </c>
      <c r="G80" s="23"/>
    </row>
    <row r="81" ht="24.95" customHeight="1"/>
    <row r="82" ht="24.95" customHeight="1"/>
    <row r="83" ht="24.95" customHeight="1"/>
    <row r="84" ht="24.95" customHeight="1"/>
    <row r="85" ht="24.95" customHeight="1"/>
    <row r="86" ht="24.95" customHeight="1"/>
    <row r="87" ht="24.95" customHeight="1"/>
    <row r="88" ht="24.95" customHeight="1"/>
    <row r="89" ht="24.95" customHeight="1"/>
    <row r="90" ht="24.95" customHeight="1"/>
    <row r="91" ht="24.95" customHeight="1"/>
    <row r="92" ht="24.95" customHeight="1"/>
    <row r="93" ht="24.95" customHeight="1"/>
    <row r="94" ht="24.95" customHeight="1"/>
    <row r="95" ht="24.95" customHeight="1"/>
    <row r="96" ht="24.95" customHeight="1"/>
    <row r="97" ht="24.95" customHeight="1"/>
    <row r="98" ht="24.95" customHeight="1"/>
    <row r="99" ht="24.95" customHeight="1"/>
    <row r="100" ht="24.95" customHeight="1"/>
    <row r="101" ht="24.95" customHeight="1"/>
    <row r="102" ht="24.95" customHeight="1"/>
    <row r="103" ht="24.95" customHeight="1"/>
    <row r="104" ht="24.95" customHeight="1"/>
    <row r="105" ht="24.95" customHeight="1"/>
    <row r="106" ht="24.95" customHeight="1"/>
    <row r="107" ht="24.95" customHeight="1"/>
    <row r="108" ht="24.95" customHeight="1"/>
    <row r="109" ht="24.95" customHeight="1"/>
    <row r="110" ht="24.95" customHeight="1"/>
    <row r="111" ht="24.95" customHeight="1"/>
    <row r="112" ht="24.95" customHeight="1"/>
    <row r="113" ht="24.95" customHeight="1"/>
    <row r="114" ht="24.95" customHeight="1"/>
    <row r="115" ht="24.95" customHeight="1"/>
    <row r="116" ht="24.95" customHeight="1"/>
  </sheetData>
  <mergeCells count="42">
    <mergeCell ref="A55:B55"/>
    <mergeCell ref="A56:B56"/>
    <mergeCell ref="A54:B54"/>
    <mergeCell ref="A43:B43"/>
    <mergeCell ref="A44:B44"/>
    <mergeCell ref="A45:B45"/>
    <mergeCell ref="A46:B46"/>
    <mergeCell ref="A47:A48"/>
    <mergeCell ref="A49:A50"/>
    <mergeCell ref="A53:B53"/>
    <mergeCell ref="A77:A78"/>
    <mergeCell ref="A79:A80"/>
    <mergeCell ref="A57:A58"/>
    <mergeCell ref="A59:A60"/>
    <mergeCell ref="A67:A68"/>
    <mergeCell ref="A69:A70"/>
    <mergeCell ref="A73:B73"/>
    <mergeCell ref="A74:B74"/>
    <mergeCell ref="A75:B75"/>
    <mergeCell ref="A76:B76"/>
    <mergeCell ref="A66:B66"/>
    <mergeCell ref="A63:B63"/>
    <mergeCell ref="A64:B64"/>
    <mergeCell ref="A65:B65"/>
    <mergeCell ref="A36:B36"/>
    <mergeCell ref="A37:A38"/>
    <mergeCell ref="A39:A40"/>
    <mergeCell ref="A16:B16"/>
    <mergeCell ref="A34:B34"/>
    <mergeCell ref="A25:B25"/>
    <mergeCell ref="A26:B26"/>
    <mergeCell ref="A17:A18"/>
    <mergeCell ref="A19:A20"/>
    <mergeCell ref="A27:A28"/>
    <mergeCell ref="A29:A30"/>
    <mergeCell ref="A23:B23"/>
    <mergeCell ref="A24:B24"/>
    <mergeCell ref="A13:B13"/>
    <mergeCell ref="A14:B14"/>
    <mergeCell ref="A15:B15"/>
    <mergeCell ref="A33:B33"/>
    <mergeCell ref="A35:B35"/>
  </mergeCells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>
  <dimension ref="A1:T100"/>
  <sheetViews>
    <sheetView workbookViewId="0"/>
  </sheetViews>
  <sheetFormatPr defaultRowHeight="11.25"/>
  <cols>
    <col min="1" max="2" width="8.88671875" style="15"/>
    <col min="3" max="3" width="11" style="15" customWidth="1"/>
    <col min="4" max="19" width="9.109375" style="15" customWidth="1"/>
    <col min="20" max="16384" width="8.88671875" style="15"/>
  </cols>
  <sheetData>
    <row r="1" spans="1:15" ht="24.95" customHeight="1"/>
    <row r="2" spans="1:15" ht="24.95" customHeight="1">
      <c r="A2" s="782" t="s">
        <v>83</v>
      </c>
      <c r="B2" s="782"/>
      <c r="C2" s="782"/>
      <c r="D2" s="783" t="s">
        <v>58</v>
      </c>
      <c r="E2" s="783"/>
      <c r="F2" s="783"/>
      <c r="G2" s="783"/>
      <c r="H2" s="782" t="s">
        <v>84</v>
      </c>
    </row>
    <row r="3" spans="1:15" ht="24.95" customHeight="1">
      <c r="A3" s="782"/>
      <c r="B3" s="782"/>
      <c r="C3" s="782"/>
      <c r="D3" s="17" t="s">
        <v>119</v>
      </c>
      <c r="E3" s="17" t="s">
        <v>120</v>
      </c>
      <c r="F3" s="17" t="s">
        <v>121</v>
      </c>
      <c r="G3" s="17" t="s">
        <v>122</v>
      </c>
      <c r="H3" s="782"/>
    </row>
    <row r="4" spans="1:15" ht="24.95" customHeight="1">
      <c r="A4" s="782" t="s">
        <v>85</v>
      </c>
      <c r="B4" s="781" t="s">
        <v>86</v>
      </c>
      <c r="C4" s="16" t="s">
        <v>59</v>
      </c>
      <c r="D4" s="18">
        <f>SUM(D5:D6)</f>
        <v>35803</v>
      </c>
      <c r="E4" s="18">
        <f>SUM(E5:E6)</f>
        <v>34576</v>
      </c>
      <c r="F4" s="18">
        <f>SUM(F5:F6)</f>
        <v>33276</v>
      </c>
      <c r="G4" s="18">
        <f>SUM(G5:G6)</f>
        <v>31776</v>
      </c>
      <c r="H4" s="10"/>
    </row>
    <row r="5" spans="1:15" ht="24.95" customHeight="1">
      <c r="A5" s="782"/>
      <c r="B5" s="782"/>
      <c r="C5" s="16" t="s">
        <v>60</v>
      </c>
      <c r="D5" s="18">
        <v>30300</v>
      </c>
      <c r="E5" s="18">
        <v>28900</v>
      </c>
      <c r="F5" s="18">
        <v>27600</v>
      </c>
      <c r="G5" s="18">
        <v>26100</v>
      </c>
      <c r="H5" s="10"/>
    </row>
    <row r="6" spans="1:15" ht="24.95" customHeight="1">
      <c r="A6" s="782"/>
      <c r="B6" s="782"/>
      <c r="C6" s="16" t="s">
        <v>61</v>
      </c>
      <c r="D6" s="18">
        <v>5503</v>
      </c>
      <c r="E6" s="18">
        <v>5676</v>
      </c>
      <c r="F6" s="18">
        <v>5676</v>
      </c>
      <c r="G6" s="18">
        <v>5676</v>
      </c>
      <c r="H6" s="10"/>
      <c r="J6" s="791" t="s">
        <v>55</v>
      </c>
      <c r="K6" s="791"/>
      <c r="L6" s="24" t="s">
        <v>114</v>
      </c>
      <c r="M6" s="24" t="s">
        <v>115</v>
      </c>
      <c r="N6" s="24" t="s">
        <v>116</v>
      </c>
      <c r="O6" s="24" t="s">
        <v>117</v>
      </c>
    </row>
    <row r="7" spans="1:15" ht="24.95" customHeight="1">
      <c r="A7" s="782"/>
      <c r="B7" s="782"/>
      <c r="C7" s="16" t="s">
        <v>62</v>
      </c>
      <c r="D7" s="18" t="s">
        <v>178</v>
      </c>
      <c r="E7" s="18" t="s">
        <v>178</v>
      </c>
      <c r="F7" s="18" t="s">
        <v>178</v>
      </c>
      <c r="G7" s="18" t="s">
        <v>178</v>
      </c>
      <c r="H7" s="10"/>
      <c r="J7" s="787" t="s">
        <v>92</v>
      </c>
      <c r="K7" s="20" t="s">
        <v>89</v>
      </c>
      <c r="L7" s="19">
        <v>279</v>
      </c>
      <c r="M7" s="19">
        <v>289</v>
      </c>
      <c r="N7" s="19">
        <v>296</v>
      </c>
      <c r="O7" s="19">
        <v>303</v>
      </c>
    </row>
    <row r="8" spans="1:15" ht="24.95" customHeight="1">
      <c r="A8" s="782"/>
      <c r="B8" s="782" t="s">
        <v>87</v>
      </c>
      <c r="C8" s="16" t="s">
        <v>60</v>
      </c>
      <c r="D8" s="39">
        <v>0.8</v>
      </c>
      <c r="E8" s="39">
        <v>0.85</v>
      </c>
      <c r="F8" s="39">
        <v>0.9</v>
      </c>
      <c r="G8" s="39">
        <v>0.95</v>
      </c>
      <c r="H8" s="10"/>
      <c r="J8" s="791"/>
      <c r="K8" s="20" t="s">
        <v>90</v>
      </c>
      <c r="L8" s="19">
        <v>235</v>
      </c>
      <c r="M8" s="19">
        <v>250</v>
      </c>
      <c r="N8" s="19">
        <v>265</v>
      </c>
      <c r="O8" s="19">
        <v>278</v>
      </c>
    </row>
    <row r="9" spans="1:15" ht="24.95" customHeight="1">
      <c r="A9" s="782"/>
      <c r="B9" s="782"/>
      <c r="C9" s="16" t="s">
        <v>61</v>
      </c>
      <c r="D9" s="39">
        <v>1</v>
      </c>
      <c r="E9" s="39">
        <v>1</v>
      </c>
      <c r="F9" s="39">
        <v>1</v>
      </c>
      <c r="G9" s="39">
        <v>1</v>
      </c>
      <c r="H9" s="10"/>
      <c r="J9" s="791" t="s">
        <v>91</v>
      </c>
      <c r="K9" s="791"/>
      <c r="L9" s="21">
        <v>0.7</v>
      </c>
      <c r="M9" s="22">
        <v>0.75</v>
      </c>
      <c r="N9" s="21">
        <v>0.8</v>
      </c>
      <c r="O9" s="21">
        <v>0.85</v>
      </c>
    </row>
    <row r="10" spans="1:15" ht="24.95" customHeight="1">
      <c r="A10" s="782"/>
      <c r="B10" s="782"/>
      <c r="C10" s="16" t="s">
        <v>62</v>
      </c>
      <c r="D10" s="18" t="s">
        <v>178</v>
      </c>
      <c r="E10" s="18" t="s">
        <v>178</v>
      </c>
      <c r="F10" s="18" t="s">
        <v>178</v>
      </c>
      <c r="G10" s="18" t="s">
        <v>178</v>
      </c>
      <c r="H10" s="10"/>
      <c r="J10" s="787" t="s">
        <v>93</v>
      </c>
      <c r="K10" s="20" t="s">
        <v>89</v>
      </c>
      <c r="L10" s="19">
        <f>ROUND(L7/L9,0)</f>
        <v>399</v>
      </c>
      <c r="M10" s="19">
        <f>ROUND(M7/M9,0)</f>
        <v>385</v>
      </c>
      <c r="N10" s="19">
        <f>ROUND(N7/N9,0)</f>
        <v>370</v>
      </c>
      <c r="O10" s="19">
        <f>ROUND(O7/O9,0)</f>
        <v>356</v>
      </c>
    </row>
    <row r="11" spans="1:15" ht="24.95" customHeight="1">
      <c r="A11" s="782"/>
      <c r="B11" s="782" t="s">
        <v>88</v>
      </c>
      <c r="C11" s="16" t="s">
        <v>59</v>
      </c>
      <c r="D11" s="18">
        <f>SUM(D12:D13)</f>
        <v>29743</v>
      </c>
      <c r="E11" s="18">
        <f>SUM(E12:E13)</f>
        <v>30241</v>
      </c>
      <c r="F11" s="18">
        <f>SUM(F12:F13)</f>
        <v>30516</v>
      </c>
      <c r="G11" s="18">
        <f>SUM(G12:G13)</f>
        <v>30471</v>
      </c>
      <c r="H11" s="10"/>
      <c r="J11" s="791"/>
      <c r="K11" s="20" t="s">
        <v>90</v>
      </c>
      <c r="L11" s="19">
        <f>ROUND(L8/L9,0)</f>
        <v>336</v>
      </c>
      <c r="M11" s="19">
        <f>ROUND(M8/M9,0)</f>
        <v>333</v>
      </c>
      <c r="N11" s="19">
        <f>ROUND(N8/N9,0)</f>
        <v>331</v>
      </c>
      <c r="O11" s="19">
        <f>ROUND(O8/O9,0)</f>
        <v>327</v>
      </c>
    </row>
    <row r="12" spans="1:15" ht="24.95" customHeight="1">
      <c r="A12" s="782"/>
      <c r="B12" s="782"/>
      <c r="C12" s="16" t="s">
        <v>60</v>
      </c>
      <c r="D12" s="18">
        <f t="shared" ref="D12:G13" si="0">ROUND(D5*D8,0)</f>
        <v>24240</v>
      </c>
      <c r="E12" s="18">
        <f t="shared" si="0"/>
        <v>24565</v>
      </c>
      <c r="F12" s="18">
        <f t="shared" si="0"/>
        <v>24840</v>
      </c>
      <c r="G12" s="18">
        <f t="shared" si="0"/>
        <v>24795</v>
      </c>
      <c r="H12" s="10"/>
      <c r="J12" s="791" t="s">
        <v>94</v>
      </c>
      <c r="K12" s="20" t="s">
        <v>89</v>
      </c>
      <c r="L12" s="20">
        <v>1.45</v>
      </c>
      <c r="M12" s="20">
        <v>1.45</v>
      </c>
      <c r="N12" s="20">
        <v>1.45</v>
      </c>
      <c r="O12" s="20">
        <v>1.45</v>
      </c>
    </row>
    <row r="13" spans="1:15" ht="24.95" customHeight="1">
      <c r="A13" s="782"/>
      <c r="B13" s="782"/>
      <c r="C13" s="16" t="s">
        <v>61</v>
      </c>
      <c r="D13" s="18">
        <f t="shared" si="0"/>
        <v>5503</v>
      </c>
      <c r="E13" s="18">
        <f t="shared" si="0"/>
        <v>5676</v>
      </c>
      <c r="F13" s="18">
        <f t="shared" si="0"/>
        <v>5676</v>
      </c>
      <c r="G13" s="18">
        <f t="shared" si="0"/>
        <v>5676</v>
      </c>
      <c r="H13" s="10"/>
      <c r="J13" s="791"/>
      <c r="K13" s="20" t="s">
        <v>90</v>
      </c>
      <c r="L13" s="20">
        <v>1.51</v>
      </c>
      <c r="M13" s="20">
        <v>1.51</v>
      </c>
      <c r="N13" s="20">
        <v>1.51</v>
      </c>
      <c r="O13" s="20">
        <v>1.51</v>
      </c>
    </row>
    <row r="14" spans="1:15" ht="24.95" customHeight="1">
      <c r="A14" s="782"/>
      <c r="B14" s="782"/>
      <c r="C14" s="16" t="s">
        <v>62</v>
      </c>
      <c r="D14" s="18" t="s">
        <v>178</v>
      </c>
      <c r="E14" s="18" t="s">
        <v>178</v>
      </c>
      <c r="F14" s="18" t="s">
        <v>178</v>
      </c>
      <c r="G14" s="18" t="s">
        <v>178</v>
      </c>
      <c r="H14" s="10"/>
      <c r="J14" s="787" t="s">
        <v>95</v>
      </c>
      <c r="K14" s="20" t="s">
        <v>89</v>
      </c>
      <c r="L14" s="20">
        <f t="shared" ref="L14:O15" si="1">ROUND(L10*L12,0)</f>
        <v>579</v>
      </c>
      <c r="M14" s="20">
        <f t="shared" si="1"/>
        <v>558</v>
      </c>
      <c r="N14" s="20">
        <f t="shared" si="1"/>
        <v>537</v>
      </c>
      <c r="O14" s="20">
        <f t="shared" si="1"/>
        <v>516</v>
      </c>
    </row>
    <row r="15" spans="1:15" ht="24.95" customHeight="1">
      <c r="A15" s="782"/>
      <c r="B15" s="781" t="s">
        <v>179</v>
      </c>
      <c r="C15" s="16" t="s">
        <v>75</v>
      </c>
      <c r="D15" s="18" t="s">
        <v>178</v>
      </c>
      <c r="E15" s="18" t="s">
        <v>178</v>
      </c>
      <c r="F15" s="18" t="s">
        <v>178</v>
      </c>
      <c r="G15" s="18" t="s">
        <v>178</v>
      </c>
      <c r="H15" s="10"/>
      <c r="J15" s="787"/>
      <c r="K15" s="20" t="s">
        <v>90</v>
      </c>
      <c r="L15" s="20">
        <f t="shared" si="1"/>
        <v>507</v>
      </c>
      <c r="M15" s="20">
        <f t="shared" si="1"/>
        <v>503</v>
      </c>
      <c r="N15" s="20">
        <f t="shared" si="1"/>
        <v>500</v>
      </c>
      <c r="O15" s="20">
        <f t="shared" si="1"/>
        <v>494</v>
      </c>
    </row>
    <row r="16" spans="1:15" ht="24.95" customHeight="1">
      <c r="A16" s="782"/>
      <c r="B16" s="782"/>
      <c r="C16" s="16" t="s">
        <v>76</v>
      </c>
      <c r="D16" s="18" t="s">
        <v>178</v>
      </c>
      <c r="E16" s="18" t="s">
        <v>178</v>
      </c>
      <c r="F16" s="18" t="s">
        <v>178</v>
      </c>
      <c r="G16" s="18" t="s">
        <v>178</v>
      </c>
      <c r="H16" s="10"/>
    </row>
    <row r="17" spans="1:20" ht="24.95" customHeight="1">
      <c r="A17" s="782"/>
      <c r="B17" s="782" t="s">
        <v>77</v>
      </c>
      <c r="C17" s="16" t="s">
        <v>75</v>
      </c>
      <c r="D17" s="18" t="s">
        <v>178</v>
      </c>
      <c r="E17" s="18" t="s">
        <v>178</v>
      </c>
      <c r="F17" s="18" t="s">
        <v>178</v>
      </c>
      <c r="G17" s="18" t="s">
        <v>178</v>
      </c>
      <c r="H17" s="10"/>
    </row>
    <row r="18" spans="1:20" ht="24.95" customHeight="1">
      <c r="A18" s="782"/>
      <c r="B18" s="782"/>
      <c r="C18" s="16" t="s">
        <v>76</v>
      </c>
      <c r="D18" s="30">
        <v>16150</v>
      </c>
      <c r="E18" s="30">
        <v>16047</v>
      </c>
      <c r="F18" s="30">
        <v>15827</v>
      </c>
      <c r="G18" s="30">
        <v>15389</v>
      </c>
      <c r="H18" s="10"/>
    </row>
    <row r="19" spans="1:20" ht="24.95" customHeight="1">
      <c r="A19" s="782" t="s">
        <v>78</v>
      </c>
      <c r="B19" s="782" t="s">
        <v>77</v>
      </c>
      <c r="C19" s="16" t="s">
        <v>75</v>
      </c>
      <c r="D19" s="16">
        <v>820</v>
      </c>
      <c r="E19" s="16">
        <v>820</v>
      </c>
      <c r="F19" s="16">
        <v>820</v>
      </c>
      <c r="G19" s="16">
        <v>820</v>
      </c>
      <c r="H19" s="10"/>
    </row>
    <row r="20" spans="1:20" ht="24.95" customHeight="1">
      <c r="A20" s="782"/>
      <c r="B20" s="782"/>
      <c r="C20" s="16" t="s">
        <v>76</v>
      </c>
      <c r="D20" s="30">
        <v>1189</v>
      </c>
      <c r="E20" s="30">
        <v>1189</v>
      </c>
      <c r="F20" s="30">
        <v>1189</v>
      </c>
      <c r="G20" s="30">
        <v>1189</v>
      </c>
      <c r="H20" s="10"/>
    </row>
    <row r="21" spans="1:20" ht="24.95" customHeight="1">
      <c r="A21" s="794" t="s">
        <v>79</v>
      </c>
      <c r="B21" s="782" t="s">
        <v>80</v>
      </c>
      <c r="C21" s="782"/>
      <c r="D21" s="30">
        <v>1765</v>
      </c>
      <c r="E21" s="30">
        <v>2509</v>
      </c>
      <c r="F21" s="30">
        <v>2608</v>
      </c>
      <c r="G21" s="30">
        <v>2716</v>
      </c>
      <c r="H21" s="10"/>
    </row>
    <row r="22" spans="1:20" ht="24.95" customHeight="1">
      <c r="A22" s="796"/>
      <c r="B22" s="782" t="s">
        <v>81</v>
      </c>
      <c r="C22" s="782"/>
      <c r="D22" s="30">
        <v>14544</v>
      </c>
      <c r="E22" s="30">
        <v>16821</v>
      </c>
      <c r="F22" s="30">
        <v>16821</v>
      </c>
      <c r="G22" s="30">
        <v>16821</v>
      </c>
      <c r="H22" s="10"/>
    </row>
    <row r="23" spans="1:20" ht="24.95" customHeight="1">
      <c r="A23" s="782" t="s">
        <v>82</v>
      </c>
      <c r="B23" s="782"/>
      <c r="C23" s="782"/>
      <c r="D23" s="30">
        <f>D18+D20+D21+D22</f>
        <v>33648</v>
      </c>
      <c r="E23" s="30">
        <f>E18+E20+E21+E22</f>
        <v>36566</v>
      </c>
      <c r="F23" s="30">
        <f>F18+F20+F21+F22</f>
        <v>36445</v>
      </c>
      <c r="G23" s="30">
        <f>G18+G20+G21+G22</f>
        <v>36115</v>
      </c>
      <c r="H23" s="10"/>
    </row>
    <row r="24" spans="1:20" ht="24.95" customHeight="1"/>
    <row r="25" spans="1:20" ht="24.95" customHeight="1">
      <c r="A25" s="782" t="s">
        <v>0</v>
      </c>
      <c r="B25" s="782"/>
      <c r="C25" s="782"/>
      <c r="D25" s="782" t="s">
        <v>188</v>
      </c>
      <c r="E25" s="782"/>
      <c r="F25" s="782"/>
      <c r="G25" s="782"/>
      <c r="H25" s="782" t="s">
        <v>102</v>
      </c>
      <c r="I25" s="782"/>
      <c r="J25" s="782"/>
      <c r="K25" s="782"/>
      <c r="L25" s="782" t="s">
        <v>189</v>
      </c>
      <c r="M25" s="782"/>
      <c r="N25" s="782"/>
      <c r="O25" s="782"/>
      <c r="P25" s="782" t="s">
        <v>190</v>
      </c>
      <c r="Q25" s="782"/>
      <c r="R25" s="782"/>
      <c r="S25" s="782"/>
      <c r="T25" s="782" t="s">
        <v>191</v>
      </c>
    </row>
    <row r="26" spans="1:20" ht="24.95" customHeight="1">
      <c r="A26" s="782"/>
      <c r="B26" s="782"/>
      <c r="C26" s="782"/>
      <c r="D26" s="17" t="s">
        <v>119</v>
      </c>
      <c r="E26" s="17" t="s">
        <v>120</v>
      </c>
      <c r="F26" s="17" t="s">
        <v>121</v>
      </c>
      <c r="G26" s="17" t="s">
        <v>122</v>
      </c>
      <c r="H26" s="17" t="s">
        <v>119</v>
      </c>
      <c r="I26" s="17" t="s">
        <v>120</v>
      </c>
      <c r="J26" s="17" t="s">
        <v>121</v>
      </c>
      <c r="K26" s="17" t="s">
        <v>122</v>
      </c>
      <c r="L26" s="17" t="s">
        <v>119</v>
      </c>
      <c r="M26" s="17" t="s">
        <v>120</v>
      </c>
      <c r="N26" s="17" t="s">
        <v>121</v>
      </c>
      <c r="O26" s="17" t="s">
        <v>122</v>
      </c>
      <c r="P26" s="17" t="s">
        <v>119</v>
      </c>
      <c r="Q26" s="17" t="s">
        <v>120</v>
      </c>
      <c r="R26" s="17" t="s">
        <v>121</v>
      </c>
      <c r="S26" s="17" t="s">
        <v>122</v>
      </c>
      <c r="T26" s="782"/>
    </row>
    <row r="27" spans="1:20" ht="24.95" customHeight="1">
      <c r="A27" s="782" t="s">
        <v>181</v>
      </c>
      <c r="B27" s="782"/>
      <c r="C27" s="16" t="s">
        <v>60</v>
      </c>
      <c r="D27" s="12">
        <f>D30+D33+D36+D39+D42+D45+D48</f>
        <v>30300</v>
      </c>
      <c r="E27" s="12">
        <f t="shared" ref="E27:G28" si="2">E30+E33+E36+E39+E42+E45+E48</f>
        <v>28900</v>
      </c>
      <c r="F27" s="12">
        <f t="shared" si="2"/>
        <v>27600</v>
      </c>
      <c r="G27" s="12">
        <f t="shared" si="2"/>
        <v>26100</v>
      </c>
      <c r="H27" s="12">
        <f t="shared" ref="H27:K28" si="3">H30+H33+H36+H39+H42+H45+H48</f>
        <v>24240</v>
      </c>
      <c r="I27" s="12">
        <f t="shared" si="3"/>
        <v>24565</v>
      </c>
      <c r="J27" s="12">
        <f t="shared" si="3"/>
        <v>24840</v>
      </c>
      <c r="K27" s="12">
        <f t="shared" si="3"/>
        <v>24795</v>
      </c>
      <c r="L27" s="10"/>
      <c r="M27" s="10"/>
      <c r="N27" s="10"/>
      <c r="O27" s="10"/>
      <c r="P27" s="12"/>
      <c r="Q27" s="12"/>
      <c r="R27" s="12"/>
      <c r="S27" s="12"/>
      <c r="T27" s="10"/>
    </row>
    <row r="28" spans="1:20" ht="24.95" customHeight="1">
      <c r="A28" s="782"/>
      <c r="B28" s="782"/>
      <c r="C28" s="16" t="s">
        <v>61</v>
      </c>
      <c r="D28" s="12">
        <f>D31+D34+D37+D40+D43+D46+D49</f>
        <v>5503</v>
      </c>
      <c r="E28" s="12">
        <f t="shared" si="2"/>
        <v>5676</v>
      </c>
      <c r="F28" s="12">
        <f t="shared" si="2"/>
        <v>5676</v>
      </c>
      <c r="G28" s="12">
        <f t="shared" si="2"/>
        <v>5676</v>
      </c>
      <c r="H28" s="12">
        <f t="shared" si="3"/>
        <v>5503</v>
      </c>
      <c r="I28" s="12">
        <f t="shared" si="3"/>
        <v>5676</v>
      </c>
      <c r="J28" s="12">
        <f t="shared" si="3"/>
        <v>5676</v>
      </c>
      <c r="K28" s="12">
        <f t="shared" si="3"/>
        <v>5676</v>
      </c>
      <c r="L28" s="10"/>
      <c r="M28" s="10"/>
      <c r="N28" s="10"/>
      <c r="O28" s="10"/>
      <c r="P28" s="12"/>
      <c r="Q28" s="12"/>
      <c r="R28" s="12"/>
      <c r="S28" s="12"/>
      <c r="T28" s="10"/>
    </row>
    <row r="29" spans="1:20" ht="24.95" customHeight="1">
      <c r="A29" s="782"/>
      <c r="B29" s="782"/>
      <c r="C29" s="10" t="s">
        <v>15</v>
      </c>
      <c r="D29" s="6">
        <f t="shared" ref="D29:K29" si="4">SUM(D27:D28)</f>
        <v>35803</v>
      </c>
      <c r="E29" s="6">
        <f t="shared" si="4"/>
        <v>34576</v>
      </c>
      <c r="F29" s="6">
        <f t="shared" si="4"/>
        <v>33276</v>
      </c>
      <c r="G29" s="6">
        <f t="shared" si="4"/>
        <v>31776</v>
      </c>
      <c r="H29" s="6">
        <f t="shared" si="4"/>
        <v>29743</v>
      </c>
      <c r="I29" s="6">
        <f t="shared" si="4"/>
        <v>30241</v>
      </c>
      <c r="J29" s="6">
        <f t="shared" si="4"/>
        <v>30516</v>
      </c>
      <c r="K29" s="6">
        <f t="shared" si="4"/>
        <v>30471</v>
      </c>
      <c r="L29" s="10"/>
      <c r="M29" s="10"/>
      <c r="N29" s="10"/>
      <c r="O29" s="10"/>
      <c r="P29" s="6">
        <f>P32+P35+P38+P41+P44+P47+P50</f>
        <v>16150</v>
      </c>
      <c r="Q29" s="6">
        <f>Q32+Q35+Q38+Q41+Q44+Q47+Q50</f>
        <v>16047</v>
      </c>
      <c r="R29" s="6">
        <f>R32+R35+R38+R41+R44+R47+R50</f>
        <v>15827</v>
      </c>
      <c r="S29" s="6">
        <f>S32+S35+S38+S41+S44+S47+S50</f>
        <v>15389</v>
      </c>
      <c r="T29" s="10"/>
    </row>
    <row r="30" spans="1:20" ht="24.95" customHeight="1">
      <c r="A30" s="782" t="s">
        <v>182</v>
      </c>
      <c r="B30" s="782"/>
      <c r="C30" s="16" t="s">
        <v>60</v>
      </c>
      <c r="D30" s="12">
        <v>9093</v>
      </c>
      <c r="E30" s="12">
        <v>8672</v>
      </c>
      <c r="F30" s="12">
        <v>8282</v>
      </c>
      <c r="G30" s="12">
        <v>7832</v>
      </c>
      <c r="H30" s="6">
        <f>ROUND(D30*0.8,0)</f>
        <v>7274</v>
      </c>
      <c r="I30" s="6">
        <f>ROUND(E30*0.85,0)</f>
        <v>7371</v>
      </c>
      <c r="J30" s="6">
        <f>ROUND(F30*0.9,0)</f>
        <v>7454</v>
      </c>
      <c r="K30" s="6">
        <f>ROUND(G30*0.95,0)</f>
        <v>7440</v>
      </c>
      <c r="L30" s="10"/>
      <c r="M30" s="10"/>
      <c r="N30" s="10"/>
      <c r="O30" s="10"/>
      <c r="P30" s="6"/>
      <c r="Q30" s="6"/>
      <c r="R30" s="6"/>
      <c r="S30" s="6"/>
      <c r="T30" s="10"/>
    </row>
    <row r="31" spans="1:20" ht="24.95" customHeight="1">
      <c r="A31" s="782"/>
      <c r="B31" s="782"/>
      <c r="C31" s="16" t="s">
        <v>61</v>
      </c>
      <c r="D31" s="12">
        <v>773</v>
      </c>
      <c r="E31" s="12">
        <v>946</v>
      </c>
      <c r="F31" s="12">
        <v>946</v>
      </c>
      <c r="G31" s="12">
        <v>946</v>
      </c>
      <c r="H31" s="6">
        <f>ROUND(D31*1,0)</f>
        <v>773</v>
      </c>
      <c r="I31" s="6">
        <f>ROUND(E31*1,0)</f>
        <v>946</v>
      </c>
      <c r="J31" s="6">
        <f>ROUND(F31*1,0)</f>
        <v>946</v>
      </c>
      <c r="K31" s="6">
        <f>ROUND(G31*1,0)</f>
        <v>946</v>
      </c>
      <c r="L31" s="10"/>
      <c r="M31" s="10"/>
      <c r="N31" s="10"/>
      <c r="O31" s="10"/>
      <c r="P31" s="6"/>
      <c r="Q31" s="6"/>
      <c r="R31" s="6"/>
      <c r="S31" s="6"/>
      <c r="T31" s="10"/>
    </row>
    <row r="32" spans="1:20" ht="24.95" customHeight="1">
      <c r="A32" s="782"/>
      <c r="B32" s="782"/>
      <c r="C32" s="10" t="s">
        <v>15</v>
      </c>
      <c r="D32" s="6">
        <f t="shared" ref="D32:K32" si="5">SUM(D30:D31)</f>
        <v>9866</v>
      </c>
      <c r="E32" s="6">
        <f t="shared" si="5"/>
        <v>9618</v>
      </c>
      <c r="F32" s="6">
        <f t="shared" si="5"/>
        <v>9228</v>
      </c>
      <c r="G32" s="6">
        <f t="shared" si="5"/>
        <v>8778</v>
      </c>
      <c r="H32" s="6">
        <f t="shared" si="5"/>
        <v>8047</v>
      </c>
      <c r="I32" s="6">
        <f t="shared" si="5"/>
        <v>8317</v>
      </c>
      <c r="J32" s="6">
        <f t="shared" si="5"/>
        <v>8400</v>
      </c>
      <c r="K32" s="6">
        <f t="shared" si="5"/>
        <v>8386</v>
      </c>
      <c r="L32" s="10">
        <v>579</v>
      </c>
      <c r="M32" s="10">
        <v>558</v>
      </c>
      <c r="N32" s="10">
        <v>537</v>
      </c>
      <c r="O32" s="10">
        <v>516</v>
      </c>
      <c r="P32" s="6">
        <f>ROUND(H32*L32/1000,0)</f>
        <v>4659</v>
      </c>
      <c r="Q32" s="6">
        <f>ROUND(I32*M32/1000,0)</f>
        <v>4641</v>
      </c>
      <c r="R32" s="6">
        <f>ROUND(J32*N32/1000,0)</f>
        <v>4511</v>
      </c>
      <c r="S32" s="6">
        <f>ROUND(K32*O32/1000,0)</f>
        <v>4327</v>
      </c>
      <c r="T32" s="10"/>
    </row>
    <row r="33" spans="1:20" ht="24.95" customHeight="1">
      <c r="A33" s="782" t="s">
        <v>183</v>
      </c>
      <c r="B33" s="782"/>
      <c r="C33" s="16" t="s">
        <v>60</v>
      </c>
      <c r="D33" s="12">
        <v>3894</v>
      </c>
      <c r="E33" s="12">
        <v>3714</v>
      </c>
      <c r="F33" s="12">
        <v>3547</v>
      </c>
      <c r="G33" s="12">
        <v>3354</v>
      </c>
      <c r="H33" s="6">
        <f>ROUND(D33*0.8,0)</f>
        <v>3115</v>
      </c>
      <c r="I33" s="6">
        <f>ROUND(E33*0.85,0)</f>
        <v>3157</v>
      </c>
      <c r="J33" s="6">
        <f>ROUND(F33*0.9,0)</f>
        <v>3192</v>
      </c>
      <c r="K33" s="6">
        <f>ROUND(G33*0.95,0)</f>
        <v>3186</v>
      </c>
      <c r="L33" s="10"/>
      <c r="M33" s="10"/>
      <c r="N33" s="10"/>
      <c r="O33" s="10"/>
      <c r="P33" s="6"/>
      <c r="Q33" s="6"/>
      <c r="R33" s="6"/>
      <c r="S33" s="6"/>
      <c r="T33" s="10"/>
    </row>
    <row r="34" spans="1:20" ht="24.95" customHeight="1">
      <c r="A34" s="782"/>
      <c r="B34" s="782"/>
      <c r="C34" s="16" t="s">
        <v>61</v>
      </c>
      <c r="D34" s="12">
        <v>610</v>
      </c>
      <c r="E34" s="12">
        <v>610</v>
      </c>
      <c r="F34" s="12">
        <v>610</v>
      </c>
      <c r="G34" s="12">
        <v>610</v>
      </c>
      <c r="H34" s="6">
        <f>ROUND(D34*1,0)</f>
        <v>610</v>
      </c>
      <c r="I34" s="6">
        <f>ROUND(E34*1,0)</f>
        <v>610</v>
      </c>
      <c r="J34" s="6">
        <f>ROUND(F34*1,0)</f>
        <v>610</v>
      </c>
      <c r="K34" s="6">
        <f>ROUND(G34*1,0)</f>
        <v>610</v>
      </c>
      <c r="L34" s="41"/>
      <c r="M34" s="41"/>
      <c r="N34" s="41"/>
      <c r="O34" s="10"/>
      <c r="P34" s="6"/>
      <c r="Q34" s="6"/>
      <c r="R34" s="6"/>
      <c r="S34" s="6"/>
      <c r="T34" s="10"/>
    </row>
    <row r="35" spans="1:20" ht="24.95" customHeight="1">
      <c r="A35" s="782"/>
      <c r="B35" s="782"/>
      <c r="C35" s="10" t="s">
        <v>15</v>
      </c>
      <c r="D35" s="6">
        <f t="shared" ref="D35:K35" si="6">SUM(D33:D34)</f>
        <v>4504</v>
      </c>
      <c r="E35" s="6">
        <f t="shared" si="6"/>
        <v>4324</v>
      </c>
      <c r="F35" s="6">
        <f t="shared" si="6"/>
        <v>4157</v>
      </c>
      <c r="G35" s="6">
        <f t="shared" si="6"/>
        <v>3964</v>
      </c>
      <c r="H35" s="6">
        <f t="shared" si="6"/>
        <v>3725</v>
      </c>
      <c r="I35" s="6">
        <f t="shared" si="6"/>
        <v>3767</v>
      </c>
      <c r="J35" s="6">
        <f t="shared" si="6"/>
        <v>3802</v>
      </c>
      <c r="K35" s="6">
        <f t="shared" si="6"/>
        <v>3796</v>
      </c>
      <c r="L35" s="40">
        <v>507</v>
      </c>
      <c r="M35" s="40">
        <v>503</v>
      </c>
      <c r="N35" s="40">
        <v>500</v>
      </c>
      <c r="O35" s="10">
        <v>494</v>
      </c>
      <c r="P35" s="6">
        <f>ROUND(H35*L35/1000,0)</f>
        <v>1889</v>
      </c>
      <c r="Q35" s="6">
        <f>ROUND(I35*M35/1000,0)</f>
        <v>1895</v>
      </c>
      <c r="R35" s="6">
        <f>ROUND(J35*N35/1000,0)</f>
        <v>1901</v>
      </c>
      <c r="S35" s="6">
        <f>ROUND(K35*O35/1000,0)</f>
        <v>1875</v>
      </c>
      <c r="T35" s="10"/>
    </row>
    <row r="36" spans="1:20" ht="24.95" customHeight="1">
      <c r="A36" s="782" t="s">
        <v>184</v>
      </c>
      <c r="B36" s="782"/>
      <c r="C36" s="16" t="s">
        <v>60</v>
      </c>
      <c r="D36" s="12">
        <v>5787</v>
      </c>
      <c r="E36" s="12">
        <v>5520</v>
      </c>
      <c r="F36" s="12">
        <v>5272</v>
      </c>
      <c r="G36" s="12">
        <v>4985</v>
      </c>
      <c r="H36" s="6">
        <f>ROUND(D36*0.8,0)</f>
        <v>4630</v>
      </c>
      <c r="I36" s="6">
        <f>ROUND(E36*0.85,0)</f>
        <v>4692</v>
      </c>
      <c r="J36" s="6">
        <f>ROUND(F36*0.9,0)</f>
        <v>4745</v>
      </c>
      <c r="K36" s="6">
        <f>ROUND(G36*0.95,0)</f>
        <v>4736</v>
      </c>
      <c r="L36" s="10"/>
      <c r="M36" s="10"/>
      <c r="N36" s="10"/>
      <c r="O36" s="10"/>
      <c r="P36" s="6"/>
      <c r="Q36" s="6"/>
      <c r="R36" s="6"/>
      <c r="S36" s="6"/>
      <c r="T36" s="10"/>
    </row>
    <row r="37" spans="1:20" ht="24.95" customHeight="1">
      <c r="A37" s="782"/>
      <c r="B37" s="782"/>
      <c r="C37" s="16" t="s">
        <v>61</v>
      </c>
      <c r="D37" s="12">
        <v>2179</v>
      </c>
      <c r="E37" s="12">
        <v>2179</v>
      </c>
      <c r="F37" s="12">
        <v>2179</v>
      </c>
      <c r="G37" s="12">
        <v>2179</v>
      </c>
      <c r="H37" s="6">
        <f>ROUND(D37*1,0)</f>
        <v>2179</v>
      </c>
      <c r="I37" s="6">
        <f>ROUND(E37*1,0)</f>
        <v>2179</v>
      </c>
      <c r="J37" s="6">
        <f>ROUND(F37*1,0)</f>
        <v>2179</v>
      </c>
      <c r="K37" s="6">
        <f>ROUND(G37*1,0)</f>
        <v>2179</v>
      </c>
      <c r="L37" s="10"/>
      <c r="M37" s="10"/>
      <c r="N37" s="10"/>
      <c r="O37" s="10"/>
      <c r="P37" s="6"/>
      <c r="Q37" s="6"/>
      <c r="R37" s="6"/>
      <c r="S37" s="6"/>
      <c r="T37" s="10"/>
    </row>
    <row r="38" spans="1:20" ht="24.95" customHeight="1">
      <c r="A38" s="782"/>
      <c r="B38" s="782"/>
      <c r="C38" s="10" t="s">
        <v>15</v>
      </c>
      <c r="D38" s="6">
        <f t="shared" ref="D38:K38" si="7">SUM(D36:D37)</f>
        <v>7966</v>
      </c>
      <c r="E38" s="6">
        <f t="shared" si="7"/>
        <v>7699</v>
      </c>
      <c r="F38" s="6">
        <f t="shared" si="7"/>
        <v>7451</v>
      </c>
      <c r="G38" s="6">
        <f t="shared" si="7"/>
        <v>7164</v>
      </c>
      <c r="H38" s="6">
        <f t="shared" si="7"/>
        <v>6809</v>
      </c>
      <c r="I38" s="6">
        <f t="shared" si="7"/>
        <v>6871</v>
      </c>
      <c r="J38" s="6">
        <f t="shared" si="7"/>
        <v>6924</v>
      </c>
      <c r="K38" s="6">
        <f t="shared" si="7"/>
        <v>6915</v>
      </c>
      <c r="L38" s="10">
        <v>579</v>
      </c>
      <c r="M38" s="10">
        <v>558</v>
      </c>
      <c r="N38" s="10">
        <v>537</v>
      </c>
      <c r="O38" s="10">
        <v>516</v>
      </c>
      <c r="P38" s="6">
        <f>ROUND(H38*L38/1000,0)</f>
        <v>3942</v>
      </c>
      <c r="Q38" s="6">
        <f>ROUND(I38*M38/1000,0)</f>
        <v>3834</v>
      </c>
      <c r="R38" s="6">
        <f>ROUND(J38*N38/1000,0)</f>
        <v>3718</v>
      </c>
      <c r="S38" s="6">
        <f>ROUND(K38*O38/1000,0)</f>
        <v>3568</v>
      </c>
      <c r="T38" s="10"/>
    </row>
    <row r="39" spans="1:20" ht="24.95" customHeight="1">
      <c r="A39" s="782" t="s">
        <v>185</v>
      </c>
      <c r="B39" s="782"/>
      <c r="C39" s="16" t="s">
        <v>60</v>
      </c>
      <c r="D39" s="12">
        <v>1376</v>
      </c>
      <c r="E39" s="12">
        <v>1312</v>
      </c>
      <c r="F39" s="12">
        <v>1253</v>
      </c>
      <c r="G39" s="12">
        <v>1185</v>
      </c>
      <c r="H39" s="6">
        <f>ROUND(D39*0.8,0)</f>
        <v>1101</v>
      </c>
      <c r="I39" s="6">
        <f>ROUND(E39*0.85,0)</f>
        <v>1115</v>
      </c>
      <c r="J39" s="6">
        <f>ROUND(F39*0.9,0)</f>
        <v>1128</v>
      </c>
      <c r="K39" s="6">
        <f>ROUND(G39*0.95,0)</f>
        <v>1126</v>
      </c>
      <c r="L39" s="10"/>
      <c r="M39" s="10"/>
      <c r="N39" s="10"/>
      <c r="O39" s="10"/>
      <c r="P39" s="6"/>
      <c r="Q39" s="6"/>
      <c r="R39" s="6"/>
      <c r="S39" s="6"/>
      <c r="T39" s="10"/>
    </row>
    <row r="40" spans="1:20" ht="24.95" customHeight="1">
      <c r="A40" s="782"/>
      <c r="B40" s="782"/>
      <c r="C40" s="16" t="s">
        <v>61</v>
      </c>
      <c r="D40" s="12">
        <v>31</v>
      </c>
      <c r="E40" s="12">
        <v>31</v>
      </c>
      <c r="F40" s="12">
        <v>31</v>
      </c>
      <c r="G40" s="12">
        <v>31</v>
      </c>
      <c r="H40" s="6">
        <f>ROUND(D40*1,0)</f>
        <v>31</v>
      </c>
      <c r="I40" s="6">
        <f>ROUND(E40*1,0)</f>
        <v>31</v>
      </c>
      <c r="J40" s="6">
        <f>ROUND(F40*1,0)</f>
        <v>31</v>
      </c>
      <c r="K40" s="6">
        <f>ROUND(G40*1,0)</f>
        <v>31</v>
      </c>
      <c r="L40" s="10"/>
      <c r="M40" s="10"/>
      <c r="N40" s="10"/>
      <c r="O40" s="10"/>
      <c r="P40" s="6"/>
      <c r="Q40" s="6"/>
      <c r="R40" s="6"/>
      <c r="S40" s="6"/>
      <c r="T40" s="10"/>
    </row>
    <row r="41" spans="1:20" ht="24.95" customHeight="1">
      <c r="A41" s="782"/>
      <c r="B41" s="782"/>
      <c r="C41" s="10" t="s">
        <v>15</v>
      </c>
      <c r="D41" s="6">
        <f t="shared" ref="D41:K41" si="8">SUM(D39:D40)</f>
        <v>1407</v>
      </c>
      <c r="E41" s="6">
        <f t="shared" si="8"/>
        <v>1343</v>
      </c>
      <c r="F41" s="6">
        <f t="shared" si="8"/>
        <v>1284</v>
      </c>
      <c r="G41" s="6">
        <f t="shared" si="8"/>
        <v>1216</v>
      </c>
      <c r="H41" s="6">
        <f t="shared" si="8"/>
        <v>1132</v>
      </c>
      <c r="I41" s="6">
        <f t="shared" si="8"/>
        <v>1146</v>
      </c>
      <c r="J41" s="6">
        <f t="shared" si="8"/>
        <v>1159</v>
      </c>
      <c r="K41" s="6">
        <f t="shared" si="8"/>
        <v>1157</v>
      </c>
      <c r="L41" s="10">
        <v>507</v>
      </c>
      <c r="M41" s="10">
        <v>503</v>
      </c>
      <c r="N41" s="10">
        <v>500</v>
      </c>
      <c r="O41" s="10">
        <v>494</v>
      </c>
      <c r="P41" s="6">
        <f>ROUND(H41*L41/1000,0)</f>
        <v>574</v>
      </c>
      <c r="Q41" s="6">
        <f>ROUND(I41*M41/1000,0)</f>
        <v>576</v>
      </c>
      <c r="R41" s="6">
        <f>ROUND(J41*N41/1000,0)</f>
        <v>580</v>
      </c>
      <c r="S41" s="6">
        <f>ROUND(K41*O41/1000,0)</f>
        <v>572</v>
      </c>
      <c r="T41" s="10"/>
    </row>
    <row r="42" spans="1:20" ht="24.95" customHeight="1">
      <c r="A42" s="782" t="s">
        <v>180</v>
      </c>
      <c r="B42" s="782"/>
      <c r="C42" s="16" t="s">
        <v>60</v>
      </c>
      <c r="D42" s="12">
        <v>4951</v>
      </c>
      <c r="E42" s="12">
        <v>4722</v>
      </c>
      <c r="F42" s="12">
        <v>4510</v>
      </c>
      <c r="G42" s="12">
        <v>4265</v>
      </c>
      <c r="H42" s="6">
        <f>ROUND(D42*0.8,0)</f>
        <v>3961</v>
      </c>
      <c r="I42" s="6">
        <f>ROUND(E42*0.85,0)</f>
        <v>4014</v>
      </c>
      <c r="J42" s="6">
        <f>ROUND(F42*0.9,0)</f>
        <v>4059</v>
      </c>
      <c r="K42" s="6">
        <f>ROUND(G42*0.95,0)</f>
        <v>4052</v>
      </c>
      <c r="L42" s="10"/>
      <c r="M42" s="10"/>
      <c r="N42" s="10"/>
      <c r="O42" s="10"/>
      <c r="P42" s="6"/>
      <c r="Q42" s="6"/>
      <c r="R42" s="6"/>
      <c r="S42" s="6"/>
      <c r="T42" s="10"/>
    </row>
    <row r="43" spans="1:20" ht="24.95" customHeight="1">
      <c r="A43" s="782"/>
      <c r="B43" s="782"/>
      <c r="C43" s="16" t="s">
        <v>61</v>
      </c>
      <c r="D43" s="12">
        <v>502</v>
      </c>
      <c r="E43" s="12">
        <v>502</v>
      </c>
      <c r="F43" s="12">
        <v>502</v>
      </c>
      <c r="G43" s="12">
        <v>502</v>
      </c>
      <c r="H43" s="6">
        <f>ROUND(D43*1,0)</f>
        <v>502</v>
      </c>
      <c r="I43" s="6">
        <f>ROUND(E43*1,0)</f>
        <v>502</v>
      </c>
      <c r="J43" s="6">
        <f>ROUND(F43*1,0)</f>
        <v>502</v>
      </c>
      <c r="K43" s="6">
        <f>ROUND(G43*1,0)</f>
        <v>502</v>
      </c>
      <c r="L43" s="10"/>
      <c r="M43" s="10"/>
      <c r="N43" s="10"/>
      <c r="O43" s="10"/>
      <c r="P43" s="6"/>
      <c r="Q43" s="6"/>
      <c r="R43" s="6"/>
      <c r="S43" s="6"/>
      <c r="T43" s="10"/>
    </row>
    <row r="44" spans="1:20" ht="24.95" customHeight="1">
      <c r="A44" s="782"/>
      <c r="B44" s="782"/>
      <c r="C44" s="10" t="s">
        <v>15</v>
      </c>
      <c r="D44" s="6">
        <f t="shared" ref="D44:K44" si="9">SUM(D42:D43)</f>
        <v>5453</v>
      </c>
      <c r="E44" s="6">
        <f t="shared" si="9"/>
        <v>5224</v>
      </c>
      <c r="F44" s="6">
        <f t="shared" si="9"/>
        <v>5012</v>
      </c>
      <c r="G44" s="6">
        <f t="shared" si="9"/>
        <v>4767</v>
      </c>
      <c r="H44" s="6">
        <f t="shared" si="9"/>
        <v>4463</v>
      </c>
      <c r="I44" s="6">
        <f t="shared" si="9"/>
        <v>4516</v>
      </c>
      <c r="J44" s="6">
        <f t="shared" si="9"/>
        <v>4561</v>
      </c>
      <c r="K44" s="6">
        <f t="shared" si="9"/>
        <v>4554</v>
      </c>
      <c r="L44" s="10">
        <v>507</v>
      </c>
      <c r="M44" s="10">
        <v>503</v>
      </c>
      <c r="N44" s="10">
        <v>500</v>
      </c>
      <c r="O44" s="10">
        <v>494</v>
      </c>
      <c r="P44" s="6">
        <f>ROUND(H44*L44/1000,0)</f>
        <v>2263</v>
      </c>
      <c r="Q44" s="6">
        <f>ROUND(I44*M44/1000,0)</f>
        <v>2272</v>
      </c>
      <c r="R44" s="6">
        <f>ROUND(J44*N44/1000,0)</f>
        <v>2281</v>
      </c>
      <c r="S44" s="6">
        <f>ROUND(K44*O44/1000,0)</f>
        <v>2250</v>
      </c>
      <c r="T44" s="10"/>
    </row>
    <row r="45" spans="1:20" ht="24.95" customHeight="1">
      <c r="A45" s="782" t="s">
        <v>186</v>
      </c>
      <c r="B45" s="782"/>
      <c r="C45" s="16" t="s">
        <v>60</v>
      </c>
      <c r="D45" s="12">
        <v>3566</v>
      </c>
      <c r="E45" s="12">
        <v>3402</v>
      </c>
      <c r="F45" s="12">
        <v>3248</v>
      </c>
      <c r="G45" s="12">
        <v>3072</v>
      </c>
      <c r="H45" s="6">
        <f>ROUND(D45*0.8,0)</f>
        <v>2853</v>
      </c>
      <c r="I45" s="6">
        <f>ROUND(E45*0.85,0)</f>
        <v>2892</v>
      </c>
      <c r="J45" s="6">
        <f>ROUND(F45*0.9,0)</f>
        <v>2923</v>
      </c>
      <c r="K45" s="6">
        <f>ROUND(G45*0.95,0)</f>
        <v>2918</v>
      </c>
      <c r="L45" s="10"/>
      <c r="M45" s="10"/>
      <c r="N45" s="10"/>
      <c r="O45" s="10"/>
      <c r="P45" s="6"/>
      <c r="Q45" s="6"/>
      <c r="R45" s="6"/>
      <c r="S45" s="6"/>
      <c r="T45" s="10"/>
    </row>
    <row r="46" spans="1:20" ht="24.95" customHeight="1">
      <c r="A46" s="782"/>
      <c r="B46" s="782"/>
      <c r="C46" s="16" t="s">
        <v>61</v>
      </c>
      <c r="D46" s="12">
        <v>188</v>
      </c>
      <c r="E46" s="12">
        <v>188</v>
      </c>
      <c r="F46" s="12">
        <v>188</v>
      </c>
      <c r="G46" s="12">
        <v>188</v>
      </c>
      <c r="H46" s="6">
        <f>ROUND(D46*1,0)</f>
        <v>188</v>
      </c>
      <c r="I46" s="6">
        <f>ROUND(E46*1,0)</f>
        <v>188</v>
      </c>
      <c r="J46" s="6">
        <f>ROUND(F46*1,0)</f>
        <v>188</v>
      </c>
      <c r="K46" s="6">
        <f>ROUND(G46*1,0)</f>
        <v>188</v>
      </c>
      <c r="L46" s="10"/>
      <c r="M46" s="10"/>
      <c r="N46" s="10"/>
      <c r="O46" s="10"/>
      <c r="P46" s="6"/>
      <c r="Q46" s="6"/>
      <c r="R46" s="6"/>
      <c r="S46" s="6"/>
      <c r="T46" s="10"/>
    </row>
    <row r="47" spans="1:20" ht="24.95" customHeight="1">
      <c r="A47" s="782"/>
      <c r="B47" s="782"/>
      <c r="C47" s="10" t="s">
        <v>15</v>
      </c>
      <c r="D47" s="6">
        <f t="shared" ref="D47:K47" si="10">SUM(D45:D46)</f>
        <v>3754</v>
      </c>
      <c r="E47" s="6">
        <f t="shared" si="10"/>
        <v>3590</v>
      </c>
      <c r="F47" s="6">
        <f t="shared" si="10"/>
        <v>3436</v>
      </c>
      <c r="G47" s="6">
        <f t="shared" si="10"/>
        <v>3260</v>
      </c>
      <c r="H47" s="6">
        <f t="shared" si="10"/>
        <v>3041</v>
      </c>
      <c r="I47" s="6">
        <f t="shared" si="10"/>
        <v>3080</v>
      </c>
      <c r="J47" s="6">
        <f t="shared" si="10"/>
        <v>3111</v>
      </c>
      <c r="K47" s="6">
        <f t="shared" si="10"/>
        <v>3106</v>
      </c>
      <c r="L47" s="10">
        <v>507</v>
      </c>
      <c r="M47" s="10">
        <v>503</v>
      </c>
      <c r="N47" s="10">
        <v>500</v>
      </c>
      <c r="O47" s="10">
        <v>494</v>
      </c>
      <c r="P47" s="6">
        <f>ROUND(H47*L47/1000,0)</f>
        <v>1542</v>
      </c>
      <c r="Q47" s="6">
        <f>ROUND(I47*M47/1000,0)</f>
        <v>1549</v>
      </c>
      <c r="R47" s="6">
        <f>ROUND(J47*N47/1000,0)</f>
        <v>1556</v>
      </c>
      <c r="S47" s="6">
        <f>ROUND(K47*O47/1000,0)</f>
        <v>1534</v>
      </c>
      <c r="T47" s="10"/>
    </row>
    <row r="48" spans="1:20" ht="24.95" customHeight="1">
      <c r="A48" s="782" t="s">
        <v>187</v>
      </c>
      <c r="B48" s="782"/>
      <c r="C48" s="16" t="s">
        <v>60</v>
      </c>
      <c r="D48" s="12">
        <v>1633</v>
      </c>
      <c r="E48" s="12">
        <v>1558</v>
      </c>
      <c r="F48" s="12">
        <v>1488</v>
      </c>
      <c r="G48" s="12">
        <v>1407</v>
      </c>
      <c r="H48" s="6">
        <f>ROUND(D48*0.8,0)</f>
        <v>1306</v>
      </c>
      <c r="I48" s="6">
        <f>ROUND(E48*0.85,0)</f>
        <v>1324</v>
      </c>
      <c r="J48" s="6">
        <f>ROUND(F48*0.9,0)</f>
        <v>1339</v>
      </c>
      <c r="K48" s="6">
        <f>ROUND(G48*0.95,0)</f>
        <v>1337</v>
      </c>
      <c r="L48" s="10"/>
      <c r="M48" s="10"/>
      <c r="N48" s="10"/>
      <c r="O48" s="10"/>
      <c r="P48" s="6"/>
      <c r="Q48" s="6"/>
      <c r="R48" s="6"/>
      <c r="S48" s="6"/>
      <c r="T48" s="10"/>
    </row>
    <row r="49" spans="1:20" ht="24.95" customHeight="1">
      <c r="A49" s="782"/>
      <c r="B49" s="782"/>
      <c r="C49" s="16" t="s">
        <v>61</v>
      </c>
      <c r="D49" s="12">
        <v>1220</v>
      </c>
      <c r="E49" s="12">
        <v>1220</v>
      </c>
      <c r="F49" s="12">
        <v>1220</v>
      </c>
      <c r="G49" s="12">
        <v>1220</v>
      </c>
      <c r="H49" s="6">
        <f>ROUND(D49*1,0)</f>
        <v>1220</v>
      </c>
      <c r="I49" s="6">
        <f>ROUND(E49*1,0)</f>
        <v>1220</v>
      </c>
      <c r="J49" s="6">
        <f>ROUND(F49*1,0)</f>
        <v>1220</v>
      </c>
      <c r="K49" s="6">
        <f>ROUND(G49*1,0)</f>
        <v>1220</v>
      </c>
      <c r="L49" s="10"/>
      <c r="M49" s="10"/>
      <c r="N49" s="10"/>
      <c r="O49" s="10"/>
      <c r="P49" s="6"/>
      <c r="Q49" s="6"/>
      <c r="R49" s="6"/>
      <c r="S49" s="6"/>
      <c r="T49" s="10"/>
    </row>
    <row r="50" spans="1:20" ht="24.95" customHeight="1">
      <c r="A50" s="782"/>
      <c r="B50" s="782"/>
      <c r="C50" s="10" t="s">
        <v>15</v>
      </c>
      <c r="D50" s="6">
        <f t="shared" ref="D50:K50" si="11">SUM(D48:D49)</f>
        <v>2853</v>
      </c>
      <c r="E50" s="6">
        <f t="shared" si="11"/>
        <v>2778</v>
      </c>
      <c r="F50" s="6">
        <f t="shared" si="11"/>
        <v>2708</v>
      </c>
      <c r="G50" s="6">
        <f t="shared" si="11"/>
        <v>2627</v>
      </c>
      <c r="H50" s="6">
        <f t="shared" si="11"/>
        <v>2526</v>
      </c>
      <c r="I50" s="6">
        <f t="shared" si="11"/>
        <v>2544</v>
      </c>
      <c r="J50" s="6">
        <f t="shared" si="11"/>
        <v>2559</v>
      </c>
      <c r="K50" s="6">
        <f t="shared" si="11"/>
        <v>2557</v>
      </c>
      <c r="L50" s="10">
        <v>507</v>
      </c>
      <c r="M50" s="10">
        <v>503</v>
      </c>
      <c r="N50" s="10">
        <v>500</v>
      </c>
      <c r="O50" s="10">
        <v>494</v>
      </c>
      <c r="P50" s="6">
        <f>ROUND(H50*L50/1000,0)</f>
        <v>1281</v>
      </c>
      <c r="Q50" s="6">
        <f>ROUND(I50*M50/1000,0)</f>
        <v>1280</v>
      </c>
      <c r="R50" s="6">
        <f>ROUND(J50*N50/1000,0)</f>
        <v>1280</v>
      </c>
      <c r="S50" s="6">
        <f>ROUND(K50*O50/1000,0)</f>
        <v>1263</v>
      </c>
      <c r="T50" s="10"/>
    </row>
    <row r="51" spans="1:20" ht="24.95" customHeight="1"/>
    <row r="52" spans="1:20" ht="24.95" customHeight="1"/>
    <row r="53" spans="1:20" ht="24.95" customHeight="1"/>
    <row r="54" spans="1:20" ht="24.95" customHeight="1"/>
    <row r="55" spans="1:20" ht="24.95" customHeight="1"/>
    <row r="56" spans="1:20" ht="24.95" customHeight="1"/>
    <row r="57" spans="1:20" ht="24.95" customHeight="1"/>
    <row r="58" spans="1:20" ht="24.95" customHeight="1"/>
    <row r="59" spans="1:20" ht="24.95" customHeight="1"/>
    <row r="60" spans="1:20" ht="24.95" customHeight="1"/>
    <row r="61" spans="1:20" ht="24.95" customHeight="1"/>
    <row r="62" spans="1:20" ht="24.95" customHeight="1"/>
    <row r="63" spans="1:20" ht="24.95" customHeight="1"/>
    <row r="64" spans="1:20" ht="24.95" customHeight="1"/>
    <row r="65" ht="24.95" customHeight="1"/>
    <row r="66" ht="24.95" customHeight="1"/>
    <row r="67" ht="24.95" customHeight="1"/>
    <row r="68" ht="24.95" customHeight="1"/>
    <row r="69" ht="24.95" customHeight="1"/>
    <row r="70" ht="24.95" customHeight="1"/>
    <row r="71" ht="24.95" customHeight="1"/>
    <row r="72" ht="24.95" customHeight="1"/>
    <row r="73" ht="24.95" customHeight="1"/>
    <row r="74" ht="24.95" customHeight="1"/>
    <row r="75" ht="24.95" customHeight="1"/>
    <row r="76" ht="24.95" customHeight="1"/>
    <row r="77" ht="24.95" customHeight="1"/>
    <row r="78" ht="24.95" customHeight="1"/>
    <row r="79" ht="24.95" customHeight="1"/>
    <row r="80" ht="24.95" customHeight="1"/>
    <row r="81" ht="24.95" customHeight="1"/>
    <row r="82" ht="24.95" customHeight="1"/>
    <row r="83" ht="24.95" customHeight="1"/>
    <row r="84" ht="24.95" customHeight="1"/>
    <row r="85" ht="24.95" customHeight="1"/>
    <row r="86" ht="24.95" customHeight="1"/>
    <row r="87" ht="24.95" customHeight="1"/>
    <row r="88" ht="24.95" customHeight="1"/>
    <row r="89" ht="24.95" customHeight="1"/>
    <row r="90" ht="24.95" customHeight="1"/>
    <row r="91" ht="24.95" customHeight="1"/>
    <row r="92" ht="24.95" customHeight="1"/>
    <row r="93" ht="24.95" customHeight="1"/>
    <row r="94" ht="24.95" customHeight="1"/>
    <row r="95" ht="24.95" customHeight="1"/>
    <row r="96" ht="24.95" customHeight="1"/>
    <row r="97" ht="24.95" customHeight="1"/>
    <row r="98" ht="24.95" customHeight="1"/>
    <row r="99" ht="24.95" customHeight="1"/>
    <row r="100" ht="24.95" customHeight="1"/>
  </sheetData>
  <mergeCells count="35">
    <mergeCell ref="B22:C22"/>
    <mergeCell ref="A23:C23"/>
    <mergeCell ref="A21:A22"/>
    <mergeCell ref="D2:G2"/>
    <mergeCell ref="B4:B7"/>
    <mergeCell ref="B8:B10"/>
    <mergeCell ref="B11:B14"/>
    <mergeCell ref="A19:A20"/>
    <mergeCell ref="B21:C21"/>
    <mergeCell ref="A48:B50"/>
    <mergeCell ref="L25:O25"/>
    <mergeCell ref="P25:S25"/>
    <mergeCell ref="A33:B35"/>
    <mergeCell ref="A36:B38"/>
    <mergeCell ref="A39:B41"/>
    <mergeCell ref="A42:B44"/>
    <mergeCell ref="A27:B29"/>
    <mergeCell ref="A30:B32"/>
    <mergeCell ref="A25:C26"/>
    <mergeCell ref="T25:T26"/>
    <mergeCell ref="A2:C3"/>
    <mergeCell ref="H2:H3"/>
    <mergeCell ref="A45:B47"/>
    <mergeCell ref="J14:J15"/>
    <mergeCell ref="J6:K6"/>
    <mergeCell ref="D25:G25"/>
    <mergeCell ref="H25:K25"/>
    <mergeCell ref="J7:J8"/>
    <mergeCell ref="J9:K9"/>
    <mergeCell ref="J10:J11"/>
    <mergeCell ref="J12:J13"/>
    <mergeCell ref="B15:B16"/>
    <mergeCell ref="B17:B18"/>
    <mergeCell ref="A4:A18"/>
    <mergeCell ref="B19:B20"/>
  </mergeCells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>
  <dimension ref="A1:N99"/>
  <sheetViews>
    <sheetView workbookViewId="0"/>
  </sheetViews>
  <sheetFormatPr defaultRowHeight="11.25"/>
  <cols>
    <col min="1" max="2" width="8.88671875" style="15"/>
    <col min="3" max="3" width="16.88671875" style="15" customWidth="1"/>
    <col min="4" max="9" width="8.88671875" style="15"/>
    <col min="10" max="10" width="14.88671875" style="15" customWidth="1"/>
    <col min="11" max="14" width="11.88671875" style="15" customWidth="1"/>
    <col min="15" max="15" width="11.5546875" style="15" customWidth="1"/>
    <col min="16" max="16384" width="8.88671875" style="15"/>
  </cols>
  <sheetData>
    <row r="1" spans="1:14" ht="24.95" customHeight="1"/>
    <row r="2" spans="1:14" ht="24.95" customHeight="1">
      <c r="A2" s="782" t="s">
        <v>0</v>
      </c>
      <c r="B2" s="782"/>
      <c r="C2" s="782"/>
      <c r="D2" s="783" t="s">
        <v>58</v>
      </c>
      <c r="E2" s="783"/>
      <c r="F2" s="783"/>
      <c r="G2" s="783"/>
      <c r="H2" s="782" t="s">
        <v>30</v>
      </c>
    </row>
    <row r="3" spans="1:14" ht="24.95" customHeight="1">
      <c r="A3" s="782"/>
      <c r="B3" s="782"/>
      <c r="C3" s="782"/>
      <c r="D3" s="17" t="s">
        <v>119</v>
      </c>
      <c r="E3" s="17" t="s">
        <v>120</v>
      </c>
      <c r="F3" s="17" t="s">
        <v>121</v>
      </c>
      <c r="G3" s="17" t="s">
        <v>122</v>
      </c>
      <c r="H3" s="782"/>
    </row>
    <row r="4" spans="1:14" ht="24.95" customHeight="1">
      <c r="A4" s="782" t="s">
        <v>96</v>
      </c>
      <c r="B4" s="781" t="s">
        <v>97</v>
      </c>
      <c r="C4" s="16" t="s">
        <v>59</v>
      </c>
      <c r="D4" s="18">
        <f>SUM(D5:D6)</f>
        <v>35803</v>
      </c>
      <c r="E4" s="18">
        <f>SUM(E5:E6)</f>
        <v>34576</v>
      </c>
      <c r="F4" s="18">
        <f>SUM(F5:F6)</f>
        <v>33276</v>
      </c>
      <c r="G4" s="18">
        <f>SUM(G5:G6)</f>
        <v>31776</v>
      </c>
      <c r="H4" s="10"/>
    </row>
    <row r="5" spans="1:14" ht="24.95" customHeight="1">
      <c r="A5" s="782"/>
      <c r="B5" s="782"/>
      <c r="C5" s="16" t="s">
        <v>60</v>
      </c>
      <c r="D5" s="18">
        <v>30300</v>
      </c>
      <c r="E5" s="18">
        <v>28900</v>
      </c>
      <c r="F5" s="18">
        <v>27600</v>
      </c>
      <c r="G5" s="18">
        <v>26100</v>
      </c>
      <c r="H5" s="10"/>
    </row>
    <row r="6" spans="1:14" ht="24.95" customHeight="1">
      <c r="A6" s="782"/>
      <c r="B6" s="782"/>
      <c r="C6" s="16" t="s">
        <v>61</v>
      </c>
      <c r="D6" s="18">
        <v>5503</v>
      </c>
      <c r="E6" s="18">
        <v>5676</v>
      </c>
      <c r="F6" s="18">
        <v>5676</v>
      </c>
      <c r="G6" s="18">
        <v>5676</v>
      </c>
      <c r="H6" s="10"/>
    </row>
    <row r="7" spans="1:14" ht="24.95" customHeight="1">
      <c r="A7" s="782"/>
      <c r="B7" s="782"/>
      <c r="C7" s="16" t="s">
        <v>62</v>
      </c>
      <c r="D7" s="18" t="s">
        <v>178</v>
      </c>
      <c r="E7" s="18" t="s">
        <v>178</v>
      </c>
      <c r="F7" s="18" t="s">
        <v>178</v>
      </c>
      <c r="G7" s="18" t="s">
        <v>178</v>
      </c>
      <c r="H7" s="10"/>
      <c r="J7" s="23" t="s">
        <v>55</v>
      </c>
      <c r="K7" s="24" t="s">
        <v>114</v>
      </c>
      <c r="L7" s="24" t="s">
        <v>115</v>
      </c>
      <c r="M7" s="24" t="s">
        <v>116</v>
      </c>
      <c r="N7" s="24" t="s">
        <v>117</v>
      </c>
    </row>
    <row r="8" spans="1:14" ht="24.95" customHeight="1">
      <c r="A8" s="782"/>
      <c r="B8" s="782" t="s">
        <v>100</v>
      </c>
      <c r="C8" s="16" t="s">
        <v>60</v>
      </c>
      <c r="D8" s="39">
        <v>0.8</v>
      </c>
      <c r="E8" s="39">
        <v>0.85</v>
      </c>
      <c r="F8" s="39">
        <v>0.9</v>
      </c>
      <c r="G8" s="39">
        <v>0.95</v>
      </c>
      <c r="H8" s="10"/>
      <c r="J8" s="23" t="s">
        <v>112</v>
      </c>
      <c r="K8" s="19">
        <v>274</v>
      </c>
      <c r="L8" s="19">
        <v>289</v>
      </c>
      <c r="M8" s="19">
        <v>302</v>
      </c>
      <c r="N8" s="19">
        <v>314</v>
      </c>
    </row>
    <row r="9" spans="1:14" ht="24.95" customHeight="1">
      <c r="A9" s="782"/>
      <c r="B9" s="782"/>
      <c r="C9" s="16" t="s">
        <v>61</v>
      </c>
      <c r="D9" s="39">
        <v>1</v>
      </c>
      <c r="E9" s="39">
        <v>1</v>
      </c>
      <c r="F9" s="39">
        <v>1</v>
      </c>
      <c r="G9" s="39">
        <v>1</v>
      </c>
      <c r="H9" s="10"/>
      <c r="J9" s="20" t="s">
        <v>27</v>
      </c>
      <c r="K9" s="21">
        <v>0.65</v>
      </c>
      <c r="L9" s="22">
        <v>0.7</v>
      </c>
      <c r="M9" s="21">
        <v>0.75</v>
      </c>
      <c r="N9" s="21">
        <v>0.8</v>
      </c>
    </row>
    <row r="10" spans="1:14" ht="24.95" customHeight="1">
      <c r="A10" s="782"/>
      <c r="B10" s="782"/>
      <c r="C10" s="16" t="s">
        <v>62</v>
      </c>
      <c r="D10" s="18" t="s">
        <v>178</v>
      </c>
      <c r="E10" s="18" t="s">
        <v>178</v>
      </c>
      <c r="F10" s="18" t="s">
        <v>178</v>
      </c>
      <c r="G10" s="18" t="s">
        <v>178</v>
      </c>
      <c r="H10" s="10"/>
      <c r="J10" s="23" t="s">
        <v>113</v>
      </c>
      <c r="K10" s="19">
        <f>ROUND(K8/K9,0)</f>
        <v>422</v>
      </c>
      <c r="L10" s="19">
        <f>ROUND(L8/L9,0)</f>
        <v>413</v>
      </c>
      <c r="M10" s="19">
        <f>ROUND(M8/M9,0)</f>
        <v>403</v>
      </c>
      <c r="N10" s="19">
        <f>ROUND(N8/N9,0)</f>
        <v>393</v>
      </c>
    </row>
    <row r="11" spans="1:14" ht="24.95" customHeight="1">
      <c r="A11" s="782"/>
      <c r="B11" s="782" t="s">
        <v>102</v>
      </c>
      <c r="C11" s="16" t="s">
        <v>59</v>
      </c>
      <c r="D11" s="18">
        <f>SUM(D12:D13)</f>
        <v>29743</v>
      </c>
      <c r="E11" s="18">
        <f>SUM(E12:E13)</f>
        <v>30241</v>
      </c>
      <c r="F11" s="18">
        <f>SUM(F12:F13)</f>
        <v>30516</v>
      </c>
      <c r="G11" s="18">
        <f>SUM(G12:G13)</f>
        <v>30471</v>
      </c>
      <c r="H11" s="10"/>
      <c r="J11" s="20" t="s">
        <v>103</v>
      </c>
      <c r="K11" s="19">
        <v>1.4</v>
      </c>
      <c r="L11" s="19">
        <v>1.4</v>
      </c>
      <c r="M11" s="19">
        <v>1.4</v>
      </c>
      <c r="N11" s="19">
        <v>1.4</v>
      </c>
    </row>
    <row r="12" spans="1:14" ht="24.95" customHeight="1">
      <c r="A12" s="782"/>
      <c r="B12" s="782"/>
      <c r="C12" s="16" t="s">
        <v>60</v>
      </c>
      <c r="D12" s="18">
        <f t="shared" ref="D12:G13" si="0">ROUND(D5*D8,0)</f>
        <v>24240</v>
      </c>
      <c r="E12" s="18">
        <f t="shared" si="0"/>
        <v>24565</v>
      </c>
      <c r="F12" s="18">
        <f t="shared" si="0"/>
        <v>24840</v>
      </c>
      <c r="G12" s="18">
        <f t="shared" si="0"/>
        <v>24795</v>
      </c>
      <c r="H12" s="10"/>
      <c r="J12" s="23" t="s">
        <v>118</v>
      </c>
      <c r="K12" s="20">
        <f>ROUND(K10*K11,0)</f>
        <v>591</v>
      </c>
      <c r="L12" s="20">
        <f>ROUND(L10*L11,0)</f>
        <v>578</v>
      </c>
      <c r="M12" s="20">
        <f>ROUND(M10*M11,0)</f>
        <v>564</v>
      </c>
      <c r="N12" s="20">
        <f>ROUND(N10*N11,0)</f>
        <v>550</v>
      </c>
    </row>
    <row r="13" spans="1:14" ht="24.95" customHeight="1">
      <c r="A13" s="782"/>
      <c r="B13" s="782"/>
      <c r="C13" s="16" t="s">
        <v>61</v>
      </c>
      <c r="D13" s="18">
        <f t="shared" si="0"/>
        <v>5503</v>
      </c>
      <c r="E13" s="18">
        <f t="shared" si="0"/>
        <v>5676</v>
      </c>
      <c r="F13" s="18">
        <f t="shared" si="0"/>
        <v>5676</v>
      </c>
      <c r="G13" s="18">
        <f t="shared" si="0"/>
        <v>5676</v>
      </c>
      <c r="H13" s="10"/>
      <c r="J13" s="25"/>
      <c r="K13" s="25"/>
      <c r="L13" s="25"/>
      <c r="M13" s="25"/>
      <c r="N13" s="25"/>
    </row>
    <row r="14" spans="1:14" ht="24.95" customHeight="1">
      <c r="A14" s="782"/>
      <c r="B14" s="782"/>
      <c r="C14" s="16" t="s">
        <v>62</v>
      </c>
      <c r="D14" s="18" t="s">
        <v>178</v>
      </c>
      <c r="E14" s="18" t="s">
        <v>178</v>
      </c>
      <c r="F14" s="18" t="s">
        <v>178</v>
      </c>
      <c r="G14" s="18" t="s">
        <v>178</v>
      </c>
      <c r="H14" s="10"/>
      <c r="J14" s="25"/>
      <c r="K14" s="25"/>
      <c r="L14" s="25"/>
      <c r="M14" s="25"/>
      <c r="N14" s="25"/>
    </row>
    <row r="15" spans="1:14" ht="24.95" customHeight="1">
      <c r="A15" s="782"/>
      <c r="B15" s="781" t="s">
        <v>179</v>
      </c>
      <c r="C15" s="16" t="s">
        <v>104</v>
      </c>
      <c r="D15" s="16">
        <v>422</v>
      </c>
      <c r="E15" s="16">
        <v>413</v>
      </c>
      <c r="F15" s="16">
        <v>403</v>
      </c>
      <c r="G15" s="16">
        <v>393</v>
      </c>
      <c r="H15" s="10"/>
      <c r="J15" s="25"/>
      <c r="K15" s="25"/>
      <c r="L15" s="25"/>
      <c r="M15" s="25"/>
      <c r="N15" s="25"/>
    </row>
    <row r="16" spans="1:14" ht="24.95" customHeight="1">
      <c r="A16" s="782"/>
      <c r="B16" s="782"/>
      <c r="C16" s="16" t="s">
        <v>105</v>
      </c>
      <c r="D16" s="16">
        <v>591</v>
      </c>
      <c r="E16" s="16">
        <v>578</v>
      </c>
      <c r="F16" s="16">
        <v>564</v>
      </c>
      <c r="G16" s="16">
        <v>550</v>
      </c>
      <c r="H16" s="10"/>
    </row>
    <row r="17" spans="1:8" ht="24.95" customHeight="1">
      <c r="A17" s="782"/>
      <c r="B17" s="782" t="s">
        <v>106</v>
      </c>
      <c r="C17" s="16" t="s">
        <v>104</v>
      </c>
      <c r="D17" s="18">
        <f>ROUND(D11*D15/1000,0)</f>
        <v>12552</v>
      </c>
      <c r="E17" s="18">
        <f>ROUND(E11*E15/1000,0)</f>
        <v>12490</v>
      </c>
      <c r="F17" s="18">
        <f>ROUND(F11*F15/1000,0)</f>
        <v>12298</v>
      </c>
      <c r="G17" s="18">
        <f>ROUND(G11*G15/1000,0)</f>
        <v>11975</v>
      </c>
      <c r="H17" s="10"/>
    </row>
    <row r="18" spans="1:8" ht="24.95" customHeight="1">
      <c r="A18" s="782"/>
      <c r="B18" s="782"/>
      <c r="C18" s="16" t="s">
        <v>105</v>
      </c>
      <c r="D18" s="30">
        <f>ROUND(D11*D16/1000,0)</f>
        <v>17578</v>
      </c>
      <c r="E18" s="30">
        <f>ROUND(E11*E16/1000,0)</f>
        <v>17479</v>
      </c>
      <c r="F18" s="30">
        <f>ROUND(F11*F16/1000,0)</f>
        <v>17211</v>
      </c>
      <c r="G18" s="30">
        <f>ROUND(G11*G16/1000,0)</f>
        <v>16759</v>
      </c>
      <c r="H18" s="10"/>
    </row>
    <row r="19" spans="1:8" ht="24.95" customHeight="1">
      <c r="A19" s="782" t="s">
        <v>107</v>
      </c>
      <c r="B19" s="782" t="s">
        <v>106</v>
      </c>
      <c r="C19" s="16" t="s">
        <v>104</v>
      </c>
      <c r="D19" s="16">
        <v>820</v>
      </c>
      <c r="E19" s="16">
        <v>820</v>
      </c>
      <c r="F19" s="16">
        <v>820</v>
      </c>
      <c r="G19" s="16">
        <v>820</v>
      </c>
      <c r="H19" s="10"/>
    </row>
    <row r="20" spans="1:8" ht="24.95" customHeight="1">
      <c r="A20" s="782"/>
      <c r="B20" s="782"/>
      <c r="C20" s="16" t="s">
        <v>105</v>
      </c>
      <c r="D20" s="30">
        <v>1148</v>
      </c>
      <c r="E20" s="30">
        <v>1148</v>
      </c>
      <c r="F20" s="30">
        <v>1148</v>
      </c>
      <c r="G20" s="30">
        <v>1148</v>
      </c>
      <c r="H20" s="10"/>
    </row>
    <row r="21" spans="1:8" ht="24.95" customHeight="1">
      <c r="A21" s="794" t="s">
        <v>108</v>
      </c>
      <c r="B21" s="782" t="s">
        <v>109</v>
      </c>
      <c r="C21" s="782"/>
      <c r="D21" s="30">
        <v>1869</v>
      </c>
      <c r="E21" s="30">
        <v>2670</v>
      </c>
      <c r="F21" s="30">
        <v>2779</v>
      </c>
      <c r="G21" s="30">
        <v>2917</v>
      </c>
      <c r="H21" s="10"/>
    </row>
    <row r="22" spans="1:8" ht="24.95" customHeight="1">
      <c r="A22" s="796"/>
      <c r="B22" s="782" t="s">
        <v>110</v>
      </c>
      <c r="C22" s="782"/>
      <c r="D22" s="30">
        <v>14544</v>
      </c>
      <c r="E22" s="30">
        <v>16821</v>
      </c>
      <c r="F22" s="30">
        <v>16821</v>
      </c>
      <c r="G22" s="30">
        <v>16821</v>
      </c>
      <c r="H22" s="10"/>
    </row>
    <row r="23" spans="1:8" ht="24.95" customHeight="1">
      <c r="A23" s="782" t="s">
        <v>111</v>
      </c>
      <c r="B23" s="782"/>
      <c r="C23" s="782"/>
      <c r="D23" s="30">
        <f>D18+D20+D21+D22</f>
        <v>35139</v>
      </c>
      <c r="E23" s="30">
        <f>E18+E20+E21+E22</f>
        <v>38118</v>
      </c>
      <c r="F23" s="30">
        <f>F18+F20+F21+F22</f>
        <v>37959</v>
      </c>
      <c r="G23" s="30">
        <f>G18+G20+G21+G22</f>
        <v>37645</v>
      </c>
      <c r="H23" s="10"/>
    </row>
    <row r="24" spans="1:8" ht="24.95" customHeight="1"/>
    <row r="25" spans="1:8" ht="24.95" customHeight="1"/>
    <row r="26" spans="1:8" ht="24.95" customHeight="1"/>
    <row r="27" spans="1:8" ht="24.95" customHeight="1"/>
    <row r="28" spans="1:8" ht="24.95" customHeight="1"/>
    <row r="29" spans="1:8" ht="24.95" customHeight="1"/>
    <row r="30" spans="1:8" ht="24.95" customHeight="1"/>
    <row r="31" spans="1:8" ht="24.95" customHeight="1"/>
    <row r="32" spans="1:8" ht="24.95" customHeight="1"/>
    <row r="33" ht="24.95" customHeight="1"/>
    <row r="34" ht="24.95" customHeight="1"/>
    <row r="35" ht="24.95" customHeight="1"/>
    <row r="36" ht="24.95" customHeight="1"/>
    <row r="37" ht="24.95" customHeight="1"/>
    <row r="38" ht="24.95" customHeight="1"/>
    <row r="39" ht="24.95" customHeight="1"/>
    <row r="40" ht="24.95" customHeight="1"/>
    <row r="41" ht="24.95" customHeight="1"/>
    <row r="42" ht="24.95" customHeight="1"/>
    <row r="43" ht="24.95" customHeight="1"/>
    <row r="44" ht="24.95" customHeight="1"/>
    <row r="45" ht="24.95" customHeight="1"/>
    <row r="46" ht="24.95" customHeight="1"/>
    <row r="47" ht="24.95" customHeight="1"/>
    <row r="48" ht="24.95" customHeight="1"/>
    <row r="49" ht="24.95" customHeight="1"/>
    <row r="50" ht="24.95" customHeight="1"/>
    <row r="51" ht="24.95" customHeight="1"/>
    <row r="52" ht="24.95" customHeight="1"/>
    <row r="53" ht="24.95" customHeight="1"/>
    <row r="54" ht="24.95" customHeight="1"/>
    <row r="55" ht="24.95" customHeight="1"/>
    <row r="56" ht="24.95" customHeight="1"/>
    <row r="57" ht="24.95" customHeight="1"/>
    <row r="58" ht="24.95" customHeight="1"/>
    <row r="59" ht="24.95" customHeight="1"/>
    <row r="60" ht="24.95" customHeight="1"/>
    <row r="61" ht="24.95" customHeight="1"/>
    <row r="62" ht="24.95" customHeight="1"/>
    <row r="63" ht="24.95" customHeight="1"/>
    <row r="64" ht="24.95" customHeight="1"/>
    <row r="65" ht="24.95" customHeight="1"/>
    <row r="66" ht="24.95" customHeight="1"/>
    <row r="67" ht="24.95" customHeight="1"/>
    <row r="68" ht="24.95" customHeight="1"/>
    <row r="69" ht="24.95" customHeight="1"/>
    <row r="70" ht="24.95" customHeight="1"/>
    <row r="71" ht="24.95" customHeight="1"/>
    <row r="72" ht="24.95" customHeight="1"/>
    <row r="73" ht="24.95" customHeight="1"/>
    <row r="74" ht="24.95" customHeight="1"/>
    <row r="75" ht="24.95" customHeight="1"/>
    <row r="76" ht="24.95" customHeight="1"/>
    <row r="77" ht="24.95" customHeight="1"/>
    <row r="78" ht="24.95" customHeight="1"/>
    <row r="79" ht="24.95" customHeight="1"/>
    <row r="80" ht="24.95" customHeight="1"/>
    <row r="81" ht="24.95" customHeight="1"/>
    <row r="82" ht="24.95" customHeight="1"/>
    <row r="83" ht="24.95" customHeight="1"/>
    <row r="84" ht="24.95" customHeight="1"/>
    <row r="85" ht="24.95" customHeight="1"/>
    <row r="86" ht="24.95" customHeight="1"/>
    <row r="87" ht="24.95" customHeight="1"/>
    <row r="88" ht="24.95" customHeight="1"/>
    <row r="89" ht="24.95" customHeight="1"/>
    <row r="90" ht="24.95" customHeight="1"/>
    <row r="91" ht="24.95" customHeight="1"/>
    <row r="92" ht="24.95" customHeight="1"/>
    <row r="93" ht="24.95" customHeight="1"/>
    <row r="94" ht="24.95" customHeight="1"/>
    <row r="95" ht="24.95" customHeight="1"/>
    <row r="96" ht="24.95" customHeight="1"/>
    <row r="97" ht="24.95" customHeight="1"/>
    <row r="98" ht="24.95" customHeight="1"/>
    <row r="99" ht="24.95" customHeight="1"/>
  </sheetData>
  <mergeCells count="15">
    <mergeCell ref="A2:C3"/>
    <mergeCell ref="H2:H3"/>
    <mergeCell ref="A21:A22"/>
    <mergeCell ref="B15:B16"/>
    <mergeCell ref="B17:B18"/>
    <mergeCell ref="A4:A18"/>
    <mergeCell ref="B19:B20"/>
    <mergeCell ref="D2:G2"/>
    <mergeCell ref="B4:B7"/>
    <mergeCell ref="B8:B10"/>
    <mergeCell ref="A23:C23"/>
    <mergeCell ref="B11:B14"/>
    <mergeCell ref="A19:A20"/>
    <mergeCell ref="B21:C21"/>
    <mergeCell ref="B22:C22"/>
  </mergeCells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T63"/>
  <sheetViews>
    <sheetView view="pageBreakPreview" topLeftCell="A44" zoomScaleSheetLayoutView="100" workbookViewId="0">
      <selection activeCell="M14" sqref="M14"/>
    </sheetView>
  </sheetViews>
  <sheetFormatPr defaultColWidth="10.77734375" defaultRowHeight="20.100000000000001" customHeight="1"/>
  <cols>
    <col min="1" max="1" width="10.77734375" style="1"/>
    <col min="2" max="3" width="10" style="1" customWidth="1"/>
    <col min="4" max="4" width="6.21875" style="1" customWidth="1"/>
    <col min="5" max="10" width="8.77734375" style="1" customWidth="1"/>
    <col min="11" max="16384" width="10.77734375" style="1"/>
  </cols>
  <sheetData>
    <row r="1" spans="1:12" s="208" customFormat="1" ht="21.95" customHeight="1">
      <c r="A1" s="207" t="s">
        <v>2603</v>
      </c>
      <c r="B1" s="207"/>
      <c r="H1" s="209"/>
      <c r="I1" s="209"/>
      <c r="K1" s="209"/>
      <c r="L1" s="209"/>
    </row>
    <row r="2" spans="1:12" ht="20.100000000000001" customHeight="1">
      <c r="A2" s="668" t="s">
        <v>1762</v>
      </c>
      <c r="B2" s="665"/>
      <c r="C2" s="665"/>
      <c r="D2" s="665" t="s">
        <v>1837</v>
      </c>
      <c r="E2" s="665" t="s">
        <v>1839</v>
      </c>
      <c r="F2" s="665"/>
      <c r="G2" s="665"/>
      <c r="H2" s="665"/>
      <c r="I2" s="665"/>
      <c r="J2" s="669" t="s">
        <v>1195</v>
      </c>
    </row>
    <row r="3" spans="1:12" ht="20.100000000000001" customHeight="1">
      <c r="A3" s="664"/>
      <c r="B3" s="667"/>
      <c r="C3" s="667"/>
      <c r="D3" s="667"/>
      <c r="E3" s="562">
        <v>2013</v>
      </c>
      <c r="F3" s="562">
        <v>2015</v>
      </c>
      <c r="G3" s="562">
        <v>2020</v>
      </c>
      <c r="H3" s="562">
        <v>2025</v>
      </c>
      <c r="I3" s="562">
        <v>2030</v>
      </c>
      <c r="J3" s="670"/>
    </row>
    <row r="4" spans="1:12" s="388" customFormat="1" ht="17.100000000000001" customHeight="1">
      <c r="A4" s="671" t="s">
        <v>1844</v>
      </c>
      <c r="B4" s="659"/>
      <c r="C4" s="672"/>
      <c r="D4" s="394"/>
      <c r="E4" s="503">
        <f>E5+E15+E18+E21+E27+E30+E33+E36+E39+E42+E45</f>
        <v>43403</v>
      </c>
      <c r="F4" s="503">
        <f t="shared" ref="F4:I4" si="0">F5+F15+F18+F21+F27+F30+F33+F36+F39+F42+F45</f>
        <v>53597</v>
      </c>
      <c r="G4" s="503">
        <f t="shared" si="0"/>
        <v>66868</v>
      </c>
      <c r="H4" s="503">
        <f t="shared" si="0"/>
        <v>68044</v>
      </c>
      <c r="I4" s="503">
        <f t="shared" si="0"/>
        <v>69713</v>
      </c>
      <c r="J4" s="395"/>
      <c r="K4" s="14"/>
    </row>
    <row r="5" spans="1:12" ht="17.100000000000001" customHeight="1">
      <c r="A5" s="655" t="s">
        <v>1833</v>
      </c>
      <c r="B5" s="665" t="s">
        <v>1244</v>
      </c>
      <c r="C5" s="665"/>
      <c r="D5" s="560" t="s">
        <v>1841</v>
      </c>
      <c r="E5" s="504">
        <f>SUM(E6:E13)</f>
        <v>4960</v>
      </c>
      <c r="F5" s="504">
        <f t="shared" ref="F5:I5" si="1">SUM(F6:F13)</f>
        <v>5726</v>
      </c>
      <c r="G5" s="504">
        <f t="shared" si="1"/>
        <v>8670</v>
      </c>
      <c r="H5" s="504">
        <f t="shared" si="1"/>
        <v>8369</v>
      </c>
      <c r="I5" s="504">
        <f t="shared" si="1"/>
        <v>8312</v>
      </c>
      <c r="J5" s="563"/>
    </row>
    <row r="6" spans="1:12" ht="17.100000000000001" customHeight="1">
      <c r="A6" s="656"/>
      <c r="B6" s="561" t="s">
        <v>1913</v>
      </c>
      <c r="C6" s="561" t="s">
        <v>1243</v>
      </c>
      <c r="D6" s="561" t="s">
        <v>1841</v>
      </c>
      <c r="E6" s="505">
        <f>'1.배수지별 수요량'!F17</f>
        <v>287</v>
      </c>
      <c r="F6" s="505">
        <f>'1.배수지별 수요량'!G17</f>
        <v>585</v>
      </c>
      <c r="G6" s="505">
        <f>'1.배수지별 수요량'!H17</f>
        <v>1006</v>
      </c>
      <c r="H6" s="505">
        <f>'1.배수지별 수요량'!I17</f>
        <v>1098</v>
      </c>
      <c r="I6" s="505">
        <f>'1.배수지별 수요량'!J17</f>
        <v>1118</v>
      </c>
      <c r="J6" s="389"/>
    </row>
    <row r="7" spans="1:12" ht="17.100000000000001" customHeight="1">
      <c r="A7" s="656"/>
      <c r="B7" s="561" t="s">
        <v>1914</v>
      </c>
      <c r="C7" s="561" t="s">
        <v>1243</v>
      </c>
      <c r="D7" s="561" t="s">
        <v>1841</v>
      </c>
      <c r="E7" s="505">
        <f>'1.배수지별 수요량'!F23</f>
        <v>765</v>
      </c>
      <c r="F7" s="505">
        <f>'1.배수지별 수요량'!G23</f>
        <v>857</v>
      </c>
      <c r="G7" s="505">
        <f>'1.배수지별 수요량'!H23</f>
        <v>911</v>
      </c>
      <c r="H7" s="505">
        <f>'1.배수지별 수요량'!I23</f>
        <v>996</v>
      </c>
      <c r="I7" s="505">
        <f>'1.배수지별 수요량'!J23</f>
        <v>1013</v>
      </c>
      <c r="J7" s="389"/>
    </row>
    <row r="8" spans="1:12" ht="17.100000000000001" customHeight="1">
      <c r="A8" s="656"/>
      <c r="B8" s="561" t="s">
        <v>1915</v>
      </c>
      <c r="C8" s="561" t="s">
        <v>1243</v>
      </c>
      <c r="D8" s="561" t="s">
        <v>1841</v>
      </c>
      <c r="E8" s="505">
        <f>'1.배수지별 수요량'!F29</f>
        <v>176</v>
      </c>
      <c r="F8" s="505">
        <f>'1.배수지별 수요량'!G29</f>
        <v>176</v>
      </c>
      <c r="G8" s="505">
        <f>'1.배수지별 수요량'!H29</f>
        <v>189</v>
      </c>
      <c r="H8" s="505">
        <f>'1.배수지별 수요량'!I29</f>
        <v>208</v>
      </c>
      <c r="I8" s="505">
        <f>'1.배수지별 수요량'!J29</f>
        <v>210</v>
      </c>
      <c r="J8" s="389"/>
    </row>
    <row r="9" spans="1:12" s="388" customFormat="1" ht="17.100000000000001" customHeight="1">
      <c r="A9" s="656"/>
      <c r="B9" s="431" t="s">
        <v>1916</v>
      </c>
      <c r="C9" s="561" t="s">
        <v>1243</v>
      </c>
      <c r="D9" s="561" t="s">
        <v>1841</v>
      </c>
      <c r="E9" s="506">
        <f>'1.배수지별 수요량'!F35</f>
        <v>743</v>
      </c>
      <c r="F9" s="506">
        <f>'1.배수지별 수요량'!G35</f>
        <v>1119</v>
      </c>
      <c r="G9" s="506">
        <f>'1.배수지별 수요량'!H35</f>
        <v>1193</v>
      </c>
      <c r="H9" s="506">
        <f>'1.배수지별 수요량'!I35</f>
        <v>1258</v>
      </c>
      <c r="I9" s="506">
        <f>'1.배수지별 수요량'!J35</f>
        <v>1285</v>
      </c>
      <c r="J9" s="432"/>
    </row>
    <row r="10" spans="1:12" s="388" customFormat="1" ht="17.100000000000001" customHeight="1">
      <c r="A10" s="656"/>
      <c r="B10" s="431" t="s">
        <v>1917</v>
      </c>
      <c r="C10" s="561" t="s">
        <v>1243</v>
      </c>
      <c r="D10" s="561" t="s">
        <v>1841</v>
      </c>
      <c r="E10" s="506">
        <f>'1.배수지별 수요량'!F43</f>
        <v>1533</v>
      </c>
      <c r="F10" s="506">
        <f>'1.배수지별 수요량'!G43</f>
        <v>1533</v>
      </c>
      <c r="G10" s="506">
        <f>'1.배수지별 수요량'!H43</f>
        <v>1533</v>
      </c>
      <c r="H10" s="506">
        <f>'1.배수지별 수요량'!I43</f>
        <v>824</v>
      </c>
      <c r="I10" s="506">
        <f>'1.배수지별 수요량'!J43</f>
        <v>475</v>
      </c>
      <c r="J10" s="432"/>
    </row>
    <row r="11" spans="1:12" s="388" customFormat="1" ht="17.100000000000001" customHeight="1">
      <c r="A11" s="656"/>
      <c r="B11" s="431" t="s">
        <v>1899</v>
      </c>
      <c r="C11" s="561" t="s">
        <v>1243</v>
      </c>
      <c r="D11" s="561" t="s">
        <v>1841</v>
      </c>
      <c r="E11" s="506">
        <f>'1.배수지별 수요량'!F47</f>
        <v>1456</v>
      </c>
      <c r="F11" s="506">
        <f>'1.배수지별 수요량'!G47</f>
        <v>1456</v>
      </c>
      <c r="G11" s="506">
        <f>'1.배수지별 수요량'!H47</f>
        <v>1456</v>
      </c>
      <c r="H11" s="506">
        <f>'1.배수지별 수요량'!I47</f>
        <v>1456</v>
      </c>
      <c r="I11" s="506">
        <f>'1.배수지별 수요량'!J47</f>
        <v>1456</v>
      </c>
      <c r="J11" s="432"/>
    </row>
    <row r="12" spans="1:12" ht="17.100000000000001" customHeight="1">
      <c r="A12" s="656"/>
      <c r="B12" s="431" t="s">
        <v>1834</v>
      </c>
      <c r="C12" s="431" t="s">
        <v>1243</v>
      </c>
      <c r="D12" s="431" t="s">
        <v>1841</v>
      </c>
      <c r="E12" s="506">
        <f>'1.배수지별 수요량'!F53</f>
        <v>0</v>
      </c>
      <c r="F12" s="506">
        <f>'1.배수지별 수요량'!G53</f>
        <v>0</v>
      </c>
      <c r="G12" s="506">
        <f>'1.배수지별 수요량'!H53</f>
        <v>758</v>
      </c>
      <c r="H12" s="506">
        <f>'1.배수지별 수요량'!I53</f>
        <v>905</v>
      </c>
      <c r="I12" s="506">
        <f>'1.배수지별 수요량'!J53</f>
        <v>1131</v>
      </c>
      <c r="J12" s="432"/>
    </row>
    <row r="13" spans="1:12" s="388" customFormat="1" ht="17.100000000000001" customHeight="1">
      <c r="A13" s="657"/>
      <c r="B13" s="562" t="s">
        <v>2607</v>
      </c>
      <c r="C13" s="431" t="s">
        <v>1243</v>
      </c>
      <c r="D13" s="431" t="s">
        <v>1841</v>
      </c>
      <c r="E13" s="507">
        <f>'1.배수지별 수요량'!F59</f>
        <v>0</v>
      </c>
      <c r="F13" s="507">
        <f>'1.배수지별 수요량'!G59</f>
        <v>0</v>
      </c>
      <c r="G13" s="507">
        <f>'1.배수지별 수요량'!H59</f>
        <v>1624</v>
      </c>
      <c r="H13" s="507">
        <f>'1.배수지별 수요량'!I59</f>
        <v>1624</v>
      </c>
      <c r="I13" s="507">
        <f>'1.배수지별 수요량'!J59</f>
        <v>1624</v>
      </c>
      <c r="J13" s="564"/>
    </row>
    <row r="14" spans="1:12" s="388" customFormat="1" ht="17.100000000000001" customHeight="1">
      <c r="A14" s="668" t="s">
        <v>1829</v>
      </c>
      <c r="B14" s="665" t="s">
        <v>1836</v>
      </c>
      <c r="C14" s="665"/>
      <c r="D14" s="560" t="s">
        <v>1842</v>
      </c>
      <c r="E14" s="498">
        <f>'1.배수지별 수요량'!F65</f>
        <v>800</v>
      </c>
      <c r="F14" s="498">
        <f>'1.배수지별 수요량'!G65</f>
        <v>800</v>
      </c>
      <c r="G14" s="498">
        <f>'1.배수지별 수요량'!H65</f>
        <v>800</v>
      </c>
      <c r="H14" s="498">
        <f>'1.배수지별 수요량'!I65</f>
        <v>800</v>
      </c>
      <c r="I14" s="498">
        <f>'1.배수지별 수요량'!J65</f>
        <v>800</v>
      </c>
      <c r="J14" s="390"/>
    </row>
    <row r="15" spans="1:12" s="388" customFormat="1" ht="17.100000000000001" customHeight="1">
      <c r="A15" s="663"/>
      <c r="B15" s="666" t="s">
        <v>1838</v>
      </c>
      <c r="C15" s="666"/>
      <c r="D15" s="561" t="s">
        <v>1841</v>
      </c>
      <c r="E15" s="499">
        <f>'1.배수지별 수요량'!F66</f>
        <v>1357</v>
      </c>
      <c r="F15" s="499">
        <f>'1.배수지별 수요량'!G66</f>
        <v>1432</v>
      </c>
      <c r="G15" s="499">
        <f>'1.배수지별 수요량'!H66</f>
        <v>1520</v>
      </c>
      <c r="H15" s="499">
        <f>'1.배수지별 수요량'!I66</f>
        <v>1574</v>
      </c>
      <c r="I15" s="499">
        <f>'1.배수지별 수요량'!J66</f>
        <v>1601</v>
      </c>
      <c r="J15" s="391"/>
    </row>
    <row r="16" spans="1:12" s="388" customFormat="1" ht="17.100000000000001" customHeight="1">
      <c r="A16" s="664"/>
      <c r="B16" s="667" t="s">
        <v>1827</v>
      </c>
      <c r="C16" s="667"/>
      <c r="D16" s="562" t="s">
        <v>1843</v>
      </c>
      <c r="E16" s="575">
        <f>ROUND(E14/E15*24,1)</f>
        <v>14.1</v>
      </c>
      <c r="F16" s="575">
        <f t="shared" ref="F16:I16" si="2">ROUND(F14/F15*24,1)</f>
        <v>13.4</v>
      </c>
      <c r="G16" s="575">
        <f t="shared" si="2"/>
        <v>12.6</v>
      </c>
      <c r="H16" s="575">
        <f t="shared" si="2"/>
        <v>12.2</v>
      </c>
      <c r="I16" s="575">
        <f t="shared" si="2"/>
        <v>12</v>
      </c>
      <c r="J16" s="392"/>
    </row>
    <row r="17" spans="1:10" s="388" customFormat="1" ht="17.100000000000001" customHeight="1">
      <c r="A17" s="668" t="s">
        <v>1820</v>
      </c>
      <c r="B17" s="665" t="s">
        <v>1836</v>
      </c>
      <c r="C17" s="665"/>
      <c r="D17" s="560" t="s">
        <v>1842</v>
      </c>
      <c r="E17" s="498">
        <f>'1.배수지별 수요량'!F78</f>
        <v>1500</v>
      </c>
      <c r="F17" s="498">
        <f>'1.배수지별 수요량'!G78</f>
        <v>1500</v>
      </c>
      <c r="G17" s="498">
        <f>'1.배수지별 수요량'!H78</f>
        <v>1500</v>
      </c>
      <c r="H17" s="498">
        <f>'1.배수지별 수요량'!I78</f>
        <v>1500</v>
      </c>
      <c r="I17" s="498">
        <f>'1.배수지별 수요량'!J78</f>
        <v>1500</v>
      </c>
      <c r="J17" s="390"/>
    </row>
    <row r="18" spans="1:10" s="388" customFormat="1" ht="17.100000000000001" customHeight="1">
      <c r="A18" s="663"/>
      <c r="B18" s="666" t="s">
        <v>1838</v>
      </c>
      <c r="C18" s="666"/>
      <c r="D18" s="561" t="s">
        <v>1841</v>
      </c>
      <c r="E18" s="499">
        <f>'1.배수지별 수요량'!F79</f>
        <v>1876</v>
      </c>
      <c r="F18" s="499">
        <f>'1.배수지별 수요량'!G79</f>
        <v>2074</v>
      </c>
      <c r="G18" s="499">
        <f>'1.배수지별 수요량'!H79</f>
        <v>2258</v>
      </c>
      <c r="H18" s="499">
        <f>'1.배수지별 수요량'!I79</f>
        <v>2401</v>
      </c>
      <c r="I18" s="499">
        <f>'1.배수지별 수요량'!J79</f>
        <v>2578</v>
      </c>
      <c r="J18" s="391"/>
    </row>
    <row r="19" spans="1:10" s="388" customFormat="1" ht="17.100000000000001" customHeight="1">
      <c r="A19" s="664"/>
      <c r="B19" s="667" t="s">
        <v>1827</v>
      </c>
      <c r="C19" s="667"/>
      <c r="D19" s="562" t="s">
        <v>1843</v>
      </c>
      <c r="E19" s="575">
        <f>ROUND(E17/E18*24,1)</f>
        <v>19.2</v>
      </c>
      <c r="F19" s="575">
        <f t="shared" ref="F19:I19" si="3">ROUND(F17/F18*24,1)</f>
        <v>17.399999999999999</v>
      </c>
      <c r="G19" s="575">
        <f t="shared" si="3"/>
        <v>15.9</v>
      </c>
      <c r="H19" s="575">
        <f t="shared" si="3"/>
        <v>15</v>
      </c>
      <c r="I19" s="575">
        <f t="shared" si="3"/>
        <v>14</v>
      </c>
      <c r="J19" s="392"/>
    </row>
    <row r="20" spans="1:10" ht="17.100000000000001" customHeight="1">
      <c r="A20" s="668" t="s">
        <v>1835</v>
      </c>
      <c r="B20" s="665" t="s">
        <v>1836</v>
      </c>
      <c r="C20" s="665"/>
      <c r="D20" s="560" t="s">
        <v>1842</v>
      </c>
      <c r="E20" s="498">
        <f>'1.배수지별 수요량'!F91</f>
        <v>6425</v>
      </c>
      <c r="F20" s="498">
        <f>'1.배수지별 수요량'!G91</f>
        <v>6425</v>
      </c>
      <c r="G20" s="498">
        <f>'1.배수지별 수요량'!H91</f>
        <v>14000</v>
      </c>
      <c r="H20" s="498">
        <f>'1.배수지별 수요량'!I91</f>
        <v>14000</v>
      </c>
      <c r="I20" s="498">
        <f>'1.배수지별 수요량'!J91</f>
        <v>14000</v>
      </c>
      <c r="J20" s="390"/>
    </row>
    <row r="21" spans="1:10" ht="17.100000000000001" customHeight="1">
      <c r="A21" s="663"/>
      <c r="B21" s="666" t="s">
        <v>1838</v>
      </c>
      <c r="C21" s="666"/>
      <c r="D21" s="561" t="s">
        <v>1841</v>
      </c>
      <c r="E21" s="499">
        <f>'1.배수지별 수요량'!F92</f>
        <v>20726</v>
      </c>
      <c r="F21" s="499">
        <f>'1.배수지별 수요량'!G92</f>
        <v>22918</v>
      </c>
      <c r="G21" s="499">
        <f>'1.배수지별 수요량'!H92</f>
        <v>24317</v>
      </c>
      <c r="H21" s="499">
        <f>'1.배수지별 수요량'!I92</f>
        <v>25896</v>
      </c>
      <c r="I21" s="499">
        <f>'1.배수지별 수요량'!J92</f>
        <v>27607</v>
      </c>
      <c r="J21" s="391" t="s">
        <v>1918</v>
      </c>
    </row>
    <row r="22" spans="1:10" ht="17.100000000000001" customHeight="1">
      <c r="A22" s="664"/>
      <c r="B22" s="667" t="s">
        <v>1827</v>
      </c>
      <c r="C22" s="667"/>
      <c r="D22" s="562" t="s">
        <v>1843</v>
      </c>
      <c r="E22" s="575">
        <f>ROUND(E20/E21*24,1)</f>
        <v>7.4</v>
      </c>
      <c r="F22" s="575">
        <f t="shared" ref="F22:I22" si="4">ROUND(F20/F21*24,1)</f>
        <v>6.7</v>
      </c>
      <c r="G22" s="575">
        <f t="shared" si="4"/>
        <v>13.8</v>
      </c>
      <c r="H22" s="575">
        <f t="shared" si="4"/>
        <v>13</v>
      </c>
      <c r="I22" s="575">
        <f t="shared" si="4"/>
        <v>12.2</v>
      </c>
      <c r="J22" s="392"/>
    </row>
    <row r="23" spans="1:10" ht="17.100000000000001" customHeight="1">
      <c r="A23" s="668" t="s">
        <v>1819</v>
      </c>
      <c r="B23" s="665" t="s">
        <v>1836</v>
      </c>
      <c r="C23" s="665"/>
      <c r="D23" s="560" t="s">
        <v>1842</v>
      </c>
      <c r="E23" s="498">
        <f>'1.배수지별 수요량'!F110</f>
        <v>1904</v>
      </c>
      <c r="F23" s="498">
        <f>'1.배수지별 수요량'!G110</f>
        <v>1904</v>
      </c>
      <c r="G23" s="498">
        <f>'1.배수지별 수요량'!H110</f>
        <v>1904</v>
      </c>
      <c r="H23" s="498">
        <f>'1.배수지별 수요량'!I110</f>
        <v>1904</v>
      </c>
      <c r="I23" s="498">
        <f>'1.배수지별 수요량'!J110</f>
        <v>1904</v>
      </c>
      <c r="J23" s="390"/>
    </row>
    <row r="24" spans="1:10" ht="17.100000000000001" customHeight="1">
      <c r="A24" s="663"/>
      <c r="B24" s="666" t="s">
        <v>1838</v>
      </c>
      <c r="C24" s="666"/>
      <c r="D24" s="561" t="s">
        <v>1841</v>
      </c>
      <c r="E24" s="499">
        <f>'1.배수지별 수요량'!F111</f>
        <v>4312</v>
      </c>
      <c r="F24" s="499">
        <f>'1.배수지별 수요량'!G111</f>
        <v>4357</v>
      </c>
      <c r="G24" s="499">
        <f>'1.배수지별 수요량'!H111</f>
        <v>3184</v>
      </c>
      <c r="H24" s="499">
        <f>'1.배수지별 수요량'!I111</f>
        <v>3451</v>
      </c>
      <c r="I24" s="499">
        <f>'1.배수지별 수요량'!J111</f>
        <v>3765</v>
      </c>
      <c r="J24" s="391"/>
    </row>
    <row r="25" spans="1:10" ht="17.100000000000001" customHeight="1">
      <c r="A25" s="664"/>
      <c r="B25" s="667" t="s">
        <v>1827</v>
      </c>
      <c r="C25" s="667"/>
      <c r="D25" s="562" t="s">
        <v>1843</v>
      </c>
      <c r="E25" s="575">
        <f>ROUND(E23/E24*24,1)</f>
        <v>10.6</v>
      </c>
      <c r="F25" s="575">
        <f t="shared" ref="F25:I25" si="5">ROUND(F23/F24*24,1)</f>
        <v>10.5</v>
      </c>
      <c r="G25" s="575">
        <f t="shared" si="5"/>
        <v>14.4</v>
      </c>
      <c r="H25" s="575">
        <f t="shared" si="5"/>
        <v>13.2</v>
      </c>
      <c r="I25" s="575">
        <f t="shared" si="5"/>
        <v>12.1</v>
      </c>
      <c r="J25" s="392"/>
    </row>
    <row r="26" spans="1:10" s="388" customFormat="1" ht="17.100000000000001" customHeight="1">
      <c r="A26" s="668" t="s">
        <v>1840</v>
      </c>
      <c r="B26" s="665" t="s">
        <v>1836</v>
      </c>
      <c r="C26" s="665"/>
      <c r="D26" s="560" t="s">
        <v>1842</v>
      </c>
      <c r="E26" s="498">
        <f>'1.배수지별 수요량'!F123</f>
        <v>0</v>
      </c>
      <c r="F26" s="498">
        <f>'1.배수지별 수요량'!G123</f>
        <v>2500</v>
      </c>
      <c r="G26" s="498">
        <f>'1.배수지별 수요량'!H123</f>
        <v>2500</v>
      </c>
      <c r="H26" s="498">
        <f>'1.배수지별 수요량'!I123</f>
        <v>2500</v>
      </c>
      <c r="I26" s="498">
        <f>'1.배수지별 수요량'!J123</f>
        <v>2500</v>
      </c>
      <c r="J26" s="390"/>
    </row>
    <row r="27" spans="1:10" s="388" customFormat="1" ht="17.100000000000001" customHeight="1">
      <c r="A27" s="663"/>
      <c r="B27" s="666" t="s">
        <v>1838</v>
      </c>
      <c r="C27" s="666"/>
      <c r="D27" s="561" t="s">
        <v>1841</v>
      </c>
      <c r="E27" s="499">
        <f>'1.배수지별 수요량'!F124</f>
        <v>0</v>
      </c>
      <c r="F27" s="499">
        <f>'1.배수지별 수요량'!G124</f>
        <v>544</v>
      </c>
      <c r="G27" s="499">
        <f>'1.배수지별 수요량'!H124</f>
        <v>3548</v>
      </c>
      <c r="H27" s="499">
        <f>'1.배수지별 수요량'!I124</f>
        <v>3665</v>
      </c>
      <c r="I27" s="499">
        <f>'1.배수지별 수요량'!J124</f>
        <v>3839</v>
      </c>
      <c r="J27" s="391"/>
    </row>
    <row r="28" spans="1:10" s="388" customFormat="1" ht="17.100000000000001" customHeight="1">
      <c r="A28" s="664"/>
      <c r="B28" s="667" t="s">
        <v>1827</v>
      </c>
      <c r="C28" s="667"/>
      <c r="D28" s="562" t="s">
        <v>1843</v>
      </c>
      <c r="E28" s="575"/>
      <c r="F28" s="575">
        <f t="shared" ref="F28:I28" si="6">ROUND(F26/F27*24,1)</f>
        <v>110.3</v>
      </c>
      <c r="G28" s="575">
        <f t="shared" si="6"/>
        <v>16.899999999999999</v>
      </c>
      <c r="H28" s="575">
        <f t="shared" si="6"/>
        <v>16.399999999999999</v>
      </c>
      <c r="I28" s="575">
        <f t="shared" si="6"/>
        <v>15.6</v>
      </c>
      <c r="J28" s="392"/>
    </row>
    <row r="29" spans="1:10" ht="17.100000000000001" customHeight="1">
      <c r="A29" s="668" t="s">
        <v>1821</v>
      </c>
      <c r="B29" s="665" t="s">
        <v>1836</v>
      </c>
      <c r="C29" s="665"/>
      <c r="D29" s="560" t="s">
        <v>1842</v>
      </c>
      <c r="E29" s="498">
        <f>'1.배수지별 수요량'!F136</f>
        <v>3636</v>
      </c>
      <c r="F29" s="498">
        <f>'1.배수지별 수요량'!G136</f>
        <v>3636</v>
      </c>
      <c r="G29" s="498">
        <f>'1.배수지별 수요량'!H136</f>
        <v>3636</v>
      </c>
      <c r="H29" s="498">
        <f>'1.배수지별 수요량'!I136</f>
        <v>6200</v>
      </c>
      <c r="I29" s="498">
        <f>'1.배수지별 수요량'!J136</f>
        <v>6200</v>
      </c>
      <c r="J29" s="390"/>
    </row>
    <row r="30" spans="1:10" ht="17.100000000000001" customHeight="1">
      <c r="A30" s="663"/>
      <c r="B30" s="666" t="s">
        <v>2646</v>
      </c>
      <c r="C30" s="666"/>
      <c r="D30" s="561" t="s">
        <v>1841</v>
      </c>
      <c r="E30" s="499">
        <f>'1.배수지별 수요량'!F137</f>
        <v>8759</v>
      </c>
      <c r="F30" s="499">
        <f>'1.배수지별 수요량'!G137</f>
        <v>12174</v>
      </c>
      <c r="G30" s="499">
        <f>'1.배수지별 수요량'!H137</f>
        <v>13853</v>
      </c>
      <c r="H30" s="499">
        <f>'1.배수지별 수요량'!I137</f>
        <v>12423</v>
      </c>
      <c r="I30" s="499">
        <f>'1.배수지별 수요량'!J137</f>
        <v>11690</v>
      </c>
      <c r="J30" s="391"/>
    </row>
    <row r="31" spans="1:10" ht="17.100000000000001" customHeight="1">
      <c r="A31" s="664"/>
      <c r="B31" s="667" t="s">
        <v>1827</v>
      </c>
      <c r="C31" s="667"/>
      <c r="D31" s="562" t="s">
        <v>1843</v>
      </c>
      <c r="E31" s="575">
        <f>ROUND(E29/E30*24,1)</f>
        <v>10</v>
      </c>
      <c r="F31" s="575">
        <f t="shared" ref="F31:I31" si="7">ROUND(F29/F30*24,1)</f>
        <v>7.2</v>
      </c>
      <c r="G31" s="575">
        <f t="shared" si="7"/>
        <v>6.3</v>
      </c>
      <c r="H31" s="575">
        <f t="shared" si="7"/>
        <v>12</v>
      </c>
      <c r="I31" s="575">
        <f t="shared" si="7"/>
        <v>12.7</v>
      </c>
      <c r="J31" s="392"/>
    </row>
    <row r="32" spans="1:10" s="388" customFormat="1" ht="17.100000000000001" hidden="1" customHeight="1">
      <c r="A32" s="668" t="s">
        <v>1825</v>
      </c>
      <c r="B32" s="665" t="s">
        <v>1836</v>
      </c>
      <c r="C32" s="665"/>
      <c r="D32" s="560" t="s">
        <v>1842</v>
      </c>
      <c r="E32" s="498">
        <f>'1.배수지별 수요량'!F149</f>
        <v>300</v>
      </c>
      <c r="F32" s="498">
        <f>'1.배수지별 수요량'!G149</f>
        <v>300</v>
      </c>
      <c r="G32" s="498">
        <f>'1.배수지별 수요량'!H149</f>
        <v>300</v>
      </c>
      <c r="H32" s="498">
        <f>'1.배수지별 수요량'!I149</f>
        <v>300</v>
      </c>
      <c r="I32" s="498">
        <f>'1.배수지별 수요량'!J149</f>
        <v>300</v>
      </c>
      <c r="J32" s="390"/>
    </row>
    <row r="33" spans="1:20" s="388" customFormat="1" ht="17.100000000000001" hidden="1" customHeight="1">
      <c r="A33" s="663"/>
      <c r="B33" s="666" t="s">
        <v>1838</v>
      </c>
      <c r="C33" s="666"/>
      <c r="D33" s="561" t="s">
        <v>1841</v>
      </c>
      <c r="E33" s="499">
        <f>'1.배수지별 수요량'!F150</f>
        <v>0</v>
      </c>
      <c r="F33" s="499">
        <f>'1.배수지별 수요량'!G150</f>
        <v>0</v>
      </c>
      <c r="G33" s="499">
        <f>'1.배수지별 수요량'!H150</f>
        <v>0</v>
      </c>
      <c r="H33" s="499">
        <f>'1.배수지별 수요량'!I150</f>
        <v>0</v>
      </c>
      <c r="I33" s="499">
        <f>'1.배수지별 수요량'!J150</f>
        <v>0</v>
      </c>
      <c r="J33" s="391"/>
    </row>
    <row r="34" spans="1:20" s="388" customFormat="1" ht="17.100000000000001" hidden="1" customHeight="1">
      <c r="A34" s="664"/>
      <c r="B34" s="667" t="s">
        <v>1827</v>
      </c>
      <c r="C34" s="667"/>
      <c r="D34" s="562" t="s">
        <v>1843</v>
      </c>
      <c r="E34" s="575"/>
      <c r="F34" s="575"/>
      <c r="G34" s="575" t="e">
        <f t="shared" ref="G34:I34" si="8">ROUND(G32/G33*24,1)</f>
        <v>#DIV/0!</v>
      </c>
      <c r="H34" s="575" t="e">
        <f t="shared" si="8"/>
        <v>#DIV/0!</v>
      </c>
      <c r="I34" s="575" t="e">
        <f t="shared" si="8"/>
        <v>#DIV/0!</v>
      </c>
      <c r="J34" s="392"/>
    </row>
    <row r="35" spans="1:20" s="388" customFormat="1" ht="17.100000000000001" customHeight="1">
      <c r="A35" s="668" t="s">
        <v>1823</v>
      </c>
      <c r="B35" s="665" t="s">
        <v>1836</v>
      </c>
      <c r="C35" s="665"/>
      <c r="D35" s="560" t="s">
        <v>1842</v>
      </c>
      <c r="E35" s="498">
        <f>'1.배수지별 수요량'!F162</f>
        <v>900</v>
      </c>
      <c r="F35" s="498">
        <f>'1.배수지별 수요량'!G162</f>
        <v>900</v>
      </c>
      <c r="G35" s="498">
        <f>'1.배수지별 수요량'!H162</f>
        <v>2500</v>
      </c>
      <c r="H35" s="498">
        <f>'1.배수지별 수요량'!I162</f>
        <v>2500</v>
      </c>
      <c r="I35" s="498">
        <f>'1.배수지별 수요량'!J162</f>
        <v>2500</v>
      </c>
      <c r="J35" s="390"/>
    </row>
    <row r="36" spans="1:20" s="388" customFormat="1" ht="17.100000000000001" customHeight="1">
      <c r="A36" s="663"/>
      <c r="B36" s="666" t="s">
        <v>1838</v>
      </c>
      <c r="C36" s="666"/>
      <c r="D36" s="561" t="s">
        <v>1841</v>
      </c>
      <c r="E36" s="499">
        <f>'1.배수지별 수요량'!F163</f>
        <v>1252</v>
      </c>
      <c r="F36" s="499">
        <f>'1.배수지별 수요량'!G163</f>
        <v>2385</v>
      </c>
      <c r="G36" s="499">
        <f>'1.배수지별 수요량'!H163</f>
        <v>4375</v>
      </c>
      <c r="H36" s="499">
        <f>'1.배수지별 수요량'!I163</f>
        <v>4669</v>
      </c>
      <c r="I36" s="499">
        <f>'1.배수지별 수요량'!J163</f>
        <v>4747</v>
      </c>
      <c r="J36" s="391"/>
    </row>
    <row r="37" spans="1:20" s="388" customFormat="1" ht="17.100000000000001" customHeight="1">
      <c r="A37" s="664"/>
      <c r="B37" s="667" t="s">
        <v>1827</v>
      </c>
      <c r="C37" s="667"/>
      <c r="D37" s="562" t="s">
        <v>1843</v>
      </c>
      <c r="E37" s="575">
        <f>ROUND(E35/E36*24,1)</f>
        <v>17.3</v>
      </c>
      <c r="F37" s="575">
        <f t="shared" ref="F37:I37" si="9">ROUND(F35/F36*24,1)</f>
        <v>9.1</v>
      </c>
      <c r="G37" s="575">
        <f t="shared" si="9"/>
        <v>13.7</v>
      </c>
      <c r="H37" s="575">
        <f t="shared" si="9"/>
        <v>12.9</v>
      </c>
      <c r="I37" s="575">
        <f t="shared" si="9"/>
        <v>12.6</v>
      </c>
      <c r="J37" s="392"/>
    </row>
    <row r="38" spans="1:20" s="388" customFormat="1" ht="17.100000000000001" customHeight="1">
      <c r="A38" s="668" t="s">
        <v>1912</v>
      </c>
      <c r="B38" s="665" t="s">
        <v>1836</v>
      </c>
      <c r="C38" s="665"/>
      <c r="D38" s="560" t="s">
        <v>1842</v>
      </c>
      <c r="E38" s="498">
        <f>'1.배수지별 수요량'!F187</f>
        <v>0</v>
      </c>
      <c r="F38" s="498">
        <f>'1.배수지별 수요량'!G187</f>
        <v>0</v>
      </c>
      <c r="G38" s="498">
        <f>'1.배수지별 수요량'!H187</f>
        <v>400</v>
      </c>
      <c r="H38" s="498">
        <f>'1.배수지별 수요량'!I187</f>
        <v>400</v>
      </c>
      <c r="I38" s="498">
        <f>'1.배수지별 수요량'!J187</f>
        <v>400</v>
      </c>
      <c r="J38" s="390"/>
    </row>
    <row r="39" spans="1:20" s="388" customFormat="1" ht="17.100000000000001" customHeight="1">
      <c r="A39" s="663"/>
      <c r="B39" s="666" t="s">
        <v>1838</v>
      </c>
      <c r="C39" s="666"/>
      <c r="D39" s="561" t="s">
        <v>1841</v>
      </c>
      <c r="E39" s="499">
        <f>'1.배수지별 수요량'!F188</f>
        <v>0</v>
      </c>
      <c r="F39" s="499">
        <f>'1.배수지별 수요량'!G188</f>
        <v>0</v>
      </c>
      <c r="G39" s="499">
        <f>'1.배수지별 수요량'!H188</f>
        <v>742</v>
      </c>
      <c r="H39" s="499">
        <f>'1.배수지별 수요량'!I188</f>
        <v>765</v>
      </c>
      <c r="I39" s="499">
        <f>'1.배수지별 수요량'!J188</f>
        <v>781</v>
      </c>
      <c r="J39" s="391"/>
    </row>
    <row r="40" spans="1:20" s="388" customFormat="1" ht="17.100000000000001" customHeight="1">
      <c r="A40" s="664"/>
      <c r="B40" s="667" t="s">
        <v>1827</v>
      </c>
      <c r="C40" s="667"/>
      <c r="D40" s="562" t="s">
        <v>1843</v>
      </c>
      <c r="E40" s="575"/>
      <c r="F40" s="575"/>
      <c r="G40" s="575">
        <f t="shared" ref="G40:I40" si="10">ROUND(G38/G39*24,1)</f>
        <v>12.9</v>
      </c>
      <c r="H40" s="575">
        <f t="shared" si="10"/>
        <v>12.5</v>
      </c>
      <c r="I40" s="575">
        <f t="shared" si="10"/>
        <v>12.3</v>
      </c>
      <c r="J40" s="392"/>
    </row>
    <row r="41" spans="1:20" ht="17.100000000000001" customHeight="1">
      <c r="A41" s="668" t="s">
        <v>1822</v>
      </c>
      <c r="B41" s="665" t="s">
        <v>1836</v>
      </c>
      <c r="C41" s="665"/>
      <c r="D41" s="560" t="s">
        <v>1842</v>
      </c>
      <c r="E41" s="498">
        <f>'1.배수지별 수요량'!F200</f>
        <v>2404</v>
      </c>
      <c r="F41" s="498">
        <f>'1.배수지별 수요량'!G200</f>
        <v>2404</v>
      </c>
      <c r="G41" s="498">
        <f>'1.배수지별 수요량'!H200</f>
        <v>2404</v>
      </c>
      <c r="H41" s="498">
        <f>'1.배수지별 수요량'!I200</f>
        <v>3100</v>
      </c>
      <c r="I41" s="498">
        <f>'1.배수지별 수요량'!J200</f>
        <v>3100</v>
      </c>
      <c r="J41" s="390"/>
    </row>
    <row r="42" spans="1:20" ht="17.100000000000001" customHeight="1">
      <c r="A42" s="663"/>
      <c r="B42" s="666" t="s">
        <v>1838</v>
      </c>
      <c r="C42" s="666"/>
      <c r="D42" s="561" t="s">
        <v>1841</v>
      </c>
      <c r="E42" s="499">
        <f>'1.배수지별 수요량'!F201</f>
        <v>4473</v>
      </c>
      <c r="F42" s="499">
        <f>'1.배수지별 수요량'!G201</f>
        <v>4886</v>
      </c>
      <c r="G42" s="499">
        <f>'1.배수지별 수요량'!H201</f>
        <v>5270</v>
      </c>
      <c r="H42" s="499">
        <f>'1.배수지별 수요량'!I201</f>
        <v>5821</v>
      </c>
      <c r="I42" s="499">
        <f>'1.배수지별 수요량'!J201</f>
        <v>6063</v>
      </c>
      <c r="J42" s="391"/>
    </row>
    <row r="43" spans="1:20" ht="17.100000000000001" customHeight="1">
      <c r="A43" s="664"/>
      <c r="B43" s="667" t="s">
        <v>1827</v>
      </c>
      <c r="C43" s="667"/>
      <c r="D43" s="562" t="s">
        <v>1843</v>
      </c>
      <c r="E43" s="575">
        <f>ROUND(E41/E42*24,1)</f>
        <v>12.9</v>
      </c>
      <c r="F43" s="575">
        <f t="shared" ref="F43:I43" si="11">ROUND(F41/F42*24,1)</f>
        <v>11.8</v>
      </c>
      <c r="G43" s="575">
        <f t="shared" si="11"/>
        <v>10.9</v>
      </c>
      <c r="H43" s="575">
        <f t="shared" si="11"/>
        <v>12.8</v>
      </c>
      <c r="I43" s="575">
        <f t="shared" si="11"/>
        <v>12.3</v>
      </c>
      <c r="J43" s="508"/>
    </row>
    <row r="44" spans="1:20" ht="17.100000000000001" customHeight="1">
      <c r="A44" s="668" t="s">
        <v>1824</v>
      </c>
      <c r="B44" s="665" t="s">
        <v>1836</v>
      </c>
      <c r="C44" s="665"/>
      <c r="D44" s="560" t="s">
        <v>1842</v>
      </c>
      <c r="E44" s="498">
        <f>'1.배수지별 수요량'!F213</f>
        <v>0</v>
      </c>
      <c r="F44" s="498">
        <f>'1.배수지별 수요량'!G213</f>
        <v>900</v>
      </c>
      <c r="G44" s="498">
        <f>'1.배수지별 수요량'!H213</f>
        <v>900</v>
      </c>
      <c r="H44" s="498">
        <f>'1.배수지별 수요량'!I213</f>
        <v>1300</v>
      </c>
      <c r="I44" s="498">
        <f>'1.배수지별 수요량'!J213</f>
        <v>1300</v>
      </c>
      <c r="J44" s="390"/>
      <c r="L44" s="668" t="s">
        <v>1824</v>
      </c>
      <c r="M44" s="665" t="s">
        <v>1836</v>
      </c>
      <c r="N44" s="665"/>
      <c r="O44" s="595" t="s">
        <v>1842</v>
      </c>
      <c r="P44" s="498"/>
      <c r="Q44" s="498">
        <v>900</v>
      </c>
      <c r="R44" s="498">
        <v>900</v>
      </c>
      <c r="S44" s="498">
        <v>900</v>
      </c>
      <c r="T44" s="498">
        <v>900</v>
      </c>
    </row>
    <row r="45" spans="1:20" ht="17.100000000000001" customHeight="1">
      <c r="A45" s="663"/>
      <c r="B45" s="666" t="s">
        <v>1838</v>
      </c>
      <c r="C45" s="666"/>
      <c r="D45" s="561" t="s">
        <v>1841</v>
      </c>
      <c r="E45" s="499">
        <f>'1.배수지별 수요량'!F214</f>
        <v>0</v>
      </c>
      <c r="F45" s="499">
        <f>'1.배수지별 수요량'!G214</f>
        <v>1458</v>
      </c>
      <c r="G45" s="499">
        <f>'1.배수지별 수요량'!H214</f>
        <v>2315</v>
      </c>
      <c r="H45" s="499">
        <f>'1.배수지별 수요량'!I214</f>
        <v>2461</v>
      </c>
      <c r="I45" s="499">
        <f>'1.배수지별 수요량'!J214</f>
        <v>2495</v>
      </c>
      <c r="J45" s="391"/>
      <c r="L45" s="663"/>
      <c r="M45" s="666" t="s">
        <v>1838</v>
      </c>
      <c r="N45" s="666"/>
      <c r="O45" s="593" t="s">
        <v>1841</v>
      </c>
      <c r="P45" s="499"/>
      <c r="Q45" s="499">
        <f>'1.배수지별 수요량'!R214</f>
        <v>0</v>
      </c>
      <c r="R45" s="499">
        <f>'1.배수지별 수요량'!S214</f>
        <v>0</v>
      </c>
      <c r="S45" s="499">
        <f>'1.배수지별 수요량'!T214</f>
        <v>0</v>
      </c>
      <c r="T45" s="499">
        <f>'1.배수지별 수요량'!U214</f>
        <v>0</v>
      </c>
    </row>
    <row r="46" spans="1:20" ht="17.100000000000001" customHeight="1">
      <c r="A46" s="664"/>
      <c r="B46" s="667" t="s">
        <v>1827</v>
      </c>
      <c r="C46" s="667"/>
      <c r="D46" s="562" t="s">
        <v>1843</v>
      </c>
      <c r="E46" s="575"/>
      <c r="F46" s="575">
        <f t="shared" ref="F46:I46" si="12">ROUND(F44/F45*24,1)</f>
        <v>14.8</v>
      </c>
      <c r="G46" s="575">
        <f t="shared" si="12"/>
        <v>9.3000000000000007</v>
      </c>
      <c r="H46" s="575">
        <f t="shared" si="12"/>
        <v>12.7</v>
      </c>
      <c r="I46" s="575">
        <f t="shared" si="12"/>
        <v>12.5</v>
      </c>
      <c r="J46" s="392"/>
      <c r="L46" s="664"/>
      <c r="M46" s="667" t="s">
        <v>1827</v>
      </c>
      <c r="N46" s="667"/>
      <c r="O46" s="594" t="s">
        <v>1843</v>
      </c>
      <c r="P46" s="575"/>
      <c r="Q46" s="575" t="e">
        <f t="shared" ref="Q46:T46" si="13">ROUND(Q44/Q45*24,1)</f>
        <v>#DIV/0!</v>
      </c>
      <c r="R46" s="575" t="e">
        <f t="shared" si="13"/>
        <v>#DIV/0!</v>
      </c>
      <c r="S46" s="575" t="e">
        <f t="shared" si="13"/>
        <v>#DIV/0!</v>
      </c>
      <c r="T46" s="575" t="e">
        <f t="shared" si="13"/>
        <v>#DIV/0!</v>
      </c>
    </row>
    <row r="47" spans="1:20" ht="17.100000000000001" customHeight="1">
      <c r="A47" s="668" t="s">
        <v>2434</v>
      </c>
      <c r="B47" s="665" t="s">
        <v>1836</v>
      </c>
      <c r="C47" s="665"/>
      <c r="D47" s="560" t="s">
        <v>1842</v>
      </c>
      <c r="E47" s="498">
        <f>'1.배수지별 수요량'!F232</f>
        <v>0</v>
      </c>
      <c r="F47" s="498">
        <f>'1.배수지별 수요량'!G232</f>
        <v>0</v>
      </c>
      <c r="G47" s="498">
        <f>'1.배수지별 수요량'!H232</f>
        <v>0</v>
      </c>
      <c r="H47" s="498">
        <f>'1.배수지별 수요량'!I232</f>
        <v>1900</v>
      </c>
      <c r="I47" s="498">
        <f>'1.배수지별 수요량'!J232</f>
        <v>1900</v>
      </c>
      <c r="J47" s="390"/>
    </row>
    <row r="48" spans="1:20" ht="17.100000000000001" customHeight="1">
      <c r="A48" s="663"/>
      <c r="B48" s="666" t="s">
        <v>1838</v>
      </c>
      <c r="C48" s="666"/>
      <c r="D48" s="561" t="s">
        <v>1841</v>
      </c>
      <c r="E48" s="499">
        <f>'1.배수지별 수요량'!F233</f>
        <v>0</v>
      </c>
      <c r="F48" s="499">
        <f>'1.배수지별 수요량'!G233</f>
        <v>0</v>
      </c>
      <c r="G48" s="499">
        <f>'1.배수지별 수요량'!H233</f>
        <v>0</v>
      </c>
      <c r="H48" s="499">
        <f>'1.배수지별 수요량'!I233</f>
        <v>2463</v>
      </c>
      <c r="I48" s="499">
        <f>'1.배수지별 수요량'!J233</f>
        <v>3675</v>
      </c>
      <c r="J48" s="391"/>
    </row>
    <row r="49" spans="1:10" ht="17.100000000000001" customHeight="1">
      <c r="A49" s="664"/>
      <c r="B49" s="667" t="s">
        <v>1827</v>
      </c>
      <c r="C49" s="667"/>
      <c r="D49" s="562" t="s">
        <v>1843</v>
      </c>
      <c r="E49" s="575"/>
      <c r="F49" s="575"/>
      <c r="G49" s="575"/>
      <c r="H49" s="575">
        <f t="shared" ref="H49:I49" si="14">ROUND(H47/H48*24,1)</f>
        <v>18.5</v>
      </c>
      <c r="I49" s="575">
        <f t="shared" si="14"/>
        <v>12.4</v>
      </c>
      <c r="J49" s="392"/>
    </row>
    <row r="52" spans="1:10" ht="20.100000000000001" customHeight="1">
      <c r="A52" s="662" t="s">
        <v>2586</v>
      </c>
      <c r="B52" s="665" t="s">
        <v>1836</v>
      </c>
      <c r="C52" s="665"/>
      <c r="D52" s="489" t="s">
        <v>1842</v>
      </c>
      <c r="E52" s="498">
        <f>'1.배수지별 수요량'!F221</f>
        <v>0</v>
      </c>
      <c r="F52" s="498">
        <v>900</v>
      </c>
      <c r="G52" s="498">
        <v>900</v>
      </c>
      <c r="H52" s="498">
        <v>1700</v>
      </c>
      <c r="I52" s="498">
        <v>1700</v>
      </c>
    </row>
    <row r="53" spans="1:10" ht="20.100000000000001" customHeight="1">
      <c r="A53" s="663"/>
      <c r="B53" s="666" t="s">
        <v>1838</v>
      </c>
      <c r="C53" s="666"/>
      <c r="D53" s="490" t="s">
        <v>1841</v>
      </c>
      <c r="E53" s="499">
        <f>'1.배수지별 수요량'!F222</f>
        <v>0</v>
      </c>
      <c r="F53" s="499">
        <f>F45</f>
        <v>1458</v>
      </c>
      <c r="G53" s="499">
        <f>G45+'2.생활용수(연산)'!S76</f>
        <v>3058</v>
      </c>
      <c r="H53" s="499">
        <f>H45+'2.생활용수(연산)'!T76</f>
        <v>3274</v>
      </c>
      <c r="I53" s="499">
        <f>I45+'2.생활용수(연산)'!U76</f>
        <v>3319</v>
      </c>
    </row>
    <row r="54" spans="1:10" ht="20.100000000000001" customHeight="1">
      <c r="A54" s="664"/>
      <c r="B54" s="667" t="s">
        <v>1827</v>
      </c>
      <c r="C54" s="667"/>
      <c r="D54" s="491" t="s">
        <v>1843</v>
      </c>
      <c r="E54" s="500"/>
      <c r="F54" s="501">
        <f t="shared" ref="F54:I54" si="15">ROUND(F52/F53*24,1)</f>
        <v>14.8</v>
      </c>
      <c r="G54" s="501">
        <f t="shared" si="15"/>
        <v>7.1</v>
      </c>
      <c r="H54" s="501">
        <f t="shared" si="15"/>
        <v>12.5</v>
      </c>
      <c r="I54" s="501">
        <f t="shared" si="15"/>
        <v>12.3</v>
      </c>
    </row>
    <row r="57" spans="1:10" ht="20.100000000000001" customHeight="1">
      <c r="A57" s="502" t="s">
        <v>2587</v>
      </c>
      <c r="B57" s="661" t="s">
        <v>2588</v>
      </c>
      <c r="C57" s="661"/>
      <c r="D57" s="661"/>
      <c r="E57" s="502">
        <v>2015</v>
      </c>
      <c r="F57" s="502">
        <v>2020</v>
      </c>
      <c r="G57" s="502">
        <v>2025</v>
      </c>
      <c r="H57" s="502">
        <v>2030</v>
      </c>
      <c r="I57" s="502" t="s">
        <v>2590</v>
      </c>
      <c r="J57" s="502" t="s">
        <v>2589</v>
      </c>
    </row>
    <row r="58" spans="1:10" ht="20.100000000000001" customHeight="1">
      <c r="A58" s="502" t="s">
        <v>2591</v>
      </c>
      <c r="B58" s="658">
        <f>I21</f>
        <v>27607</v>
      </c>
      <c r="C58" s="659"/>
      <c r="D58" s="660"/>
      <c r="E58" s="502"/>
      <c r="F58" s="11">
        <f>G20-F20</f>
        <v>7575</v>
      </c>
      <c r="G58" s="11"/>
      <c r="H58" s="502"/>
      <c r="I58" s="510">
        <f>I22</f>
        <v>12.2</v>
      </c>
      <c r="J58" s="502"/>
    </row>
    <row r="59" spans="1:10" ht="20.100000000000001" customHeight="1">
      <c r="A59" s="502" t="s">
        <v>2592</v>
      </c>
      <c r="B59" s="658">
        <f>I30</f>
        <v>11690</v>
      </c>
      <c r="C59" s="659"/>
      <c r="D59" s="660"/>
      <c r="E59" s="502"/>
      <c r="F59" s="11">
        <f>G29-F29</f>
        <v>0</v>
      </c>
      <c r="G59" s="502"/>
      <c r="H59" s="502"/>
      <c r="I59" s="510">
        <f>I31</f>
        <v>12.7</v>
      </c>
      <c r="J59" s="502"/>
    </row>
    <row r="60" spans="1:10" ht="20.100000000000001" customHeight="1">
      <c r="A60" s="502" t="s">
        <v>2593</v>
      </c>
      <c r="B60" s="658">
        <f>I36</f>
        <v>4747</v>
      </c>
      <c r="C60" s="659"/>
      <c r="D60" s="660"/>
      <c r="E60" s="502"/>
      <c r="F60" s="11">
        <f>G35-F35</f>
        <v>1600</v>
      </c>
      <c r="G60" s="502"/>
      <c r="H60" s="502"/>
      <c r="I60" s="510">
        <f>I37</f>
        <v>12.6</v>
      </c>
      <c r="J60" s="502"/>
    </row>
    <row r="61" spans="1:10" ht="20.100000000000001" customHeight="1">
      <c r="A61" s="502" t="s">
        <v>2594</v>
      </c>
      <c r="B61" s="658">
        <f>I45</f>
        <v>2495</v>
      </c>
      <c r="C61" s="659"/>
      <c r="D61" s="660"/>
      <c r="E61" s="11">
        <f>F44-E44</f>
        <v>900</v>
      </c>
      <c r="F61" s="502"/>
      <c r="G61" s="502"/>
      <c r="H61" s="502"/>
      <c r="I61" s="510">
        <f>I46</f>
        <v>12.5</v>
      </c>
      <c r="J61" s="502"/>
    </row>
    <row r="62" spans="1:10" ht="20.100000000000001" customHeight="1">
      <c r="A62" s="502" t="s">
        <v>2596</v>
      </c>
      <c r="B62" s="658">
        <f>I39</f>
        <v>781</v>
      </c>
      <c r="C62" s="659"/>
      <c r="D62" s="660"/>
      <c r="E62" s="502"/>
      <c r="F62" s="11">
        <f>G38-F38</f>
        <v>400</v>
      </c>
      <c r="G62" s="502"/>
      <c r="H62" s="502"/>
      <c r="I62" s="510">
        <f>I40</f>
        <v>12.3</v>
      </c>
      <c r="J62" s="502"/>
    </row>
    <row r="63" spans="1:10" ht="20.100000000000001" customHeight="1">
      <c r="A63" s="502" t="s">
        <v>2595</v>
      </c>
      <c r="B63" s="658">
        <f>I48</f>
        <v>3675</v>
      </c>
      <c r="C63" s="659"/>
      <c r="D63" s="660"/>
      <c r="E63" s="502"/>
      <c r="F63" s="11">
        <f>G47-F47</f>
        <v>0</v>
      </c>
      <c r="G63" s="502"/>
      <c r="H63" s="502"/>
      <c r="I63" s="510">
        <f>I49</f>
        <v>12.4</v>
      </c>
      <c r="J63" s="502"/>
    </row>
  </sheetData>
  <mergeCells count="70">
    <mergeCell ref="L44:L46"/>
    <mergeCell ref="M44:N44"/>
    <mergeCell ref="M45:N45"/>
    <mergeCell ref="M46:N46"/>
    <mergeCell ref="B15:C15"/>
    <mergeCell ref="B16:C16"/>
    <mergeCell ref="A17:A19"/>
    <mergeCell ref="B17:C17"/>
    <mergeCell ref="B18:C18"/>
    <mergeCell ref="B19:C19"/>
    <mergeCell ref="A26:A28"/>
    <mergeCell ref="B26:C26"/>
    <mergeCell ref="B27:C27"/>
    <mergeCell ref="B28:C28"/>
    <mergeCell ref="A44:A46"/>
    <mergeCell ref="B44:C44"/>
    <mergeCell ref="B45:C45"/>
    <mergeCell ref="B46:C46"/>
    <mergeCell ref="A41:A43"/>
    <mergeCell ref="B41:C41"/>
    <mergeCell ref="B42:C42"/>
    <mergeCell ref="B43:C43"/>
    <mergeCell ref="A38:A40"/>
    <mergeCell ref="B38:C38"/>
    <mergeCell ref="B39:C39"/>
    <mergeCell ref="B40:C40"/>
    <mergeCell ref="B35:C35"/>
    <mergeCell ref="B36:C36"/>
    <mergeCell ref="B37:C37"/>
    <mergeCell ref="A35:A37"/>
    <mergeCell ref="A29:A31"/>
    <mergeCell ref="B29:C29"/>
    <mergeCell ref="B30:C30"/>
    <mergeCell ref="B31:C31"/>
    <mergeCell ref="A32:A34"/>
    <mergeCell ref="B32:C32"/>
    <mergeCell ref="B33:C33"/>
    <mergeCell ref="B34:C34"/>
    <mergeCell ref="J2:J3"/>
    <mergeCell ref="B24:C24"/>
    <mergeCell ref="B25:C25"/>
    <mergeCell ref="A4:C4"/>
    <mergeCell ref="D2:D3"/>
    <mergeCell ref="A2:C3"/>
    <mergeCell ref="B5:C5"/>
    <mergeCell ref="B20:C20"/>
    <mergeCell ref="B21:C21"/>
    <mergeCell ref="B22:C22"/>
    <mergeCell ref="A20:A22"/>
    <mergeCell ref="E2:I2"/>
    <mergeCell ref="A23:A25"/>
    <mergeCell ref="B23:C23"/>
    <mergeCell ref="A14:A16"/>
    <mergeCell ref="B14:C14"/>
    <mergeCell ref="A5:A13"/>
    <mergeCell ref="B62:D62"/>
    <mergeCell ref="B63:D63"/>
    <mergeCell ref="B57:D57"/>
    <mergeCell ref="B58:D58"/>
    <mergeCell ref="B59:D59"/>
    <mergeCell ref="B60:D60"/>
    <mergeCell ref="B61:D61"/>
    <mergeCell ref="A52:A54"/>
    <mergeCell ref="B52:C52"/>
    <mergeCell ref="B53:C53"/>
    <mergeCell ref="B54:C54"/>
    <mergeCell ref="A47:A49"/>
    <mergeCell ref="B47:C47"/>
    <mergeCell ref="B48:C48"/>
    <mergeCell ref="B49:C49"/>
  </mergeCells>
  <phoneticPr fontId="3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85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>
  <dimension ref="A1:N68"/>
  <sheetViews>
    <sheetView workbookViewId="0"/>
  </sheetViews>
  <sheetFormatPr defaultRowHeight="11.25"/>
  <cols>
    <col min="1" max="2" width="8.88671875" style="15"/>
    <col min="3" max="3" width="16.88671875" style="15" customWidth="1"/>
    <col min="4" max="9" width="8.88671875" style="15"/>
    <col min="10" max="10" width="14.88671875" style="15" customWidth="1"/>
    <col min="11" max="14" width="11.88671875" style="15" customWidth="1"/>
    <col min="15" max="15" width="11.5546875" style="15" customWidth="1"/>
    <col min="16" max="16384" width="8.88671875" style="15"/>
  </cols>
  <sheetData>
    <row r="1" spans="1:14" ht="24.95" customHeight="1"/>
    <row r="2" spans="1:14" ht="24.95" customHeight="1">
      <c r="A2" s="782" t="s">
        <v>0</v>
      </c>
      <c r="B2" s="782"/>
      <c r="C2" s="782"/>
      <c r="D2" s="783" t="s">
        <v>58</v>
      </c>
      <c r="E2" s="783"/>
      <c r="F2" s="783"/>
      <c r="G2" s="783"/>
      <c r="H2" s="782" t="s">
        <v>30</v>
      </c>
    </row>
    <row r="3" spans="1:14" ht="24.95" customHeight="1">
      <c r="A3" s="782"/>
      <c r="B3" s="782"/>
      <c r="C3" s="782"/>
      <c r="D3" s="17" t="s">
        <v>119</v>
      </c>
      <c r="E3" s="17" t="s">
        <v>120</v>
      </c>
      <c r="F3" s="17" t="s">
        <v>121</v>
      </c>
      <c r="G3" s="17" t="s">
        <v>122</v>
      </c>
      <c r="H3" s="782"/>
    </row>
    <row r="4" spans="1:14" ht="24.95" customHeight="1">
      <c r="A4" s="782" t="s">
        <v>96</v>
      </c>
      <c r="B4" s="781" t="s">
        <v>97</v>
      </c>
      <c r="C4" s="16" t="s">
        <v>59</v>
      </c>
      <c r="D4" s="18">
        <f>SUM(D5:D6)</f>
        <v>35803</v>
      </c>
      <c r="E4" s="18">
        <f>SUM(E5:E6)</f>
        <v>34576</v>
      </c>
      <c r="F4" s="18">
        <f>SUM(F5:F6)</f>
        <v>33276</v>
      </c>
      <c r="G4" s="18">
        <f>SUM(G5:G6)</f>
        <v>31776</v>
      </c>
      <c r="H4" s="10"/>
    </row>
    <row r="5" spans="1:14" ht="24.95" customHeight="1">
      <c r="A5" s="782"/>
      <c r="B5" s="782"/>
      <c r="C5" s="16" t="s">
        <v>60</v>
      </c>
      <c r="D5" s="18">
        <v>30300</v>
      </c>
      <c r="E5" s="18">
        <v>28900</v>
      </c>
      <c r="F5" s="18">
        <v>27600</v>
      </c>
      <c r="G5" s="18">
        <v>26100</v>
      </c>
      <c r="H5" s="10"/>
    </row>
    <row r="6" spans="1:14" ht="24.95" customHeight="1">
      <c r="A6" s="782"/>
      <c r="B6" s="782"/>
      <c r="C6" s="16" t="s">
        <v>61</v>
      </c>
      <c r="D6" s="18">
        <v>5503</v>
      </c>
      <c r="E6" s="18">
        <v>5676</v>
      </c>
      <c r="F6" s="18">
        <v>5676</v>
      </c>
      <c r="G6" s="18">
        <v>5676</v>
      </c>
      <c r="H6" s="10"/>
    </row>
    <row r="7" spans="1:14" ht="24.95" customHeight="1">
      <c r="A7" s="782"/>
      <c r="B7" s="782"/>
      <c r="C7" s="16" t="s">
        <v>62</v>
      </c>
      <c r="D7" s="18" t="s">
        <v>178</v>
      </c>
      <c r="E7" s="18" t="s">
        <v>178</v>
      </c>
      <c r="F7" s="18" t="s">
        <v>178</v>
      </c>
      <c r="G7" s="18" t="s">
        <v>178</v>
      </c>
      <c r="H7" s="10"/>
      <c r="J7" s="23" t="s">
        <v>0</v>
      </c>
      <c r="K7" s="24" t="s">
        <v>119</v>
      </c>
      <c r="L7" s="24" t="s">
        <v>120</v>
      </c>
      <c r="M7" s="24" t="s">
        <v>121</v>
      </c>
      <c r="N7" s="24" t="s">
        <v>122</v>
      </c>
    </row>
    <row r="8" spans="1:14" ht="24.95" customHeight="1">
      <c r="A8" s="782"/>
      <c r="B8" s="782" t="s">
        <v>100</v>
      </c>
      <c r="C8" s="16" t="s">
        <v>60</v>
      </c>
      <c r="D8" s="39">
        <v>0.8</v>
      </c>
      <c r="E8" s="39">
        <v>0.85</v>
      </c>
      <c r="F8" s="39">
        <v>0.9</v>
      </c>
      <c r="G8" s="39">
        <v>0.95</v>
      </c>
      <c r="H8" s="10"/>
      <c r="J8" s="23" t="s">
        <v>112</v>
      </c>
      <c r="K8" s="19">
        <v>284</v>
      </c>
      <c r="L8" s="19">
        <v>318</v>
      </c>
      <c r="M8" s="19">
        <v>351</v>
      </c>
      <c r="N8" s="19">
        <v>383</v>
      </c>
    </row>
    <row r="9" spans="1:14" ht="24.95" customHeight="1">
      <c r="A9" s="782"/>
      <c r="B9" s="782"/>
      <c r="C9" s="16" t="s">
        <v>61</v>
      </c>
      <c r="D9" s="39">
        <v>1</v>
      </c>
      <c r="E9" s="39">
        <v>1</v>
      </c>
      <c r="F9" s="39">
        <v>1</v>
      </c>
      <c r="G9" s="39">
        <v>1</v>
      </c>
      <c r="H9" s="10"/>
      <c r="J9" s="20" t="s">
        <v>27</v>
      </c>
      <c r="K9" s="21">
        <v>0.65</v>
      </c>
      <c r="L9" s="22">
        <v>0.7</v>
      </c>
      <c r="M9" s="21">
        <v>0.75</v>
      </c>
      <c r="N9" s="21">
        <v>0.8</v>
      </c>
    </row>
    <row r="10" spans="1:14" ht="24.95" customHeight="1">
      <c r="A10" s="782"/>
      <c r="B10" s="782"/>
      <c r="C10" s="16" t="s">
        <v>62</v>
      </c>
      <c r="D10" s="18" t="s">
        <v>178</v>
      </c>
      <c r="E10" s="18" t="s">
        <v>178</v>
      </c>
      <c r="F10" s="18" t="s">
        <v>178</v>
      </c>
      <c r="G10" s="18" t="s">
        <v>178</v>
      </c>
      <c r="H10" s="10"/>
      <c r="J10" s="23" t="s">
        <v>113</v>
      </c>
      <c r="K10" s="19">
        <f>ROUND(K8/K9,0)</f>
        <v>437</v>
      </c>
      <c r="L10" s="19">
        <f>ROUND(L8/L9,0)</f>
        <v>454</v>
      </c>
      <c r="M10" s="19">
        <f>ROUND(M8/M9,0)</f>
        <v>468</v>
      </c>
      <c r="N10" s="19">
        <f>ROUND(N8/N9,0)</f>
        <v>479</v>
      </c>
    </row>
    <row r="11" spans="1:14" ht="24.95" customHeight="1">
      <c r="A11" s="782"/>
      <c r="B11" s="782" t="s">
        <v>102</v>
      </c>
      <c r="C11" s="16" t="s">
        <v>59</v>
      </c>
      <c r="D11" s="18">
        <f>SUM(D12:D13)</f>
        <v>29743</v>
      </c>
      <c r="E11" s="18">
        <f>SUM(E12:E13)</f>
        <v>30241</v>
      </c>
      <c r="F11" s="18">
        <f>SUM(F12:F13)</f>
        <v>30516</v>
      </c>
      <c r="G11" s="18">
        <f>SUM(G12:G13)</f>
        <v>30471</v>
      </c>
      <c r="H11" s="10"/>
      <c r="J11" s="20" t="s">
        <v>103</v>
      </c>
      <c r="K11" s="19">
        <v>1.4</v>
      </c>
      <c r="L11" s="19">
        <v>1.4</v>
      </c>
      <c r="M11" s="19">
        <v>1.4</v>
      </c>
      <c r="N11" s="19">
        <v>1.4</v>
      </c>
    </row>
    <row r="12" spans="1:14" ht="24.95" customHeight="1">
      <c r="A12" s="782"/>
      <c r="B12" s="782"/>
      <c r="C12" s="16" t="s">
        <v>60</v>
      </c>
      <c r="D12" s="18">
        <f t="shared" ref="D12:G13" si="0">ROUND(D5*D8,0)</f>
        <v>24240</v>
      </c>
      <c r="E12" s="18">
        <f t="shared" si="0"/>
        <v>24565</v>
      </c>
      <c r="F12" s="18">
        <f t="shared" si="0"/>
        <v>24840</v>
      </c>
      <c r="G12" s="18">
        <f t="shared" si="0"/>
        <v>24795</v>
      </c>
      <c r="H12" s="10"/>
      <c r="J12" s="23" t="s">
        <v>118</v>
      </c>
      <c r="K12" s="20">
        <f>ROUND(K10*K11,0)</f>
        <v>612</v>
      </c>
      <c r="L12" s="20">
        <f>ROUND(L10*L11,0)</f>
        <v>636</v>
      </c>
      <c r="M12" s="20">
        <f>ROUND(M10*M11,0)</f>
        <v>655</v>
      </c>
      <c r="N12" s="20">
        <f>ROUND(N10*N11,0)</f>
        <v>671</v>
      </c>
    </row>
    <row r="13" spans="1:14" ht="24.95" customHeight="1">
      <c r="A13" s="782"/>
      <c r="B13" s="782"/>
      <c r="C13" s="16" t="s">
        <v>61</v>
      </c>
      <c r="D13" s="18">
        <f t="shared" si="0"/>
        <v>5503</v>
      </c>
      <c r="E13" s="18">
        <f t="shared" si="0"/>
        <v>5676</v>
      </c>
      <c r="F13" s="18">
        <f t="shared" si="0"/>
        <v>5676</v>
      </c>
      <c r="G13" s="18">
        <f t="shared" si="0"/>
        <v>5676</v>
      </c>
      <c r="H13" s="10"/>
      <c r="J13" s="25"/>
      <c r="K13" s="25"/>
      <c r="L13" s="25"/>
      <c r="M13" s="25"/>
      <c r="N13" s="25"/>
    </row>
    <row r="14" spans="1:14" ht="24.95" customHeight="1">
      <c r="A14" s="782"/>
      <c r="B14" s="782"/>
      <c r="C14" s="16" t="s">
        <v>62</v>
      </c>
      <c r="D14" s="18" t="s">
        <v>178</v>
      </c>
      <c r="E14" s="18" t="s">
        <v>178</v>
      </c>
      <c r="F14" s="18" t="s">
        <v>178</v>
      </c>
      <c r="G14" s="18" t="s">
        <v>178</v>
      </c>
      <c r="H14" s="10"/>
      <c r="J14" s="25"/>
      <c r="K14" s="25"/>
      <c r="L14" s="25"/>
      <c r="M14" s="25"/>
      <c r="N14" s="25"/>
    </row>
    <row r="15" spans="1:14" ht="24.95" customHeight="1">
      <c r="A15" s="782"/>
      <c r="B15" s="781" t="s">
        <v>179</v>
      </c>
      <c r="C15" s="16" t="s">
        <v>104</v>
      </c>
      <c r="D15" s="16">
        <v>437</v>
      </c>
      <c r="E15" s="16">
        <v>454</v>
      </c>
      <c r="F15" s="16">
        <v>468</v>
      </c>
      <c r="G15" s="16">
        <v>479</v>
      </c>
      <c r="H15" s="10"/>
      <c r="J15" s="25"/>
      <c r="K15" s="25"/>
      <c r="L15" s="25"/>
      <c r="M15" s="25"/>
      <c r="N15" s="25"/>
    </row>
    <row r="16" spans="1:14" ht="24.95" customHeight="1">
      <c r="A16" s="782"/>
      <c r="B16" s="782"/>
      <c r="C16" s="16" t="s">
        <v>105</v>
      </c>
      <c r="D16" s="16">
        <v>612</v>
      </c>
      <c r="E16" s="16">
        <v>636</v>
      </c>
      <c r="F16" s="16">
        <v>655</v>
      </c>
      <c r="G16" s="16">
        <v>671</v>
      </c>
      <c r="H16" s="10"/>
    </row>
    <row r="17" spans="1:8" ht="24.95" customHeight="1">
      <c r="A17" s="782"/>
      <c r="B17" s="782" t="s">
        <v>106</v>
      </c>
      <c r="C17" s="16" t="s">
        <v>104</v>
      </c>
      <c r="D17" s="18">
        <f>ROUND(D11*D15/1000,0)</f>
        <v>12998</v>
      </c>
      <c r="E17" s="18">
        <f>ROUND(E11*E15/1000,0)</f>
        <v>13729</v>
      </c>
      <c r="F17" s="18">
        <f>ROUND(F11*F15/1000,0)</f>
        <v>14281</v>
      </c>
      <c r="G17" s="18">
        <f>ROUND(G11*G15/1000,0)</f>
        <v>14596</v>
      </c>
      <c r="H17" s="10"/>
    </row>
    <row r="18" spans="1:8" ht="24.95" customHeight="1">
      <c r="A18" s="782"/>
      <c r="B18" s="782"/>
      <c r="C18" s="16" t="s">
        <v>105</v>
      </c>
      <c r="D18" s="30">
        <f>ROUND(D11*D16/1000,0)</f>
        <v>18203</v>
      </c>
      <c r="E18" s="30">
        <f>ROUND(E11*E16/1000,0)</f>
        <v>19233</v>
      </c>
      <c r="F18" s="30">
        <f>ROUND(F11*F16/1000,0)</f>
        <v>19988</v>
      </c>
      <c r="G18" s="30">
        <f>ROUND(G11*G16/1000,0)</f>
        <v>20446</v>
      </c>
      <c r="H18" s="10"/>
    </row>
    <row r="19" spans="1:8" ht="24.95" customHeight="1">
      <c r="A19" s="782" t="s">
        <v>107</v>
      </c>
      <c r="B19" s="782" t="s">
        <v>106</v>
      </c>
      <c r="C19" s="16" t="s">
        <v>104</v>
      </c>
      <c r="D19" s="16">
        <v>820</v>
      </c>
      <c r="E19" s="16">
        <v>820</v>
      </c>
      <c r="F19" s="16">
        <v>820</v>
      </c>
      <c r="G19" s="16">
        <v>820</v>
      </c>
      <c r="H19" s="10"/>
    </row>
    <row r="20" spans="1:8" ht="24.95" customHeight="1">
      <c r="A20" s="782"/>
      <c r="B20" s="782"/>
      <c r="C20" s="16" t="s">
        <v>105</v>
      </c>
      <c r="D20" s="30">
        <v>1148</v>
      </c>
      <c r="E20" s="30">
        <v>1148</v>
      </c>
      <c r="F20" s="30">
        <v>1148</v>
      </c>
      <c r="G20" s="30">
        <v>1148</v>
      </c>
      <c r="H20" s="10"/>
    </row>
    <row r="21" spans="1:8" ht="24.95" customHeight="1">
      <c r="A21" s="794" t="s">
        <v>108</v>
      </c>
      <c r="B21" s="782" t="s">
        <v>109</v>
      </c>
      <c r="C21" s="782"/>
      <c r="D21" s="30">
        <v>1948</v>
      </c>
      <c r="E21" s="30">
        <v>2956</v>
      </c>
      <c r="F21" s="30">
        <v>3240</v>
      </c>
      <c r="G21" s="30">
        <v>3546</v>
      </c>
      <c r="H21" s="10"/>
    </row>
    <row r="22" spans="1:8" ht="24.95" customHeight="1">
      <c r="A22" s="796"/>
      <c r="B22" s="782" t="s">
        <v>110</v>
      </c>
      <c r="C22" s="782"/>
      <c r="D22" s="30">
        <v>14544</v>
      </c>
      <c r="E22" s="30">
        <v>16821</v>
      </c>
      <c r="F22" s="30">
        <v>16821</v>
      </c>
      <c r="G22" s="30">
        <v>16821</v>
      </c>
      <c r="H22" s="10"/>
    </row>
    <row r="23" spans="1:8" ht="24.95" customHeight="1">
      <c r="A23" s="782" t="s">
        <v>111</v>
      </c>
      <c r="B23" s="782"/>
      <c r="C23" s="782"/>
      <c r="D23" s="30">
        <f>D18+D20+D21+D22</f>
        <v>35843</v>
      </c>
      <c r="E23" s="30">
        <f>E18+E20+E21+E22</f>
        <v>40158</v>
      </c>
      <c r="F23" s="30">
        <f>F18+F20+F21+F22</f>
        <v>41197</v>
      </c>
      <c r="G23" s="30">
        <f>G18+G20+G21+G22</f>
        <v>41961</v>
      </c>
      <c r="H23" s="10"/>
    </row>
    <row r="24" spans="1:8" ht="24.95" customHeight="1"/>
    <row r="25" spans="1:8" ht="24.95" customHeight="1"/>
    <row r="26" spans="1:8" ht="24.95" customHeight="1"/>
    <row r="27" spans="1:8" ht="24.95" customHeight="1"/>
    <row r="28" spans="1:8" ht="24.95" customHeight="1"/>
    <row r="29" spans="1:8" ht="24.95" customHeight="1"/>
    <row r="30" spans="1:8" ht="24.95" customHeight="1"/>
    <row r="31" spans="1:8" ht="24.95" customHeight="1"/>
    <row r="32" spans="1:8" ht="24.95" customHeight="1"/>
    <row r="33" ht="24.95" customHeight="1"/>
    <row r="34" ht="24.95" customHeight="1"/>
    <row r="35" ht="24.95" customHeight="1"/>
    <row r="36" ht="24.95" customHeight="1"/>
    <row r="37" ht="24.95" customHeight="1"/>
    <row r="38" ht="24.95" customHeight="1"/>
    <row r="39" ht="24.95" customHeight="1"/>
    <row r="40" ht="24.95" customHeight="1"/>
    <row r="41" ht="24.95" customHeight="1"/>
    <row r="42" ht="24.95" customHeight="1"/>
    <row r="43" ht="24.95" customHeight="1"/>
    <row r="44" ht="24.95" customHeight="1"/>
    <row r="45" ht="24.95" customHeight="1"/>
    <row r="46" ht="24.95" customHeight="1"/>
    <row r="47" ht="24.95" customHeight="1"/>
    <row r="48" ht="24.95" customHeight="1"/>
    <row r="49" ht="24.95" customHeight="1"/>
    <row r="50" ht="24.95" customHeight="1"/>
    <row r="51" ht="24.95" customHeight="1"/>
    <row r="52" ht="24.95" customHeight="1"/>
    <row r="53" ht="24.95" customHeight="1"/>
    <row r="54" ht="24.95" customHeight="1"/>
    <row r="55" ht="24.95" customHeight="1"/>
    <row r="56" ht="24.95" customHeight="1"/>
    <row r="57" ht="24.95" customHeight="1"/>
    <row r="58" ht="24.95" customHeight="1"/>
    <row r="59" ht="24.95" customHeight="1"/>
    <row r="60" ht="24.95" customHeight="1"/>
    <row r="61" ht="24.95" customHeight="1"/>
    <row r="62" ht="24.95" customHeight="1"/>
    <row r="63" ht="24.95" customHeight="1"/>
    <row r="64" ht="24.95" customHeight="1"/>
    <row r="65" ht="24.95" customHeight="1"/>
    <row r="66" ht="24.95" customHeight="1"/>
    <row r="67" ht="24.95" customHeight="1"/>
    <row r="68" ht="24.95" customHeight="1"/>
  </sheetData>
  <mergeCells count="15">
    <mergeCell ref="A19:A20"/>
    <mergeCell ref="B21:C21"/>
    <mergeCell ref="B22:C22"/>
    <mergeCell ref="A23:C23"/>
    <mergeCell ref="A21:A22"/>
    <mergeCell ref="B19:B20"/>
    <mergeCell ref="H2:H3"/>
    <mergeCell ref="B15:B16"/>
    <mergeCell ref="B17:B18"/>
    <mergeCell ref="A4:A18"/>
    <mergeCell ref="D2:G2"/>
    <mergeCell ref="B4:B7"/>
    <mergeCell ref="B8:B10"/>
    <mergeCell ref="B11:B14"/>
    <mergeCell ref="A2:C3"/>
  </mergeCells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>
  <dimension ref="A1:N68"/>
  <sheetViews>
    <sheetView workbookViewId="0"/>
  </sheetViews>
  <sheetFormatPr defaultRowHeight="11.25"/>
  <cols>
    <col min="1" max="2" width="8.88671875" style="15"/>
    <col min="3" max="3" width="16.88671875" style="15" customWidth="1"/>
    <col min="4" max="9" width="8.88671875" style="15"/>
    <col min="10" max="10" width="14.88671875" style="15" customWidth="1"/>
    <col min="11" max="14" width="11.88671875" style="15" customWidth="1"/>
    <col min="15" max="15" width="11.5546875" style="15" customWidth="1"/>
    <col min="16" max="16384" width="8.88671875" style="15"/>
  </cols>
  <sheetData>
    <row r="1" spans="1:14" ht="24.95" customHeight="1"/>
    <row r="2" spans="1:14" ht="24.95" customHeight="1">
      <c r="A2" s="782" t="s">
        <v>218</v>
      </c>
      <c r="B2" s="782"/>
      <c r="C2" s="782"/>
      <c r="D2" s="783" t="s">
        <v>58</v>
      </c>
      <c r="E2" s="783"/>
      <c r="F2" s="783"/>
      <c r="G2" s="783"/>
      <c r="H2" s="782" t="s">
        <v>219</v>
      </c>
    </row>
    <row r="3" spans="1:14" ht="24.95" customHeight="1">
      <c r="A3" s="782"/>
      <c r="B3" s="782"/>
      <c r="C3" s="782"/>
      <c r="D3" s="17" t="s">
        <v>220</v>
      </c>
      <c r="E3" s="17" t="s">
        <v>221</v>
      </c>
      <c r="F3" s="17" t="s">
        <v>222</v>
      </c>
      <c r="G3" s="17" t="s">
        <v>223</v>
      </c>
      <c r="H3" s="782"/>
    </row>
    <row r="4" spans="1:14" ht="24.95" customHeight="1">
      <c r="A4" s="782" t="s">
        <v>224</v>
      </c>
      <c r="B4" s="781" t="s">
        <v>225</v>
      </c>
      <c r="C4" s="16" t="s">
        <v>59</v>
      </c>
      <c r="D4" s="18">
        <f>SUM(D5:D6)</f>
        <v>35803</v>
      </c>
      <c r="E4" s="18">
        <f>SUM(E5:E6)</f>
        <v>34576</v>
      </c>
      <c r="F4" s="18">
        <f>SUM(F5:F6)</f>
        <v>33276</v>
      </c>
      <c r="G4" s="18">
        <f>SUM(G5:G6)</f>
        <v>31776</v>
      </c>
      <c r="H4" s="10"/>
    </row>
    <row r="5" spans="1:14" ht="24.95" customHeight="1">
      <c r="A5" s="782"/>
      <c r="B5" s="782"/>
      <c r="C5" s="16" t="s">
        <v>60</v>
      </c>
      <c r="D5" s="18">
        <v>30300</v>
      </c>
      <c r="E5" s="18">
        <v>28900</v>
      </c>
      <c r="F5" s="18">
        <v>27600</v>
      </c>
      <c r="G5" s="18">
        <v>26100</v>
      </c>
      <c r="H5" s="10"/>
    </row>
    <row r="6" spans="1:14" ht="24.95" customHeight="1">
      <c r="A6" s="782"/>
      <c r="B6" s="782"/>
      <c r="C6" s="16" t="s">
        <v>61</v>
      </c>
      <c r="D6" s="18">
        <v>5503</v>
      </c>
      <c r="E6" s="18">
        <v>5676</v>
      </c>
      <c r="F6" s="18">
        <v>5676</v>
      </c>
      <c r="G6" s="18">
        <v>5676</v>
      </c>
      <c r="H6" s="10"/>
    </row>
    <row r="7" spans="1:14" ht="24.95" customHeight="1">
      <c r="A7" s="782"/>
      <c r="B7" s="782"/>
      <c r="C7" s="16" t="s">
        <v>62</v>
      </c>
      <c r="D7" s="18" t="s">
        <v>226</v>
      </c>
      <c r="E7" s="18" t="s">
        <v>226</v>
      </c>
      <c r="F7" s="18" t="s">
        <v>226</v>
      </c>
      <c r="G7" s="18" t="s">
        <v>226</v>
      </c>
      <c r="H7" s="10"/>
      <c r="J7" s="23" t="s">
        <v>218</v>
      </c>
      <c r="K7" s="24" t="s">
        <v>220</v>
      </c>
      <c r="L7" s="24" t="s">
        <v>221</v>
      </c>
      <c r="M7" s="24" t="s">
        <v>222</v>
      </c>
      <c r="N7" s="24" t="s">
        <v>223</v>
      </c>
    </row>
    <row r="8" spans="1:14" ht="24.95" customHeight="1">
      <c r="A8" s="782"/>
      <c r="B8" s="782" t="s">
        <v>227</v>
      </c>
      <c r="C8" s="16" t="s">
        <v>60</v>
      </c>
      <c r="D8" s="39">
        <v>0.8</v>
      </c>
      <c r="E8" s="39">
        <v>0.85</v>
      </c>
      <c r="F8" s="39">
        <v>0.9</v>
      </c>
      <c r="G8" s="39">
        <v>0.95</v>
      </c>
      <c r="H8" s="10"/>
      <c r="J8" s="23" t="s">
        <v>228</v>
      </c>
      <c r="K8" s="19">
        <v>314</v>
      </c>
      <c r="L8" s="19">
        <v>327</v>
      </c>
      <c r="M8" s="19">
        <v>327</v>
      </c>
      <c r="N8" s="19">
        <v>327</v>
      </c>
    </row>
    <row r="9" spans="1:14" ht="24.95" customHeight="1">
      <c r="A9" s="782"/>
      <c r="B9" s="782"/>
      <c r="C9" s="16" t="s">
        <v>61</v>
      </c>
      <c r="D9" s="39">
        <v>1</v>
      </c>
      <c r="E9" s="39">
        <v>1</v>
      </c>
      <c r="F9" s="39">
        <v>1</v>
      </c>
      <c r="G9" s="39">
        <v>1</v>
      </c>
      <c r="H9" s="10"/>
      <c r="J9" s="20" t="s">
        <v>229</v>
      </c>
      <c r="K9" s="42">
        <v>0.65</v>
      </c>
      <c r="L9" s="42">
        <v>0.7</v>
      </c>
      <c r="M9" s="42">
        <v>0.75</v>
      </c>
      <c r="N9" s="42">
        <v>0.8</v>
      </c>
    </row>
    <row r="10" spans="1:14" ht="24.95" customHeight="1">
      <c r="A10" s="782"/>
      <c r="B10" s="782"/>
      <c r="C10" s="16" t="s">
        <v>62</v>
      </c>
      <c r="D10" s="18" t="s">
        <v>226</v>
      </c>
      <c r="E10" s="18" t="s">
        <v>226</v>
      </c>
      <c r="F10" s="18" t="s">
        <v>226</v>
      </c>
      <c r="G10" s="18" t="s">
        <v>226</v>
      </c>
      <c r="H10" s="10"/>
      <c r="J10" s="23" t="s">
        <v>230</v>
      </c>
      <c r="K10" s="19">
        <f>ROUND(K8/K9,0)</f>
        <v>483</v>
      </c>
      <c r="L10" s="19">
        <f>ROUND(L8/L9,0)</f>
        <v>467</v>
      </c>
      <c r="M10" s="19">
        <f>ROUND(M8/M9,0)</f>
        <v>436</v>
      </c>
      <c r="N10" s="19">
        <f>ROUND(N8/N9,0)</f>
        <v>409</v>
      </c>
    </row>
    <row r="11" spans="1:14" ht="24.95" customHeight="1">
      <c r="A11" s="782"/>
      <c r="B11" s="782" t="s">
        <v>231</v>
      </c>
      <c r="C11" s="16" t="s">
        <v>59</v>
      </c>
      <c r="D11" s="18">
        <f>SUM(D12:D13)</f>
        <v>29743</v>
      </c>
      <c r="E11" s="18">
        <f>SUM(E12:E13)</f>
        <v>30241</v>
      </c>
      <c r="F11" s="18">
        <f>SUM(F12:F13)</f>
        <v>30516</v>
      </c>
      <c r="G11" s="18">
        <f>SUM(G12:G13)</f>
        <v>30471</v>
      </c>
      <c r="H11" s="10"/>
      <c r="J11" s="20" t="s">
        <v>232</v>
      </c>
      <c r="K11" s="19">
        <v>1.4</v>
      </c>
      <c r="L11" s="19">
        <v>1.4</v>
      </c>
      <c r="M11" s="19">
        <v>1.4</v>
      </c>
      <c r="N11" s="19">
        <v>1.4</v>
      </c>
    </row>
    <row r="12" spans="1:14" ht="24.95" customHeight="1">
      <c r="A12" s="782"/>
      <c r="B12" s="782"/>
      <c r="C12" s="16" t="s">
        <v>60</v>
      </c>
      <c r="D12" s="18">
        <f t="shared" ref="D12:G13" si="0">ROUND(D5*D8,0)</f>
        <v>24240</v>
      </c>
      <c r="E12" s="18">
        <f t="shared" si="0"/>
        <v>24565</v>
      </c>
      <c r="F12" s="18">
        <f t="shared" si="0"/>
        <v>24840</v>
      </c>
      <c r="G12" s="18">
        <f t="shared" si="0"/>
        <v>24795</v>
      </c>
      <c r="H12" s="10"/>
      <c r="J12" s="23" t="s">
        <v>233</v>
      </c>
      <c r="K12" s="20">
        <f>ROUND(K10*K11,0)</f>
        <v>676</v>
      </c>
      <c r="L12" s="20">
        <f>ROUND(L10*L11,0)</f>
        <v>654</v>
      </c>
      <c r="M12" s="20">
        <f>ROUND(M10*M11,0)</f>
        <v>610</v>
      </c>
      <c r="N12" s="20">
        <f>ROUND(N10*N11,0)</f>
        <v>573</v>
      </c>
    </row>
    <row r="13" spans="1:14" ht="24.95" customHeight="1">
      <c r="A13" s="782"/>
      <c r="B13" s="782"/>
      <c r="C13" s="16" t="s">
        <v>61</v>
      </c>
      <c r="D13" s="18">
        <f t="shared" si="0"/>
        <v>5503</v>
      </c>
      <c r="E13" s="18">
        <f t="shared" si="0"/>
        <v>5676</v>
      </c>
      <c r="F13" s="18">
        <f t="shared" si="0"/>
        <v>5676</v>
      </c>
      <c r="G13" s="18">
        <f t="shared" si="0"/>
        <v>5676</v>
      </c>
      <c r="H13" s="10"/>
      <c r="J13" s="25"/>
      <c r="K13" s="25"/>
      <c r="L13" s="25"/>
      <c r="M13" s="25"/>
      <c r="N13" s="25"/>
    </row>
    <row r="14" spans="1:14" ht="24.95" customHeight="1">
      <c r="A14" s="782"/>
      <c r="B14" s="782"/>
      <c r="C14" s="16" t="s">
        <v>62</v>
      </c>
      <c r="D14" s="18" t="s">
        <v>226</v>
      </c>
      <c r="E14" s="18" t="s">
        <v>226</v>
      </c>
      <c r="F14" s="18" t="s">
        <v>226</v>
      </c>
      <c r="G14" s="18" t="s">
        <v>226</v>
      </c>
      <c r="H14" s="10"/>
      <c r="J14" s="25"/>
      <c r="K14" s="25"/>
      <c r="L14" s="25"/>
      <c r="M14" s="25"/>
      <c r="N14" s="25"/>
    </row>
    <row r="15" spans="1:14" ht="24.95" customHeight="1">
      <c r="A15" s="782"/>
      <c r="B15" s="781" t="s">
        <v>234</v>
      </c>
      <c r="C15" s="16" t="s">
        <v>235</v>
      </c>
      <c r="D15" s="16">
        <v>483</v>
      </c>
      <c r="E15" s="16">
        <v>467</v>
      </c>
      <c r="F15" s="16">
        <v>436</v>
      </c>
      <c r="G15" s="16">
        <v>409</v>
      </c>
      <c r="H15" s="10"/>
      <c r="J15" s="25"/>
      <c r="K15" s="25"/>
      <c r="L15" s="25"/>
      <c r="M15" s="25"/>
      <c r="N15" s="25"/>
    </row>
    <row r="16" spans="1:14" ht="24.95" customHeight="1">
      <c r="A16" s="782"/>
      <c r="B16" s="782"/>
      <c r="C16" s="16" t="s">
        <v>236</v>
      </c>
      <c r="D16" s="16">
        <v>676</v>
      </c>
      <c r="E16" s="16">
        <v>654</v>
      </c>
      <c r="F16" s="16">
        <v>610</v>
      </c>
      <c r="G16" s="16">
        <v>573</v>
      </c>
      <c r="H16" s="10"/>
    </row>
    <row r="17" spans="1:8" ht="24.95" customHeight="1">
      <c r="A17" s="782"/>
      <c r="B17" s="782" t="s">
        <v>237</v>
      </c>
      <c r="C17" s="16" t="s">
        <v>235</v>
      </c>
      <c r="D17" s="18">
        <f>ROUND(D11*D15/1000,0)</f>
        <v>14366</v>
      </c>
      <c r="E17" s="18">
        <f>ROUND(E11*E15/1000,0)</f>
        <v>14123</v>
      </c>
      <c r="F17" s="18">
        <f>ROUND(F11*F15/1000,0)</f>
        <v>13305</v>
      </c>
      <c r="G17" s="18">
        <f>ROUND(G11*G15/1000,0)</f>
        <v>12463</v>
      </c>
      <c r="H17" s="10"/>
    </row>
    <row r="18" spans="1:8" ht="24.95" customHeight="1">
      <c r="A18" s="782"/>
      <c r="B18" s="782"/>
      <c r="C18" s="16" t="s">
        <v>236</v>
      </c>
      <c r="D18" s="30">
        <f>ROUND(D11*D16/1000,0)</f>
        <v>20106</v>
      </c>
      <c r="E18" s="30">
        <f>ROUND(E11*E16/1000,0)</f>
        <v>19778</v>
      </c>
      <c r="F18" s="30">
        <f>ROUND(F11*F16/1000,0)</f>
        <v>18615</v>
      </c>
      <c r="G18" s="30">
        <f>ROUND(G11*G16/1000,0)</f>
        <v>17460</v>
      </c>
      <c r="H18" s="10"/>
    </row>
    <row r="19" spans="1:8" ht="24.95" customHeight="1">
      <c r="A19" s="782" t="s">
        <v>238</v>
      </c>
      <c r="B19" s="782" t="s">
        <v>237</v>
      </c>
      <c r="C19" s="16" t="s">
        <v>235</v>
      </c>
      <c r="D19" s="16">
        <v>820</v>
      </c>
      <c r="E19" s="16">
        <v>820</v>
      </c>
      <c r="F19" s="16">
        <v>820</v>
      </c>
      <c r="G19" s="16">
        <v>820</v>
      </c>
      <c r="H19" s="10"/>
    </row>
    <row r="20" spans="1:8" ht="24.95" customHeight="1">
      <c r="A20" s="782"/>
      <c r="B20" s="782"/>
      <c r="C20" s="16" t="s">
        <v>236</v>
      </c>
      <c r="D20" s="30">
        <v>1148</v>
      </c>
      <c r="E20" s="30">
        <v>1148</v>
      </c>
      <c r="F20" s="30">
        <v>1148</v>
      </c>
      <c r="G20" s="30">
        <v>1148</v>
      </c>
      <c r="H20" s="10"/>
    </row>
    <row r="21" spans="1:8" ht="24.95" customHeight="1">
      <c r="A21" s="794" t="s">
        <v>239</v>
      </c>
      <c r="B21" s="782" t="s">
        <v>240</v>
      </c>
      <c r="C21" s="782"/>
      <c r="D21" s="30">
        <v>1948</v>
      </c>
      <c r="E21" s="30">
        <v>2956</v>
      </c>
      <c r="F21" s="30">
        <v>3240</v>
      </c>
      <c r="G21" s="30">
        <v>3546</v>
      </c>
      <c r="H21" s="10"/>
    </row>
    <row r="22" spans="1:8" ht="24.95" customHeight="1">
      <c r="A22" s="796"/>
      <c r="B22" s="782" t="s">
        <v>241</v>
      </c>
      <c r="C22" s="782"/>
      <c r="D22" s="30">
        <v>14544</v>
      </c>
      <c r="E22" s="30">
        <v>16821</v>
      </c>
      <c r="F22" s="30">
        <v>16821</v>
      </c>
      <c r="G22" s="30">
        <v>16821</v>
      </c>
      <c r="H22" s="10"/>
    </row>
    <row r="23" spans="1:8" ht="24.95" customHeight="1">
      <c r="A23" s="782" t="s">
        <v>242</v>
      </c>
      <c r="B23" s="782"/>
      <c r="C23" s="782"/>
      <c r="D23" s="30">
        <f>D18+D20+D21+D22</f>
        <v>37746</v>
      </c>
      <c r="E23" s="30">
        <f>E18+E20+E21+E22</f>
        <v>40703</v>
      </c>
      <c r="F23" s="30">
        <f>F18+F20+F21+F22</f>
        <v>39824</v>
      </c>
      <c r="G23" s="30">
        <f>G18+G20+G21+G22</f>
        <v>38975</v>
      </c>
      <c r="H23" s="10"/>
    </row>
    <row r="24" spans="1:8" ht="24.95" customHeight="1"/>
    <row r="25" spans="1:8" ht="24.95" customHeight="1"/>
    <row r="26" spans="1:8" ht="24.95" customHeight="1"/>
    <row r="27" spans="1:8" ht="24.95" customHeight="1"/>
    <row r="28" spans="1:8" ht="24.95" customHeight="1"/>
    <row r="29" spans="1:8" ht="24.95" customHeight="1"/>
    <row r="30" spans="1:8" ht="24.95" customHeight="1"/>
    <row r="31" spans="1:8" ht="24.95" customHeight="1"/>
    <row r="32" spans="1:8" ht="24.95" customHeight="1"/>
    <row r="33" ht="24.95" customHeight="1"/>
    <row r="34" ht="24.95" customHeight="1"/>
    <row r="35" ht="24.95" customHeight="1"/>
    <row r="36" ht="24.95" customHeight="1"/>
    <row r="37" ht="24.95" customHeight="1"/>
    <row r="38" ht="24.95" customHeight="1"/>
    <row r="39" ht="24.95" customHeight="1"/>
    <row r="40" ht="24.95" customHeight="1"/>
    <row r="41" ht="24.95" customHeight="1"/>
    <row r="42" ht="24.95" customHeight="1"/>
    <row r="43" ht="24.95" customHeight="1"/>
    <row r="44" ht="24.95" customHeight="1"/>
    <row r="45" ht="24.95" customHeight="1"/>
    <row r="46" ht="24.95" customHeight="1"/>
    <row r="47" ht="24.95" customHeight="1"/>
    <row r="48" ht="24.95" customHeight="1"/>
    <row r="49" ht="24.95" customHeight="1"/>
    <row r="50" ht="24.95" customHeight="1"/>
    <row r="51" ht="24.95" customHeight="1"/>
    <row r="52" ht="24.95" customHeight="1"/>
    <row r="53" ht="24.95" customHeight="1"/>
    <row r="54" ht="24.95" customHeight="1"/>
    <row r="55" ht="24.95" customHeight="1"/>
    <row r="56" ht="24.95" customHeight="1"/>
    <row r="57" ht="24.95" customHeight="1"/>
    <row r="58" ht="24.95" customHeight="1"/>
    <row r="59" ht="24.95" customHeight="1"/>
    <row r="60" ht="24.95" customHeight="1"/>
    <row r="61" ht="24.95" customHeight="1"/>
    <row r="62" ht="24.95" customHeight="1"/>
    <row r="63" ht="24.95" customHeight="1"/>
    <row r="64" ht="24.95" customHeight="1"/>
    <row r="65" ht="24.95" customHeight="1"/>
    <row r="66" ht="24.95" customHeight="1"/>
    <row r="67" ht="24.95" customHeight="1"/>
    <row r="68" ht="24.95" customHeight="1"/>
  </sheetData>
  <mergeCells count="15">
    <mergeCell ref="H2:H3"/>
    <mergeCell ref="B15:B16"/>
    <mergeCell ref="B17:B18"/>
    <mergeCell ref="A4:A18"/>
    <mergeCell ref="D2:G2"/>
    <mergeCell ref="B4:B7"/>
    <mergeCell ref="B8:B10"/>
    <mergeCell ref="B11:B14"/>
    <mergeCell ref="A2:C3"/>
    <mergeCell ref="A19:A20"/>
    <mergeCell ref="B21:C21"/>
    <mergeCell ref="B22:C22"/>
    <mergeCell ref="A23:C23"/>
    <mergeCell ref="A21:A22"/>
    <mergeCell ref="B19:B20"/>
  </mergeCells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>
  <dimension ref="A1:J59"/>
  <sheetViews>
    <sheetView workbookViewId="0"/>
  </sheetViews>
  <sheetFormatPr defaultRowHeight="11.25"/>
  <cols>
    <col min="1" max="8" width="9.6640625" style="15" customWidth="1"/>
    <col min="9" max="11" width="11.77734375" style="15" customWidth="1"/>
    <col min="12" max="16384" width="8.88671875" style="15"/>
  </cols>
  <sheetData>
    <row r="1" spans="1:10" ht="30" customHeight="1">
      <c r="A1" s="67" t="s">
        <v>372</v>
      </c>
    </row>
    <row r="2" spans="1:10" ht="30" customHeight="1">
      <c r="A2" s="782" t="s">
        <v>0</v>
      </c>
      <c r="B2" s="782"/>
      <c r="C2" s="782" t="s">
        <v>309</v>
      </c>
      <c r="D2" s="782"/>
      <c r="E2" s="782"/>
      <c r="F2" s="782"/>
      <c r="G2" s="782" t="s">
        <v>310</v>
      </c>
      <c r="H2" s="782" t="s">
        <v>311</v>
      </c>
    </row>
    <row r="3" spans="1:10" ht="30" customHeight="1">
      <c r="A3" s="782"/>
      <c r="B3" s="782"/>
      <c r="C3" s="17" t="s">
        <v>220</v>
      </c>
      <c r="D3" s="17" t="s">
        <v>221</v>
      </c>
      <c r="E3" s="17" t="s">
        <v>222</v>
      </c>
      <c r="F3" s="17" t="s">
        <v>223</v>
      </c>
      <c r="G3" s="782"/>
      <c r="H3" s="782"/>
    </row>
    <row r="4" spans="1:10" ht="30" customHeight="1">
      <c r="A4" s="794" t="s">
        <v>306</v>
      </c>
      <c r="B4" s="10" t="s">
        <v>51</v>
      </c>
      <c r="C4" s="68">
        <v>33837</v>
      </c>
      <c r="D4" s="68">
        <v>33837</v>
      </c>
      <c r="E4" s="68">
        <v>33837</v>
      </c>
      <c r="F4" s="68">
        <v>33837</v>
      </c>
      <c r="G4" s="69">
        <f>SUM(G5:G6)</f>
        <v>1</v>
      </c>
      <c r="H4" s="10"/>
    </row>
    <row r="5" spans="1:10" ht="30" customHeight="1">
      <c r="A5" s="795"/>
      <c r="B5" s="10" t="s">
        <v>307</v>
      </c>
      <c r="C5" s="6">
        <f>ROUND($G$5*$C$4,0)</f>
        <v>25378</v>
      </c>
      <c r="D5" s="6">
        <f>ROUND($G$5*$D$4,0)</f>
        <v>25378</v>
      </c>
      <c r="E5" s="6">
        <f>ROUND($G$5*$E$4,0)</f>
        <v>25378</v>
      </c>
      <c r="F5" s="6">
        <f>ROUND($G$5*$F$4,0)</f>
        <v>25378</v>
      </c>
      <c r="G5" s="60">
        <v>0.75</v>
      </c>
      <c r="H5" s="10"/>
      <c r="J5" s="868">
        <v>33837</v>
      </c>
    </row>
    <row r="6" spans="1:10" ht="30" customHeight="1">
      <c r="A6" s="796"/>
      <c r="B6" s="10" t="s">
        <v>308</v>
      </c>
      <c r="C6" s="6">
        <f>ROUND($G$6*$C$4,0)</f>
        <v>8459</v>
      </c>
      <c r="D6" s="6">
        <f>ROUND($G$6*$D$4,0)</f>
        <v>8459</v>
      </c>
      <c r="E6" s="6">
        <f>ROUND($G$6*$E$4,0)</f>
        <v>8459</v>
      </c>
      <c r="F6" s="6">
        <f>ROUND($G$6*$F$4,0)</f>
        <v>8459</v>
      </c>
      <c r="G6" s="60">
        <v>0.25</v>
      </c>
      <c r="H6" s="10"/>
      <c r="J6" s="868"/>
    </row>
    <row r="7" spans="1:10" ht="30" customHeight="1">
      <c r="A7" s="782" t="s">
        <v>312</v>
      </c>
      <c r="B7" s="782"/>
      <c r="C7" s="6">
        <f>ROUND(C6*$G$7,0)</f>
        <v>5921</v>
      </c>
      <c r="D7" s="6">
        <f>ROUND(D6*$G$7,0)</f>
        <v>5921</v>
      </c>
      <c r="E7" s="6">
        <f>ROUND(E6*$G$7,0)</f>
        <v>5921</v>
      </c>
      <c r="F7" s="6">
        <f>ROUND(F6*$G$7,0)</f>
        <v>5921</v>
      </c>
      <c r="G7" s="60">
        <v>0.7</v>
      </c>
      <c r="H7" s="10"/>
    </row>
    <row r="8" spans="1:10" ht="30" customHeight="1">
      <c r="A8" s="781" t="s">
        <v>313</v>
      </c>
      <c r="B8" s="10" t="s">
        <v>314</v>
      </c>
      <c r="C8" s="6">
        <f>ROUND(C7*$G$8,0)</f>
        <v>4145</v>
      </c>
      <c r="D8" s="6">
        <f>ROUND(D7*$G$8,0)</f>
        <v>4145</v>
      </c>
      <c r="E8" s="6">
        <f>ROUND(E7*$G$8,0)</f>
        <v>4145</v>
      </c>
      <c r="F8" s="6">
        <f>ROUND(F7*$G$8,0)</f>
        <v>4145</v>
      </c>
      <c r="G8" s="60">
        <v>0.7</v>
      </c>
      <c r="H8" s="10"/>
    </row>
    <row r="9" spans="1:10" ht="30" customHeight="1">
      <c r="A9" s="781"/>
      <c r="B9" s="10" t="s">
        <v>315</v>
      </c>
      <c r="C9" s="6">
        <f>ROUND(C7*$G$9,0)</f>
        <v>1776</v>
      </c>
      <c r="D9" s="6">
        <f>ROUND(D7*$G$9,0)</f>
        <v>1776</v>
      </c>
      <c r="E9" s="6">
        <f>ROUND(E7*$G$9,0)</f>
        <v>1776</v>
      </c>
      <c r="F9" s="6">
        <f>ROUND(F7*$G$9,0)</f>
        <v>1776</v>
      </c>
      <c r="G9" s="60">
        <v>0.3</v>
      </c>
      <c r="H9" s="10"/>
    </row>
    <row r="10" spans="1:10" ht="30" customHeight="1">
      <c r="A10" s="781" t="s">
        <v>316</v>
      </c>
      <c r="B10" s="10" t="s">
        <v>317</v>
      </c>
      <c r="C10" s="6">
        <f>ROUND(C9*$G$10,0)</f>
        <v>1066</v>
      </c>
      <c r="D10" s="6">
        <f>ROUND(D9*$G$10,0)</f>
        <v>1066</v>
      </c>
      <c r="E10" s="6">
        <f>ROUND(E9*$G$10,0)</f>
        <v>1066</v>
      </c>
      <c r="F10" s="6">
        <f>ROUND(F9*$G$10,0)</f>
        <v>1066</v>
      </c>
      <c r="G10" s="60">
        <v>0.6</v>
      </c>
      <c r="H10" s="10"/>
    </row>
    <row r="11" spans="1:10" ht="30" customHeight="1">
      <c r="A11" s="781"/>
      <c r="B11" s="10" t="s">
        <v>318</v>
      </c>
      <c r="C11" s="6">
        <f>ROUND(C9*$G$11,0)</f>
        <v>710</v>
      </c>
      <c r="D11" s="6">
        <f>ROUND(D9*$G$11,0)</f>
        <v>710</v>
      </c>
      <c r="E11" s="6">
        <f>ROUND(E9*$G$11,0)</f>
        <v>710</v>
      </c>
      <c r="F11" s="6">
        <f>ROUND(F9*$G$11,0)</f>
        <v>710</v>
      </c>
      <c r="G11" s="60">
        <v>0.4</v>
      </c>
      <c r="H11" s="10"/>
    </row>
    <row r="12" spans="1:10" ht="30" customHeight="1">
      <c r="A12" s="782" t="s">
        <v>319</v>
      </c>
      <c r="B12" s="782"/>
      <c r="C12" s="6">
        <f>C11*3</f>
        <v>2130</v>
      </c>
      <c r="D12" s="6">
        <f>D11*3</f>
        <v>2130</v>
      </c>
      <c r="E12" s="6">
        <f>E11*3</f>
        <v>2130</v>
      </c>
      <c r="F12" s="6">
        <f>F11*3</f>
        <v>2130</v>
      </c>
      <c r="G12" s="60"/>
      <c r="H12" s="10" t="s">
        <v>320</v>
      </c>
    </row>
    <row r="13" spans="1:10" ht="30" customHeight="1">
      <c r="A13" s="782" t="s">
        <v>321</v>
      </c>
      <c r="B13" s="782"/>
      <c r="C13" s="6">
        <f>SUM(C10:C12)</f>
        <v>3906</v>
      </c>
      <c r="D13" s="6">
        <f>SUM(D10:D12)</f>
        <v>3906</v>
      </c>
      <c r="E13" s="6">
        <f>SUM(E10:E12)</f>
        <v>3906</v>
      </c>
      <c r="F13" s="6">
        <f>SUM(F10:F12)</f>
        <v>3906</v>
      </c>
      <c r="G13" s="60"/>
      <c r="H13" s="10"/>
    </row>
    <row r="14" spans="1:10" ht="30" customHeight="1">
      <c r="G14" s="59"/>
    </row>
    <row r="15" spans="1:10" ht="30" customHeight="1"/>
    <row r="16" spans="1:10" ht="30" customHeight="1"/>
    <row r="17" ht="30" customHeight="1"/>
    <row r="18" ht="30" customHeight="1"/>
    <row r="19" ht="30" customHeight="1"/>
    <row r="20" ht="30" customHeight="1"/>
    <row r="21" ht="30" customHeight="1"/>
    <row r="22" ht="30" customHeight="1"/>
    <row r="23" ht="30" customHeight="1"/>
    <row r="24" ht="30" customHeight="1"/>
    <row r="25" ht="30" customHeight="1"/>
    <row r="26" ht="30" customHeight="1"/>
    <row r="27" ht="30" customHeight="1"/>
    <row r="28" ht="30" customHeight="1"/>
    <row r="29" ht="30" customHeight="1"/>
    <row r="30" ht="30" customHeight="1"/>
    <row r="31" ht="24.95" customHeight="1"/>
    <row r="32" ht="24.95" customHeight="1"/>
    <row r="33" ht="24.95" customHeight="1"/>
    <row r="34" ht="24.95" customHeight="1"/>
    <row r="35" ht="24.95" customHeight="1"/>
    <row r="36" ht="24.95" customHeight="1"/>
    <row r="37" ht="24.95" customHeight="1"/>
    <row r="38" ht="24.95" customHeight="1"/>
    <row r="39" ht="24.95" customHeight="1"/>
    <row r="40" ht="24.95" customHeight="1"/>
    <row r="41" ht="24.95" customHeight="1"/>
    <row r="42" ht="24.95" customHeight="1"/>
    <row r="43" ht="24.95" customHeight="1"/>
    <row r="44" ht="24.95" customHeight="1"/>
    <row r="45" ht="24.95" customHeight="1"/>
    <row r="46" ht="24.95" customHeight="1"/>
    <row r="47" ht="24.95" customHeight="1"/>
    <row r="48" ht="24.95" customHeight="1"/>
    <row r="49" ht="24.95" customHeight="1"/>
    <row r="50" ht="24.95" customHeight="1"/>
    <row r="51" ht="24.95" customHeight="1"/>
    <row r="52" ht="24.95" customHeight="1"/>
    <row r="53" ht="24.95" customHeight="1"/>
    <row r="54" ht="24.95" customHeight="1"/>
    <row r="55" ht="24.95" customHeight="1"/>
    <row r="56" ht="24.95" customHeight="1"/>
    <row r="57" ht="24.95" customHeight="1"/>
    <row r="58" ht="24.95" customHeight="1"/>
    <row r="59" ht="24.95" customHeight="1"/>
  </sheetData>
  <mergeCells count="11">
    <mergeCell ref="G2:G3"/>
    <mergeCell ref="H2:H3"/>
    <mergeCell ref="A7:B7"/>
    <mergeCell ref="A8:A9"/>
    <mergeCell ref="A2:B3"/>
    <mergeCell ref="C2:F2"/>
    <mergeCell ref="A12:B12"/>
    <mergeCell ref="A13:B13"/>
    <mergeCell ref="J5:J6"/>
    <mergeCell ref="A4:A6"/>
    <mergeCell ref="A10:A11"/>
  </mergeCells>
  <phoneticPr fontId="3" type="noConversion"/>
  <printOptions horizontalCentered="1"/>
  <pageMargins left="0.55118110236220474" right="0.59055118110236227" top="0.62992125984251968" bottom="0.55118110236220474" header="0.51181102362204722" footer="0.51181102362204722"/>
  <pageSetup paperSize="9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>
  <dimension ref="A2:J40"/>
  <sheetViews>
    <sheetView workbookViewId="0"/>
  </sheetViews>
  <sheetFormatPr defaultRowHeight="20.100000000000001" customHeight="1"/>
  <cols>
    <col min="1" max="2" width="8.88671875" style="111"/>
    <col min="3" max="8" width="8.88671875" style="111" customWidth="1"/>
    <col min="9" max="9" width="11.77734375" style="111" customWidth="1"/>
    <col min="10" max="10" width="10.44140625" style="111" customWidth="1"/>
    <col min="11" max="16384" width="8.88671875" style="111"/>
  </cols>
  <sheetData>
    <row r="2" spans="1:10" ht="20.100000000000001" customHeight="1">
      <c r="A2" s="900" t="s">
        <v>410</v>
      </c>
      <c r="B2" s="900"/>
      <c r="C2" s="900" t="s">
        <v>1157</v>
      </c>
      <c r="D2" s="900"/>
      <c r="E2" s="900"/>
      <c r="F2" s="900"/>
      <c r="G2" s="900"/>
      <c r="H2" s="900"/>
      <c r="I2" s="900" t="s">
        <v>1158</v>
      </c>
      <c r="J2" s="900"/>
    </row>
    <row r="3" spans="1:10" ht="20.100000000000001" customHeight="1">
      <c r="A3" s="900"/>
      <c r="B3" s="900"/>
      <c r="C3" s="246" t="s">
        <v>1125</v>
      </c>
      <c r="D3" s="246" t="s">
        <v>1126</v>
      </c>
      <c r="E3" s="246" t="s">
        <v>1127</v>
      </c>
      <c r="F3" s="246" t="s">
        <v>1128</v>
      </c>
      <c r="G3" s="246" t="s">
        <v>1129</v>
      </c>
      <c r="H3" s="246" t="s">
        <v>1130</v>
      </c>
      <c r="I3" s="246" t="s">
        <v>1159</v>
      </c>
      <c r="J3" s="246" t="s">
        <v>293</v>
      </c>
    </row>
    <row r="4" spans="1:10" ht="20.100000000000001" customHeight="1">
      <c r="A4" s="904" t="s">
        <v>1075</v>
      </c>
      <c r="B4" s="905"/>
      <c r="C4" s="248"/>
      <c r="D4" s="248"/>
      <c r="E4" s="248"/>
      <c r="F4" s="248"/>
      <c r="G4" s="248"/>
      <c r="H4" s="248"/>
      <c r="I4" s="249">
        <f>I5+I10</f>
        <v>310.25</v>
      </c>
      <c r="J4" s="249">
        <f>J5+J10</f>
        <v>11649.23</v>
      </c>
    </row>
    <row r="5" spans="1:10" ht="20.100000000000001" customHeight="1">
      <c r="A5" s="901" t="s">
        <v>1120</v>
      </c>
      <c r="B5" s="248" t="s">
        <v>22</v>
      </c>
      <c r="C5" s="248">
        <f>COUNTA(C6:C9)</f>
        <v>4</v>
      </c>
      <c r="D5" s="248"/>
      <c r="E5" s="248"/>
      <c r="F5" s="248"/>
      <c r="G5" s="248"/>
      <c r="H5" s="248"/>
      <c r="I5" s="249">
        <f>SUM(I6:I9)</f>
        <v>87.83</v>
      </c>
      <c r="J5" s="249">
        <f>SUM(J6:J9)</f>
        <v>10677.8</v>
      </c>
    </row>
    <row r="6" spans="1:10" ht="20.100000000000001" customHeight="1">
      <c r="A6" s="902"/>
      <c r="B6" s="246" t="s">
        <v>1123</v>
      </c>
      <c r="C6" s="246" t="s">
        <v>1123</v>
      </c>
      <c r="D6" s="246"/>
      <c r="E6" s="246"/>
      <c r="F6" s="246"/>
      <c r="G6" s="246"/>
      <c r="H6" s="246"/>
      <c r="I6" s="247">
        <v>2.81</v>
      </c>
      <c r="J6" s="247">
        <v>9810.4</v>
      </c>
    </row>
    <row r="7" spans="1:10" ht="20.100000000000001" customHeight="1">
      <c r="A7" s="902"/>
      <c r="B7" s="246" t="s">
        <v>1121</v>
      </c>
      <c r="C7" s="246" t="s">
        <v>1123</v>
      </c>
      <c r="D7" s="246" t="s">
        <v>1121</v>
      </c>
      <c r="E7" s="246"/>
      <c r="F7" s="246"/>
      <c r="G7" s="246"/>
      <c r="H7" s="246"/>
      <c r="I7" s="247">
        <v>57.1</v>
      </c>
      <c r="J7" s="247">
        <v>667.16</v>
      </c>
    </row>
    <row r="8" spans="1:10" ht="20.100000000000001" customHeight="1">
      <c r="A8" s="902"/>
      <c r="B8" s="246" t="s">
        <v>1122</v>
      </c>
      <c r="C8" s="246" t="s">
        <v>1123</v>
      </c>
      <c r="D8" s="246" t="s">
        <v>1121</v>
      </c>
      <c r="E8" s="246" t="s">
        <v>1122</v>
      </c>
      <c r="F8" s="246"/>
      <c r="G8" s="246"/>
      <c r="H8" s="246"/>
      <c r="I8" s="247">
        <v>27.72</v>
      </c>
      <c r="J8" s="247">
        <v>200.24</v>
      </c>
    </row>
    <row r="9" spans="1:10" ht="20.100000000000001" customHeight="1">
      <c r="A9" s="903"/>
      <c r="B9" s="246" t="s">
        <v>1124</v>
      </c>
      <c r="C9" s="246" t="s">
        <v>1123</v>
      </c>
      <c r="D9" s="246" t="s">
        <v>1121</v>
      </c>
      <c r="E9" s="246" t="s">
        <v>1124</v>
      </c>
      <c r="F9" s="246"/>
      <c r="G9" s="246"/>
      <c r="H9" s="246"/>
      <c r="I9" s="247">
        <v>0.2</v>
      </c>
      <c r="J9" s="247"/>
    </row>
    <row r="10" spans="1:10" ht="20.100000000000001" customHeight="1">
      <c r="A10" s="901" t="s">
        <v>1131</v>
      </c>
      <c r="B10" s="248" t="s">
        <v>22</v>
      </c>
      <c r="C10" s="248">
        <f>COUNTA(C11:C40)</f>
        <v>30</v>
      </c>
      <c r="D10" s="248"/>
      <c r="E10" s="248"/>
      <c r="F10" s="248"/>
      <c r="G10" s="248"/>
      <c r="H10" s="248"/>
      <c r="I10" s="249">
        <f>SUM(I11:I40)</f>
        <v>222.42000000000002</v>
      </c>
      <c r="J10" s="249">
        <f>SUM(J11:J40)</f>
        <v>971.43</v>
      </c>
    </row>
    <row r="11" spans="1:10" ht="20.100000000000001" customHeight="1">
      <c r="A11" s="902"/>
      <c r="B11" s="246" t="s">
        <v>1132</v>
      </c>
      <c r="C11" s="246" t="s">
        <v>1123</v>
      </c>
      <c r="D11" s="246" t="s">
        <v>1132</v>
      </c>
      <c r="E11" s="246"/>
      <c r="F11" s="246"/>
      <c r="G11" s="246"/>
      <c r="H11" s="246"/>
      <c r="I11" s="247">
        <v>22</v>
      </c>
      <c r="J11" s="247">
        <v>85.2</v>
      </c>
    </row>
    <row r="12" spans="1:10" ht="20.100000000000001" customHeight="1">
      <c r="A12" s="902"/>
      <c r="B12" s="246" t="s">
        <v>1133</v>
      </c>
      <c r="C12" s="246" t="s">
        <v>1123</v>
      </c>
      <c r="D12" s="246" t="s">
        <v>1132</v>
      </c>
      <c r="E12" s="246" t="s">
        <v>1133</v>
      </c>
      <c r="F12" s="246"/>
      <c r="G12" s="246"/>
      <c r="H12" s="246"/>
      <c r="I12" s="247">
        <v>4.7699999999999996</v>
      </c>
      <c r="J12" s="247">
        <v>8.7100000000000009</v>
      </c>
    </row>
    <row r="13" spans="1:10" ht="20.100000000000001" customHeight="1">
      <c r="A13" s="902"/>
      <c r="B13" s="246" t="s">
        <v>1134</v>
      </c>
      <c r="C13" s="246" t="s">
        <v>1123</v>
      </c>
      <c r="D13" s="246" t="s">
        <v>1132</v>
      </c>
      <c r="E13" s="246" t="s">
        <v>1134</v>
      </c>
      <c r="F13" s="246"/>
      <c r="G13" s="246"/>
      <c r="H13" s="246"/>
      <c r="I13" s="247">
        <v>3.6</v>
      </c>
      <c r="J13" s="247">
        <v>2.39</v>
      </c>
    </row>
    <row r="14" spans="1:10" ht="20.100000000000001" customHeight="1">
      <c r="A14" s="902"/>
      <c r="B14" s="246" t="s">
        <v>1160</v>
      </c>
      <c r="C14" s="246" t="s">
        <v>1161</v>
      </c>
      <c r="D14" s="246" t="s">
        <v>1162</v>
      </c>
      <c r="E14" s="246"/>
      <c r="F14" s="246"/>
      <c r="G14" s="246"/>
      <c r="H14" s="246"/>
      <c r="I14" s="247">
        <v>8.6999999999999993</v>
      </c>
      <c r="J14" s="247">
        <v>183.33</v>
      </c>
    </row>
    <row r="15" spans="1:10" ht="20.100000000000001" customHeight="1">
      <c r="A15" s="902"/>
      <c r="B15" s="246" t="s">
        <v>1163</v>
      </c>
      <c r="C15" s="246" t="s">
        <v>1161</v>
      </c>
      <c r="D15" s="246" t="s">
        <v>1162</v>
      </c>
      <c r="E15" s="246" t="s">
        <v>1163</v>
      </c>
      <c r="F15" s="246"/>
      <c r="G15" s="246"/>
      <c r="H15" s="246"/>
      <c r="I15" s="247">
        <v>3.8</v>
      </c>
      <c r="J15" s="247">
        <v>7.95</v>
      </c>
    </row>
    <row r="16" spans="1:10" ht="20.100000000000001" customHeight="1">
      <c r="A16" s="902"/>
      <c r="B16" s="246" t="s">
        <v>1164</v>
      </c>
      <c r="C16" s="246" t="s">
        <v>1161</v>
      </c>
      <c r="D16" s="246" t="s">
        <v>1162</v>
      </c>
      <c r="E16" s="246" t="s">
        <v>1164</v>
      </c>
      <c r="F16" s="246"/>
      <c r="G16" s="246"/>
      <c r="H16" s="246"/>
      <c r="I16" s="247">
        <v>8.24</v>
      </c>
      <c r="J16" s="247">
        <v>19.03</v>
      </c>
    </row>
    <row r="17" spans="1:10" ht="20.100000000000001" customHeight="1">
      <c r="A17" s="902"/>
      <c r="B17" s="246" t="s">
        <v>1121</v>
      </c>
      <c r="C17" s="246" t="s">
        <v>1123</v>
      </c>
      <c r="D17" s="246" t="s">
        <v>1121</v>
      </c>
      <c r="E17" s="246"/>
      <c r="F17" s="246"/>
      <c r="G17" s="246"/>
      <c r="H17" s="246"/>
      <c r="I17" s="247">
        <v>35.65</v>
      </c>
      <c r="J17" s="247">
        <v>198.68</v>
      </c>
    </row>
    <row r="18" spans="1:10" ht="20.100000000000001" customHeight="1">
      <c r="A18" s="902"/>
      <c r="B18" s="246" t="s">
        <v>1135</v>
      </c>
      <c r="C18" s="246" t="s">
        <v>1123</v>
      </c>
      <c r="D18" s="246" t="s">
        <v>1121</v>
      </c>
      <c r="E18" s="246" t="s">
        <v>1135</v>
      </c>
      <c r="F18" s="246"/>
      <c r="G18" s="246"/>
      <c r="H18" s="246"/>
      <c r="I18" s="247">
        <v>3.1</v>
      </c>
      <c r="J18" s="247">
        <v>10.77</v>
      </c>
    </row>
    <row r="19" spans="1:10" ht="20.100000000000001" customHeight="1">
      <c r="A19" s="902"/>
      <c r="B19" s="246" t="s">
        <v>1136</v>
      </c>
      <c r="C19" s="246" t="s">
        <v>1123</v>
      </c>
      <c r="D19" s="246" t="s">
        <v>1121</v>
      </c>
      <c r="E19" s="246" t="s">
        <v>1136</v>
      </c>
      <c r="F19" s="246"/>
      <c r="G19" s="246"/>
      <c r="H19" s="246"/>
      <c r="I19" s="247">
        <v>3.57</v>
      </c>
      <c r="J19" s="247">
        <v>9.34</v>
      </c>
    </row>
    <row r="20" spans="1:10" ht="20.100000000000001" customHeight="1">
      <c r="A20" s="902"/>
      <c r="B20" s="246" t="s">
        <v>1137</v>
      </c>
      <c r="C20" s="246" t="s">
        <v>1123</v>
      </c>
      <c r="D20" s="246" t="s">
        <v>1121</v>
      </c>
      <c r="E20" s="246" t="s">
        <v>1137</v>
      </c>
      <c r="F20" s="246"/>
      <c r="G20" s="246"/>
      <c r="H20" s="246"/>
      <c r="I20" s="247">
        <v>4.7</v>
      </c>
      <c r="J20" s="247">
        <v>9.8699999999999992</v>
      </c>
    </row>
    <row r="21" spans="1:10" ht="20.100000000000001" customHeight="1">
      <c r="A21" s="902"/>
      <c r="B21" s="246" t="s">
        <v>1138</v>
      </c>
      <c r="C21" s="246" t="s">
        <v>1123</v>
      </c>
      <c r="D21" s="246" t="s">
        <v>1121</v>
      </c>
      <c r="E21" s="246" t="s">
        <v>1138</v>
      </c>
      <c r="F21" s="246"/>
      <c r="G21" s="246"/>
      <c r="H21" s="246"/>
      <c r="I21" s="247">
        <v>7.9</v>
      </c>
      <c r="J21" s="247">
        <v>19.989999999999998</v>
      </c>
    </row>
    <row r="22" spans="1:10" ht="20.100000000000001" customHeight="1">
      <c r="A22" s="902"/>
      <c r="B22" s="246" t="s">
        <v>1139</v>
      </c>
      <c r="C22" s="246" t="s">
        <v>1123</v>
      </c>
      <c r="D22" s="246" t="s">
        <v>1121</v>
      </c>
      <c r="E22" s="246" t="s">
        <v>1139</v>
      </c>
      <c r="F22" s="246"/>
      <c r="G22" s="246"/>
      <c r="H22" s="246"/>
      <c r="I22" s="247">
        <v>4.2</v>
      </c>
      <c r="J22" s="247">
        <v>9.1199999999999992</v>
      </c>
    </row>
    <row r="23" spans="1:10" ht="20.100000000000001" customHeight="1">
      <c r="A23" s="902"/>
      <c r="B23" s="246" t="s">
        <v>1140</v>
      </c>
      <c r="C23" s="246" t="s">
        <v>1123</v>
      </c>
      <c r="D23" s="246" t="s">
        <v>1121</v>
      </c>
      <c r="E23" s="246" t="s">
        <v>1140</v>
      </c>
      <c r="F23" s="246"/>
      <c r="G23" s="246"/>
      <c r="H23" s="246"/>
      <c r="I23" s="247">
        <v>5.5</v>
      </c>
      <c r="J23" s="247">
        <v>7.42</v>
      </c>
    </row>
    <row r="24" spans="1:10" ht="20.100000000000001" customHeight="1">
      <c r="A24" s="902"/>
      <c r="B24" s="246" t="s">
        <v>1141</v>
      </c>
      <c r="C24" s="246" t="s">
        <v>1123</v>
      </c>
      <c r="D24" s="246" t="s">
        <v>1121</v>
      </c>
      <c r="E24" s="246" t="s">
        <v>1141</v>
      </c>
      <c r="F24" s="246"/>
      <c r="G24" s="246"/>
      <c r="H24" s="246"/>
      <c r="I24" s="247">
        <v>12.8</v>
      </c>
      <c r="J24" s="247">
        <v>26.09</v>
      </c>
    </row>
    <row r="25" spans="1:10" ht="20.100000000000001" customHeight="1">
      <c r="A25" s="902"/>
      <c r="B25" s="246" t="s">
        <v>1142</v>
      </c>
      <c r="C25" s="246" t="s">
        <v>1123</v>
      </c>
      <c r="D25" s="246" t="s">
        <v>1121</v>
      </c>
      <c r="E25" s="246" t="s">
        <v>1142</v>
      </c>
      <c r="F25" s="246"/>
      <c r="G25" s="246"/>
      <c r="H25" s="246"/>
      <c r="I25" s="247"/>
      <c r="J25" s="247"/>
    </row>
    <row r="26" spans="1:10" ht="20.100000000000001" customHeight="1">
      <c r="A26" s="902"/>
      <c r="B26" s="246" t="s">
        <v>1122</v>
      </c>
      <c r="C26" s="246" t="s">
        <v>1123</v>
      </c>
      <c r="D26" s="246" t="s">
        <v>1121</v>
      </c>
      <c r="E26" s="246" t="s">
        <v>1122</v>
      </c>
      <c r="F26" s="246"/>
      <c r="G26" s="246"/>
      <c r="H26" s="246"/>
      <c r="I26" s="247">
        <v>9</v>
      </c>
      <c r="J26" s="247">
        <v>100.8</v>
      </c>
    </row>
    <row r="27" spans="1:10" ht="20.100000000000001" customHeight="1">
      <c r="A27" s="902"/>
      <c r="B27" s="246" t="s">
        <v>1143</v>
      </c>
      <c r="C27" s="246" t="s">
        <v>1123</v>
      </c>
      <c r="D27" s="246" t="s">
        <v>1121</v>
      </c>
      <c r="E27" s="246" t="s">
        <v>1122</v>
      </c>
      <c r="F27" s="246" t="s">
        <v>1143</v>
      </c>
      <c r="G27" s="246"/>
      <c r="H27" s="246"/>
      <c r="I27" s="247">
        <v>3.69</v>
      </c>
      <c r="J27" s="247">
        <v>6.34</v>
      </c>
    </row>
    <row r="28" spans="1:10" ht="20.100000000000001" customHeight="1">
      <c r="A28" s="902"/>
      <c r="B28" s="246" t="s">
        <v>1144</v>
      </c>
      <c r="C28" s="246" t="s">
        <v>1123</v>
      </c>
      <c r="D28" s="246" t="s">
        <v>1121</v>
      </c>
      <c r="E28" s="246" t="s">
        <v>1122</v>
      </c>
      <c r="F28" s="246" t="s">
        <v>1144</v>
      </c>
      <c r="G28" s="246"/>
      <c r="H28" s="246"/>
      <c r="I28" s="247">
        <v>5.26</v>
      </c>
      <c r="J28" s="247">
        <v>25.91</v>
      </c>
    </row>
    <row r="29" spans="1:10" ht="20.100000000000001" customHeight="1">
      <c r="A29" s="902"/>
      <c r="B29" s="246" t="s">
        <v>1145</v>
      </c>
      <c r="C29" s="246" t="s">
        <v>1123</v>
      </c>
      <c r="D29" s="246" t="s">
        <v>1121</v>
      </c>
      <c r="E29" s="246" t="s">
        <v>1122</v>
      </c>
      <c r="F29" s="246" t="s">
        <v>1144</v>
      </c>
      <c r="G29" s="246" t="s">
        <v>1145</v>
      </c>
      <c r="H29" s="246"/>
      <c r="I29" s="247">
        <v>3.85</v>
      </c>
      <c r="J29" s="247">
        <v>7.73</v>
      </c>
    </row>
    <row r="30" spans="1:10" ht="20.100000000000001" customHeight="1">
      <c r="A30" s="902"/>
      <c r="B30" s="246" t="s">
        <v>1146</v>
      </c>
      <c r="C30" s="246" t="s">
        <v>1123</v>
      </c>
      <c r="D30" s="246" t="s">
        <v>1121</v>
      </c>
      <c r="E30" s="246" t="s">
        <v>1122</v>
      </c>
      <c r="F30" s="246" t="s">
        <v>1144</v>
      </c>
      <c r="G30" s="246" t="s">
        <v>1146</v>
      </c>
      <c r="H30" s="246"/>
      <c r="I30" s="247">
        <v>4.18</v>
      </c>
      <c r="J30" s="247">
        <v>5.5</v>
      </c>
    </row>
    <row r="31" spans="1:10" ht="20.100000000000001" customHeight="1">
      <c r="A31" s="902"/>
      <c r="B31" s="246" t="s">
        <v>1147</v>
      </c>
      <c r="C31" s="246" t="s">
        <v>1123</v>
      </c>
      <c r="D31" s="246" t="s">
        <v>1121</v>
      </c>
      <c r="E31" s="246" t="s">
        <v>1122</v>
      </c>
      <c r="F31" s="246" t="s">
        <v>1147</v>
      </c>
      <c r="G31" s="246"/>
      <c r="H31" s="246"/>
      <c r="I31" s="247">
        <v>2.4</v>
      </c>
      <c r="J31" s="247">
        <v>3.34</v>
      </c>
    </row>
    <row r="32" spans="1:10" ht="20.100000000000001" customHeight="1">
      <c r="A32" s="902"/>
      <c r="B32" s="246" t="s">
        <v>1149</v>
      </c>
      <c r="C32" s="246" t="s">
        <v>1123</v>
      </c>
      <c r="D32" s="246" t="s">
        <v>1121</v>
      </c>
      <c r="E32" s="246" t="s">
        <v>1149</v>
      </c>
      <c r="F32" s="246"/>
      <c r="G32" s="246"/>
      <c r="H32" s="246"/>
      <c r="I32" s="247">
        <v>12.3</v>
      </c>
      <c r="J32" s="247">
        <v>69.53</v>
      </c>
    </row>
    <row r="33" spans="1:10" ht="20.100000000000001" customHeight="1">
      <c r="A33" s="902"/>
      <c r="B33" s="246" t="s">
        <v>1148</v>
      </c>
      <c r="C33" s="246" t="s">
        <v>1123</v>
      </c>
      <c r="D33" s="246" t="s">
        <v>1121</v>
      </c>
      <c r="E33" s="246" t="s">
        <v>1149</v>
      </c>
      <c r="F33" s="246" t="s">
        <v>1148</v>
      </c>
      <c r="G33" s="246"/>
      <c r="H33" s="246"/>
      <c r="I33" s="247">
        <v>2.7</v>
      </c>
      <c r="J33" s="247">
        <v>3.18</v>
      </c>
    </row>
    <row r="34" spans="1:10" ht="20.100000000000001" customHeight="1">
      <c r="A34" s="902"/>
      <c r="B34" s="246" t="s">
        <v>1150</v>
      </c>
      <c r="C34" s="246" t="s">
        <v>1123</v>
      </c>
      <c r="D34" s="246" t="s">
        <v>1121</v>
      </c>
      <c r="E34" s="246" t="s">
        <v>1149</v>
      </c>
      <c r="F34" s="246" t="s">
        <v>1150</v>
      </c>
      <c r="G34" s="246"/>
      <c r="H34" s="246"/>
      <c r="I34" s="247">
        <v>7.4</v>
      </c>
      <c r="J34" s="247">
        <v>17.489999999999998</v>
      </c>
    </row>
    <row r="35" spans="1:10" ht="20.100000000000001" customHeight="1">
      <c r="A35" s="902"/>
      <c r="B35" s="246" t="s">
        <v>1151</v>
      </c>
      <c r="C35" s="246" t="s">
        <v>1123</v>
      </c>
      <c r="D35" s="246" t="s">
        <v>1121</v>
      </c>
      <c r="E35" s="246" t="s">
        <v>1151</v>
      </c>
      <c r="F35" s="246"/>
      <c r="G35" s="246"/>
      <c r="H35" s="246"/>
      <c r="I35" s="247">
        <v>11.3</v>
      </c>
      <c r="J35" s="247">
        <v>35.89</v>
      </c>
    </row>
    <row r="36" spans="1:10" ht="20.100000000000001" customHeight="1">
      <c r="A36" s="902"/>
      <c r="B36" s="246" t="s">
        <v>1152</v>
      </c>
      <c r="C36" s="246" t="s">
        <v>1123</v>
      </c>
      <c r="D36" s="246" t="s">
        <v>1121</v>
      </c>
      <c r="E36" s="246" t="s">
        <v>1152</v>
      </c>
      <c r="F36" s="246"/>
      <c r="G36" s="246"/>
      <c r="H36" s="246"/>
      <c r="I36" s="247">
        <v>5.0599999999999996</v>
      </c>
      <c r="J36" s="247">
        <v>9.99</v>
      </c>
    </row>
    <row r="37" spans="1:10" ht="20.100000000000001" customHeight="1">
      <c r="A37" s="902"/>
      <c r="B37" s="246" t="s">
        <v>1153</v>
      </c>
      <c r="C37" s="246" t="s">
        <v>1123</v>
      </c>
      <c r="D37" s="246" t="s">
        <v>1121</v>
      </c>
      <c r="E37" s="246" t="s">
        <v>1124</v>
      </c>
      <c r="F37" s="246" t="s">
        <v>1153</v>
      </c>
      <c r="G37" s="246"/>
      <c r="H37" s="246"/>
      <c r="I37" s="247">
        <v>4.38</v>
      </c>
      <c r="J37" s="247">
        <v>11.53</v>
      </c>
    </row>
    <row r="38" spans="1:10" ht="20.100000000000001" customHeight="1">
      <c r="A38" s="902"/>
      <c r="B38" s="246" t="s">
        <v>1154</v>
      </c>
      <c r="C38" s="246" t="s">
        <v>1123</v>
      </c>
      <c r="D38" s="246" t="s">
        <v>1121</v>
      </c>
      <c r="E38" s="246" t="s">
        <v>1124</v>
      </c>
      <c r="F38" s="246" t="s">
        <v>1154</v>
      </c>
      <c r="G38" s="246"/>
      <c r="H38" s="246"/>
      <c r="I38" s="247">
        <v>9.1</v>
      </c>
      <c r="J38" s="247">
        <v>52.87</v>
      </c>
    </row>
    <row r="39" spans="1:10" ht="20.100000000000001" customHeight="1">
      <c r="A39" s="902"/>
      <c r="B39" s="246" t="s">
        <v>1155</v>
      </c>
      <c r="C39" s="246" t="s">
        <v>1123</v>
      </c>
      <c r="D39" s="246" t="s">
        <v>1121</v>
      </c>
      <c r="E39" s="246" t="s">
        <v>1124</v>
      </c>
      <c r="F39" s="246" t="s">
        <v>1154</v>
      </c>
      <c r="G39" s="246" t="s">
        <v>1155</v>
      </c>
      <c r="H39" s="246"/>
      <c r="I39" s="247">
        <v>6.5</v>
      </c>
      <c r="J39" s="247">
        <v>15.13</v>
      </c>
    </row>
    <row r="40" spans="1:10" ht="20.100000000000001" customHeight="1">
      <c r="A40" s="903"/>
      <c r="B40" s="246" t="s">
        <v>1156</v>
      </c>
      <c r="C40" s="246" t="s">
        <v>1123</v>
      </c>
      <c r="D40" s="246" t="s">
        <v>1121</v>
      </c>
      <c r="E40" s="246" t="s">
        <v>1124</v>
      </c>
      <c r="F40" s="246" t="s">
        <v>1154</v>
      </c>
      <c r="G40" s="246" t="s">
        <v>1155</v>
      </c>
      <c r="H40" s="246" t="s">
        <v>1156</v>
      </c>
      <c r="I40" s="247">
        <v>6.77</v>
      </c>
      <c r="J40" s="247">
        <v>8.31</v>
      </c>
    </row>
  </sheetData>
  <mergeCells count="6">
    <mergeCell ref="A2:B3"/>
    <mergeCell ref="C2:H2"/>
    <mergeCell ref="I2:J2"/>
    <mergeCell ref="A5:A9"/>
    <mergeCell ref="A10:A40"/>
    <mergeCell ref="A4:B4"/>
  </mergeCells>
  <phoneticPr fontId="3" type="noConversion"/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2:O484"/>
  <sheetViews>
    <sheetView workbookViewId="0"/>
  </sheetViews>
  <sheetFormatPr defaultColWidth="7.77734375" defaultRowHeight="20.100000000000001" customHeight="1"/>
  <cols>
    <col min="1" max="3" width="7.77734375" style="388"/>
    <col min="4" max="4" width="8.21875" style="388" bestFit="1" customWidth="1"/>
    <col min="5" max="16384" width="7.77734375" style="388"/>
  </cols>
  <sheetData>
    <row r="2" spans="1:15" ht="20.100000000000001" customHeight="1">
      <c r="A2" s="435"/>
      <c r="B2" s="435"/>
      <c r="C2" s="435"/>
      <c r="D2" s="435" t="s">
        <v>2403</v>
      </c>
      <c r="E2" s="435" t="s">
        <v>1828</v>
      </c>
      <c r="F2" s="435" t="s">
        <v>1847</v>
      </c>
      <c r="G2" s="435" t="s">
        <v>2396</v>
      </c>
      <c r="H2" s="435" t="s">
        <v>2397</v>
      </c>
      <c r="I2" s="464" t="s">
        <v>2433</v>
      </c>
      <c r="J2" s="435" t="s">
        <v>2398</v>
      </c>
      <c r="K2" s="435" t="s">
        <v>2399</v>
      </c>
      <c r="L2" s="435" t="s">
        <v>2404</v>
      </c>
      <c r="M2" s="435" t="s">
        <v>2400</v>
      </c>
      <c r="N2" s="435" t="s">
        <v>2401</v>
      </c>
      <c r="O2" s="435" t="s">
        <v>2402</v>
      </c>
    </row>
    <row r="3" spans="1:15" ht="20.100000000000001" customHeight="1">
      <c r="A3" s="661" t="s">
        <v>698</v>
      </c>
      <c r="B3" s="661"/>
      <c r="C3" s="661"/>
      <c r="D3" s="448">
        <f t="shared" ref="D3:O3" si="0">SUM(D4:D484)</f>
        <v>34311</v>
      </c>
      <c r="E3" s="81">
        <f t="shared" si="0"/>
        <v>287</v>
      </c>
      <c r="F3" s="81">
        <f t="shared" si="0"/>
        <v>1357</v>
      </c>
      <c r="G3" s="81">
        <f t="shared" si="0"/>
        <v>1876</v>
      </c>
      <c r="H3" s="81">
        <f t="shared" si="0"/>
        <v>16771</v>
      </c>
      <c r="I3" s="81">
        <f t="shared" si="0"/>
        <v>3549</v>
      </c>
      <c r="J3" s="81">
        <f t="shared" si="0"/>
        <v>3062</v>
      </c>
      <c r="K3" s="81">
        <f t="shared" si="0"/>
        <v>941</v>
      </c>
      <c r="L3" s="81">
        <f t="shared" si="0"/>
        <v>1252</v>
      </c>
      <c r="M3" s="81">
        <f t="shared" si="0"/>
        <v>743</v>
      </c>
      <c r="N3" s="81">
        <f t="shared" si="0"/>
        <v>4473</v>
      </c>
      <c r="O3" s="81">
        <f t="shared" si="0"/>
        <v>0</v>
      </c>
    </row>
    <row r="4" spans="1:15" ht="20.100000000000001" customHeight="1">
      <c r="A4" s="442" t="s">
        <v>1225</v>
      </c>
      <c r="B4" s="442" t="s">
        <v>803</v>
      </c>
      <c r="C4" s="443" t="s">
        <v>1920</v>
      </c>
      <c r="D4" s="81">
        <f>SUM(E4:O4)</f>
        <v>258</v>
      </c>
      <c r="E4" s="81">
        <f>SUMIF('2.생활용수(광석)'!$C$5:$C$56,$C4,'2.생활용수(광석)'!$Q$5:$Q$56)</f>
        <v>0</v>
      </c>
      <c r="F4" s="81">
        <f>SUMIF('2.생활용수(성동)'!$C$5:$C$60,$C4,'2.생활용수(성동)'!$Q$5:$Q$60)</f>
        <v>0</v>
      </c>
      <c r="G4" s="81">
        <f>SUMIF('2.생활용수(봉화)'!$C$5:$C$18,$C4,'2.생활용수(봉화)'!$Q$5:$Q$18)</f>
        <v>0</v>
      </c>
      <c r="H4" s="81">
        <f>SUMIF('2.생활용수(논산)'!$C$5:$C$28,$C4,'2.생활용수(논산)'!$Q$5:$Q$28)</f>
        <v>0</v>
      </c>
      <c r="I4" s="81">
        <f>SUMIF('2.생활용수(연무)'!$C$5:$C$123,$C4,'2.생활용수(연무)'!$Q$5:$Q$123)</f>
        <v>0</v>
      </c>
      <c r="J4" s="81">
        <f>SUMIF('2.생활용수(마산)'!$C$5:$C$115,$C4,'2.생활용수(마산)'!$Q$5:$Q$115)</f>
        <v>0</v>
      </c>
      <c r="K4" s="81">
        <f>SUMIF('2.생활용수(부적)'!$C$5:$C$75,$C4,'2.생활용수(부적)'!$Q$5:$Q$75)</f>
        <v>0</v>
      </c>
      <c r="L4" s="81">
        <f>SUMIF('2.생활용수(연산)'!$C$5:$C$220,$C4,'2.생활용수(연산)'!$Q$5:$Q$220)</f>
        <v>0</v>
      </c>
      <c r="M4" s="81">
        <f>SUMIF('2.생활용수(채운)'!$C$5:$C$63,$C4,'2.생활용수(채운)'!$Q$5:$Q$63)</f>
        <v>0</v>
      </c>
      <c r="N4" s="81">
        <f>SUMIF('2.생활용수(강경)'!$C$5:$C$60,$C4,'2.생활용수(강경)'!$Q$5:$Q$60)</f>
        <v>258</v>
      </c>
      <c r="O4" s="81"/>
    </row>
    <row r="5" spans="1:15" ht="20.100000000000001" customHeight="1">
      <c r="A5" s="442" t="s">
        <v>1225</v>
      </c>
      <c r="B5" s="442" t="s">
        <v>812</v>
      </c>
      <c r="C5" s="443" t="s">
        <v>1921</v>
      </c>
      <c r="D5" s="81">
        <f t="shared" ref="D5:D68" si="1">SUM(E5:O5)</f>
        <v>102</v>
      </c>
      <c r="E5" s="81">
        <f>SUMIF('2.생활용수(광석)'!$C$5:$C$56,C5,'2.생활용수(광석)'!$Q$5:$Q$56)</f>
        <v>0</v>
      </c>
      <c r="F5" s="81">
        <f>SUMIF('2.생활용수(성동)'!$C$5:$C$60,$C5,'2.생활용수(성동)'!$Q$5:$Q$60)</f>
        <v>0</v>
      </c>
      <c r="G5" s="81">
        <f>SUMIF('2.생활용수(봉화)'!$C$5:$C$18,$C5,'2.생활용수(봉화)'!$Q$5:$Q$18)</f>
        <v>0</v>
      </c>
      <c r="H5" s="81">
        <f>SUMIF('2.생활용수(논산)'!$C$5:$C$28,$C5,'2.생활용수(논산)'!$Q$5:$Q$28)</f>
        <v>0</v>
      </c>
      <c r="I5" s="81">
        <f>SUMIF('2.생활용수(연무)'!$C$5:$C$123,$C5,'2.생활용수(연무)'!$Q$5:$Q$123)</f>
        <v>0</v>
      </c>
      <c r="J5" s="81">
        <f>SUMIF('2.생활용수(마산)'!$C$5:$C$115,$C5,'2.생활용수(마산)'!$Q$5:$Q$115)</f>
        <v>0</v>
      </c>
      <c r="K5" s="81">
        <f>SUMIF('2.생활용수(부적)'!$C$5:$C$75,$C5,'2.생활용수(부적)'!$Q$5:$Q$75)</f>
        <v>0</v>
      </c>
      <c r="L5" s="81">
        <f>SUMIF('2.생활용수(연산)'!$C$5:$C$220,$C5,'2.생활용수(연산)'!$Q$5:$Q$220)</f>
        <v>0</v>
      </c>
      <c r="M5" s="81">
        <f>SUMIF('2.생활용수(채운)'!$C$5:$C$63,$C5,'2.생활용수(채운)'!$Q$5:$Q$63)</f>
        <v>0</v>
      </c>
      <c r="N5" s="81">
        <f>SUMIF('2.생활용수(강경)'!$C$5:$C$60,$C5,'2.생활용수(강경)'!$Q$5:$Q$60)</f>
        <v>102</v>
      </c>
      <c r="O5" s="81"/>
    </row>
    <row r="6" spans="1:15" ht="20.100000000000001" customHeight="1">
      <c r="A6" s="442" t="s">
        <v>1225</v>
      </c>
      <c r="B6" s="442" t="s">
        <v>812</v>
      </c>
      <c r="C6" s="443" t="s">
        <v>1922</v>
      </c>
      <c r="D6" s="81">
        <f t="shared" si="1"/>
        <v>95</v>
      </c>
      <c r="E6" s="81">
        <f>SUMIF('2.생활용수(광석)'!$C$5:$C$56,C6,'2.생활용수(광석)'!$Q$5:$Q$56)</f>
        <v>0</v>
      </c>
      <c r="F6" s="81">
        <f>SUMIF('2.생활용수(성동)'!$C$5:$C$60,$C6,'2.생활용수(성동)'!$Q$5:$Q$60)</f>
        <v>0</v>
      </c>
      <c r="G6" s="81">
        <f>SUMIF('2.생활용수(봉화)'!$C$5:$C$18,$C6,'2.생활용수(봉화)'!$Q$5:$Q$18)</f>
        <v>0</v>
      </c>
      <c r="H6" s="81">
        <f>SUMIF('2.생활용수(논산)'!$C$5:$C$28,$C6,'2.생활용수(논산)'!$Q$5:$Q$28)</f>
        <v>0</v>
      </c>
      <c r="I6" s="81">
        <f>SUMIF('2.생활용수(연무)'!$C$5:$C$123,$C6,'2.생활용수(연무)'!$Q$5:$Q$123)</f>
        <v>0</v>
      </c>
      <c r="J6" s="81">
        <f>SUMIF('2.생활용수(마산)'!$C$5:$C$115,$C6,'2.생활용수(마산)'!$Q$5:$Q$115)</f>
        <v>0</v>
      </c>
      <c r="K6" s="81">
        <f>SUMIF('2.생활용수(부적)'!$C$5:$C$75,$C6,'2.생활용수(부적)'!$Q$5:$Q$75)</f>
        <v>0</v>
      </c>
      <c r="L6" s="81">
        <f>SUMIF('2.생활용수(연산)'!$C$5:$C$220,$C6,'2.생활용수(연산)'!$Q$5:$Q$220)</f>
        <v>0</v>
      </c>
      <c r="M6" s="81">
        <f>SUMIF('2.생활용수(채운)'!$C$5:$C$63,$C6,'2.생활용수(채운)'!$Q$5:$Q$63)</f>
        <v>0</v>
      </c>
      <c r="N6" s="81">
        <f>SUMIF('2.생활용수(강경)'!$C$5:$C$60,$C6,'2.생활용수(강경)'!$Q$5:$Q$60)</f>
        <v>95</v>
      </c>
      <c r="O6" s="81"/>
    </row>
    <row r="7" spans="1:15" ht="20.100000000000001" customHeight="1">
      <c r="A7" s="442" t="s">
        <v>1225</v>
      </c>
      <c r="B7" s="442" t="s">
        <v>813</v>
      </c>
      <c r="C7" s="443" t="s">
        <v>1923</v>
      </c>
      <c r="D7" s="81">
        <f t="shared" si="1"/>
        <v>68</v>
      </c>
      <c r="E7" s="81">
        <f>SUMIF('2.생활용수(광석)'!$C$5:$C$56,C7,'2.생활용수(광석)'!$Q$5:$Q$56)</f>
        <v>0</v>
      </c>
      <c r="F7" s="81">
        <f>SUMIF('2.생활용수(성동)'!$C$5:$C$60,$C7,'2.생활용수(성동)'!$Q$5:$Q$60)</f>
        <v>0</v>
      </c>
      <c r="G7" s="81">
        <f>SUMIF('2.생활용수(봉화)'!$C$5:$C$18,$C7,'2.생활용수(봉화)'!$Q$5:$Q$18)</f>
        <v>0</v>
      </c>
      <c r="H7" s="81">
        <f>SUMIF('2.생활용수(논산)'!$C$5:$C$28,$C7,'2.생활용수(논산)'!$Q$5:$Q$28)</f>
        <v>0</v>
      </c>
      <c r="I7" s="81">
        <f>SUMIF('2.생활용수(연무)'!$C$5:$C$123,$C7,'2.생활용수(연무)'!$Q$5:$Q$123)</f>
        <v>0</v>
      </c>
      <c r="J7" s="81">
        <f>SUMIF('2.생활용수(마산)'!$C$5:$C$115,$C7,'2.생활용수(마산)'!$Q$5:$Q$115)</f>
        <v>0</v>
      </c>
      <c r="K7" s="81">
        <f>SUMIF('2.생활용수(부적)'!$C$5:$C$75,$C7,'2.생활용수(부적)'!$Q$5:$Q$75)</f>
        <v>0</v>
      </c>
      <c r="L7" s="81">
        <f>SUMIF('2.생활용수(연산)'!$C$5:$C$220,$C7,'2.생활용수(연산)'!$Q$5:$Q$220)</f>
        <v>0</v>
      </c>
      <c r="M7" s="81">
        <f>SUMIF('2.생활용수(채운)'!$C$5:$C$63,$C7,'2.생활용수(채운)'!$Q$5:$Q$63)</f>
        <v>0</v>
      </c>
      <c r="N7" s="81">
        <f>SUMIF('2.생활용수(강경)'!$C$5:$C$60,$C7,'2.생활용수(강경)'!$Q$5:$Q$60)</f>
        <v>68</v>
      </c>
      <c r="O7" s="81"/>
    </row>
    <row r="8" spans="1:15" ht="20.100000000000001" customHeight="1">
      <c r="A8" s="442" t="s">
        <v>1225</v>
      </c>
      <c r="B8" s="442" t="s">
        <v>814</v>
      </c>
      <c r="C8" s="443" t="s">
        <v>1924</v>
      </c>
      <c r="D8" s="81">
        <f t="shared" si="1"/>
        <v>107</v>
      </c>
      <c r="E8" s="81">
        <f>SUMIF('2.생활용수(광석)'!$C$5:$C$56,C8,'2.생활용수(광석)'!$Q$5:$Q$56)</f>
        <v>0</v>
      </c>
      <c r="F8" s="81">
        <f>SUMIF('2.생활용수(성동)'!$C$5:$C$60,$C8,'2.생활용수(성동)'!$Q$5:$Q$60)</f>
        <v>0</v>
      </c>
      <c r="G8" s="81">
        <f>SUMIF('2.생활용수(봉화)'!$C$5:$C$18,$C8,'2.생활용수(봉화)'!$Q$5:$Q$18)</f>
        <v>0</v>
      </c>
      <c r="H8" s="81">
        <f>SUMIF('2.생활용수(논산)'!$C$5:$C$28,$C8,'2.생활용수(논산)'!$Q$5:$Q$28)</f>
        <v>0</v>
      </c>
      <c r="I8" s="81">
        <f>SUMIF('2.생활용수(연무)'!$C$5:$C$123,$C8,'2.생활용수(연무)'!$Q$5:$Q$123)</f>
        <v>0</v>
      </c>
      <c r="J8" s="81">
        <f>SUMIF('2.생활용수(마산)'!$C$5:$C$115,$C8,'2.생활용수(마산)'!$Q$5:$Q$115)</f>
        <v>0</v>
      </c>
      <c r="K8" s="81">
        <f>SUMIF('2.생활용수(부적)'!$C$5:$C$75,$C8,'2.생활용수(부적)'!$Q$5:$Q$75)</f>
        <v>0</v>
      </c>
      <c r="L8" s="81">
        <f>SUMIF('2.생활용수(연산)'!$C$5:$C$220,$C8,'2.생활용수(연산)'!$Q$5:$Q$220)</f>
        <v>0</v>
      </c>
      <c r="M8" s="81">
        <f>SUMIF('2.생활용수(채운)'!$C$5:$C$63,$C8,'2.생활용수(채운)'!$Q$5:$Q$63)</f>
        <v>0</v>
      </c>
      <c r="N8" s="81">
        <f>SUMIF('2.생활용수(강경)'!$C$5:$C$60,$C8,'2.생활용수(강경)'!$Q$5:$Q$60)</f>
        <v>107</v>
      </c>
      <c r="O8" s="81"/>
    </row>
    <row r="9" spans="1:15" ht="20.100000000000001" customHeight="1">
      <c r="A9" s="442" t="s">
        <v>1225</v>
      </c>
      <c r="B9" s="442" t="s">
        <v>815</v>
      </c>
      <c r="C9" s="443" t="s">
        <v>1925</v>
      </c>
      <c r="D9" s="81">
        <f t="shared" si="1"/>
        <v>157</v>
      </c>
      <c r="E9" s="81">
        <f>SUMIF('2.생활용수(광석)'!$C$5:$C$56,C9,'2.생활용수(광석)'!$Q$5:$Q$56)</f>
        <v>0</v>
      </c>
      <c r="F9" s="81">
        <f>SUMIF('2.생활용수(성동)'!$C$5:$C$60,$C9,'2.생활용수(성동)'!$Q$5:$Q$60)</f>
        <v>0</v>
      </c>
      <c r="G9" s="81">
        <f>SUMIF('2.생활용수(봉화)'!$C$5:$C$18,$C9,'2.생활용수(봉화)'!$Q$5:$Q$18)</f>
        <v>0</v>
      </c>
      <c r="H9" s="81">
        <f>SUMIF('2.생활용수(논산)'!$C$5:$C$28,$C9,'2.생활용수(논산)'!$Q$5:$Q$28)</f>
        <v>0</v>
      </c>
      <c r="I9" s="81">
        <f>SUMIF('2.생활용수(연무)'!$C$5:$C$123,$C9,'2.생활용수(연무)'!$Q$5:$Q$123)</f>
        <v>0</v>
      </c>
      <c r="J9" s="81">
        <f>SUMIF('2.생활용수(마산)'!$C$5:$C$115,$C9,'2.생활용수(마산)'!$Q$5:$Q$115)</f>
        <v>0</v>
      </c>
      <c r="K9" s="81">
        <f>SUMIF('2.생활용수(부적)'!$C$5:$C$75,$C9,'2.생활용수(부적)'!$Q$5:$Q$75)</f>
        <v>0</v>
      </c>
      <c r="L9" s="81">
        <f>SUMIF('2.생활용수(연산)'!$C$5:$C$220,$C9,'2.생활용수(연산)'!$Q$5:$Q$220)</f>
        <v>0</v>
      </c>
      <c r="M9" s="81">
        <f>SUMIF('2.생활용수(채운)'!$C$5:$C$63,$C9,'2.생활용수(채운)'!$Q$5:$Q$63)</f>
        <v>0</v>
      </c>
      <c r="N9" s="81">
        <f>SUMIF('2.생활용수(강경)'!$C$5:$C$60,$C9,'2.생활용수(강경)'!$Q$5:$Q$60)</f>
        <v>157</v>
      </c>
      <c r="O9" s="81"/>
    </row>
    <row r="10" spans="1:15" ht="20.100000000000001" customHeight="1">
      <c r="A10" s="442" t="s">
        <v>1225</v>
      </c>
      <c r="B10" s="442" t="s">
        <v>816</v>
      </c>
      <c r="C10" s="443" t="s">
        <v>1926</v>
      </c>
      <c r="D10" s="81">
        <f t="shared" si="1"/>
        <v>146</v>
      </c>
      <c r="E10" s="81">
        <f>SUMIF('2.생활용수(광석)'!$C$5:$C$56,C10,'2.생활용수(광석)'!$Q$5:$Q$56)</f>
        <v>0</v>
      </c>
      <c r="F10" s="81">
        <f>SUMIF('2.생활용수(성동)'!$C$5:$C$60,$C10,'2.생활용수(성동)'!$Q$5:$Q$60)</f>
        <v>0</v>
      </c>
      <c r="G10" s="81">
        <f>SUMIF('2.생활용수(봉화)'!$C$5:$C$18,$C10,'2.생활용수(봉화)'!$Q$5:$Q$18)</f>
        <v>0</v>
      </c>
      <c r="H10" s="81">
        <f>SUMIF('2.생활용수(논산)'!$C$5:$C$28,$C10,'2.생활용수(논산)'!$Q$5:$Q$28)</f>
        <v>0</v>
      </c>
      <c r="I10" s="81">
        <f>SUMIF('2.생활용수(연무)'!$C$5:$C$123,$C10,'2.생활용수(연무)'!$Q$5:$Q$123)</f>
        <v>0</v>
      </c>
      <c r="J10" s="81">
        <f>SUMIF('2.생활용수(마산)'!$C$5:$C$115,$C10,'2.생활용수(마산)'!$Q$5:$Q$115)</f>
        <v>0</v>
      </c>
      <c r="K10" s="81">
        <f>SUMIF('2.생활용수(부적)'!$C$5:$C$75,$C10,'2.생활용수(부적)'!$Q$5:$Q$75)</f>
        <v>0</v>
      </c>
      <c r="L10" s="81">
        <f>SUMIF('2.생활용수(연산)'!$C$5:$C$220,$C10,'2.생활용수(연산)'!$Q$5:$Q$220)</f>
        <v>0</v>
      </c>
      <c r="M10" s="81">
        <f>SUMIF('2.생활용수(채운)'!$C$5:$C$63,$C10,'2.생활용수(채운)'!$Q$5:$Q$63)</f>
        <v>0</v>
      </c>
      <c r="N10" s="81">
        <f>SUMIF('2.생활용수(강경)'!$C$5:$C$60,$C10,'2.생활용수(강경)'!$Q$5:$Q$60)</f>
        <v>146</v>
      </c>
      <c r="O10" s="81"/>
    </row>
    <row r="11" spans="1:15" ht="20.100000000000001" customHeight="1">
      <c r="A11" s="442" t="s">
        <v>1225</v>
      </c>
      <c r="B11" s="442" t="s">
        <v>816</v>
      </c>
      <c r="C11" s="443" t="s">
        <v>1927</v>
      </c>
      <c r="D11" s="81">
        <f t="shared" si="1"/>
        <v>78</v>
      </c>
      <c r="E11" s="81">
        <f>SUMIF('2.생활용수(광석)'!$C$5:$C$56,C11,'2.생활용수(광석)'!$Q$5:$Q$56)</f>
        <v>0</v>
      </c>
      <c r="F11" s="81">
        <f>SUMIF('2.생활용수(성동)'!$C$5:$C$60,$C11,'2.생활용수(성동)'!$Q$5:$Q$60)</f>
        <v>0</v>
      </c>
      <c r="G11" s="81">
        <f>SUMIF('2.생활용수(봉화)'!$C$5:$C$18,$C11,'2.생활용수(봉화)'!$Q$5:$Q$18)</f>
        <v>0</v>
      </c>
      <c r="H11" s="81">
        <f>SUMIF('2.생활용수(논산)'!$C$5:$C$28,$C11,'2.생활용수(논산)'!$Q$5:$Q$28)</f>
        <v>0</v>
      </c>
      <c r="I11" s="81">
        <f>SUMIF('2.생활용수(연무)'!$C$5:$C$123,$C11,'2.생활용수(연무)'!$Q$5:$Q$123)</f>
        <v>0</v>
      </c>
      <c r="J11" s="81">
        <f>SUMIF('2.생활용수(마산)'!$C$5:$C$115,$C11,'2.생활용수(마산)'!$Q$5:$Q$115)</f>
        <v>0</v>
      </c>
      <c r="K11" s="81">
        <f>SUMIF('2.생활용수(부적)'!$C$5:$C$75,$C11,'2.생활용수(부적)'!$Q$5:$Q$75)</f>
        <v>0</v>
      </c>
      <c r="L11" s="81">
        <f>SUMIF('2.생활용수(연산)'!$C$5:$C$220,$C11,'2.생활용수(연산)'!$Q$5:$Q$220)</f>
        <v>0</v>
      </c>
      <c r="M11" s="81">
        <f>SUMIF('2.생활용수(채운)'!$C$5:$C$63,$C11,'2.생활용수(채운)'!$Q$5:$Q$63)</f>
        <v>0</v>
      </c>
      <c r="N11" s="81">
        <f>SUMIF('2.생활용수(강경)'!$C$5:$C$60,$C11,'2.생활용수(강경)'!$Q$5:$Q$60)</f>
        <v>78</v>
      </c>
      <c r="O11" s="81"/>
    </row>
    <row r="12" spans="1:15" ht="20.100000000000001" customHeight="1">
      <c r="A12" s="442" t="s">
        <v>1225</v>
      </c>
      <c r="B12" s="442" t="s">
        <v>817</v>
      </c>
      <c r="C12" s="443" t="s">
        <v>1928</v>
      </c>
      <c r="D12" s="81">
        <f t="shared" si="1"/>
        <v>93</v>
      </c>
      <c r="E12" s="81">
        <f>SUMIF('2.생활용수(광석)'!$C$5:$C$56,C12,'2.생활용수(광석)'!$Q$5:$Q$56)</f>
        <v>0</v>
      </c>
      <c r="F12" s="81">
        <f>SUMIF('2.생활용수(성동)'!$C$5:$C$60,$C12,'2.생활용수(성동)'!$Q$5:$Q$60)</f>
        <v>0</v>
      </c>
      <c r="G12" s="81">
        <f>SUMIF('2.생활용수(봉화)'!$C$5:$C$18,$C12,'2.생활용수(봉화)'!$Q$5:$Q$18)</f>
        <v>0</v>
      </c>
      <c r="H12" s="81">
        <f>SUMIF('2.생활용수(논산)'!$C$5:$C$28,$C12,'2.생활용수(논산)'!$Q$5:$Q$28)</f>
        <v>0</v>
      </c>
      <c r="I12" s="81">
        <f>SUMIF('2.생활용수(연무)'!$C$5:$C$123,$C12,'2.생활용수(연무)'!$Q$5:$Q$123)</f>
        <v>0</v>
      </c>
      <c r="J12" s="81">
        <f>SUMIF('2.생활용수(마산)'!$C$5:$C$115,$C12,'2.생활용수(마산)'!$Q$5:$Q$115)</f>
        <v>0</v>
      </c>
      <c r="K12" s="81">
        <f>SUMIF('2.생활용수(부적)'!$C$5:$C$75,$C12,'2.생활용수(부적)'!$Q$5:$Q$75)</f>
        <v>0</v>
      </c>
      <c r="L12" s="81">
        <f>SUMIF('2.생활용수(연산)'!$C$5:$C$220,$C12,'2.생활용수(연산)'!$Q$5:$Q$220)</f>
        <v>0</v>
      </c>
      <c r="M12" s="81">
        <f>SUMIF('2.생활용수(채운)'!$C$5:$C$63,$C12,'2.생활용수(채운)'!$Q$5:$Q$63)</f>
        <v>0</v>
      </c>
      <c r="N12" s="81">
        <f>SUMIF('2.생활용수(강경)'!$C$5:$C$60,$C12,'2.생활용수(강경)'!$Q$5:$Q$60)</f>
        <v>93</v>
      </c>
      <c r="O12" s="81"/>
    </row>
    <row r="13" spans="1:15" ht="20.100000000000001" customHeight="1">
      <c r="A13" s="442" t="s">
        <v>1225</v>
      </c>
      <c r="B13" s="442" t="s">
        <v>818</v>
      </c>
      <c r="C13" s="443" t="s">
        <v>1929</v>
      </c>
      <c r="D13" s="81">
        <f t="shared" si="1"/>
        <v>135</v>
      </c>
      <c r="E13" s="81">
        <f>SUMIF('2.생활용수(광석)'!$C$5:$C$56,C13,'2.생활용수(광석)'!$Q$5:$Q$56)</f>
        <v>0</v>
      </c>
      <c r="F13" s="81">
        <f>SUMIF('2.생활용수(성동)'!$C$5:$C$60,$C13,'2.생활용수(성동)'!$Q$5:$Q$60)</f>
        <v>0</v>
      </c>
      <c r="G13" s="81">
        <f>SUMIF('2.생활용수(봉화)'!$C$5:$C$18,$C13,'2.생활용수(봉화)'!$Q$5:$Q$18)</f>
        <v>0</v>
      </c>
      <c r="H13" s="81">
        <f>SUMIF('2.생활용수(논산)'!$C$5:$C$28,$C13,'2.생활용수(논산)'!$Q$5:$Q$28)</f>
        <v>0</v>
      </c>
      <c r="I13" s="81">
        <f>SUMIF('2.생활용수(연무)'!$C$5:$C$123,$C13,'2.생활용수(연무)'!$Q$5:$Q$123)</f>
        <v>0</v>
      </c>
      <c r="J13" s="81">
        <f>SUMIF('2.생활용수(마산)'!$C$5:$C$115,$C13,'2.생활용수(마산)'!$Q$5:$Q$115)</f>
        <v>0</v>
      </c>
      <c r="K13" s="81">
        <f>SUMIF('2.생활용수(부적)'!$C$5:$C$75,$C13,'2.생활용수(부적)'!$Q$5:$Q$75)</f>
        <v>0</v>
      </c>
      <c r="L13" s="81">
        <f>SUMIF('2.생활용수(연산)'!$C$5:$C$220,$C13,'2.생활용수(연산)'!$Q$5:$Q$220)</f>
        <v>0</v>
      </c>
      <c r="M13" s="81">
        <f>SUMIF('2.생활용수(채운)'!$C$5:$C$63,$C13,'2.생활용수(채운)'!$Q$5:$Q$63)</f>
        <v>0</v>
      </c>
      <c r="N13" s="81">
        <f>SUMIF('2.생활용수(강경)'!$C$5:$C$60,$C13,'2.생활용수(강경)'!$Q$5:$Q$60)</f>
        <v>135</v>
      </c>
      <c r="O13" s="81"/>
    </row>
    <row r="14" spans="1:15" ht="20.100000000000001" customHeight="1">
      <c r="A14" s="442" t="s">
        <v>1225</v>
      </c>
      <c r="B14" s="442" t="s">
        <v>1930</v>
      </c>
      <c r="C14" s="443" t="s">
        <v>1931</v>
      </c>
      <c r="D14" s="81">
        <f t="shared" si="1"/>
        <v>385</v>
      </c>
      <c r="E14" s="81">
        <f>SUMIF('2.생활용수(광석)'!$C$5:$C$56,C14,'2.생활용수(광석)'!$Q$5:$Q$56)</f>
        <v>0</v>
      </c>
      <c r="F14" s="81">
        <f>SUMIF('2.생활용수(성동)'!$C$5:$C$60,$C14,'2.생활용수(성동)'!$Q$5:$Q$60)</f>
        <v>0</v>
      </c>
      <c r="G14" s="81">
        <f>SUMIF('2.생활용수(봉화)'!$C$5:$C$18,$C14,'2.생활용수(봉화)'!$Q$5:$Q$18)</f>
        <v>0</v>
      </c>
      <c r="H14" s="81">
        <f>SUMIF('2.생활용수(논산)'!$C$5:$C$28,$C14,'2.생활용수(논산)'!$Q$5:$Q$28)</f>
        <v>0</v>
      </c>
      <c r="I14" s="81">
        <f>SUMIF('2.생활용수(연무)'!$C$5:$C$123,$C14,'2.생활용수(연무)'!$Q$5:$Q$123)</f>
        <v>0</v>
      </c>
      <c r="J14" s="81">
        <f>SUMIF('2.생활용수(마산)'!$C$5:$C$115,$C14,'2.생활용수(마산)'!$Q$5:$Q$115)</f>
        <v>0</v>
      </c>
      <c r="K14" s="81">
        <f>SUMIF('2.생활용수(부적)'!$C$5:$C$75,$C14,'2.생활용수(부적)'!$Q$5:$Q$75)</f>
        <v>0</v>
      </c>
      <c r="L14" s="81">
        <f>SUMIF('2.생활용수(연산)'!$C$5:$C$220,$C14,'2.생활용수(연산)'!$Q$5:$Q$220)</f>
        <v>0</v>
      </c>
      <c r="M14" s="81">
        <f>SUMIF('2.생활용수(채운)'!$C$5:$C$63,$C14,'2.생활용수(채운)'!$Q$5:$Q$63)</f>
        <v>0</v>
      </c>
      <c r="N14" s="81">
        <f>SUMIF('2.생활용수(강경)'!$C$5:$C$60,$C14,'2.생활용수(강경)'!$Q$5:$Q$60)</f>
        <v>385</v>
      </c>
      <c r="O14" s="81"/>
    </row>
    <row r="15" spans="1:15" ht="20.100000000000001" customHeight="1">
      <c r="A15" s="442" t="s">
        <v>1225</v>
      </c>
      <c r="B15" s="442" t="s">
        <v>1930</v>
      </c>
      <c r="C15" s="443" t="s">
        <v>1932</v>
      </c>
      <c r="D15" s="81">
        <f t="shared" si="1"/>
        <v>164</v>
      </c>
      <c r="E15" s="81">
        <f>SUMIF('2.생활용수(광석)'!$C$5:$C$56,C15,'2.생활용수(광석)'!$Q$5:$Q$56)</f>
        <v>0</v>
      </c>
      <c r="F15" s="81">
        <f>SUMIF('2.생활용수(성동)'!$C$5:$C$60,$C15,'2.생활용수(성동)'!$Q$5:$Q$60)</f>
        <v>0</v>
      </c>
      <c r="G15" s="81">
        <f>SUMIF('2.생활용수(봉화)'!$C$5:$C$18,$C15,'2.생활용수(봉화)'!$Q$5:$Q$18)</f>
        <v>0</v>
      </c>
      <c r="H15" s="81">
        <f>SUMIF('2.생활용수(논산)'!$C$5:$C$28,$C15,'2.생활용수(논산)'!$Q$5:$Q$28)</f>
        <v>0</v>
      </c>
      <c r="I15" s="81">
        <f>SUMIF('2.생활용수(연무)'!$C$5:$C$123,$C15,'2.생활용수(연무)'!$Q$5:$Q$123)</f>
        <v>0</v>
      </c>
      <c r="J15" s="81">
        <f>SUMIF('2.생활용수(마산)'!$C$5:$C$115,$C15,'2.생활용수(마산)'!$Q$5:$Q$115)</f>
        <v>0</v>
      </c>
      <c r="K15" s="81">
        <f>SUMIF('2.생활용수(부적)'!$C$5:$C$75,$C15,'2.생활용수(부적)'!$Q$5:$Q$75)</f>
        <v>0</v>
      </c>
      <c r="L15" s="81">
        <f>SUMIF('2.생활용수(연산)'!$C$5:$C$220,$C15,'2.생활용수(연산)'!$Q$5:$Q$220)</f>
        <v>0</v>
      </c>
      <c r="M15" s="81">
        <f>SUMIF('2.생활용수(채운)'!$C$5:$C$63,$C15,'2.생활용수(채운)'!$Q$5:$Q$63)</f>
        <v>0</v>
      </c>
      <c r="N15" s="81">
        <f>SUMIF('2.생활용수(강경)'!$C$5:$C$60,$C15,'2.생활용수(강경)'!$Q$5:$Q$60)</f>
        <v>164</v>
      </c>
      <c r="O15" s="81"/>
    </row>
    <row r="16" spans="1:15" ht="20.100000000000001" customHeight="1">
      <c r="A16" s="442" t="s">
        <v>1225</v>
      </c>
      <c r="B16" s="442" t="s">
        <v>1930</v>
      </c>
      <c r="C16" s="443" t="s">
        <v>1933</v>
      </c>
      <c r="D16" s="81">
        <f t="shared" si="1"/>
        <v>441</v>
      </c>
      <c r="E16" s="81">
        <f>SUMIF('2.생활용수(광석)'!$C$5:$C$56,C16,'2.생활용수(광석)'!$Q$5:$Q$56)</f>
        <v>0</v>
      </c>
      <c r="F16" s="81">
        <f>SUMIF('2.생활용수(성동)'!$C$5:$C$60,$C16,'2.생활용수(성동)'!$Q$5:$Q$60)</f>
        <v>0</v>
      </c>
      <c r="G16" s="81">
        <f>SUMIF('2.생활용수(봉화)'!$C$5:$C$18,$C16,'2.생활용수(봉화)'!$Q$5:$Q$18)</f>
        <v>0</v>
      </c>
      <c r="H16" s="81">
        <f>SUMIF('2.생활용수(논산)'!$C$5:$C$28,$C16,'2.생활용수(논산)'!$Q$5:$Q$28)</f>
        <v>0</v>
      </c>
      <c r="I16" s="81">
        <f>SUMIF('2.생활용수(연무)'!$C$5:$C$123,$C16,'2.생활용수(연무)'!$Q$5:$Q$123)</f>
        <v>0</v>
      </c>
      <c r="J16" s="81">
        <f>SUMIF('2.생활용수(마산)'!$C$5:$C$115,$C16,'2.생활용수(마산)'!$Q$5:$Q$115)</f>
        <v>0</v>
      </c>
      <c r="K16" s="81">
        <f>SUMIF('2.생활용수(부적)'!$C$5:$C$75,$C16,'2.생활용수(부적)'!$Q$5:$Q$75)</f>
        <v>0</v>
      </c>
      <c r="L16" s="81">
        <f>SUMIF('2.생활용수(연산)'!$C$5:$C$220,$C16,'2.생활용수(연산)'!$Q$5:$Q$220)</f>
        <v>0</v>
      </c>
      <c r="M16" s="81">
        <f>SUMIF('2.생활용수(채운)'!$C$5:$C$63,$C16,'2.생활용수(채운)'!$Q$5:$Q$63)</f>
        <v>0</v>
      </c>
      <c r="N16" s="81">
        <f>SUMIF('2.생활용수(강경)'!$C$5:$C$60,$C16,'2.생활용수(강경)'!$Q$5:$Q$60)</f>
        <v>441</v>
      </c>
      <c r="O16" s="81"/>
    </row>
    <row r="17" spans="1:15" ht="20.100000000000001" customHeight="1">
      <c r="A17" s="442" t="s">
        <v>1225</v>
      </c>
      <c r="B17" s="442" t="s">
        <v>820</v>
      </c>
      <c r="C17" s="443" t="s">
        <v>1934</v>
      </c>
      <c r="D17" s="81">
        <f t="shared" si="1"/>
        <v>121</v>
      </c>
      <c r="E17" s="81">
        <f>SUMIF('2.생활용수(광석)'!$C$5:$C$56,C17,'2.생활용수(광석)'!$Q$5:$Q$56)</f>
        <v>0</v>
      </c>
      <c r="F17" s="81">
        <f>SUMIF('2.생활용수(성동)'!$C$5:$C$60,$C17,'2.생활용수(성동)'!$Q$5:$Q$60)</f>
        <v>0</v>
      </c>
      <c r="G17" s="81">
        <f>SUMIF('2.생활용수(봉화)'!$C$5:$C$18,$C17,'2.생활용수(봉화)'!$Q$5:$Q$18)</f>
        <v>0</v>
      </c>
      <c r="H17" s="81">
        <f>SUMIF('2.생활용수(논산)'!$C$5:$C$28,$C17,'2.생활용수(논산)'!$Q$5:$Q$28)</f>
        <v>0</v>
      </c>
      <c r="I17" s="81">
        <f>SUMIF('2.생활용수(연무)'!$C$5:$C$123,$C17,'2.생활용수(연무)'!$Q$5:$Q$123)</f>
        <v>0</v>
      </c>
      <c r="J17" s="81">
        <f>SUMIF('2.생활용수(마산)'!$C$5:$C$115,$C17,'2.생활용수(마산)'!$Q$5:$Q$115)</f>
        <v>0</v>
      </c>
      <c r="K17" s="81">
        <f>SUMIF('2.생활용수(부적)'!$C$5:$C$75,$C17,'2.생활용수(부적)'!$Q$5:$Q$75)</f>
        <v>0</v>
      </c>
      <c r="L17" s="81">
        <f>SUMIF('2.생활용수(연산)'!$C$5:$C$220,$C17,'2.생활용수(연산)'!$Q$5:$Q$220)</f>
        <v>0</v>
      </c>
      <c r="M17" s="81">
        <f>SUMIF('2.생활용수(채운)'!$C$5:$C$63,$C17,'2.생활용수(채운)'!$Q$5:$Q$63)</f>
        <v>0</v>
      </c>
      <c r="N17" s="81">
        <f>SUMIF('2.생활용수(강경)'!$C$5:$C$60,$C17,'2.생활용수(강경)'!$Q$5:$Q$60)</f>
        <v>121</v>
      </c>
      <c r="O17" s="81"/>
    </row>
    <row r="18" spans="1:15" ht="20.100000000000001" customHeight="1">
      <c r="A18" s="442" t="s">
        <v>1225</v>
      </c>
      <c r="B18" s="442" t="s">
        <v>820</v>
      </c>
      <c r="C18" s="443" t="s">
        <v>1421</v>
      </c>
      <c r="D18" s="81">
        <f t="shared" si="1"/>
        <v>71</v>
      </c>
      <c r="E18" s="81">
        <f>SUMIF('2.생활용수(광석)'!$C$5:$C$56,C18,'2.생활용수(광석)'!$Q$5:$Q$56)</f>
        <v>0</v>
      </c>
      <c r="F18" s="81">
        <f>SUMIF('2.생활용수(성동)'!$C$5:$C$60,$C18,'2.생활용수(성동)'!$Q$5:$Q$60)</f>
        <v>0</v>
      </c>
      <c r="G18" s="81">
        <f>SUMIF('2.생활용수(봉화)'!$C$5:$C$18,$C18,'2.생활용수(봉화)'!$Q$5:$Q$18)</f>
        <v>0</v>
      </c>
      <c r="H18" s="81">
        <f>SUMIF('2.생활용수(논산)'!$C$5:$C$28,$C18,'2.생활용수(논산)'!$Q$5:$Q$28)</f>
        <v>0</v>
      </c>
      <c r="I18" s="81">
        <f>SUMIF('2.생활용수(연무)'!$C$5:$C$123,$C18,'2.생활용수(연무)'!$Q$5:$Q$123)</f>
        <v>0</v>
      </c>
      <c r="J18" s="81">
        <f>SUMIF('2.생활용수(마산)'!$C$5:$C$115,$C18,'2.생활용수(마산)'!$Q$5:$Q$115)</f>
        <v>0</v>
      </c>
      <c r="K18" s="81">
        <f>SUMIF('2.생활용수(부적)'!$C$5:$C$75,$C18,'2.생활용수(부적)'!$Q$5:$Q$75)</f>
        <v>0</v>
      </c>
      <c r="L18" s="81">
        <f>SUMIF('2.생활용수(연산)'!$C$5:$C$220,$C18,'2.생활용수(연산)'!$Q$5:$Q$220)</f>
        <v>0</v>
      </c>
      <c r="M18" s="81">
        <f>SUMIF('2.생활용수(채운)'!$C$5:$C$63,$C18,'2.생활용수(채운)'!$Q$5:$Q$63)</f>
        <v>0</v>
      </c>
      <c r="N18" s="81">
        <f>SUMIF('2.생활용수(강경)'!$C$5:$C$60,$C18,'2.생활용수(강경)'!$Q$5:$Q$60)</f>
        <v>71</v>
      </c>
      <c r="O18" s="81"/>
    </row>
    <row r="19" spans="1:15" ht="20.100000000000001" customHeight="1">
      <c r="A19" s="442" t="s">
        <v>1225</v>
      </c>
      <c r="B19" s="442" t="s">
        <v>820</v>
      </c>
      <c r="C19" s="443" t="s">
        <v>1422</v>
      </c>
      <c r="D19" s="81">
        <f t="shared" si="1"/>
        <v>111</v>
      </c>
      <c r="E19" s="81">
        <f>SUMIF('2.생활용수(광석)'!$C$5:$C$56,C19,'2.생활용수(광석)'!$Q$5:$Q$56)</f>
        <v>0</v>
      </c>
      <c r="F19" s="81">
        <f>SUMIF('2.생활용수(성동)'!$C$5:$C$60,$C19,'2.생활용수(성동)'!$Q$5:$Q$60)</f>
        <v>0</v>
      </c>
      <c r="G19" s="81">
        <f>SUMIF('2.생활용수(봉화)'!$C$5:$C$18,$C19,'2.생활용수(봉화)'!$Q$5:$Q$18)</f>
        <v>0</v>
      </c>
      <c r="H19" s="81">
        <f>SUMIF('2.생활용수(논산)'!$C$5:$C$28,$C19,'2.생활용수(논산)'!$Q$5:$Q$28)</f>
        <v>0</v>
      </c>
      <c r="I19" s="81">
        <f>SUMIF('2.생활용수(연무)'!$C$5:$C$123,$C19,'2.생활용수(연무)'!$Q$5:$Q$123)</f>
        <v>0</v>
      </c>
      <c r="J19" s="81">
        <f>SUMIF('2.생활용수(마산)'!$C$5:$C$115,$C19,'2.생활용수(마산)'!$Q$5:$Q$115)</f>
        <v>0</v>
      </c>
      <c r="K19" s="81">
        <f>SUMIF('2.생활용수(부적)'!$C$5:$C$75,$C19,'2.생활용수(부적)'!$Q$5:$Q$75)</f>
        <v>0</v>
      </c>
      <c r="L19" s="81">
        <f>SUMIF('2.생활용수(연산)'!$C$5:$C$220,$C19,'2.생활용수(연산)'!$Q$5:$Q$220)</f>
        <v>0</v>
      </c>
      <c r="M19" s="81">
        <f>SUMIF('2.생활용수(채운)'!$C$5:$C$63,$C19,'2.생활용수(채운)'!$Q$5:$Q$63)</f>
        <v>0</v>
      </c>
      <c r="N19" s="81">
        <f>SUMIF('2.생활용수(강경)'!$C$5:$C$60,$C19,'2.생활용수(강경)'!$Q$5:$Q$60)</f>
        <v>111</v>
      </c>
      <c r="O19" s="81"/>
    </row>
    <row r="20" spans="1:15" ht="20.100000000000001" customHeight="1">
      <c r="A20" s="442" t="s">
        <v>1225</v>
      </c>
      <c r="B20" s="442" t="s">
        <v>820</v>
      </c>
      <c r="C20" s="443" t="s">
        <v>1423</v>
      </c>
      <c r="D20" s="81">
        <f t="shared" si="1"/>
        <v>248</v>
      </c>
      <c r="E20" s="81">
        <f>SUMIF('2.생활용수(광석)'!$C$5:$C$56,C20,'2.생활용수(광석)'!$Q$5:$Q$56)</f>
        <v>0</v>
      </c>
      <c r="F20" s="81">
        <f>SUMIF('2.생활용수(성동)'!$C$5:$C$60,$C20,'2.생활용수(성동)'!$Q$5:$Q$60)</f>
        <v>0</v>
      </c>
      <c r="G20" s="81">
        <f>SUMIF('2.생활용수(봉화)'!$C$5:$C$18,$C20,'2.생활용수(봉화)'!$Q$5:$Q$18)</f>
        <v>0</v>
      </c>
      <c r="H20" s="81">
        <f>SUMIF('2.생활용수(논산)'!$C$5:$C$28,$C20,'2.생활용수(논산)'!$Q$5:$Q$28)</f>
        <v>0</v>
      </c>
      <c r="I20" s="81">
        <f>SUMIF('2.생활용수(연무)'!$C$5:$C$123,$C20,'2.생활용수(연무)'!$Q$5:$Q$123)</f>
        <v>0</v>
      </c>
      <c r="J20" s="81">
        <f>SUMIF('2.생활용수(마산)'!$C$5:$C$115,$C20,'2.생활용수(마산)'!$Q$5:$Q$115)</f>
        <v>0</v>
      </c>
      <c r="K20" s="81">
        <f>SUMIF('2.생활용수(부적)'!$C$5:$C$75,$C20,'2.생활용수(부적)'!$Q$5:$Q$75)</f>
        <v>0</v>
      </c>
      <c r="L20" s="81">
        <f>SUMIF('2.생활용수(연산)'!$C$5:$C$220,$C20,'2.생활용수(연산)'!$Q$5:$Q$220)</f>
        <v>0</v>
      </c>
      <c r="M20" s="81">
        <f>SUMIF('2.생활용수(채운)'!$C$5:$C$63,$C20,'2.생활용수(채운)'!$Q$5:$Q$63)</f>
        <v>0</v>
      </c>
      <c r="N20" s="81">
        <f>SUMIF('2.생활용수(강경)'!$C$5:$C$60,$C20,'2.생활용수(강경)'!$Q$5:$Q$60)</f>
        <v>248</v>
      </c>
      <c r="O20" s="81"/>
    </row>
    <row r="21" spans="1:15" ht="20.100000000000001" customHeight="1">
      <c r="A21" s="442" t="s">
        <v>1225</v>
      </c>
      <c r="B21" s="442" t="s">
        <v>820</v>
      </c>
      <c r="C21" s="443" t="s">
        <v>1935</v>
      </c>
      <c r="D21" s="81">
        <f t="shared" si="1"/>
        <v>318</v>
      </c>
      <c r="E21" s="81">
        <f>SUMIF('2.생활용수(광석)'!$C$5:$C$56,C21,'2.생활용수(광석)'!$Q$5:$Q$56)</f>
        <v>0</v>
      </c>
      <c r="F21" s="81">
        <f>SUMIF('2.생활용수(성동)'!$C$5:$C$60,$C21,'2.생활용수(성동)'!$Q$5:$Q$60)</f>
        <v>0</v>
      </c>
      <c r="G21" s="81">
        <f>SUMIF('2.생활용수(봉화)'!$C$5:$C$18,$C21,'2.생활용수(봉화)'!$Q$5:$Q$18)</f>
        <v>0</v>
      </c>
      <c r="H21" s="81">
        <f>SUMIF('2.생활용수(논산)'!$C$5:$C$28,$C21,'2.생활용수(논산)'!$Q$5:$Q$28)</f>
        <v>0</v>
      </c>
      <c r="I21" s="81">
        <f>SUMIF('2.생활용수(연무)'!$C$5:$C$123,$C21,'2.생활용수(연무)'!$Q$5:$Q$123)</f>
        <v>0</v>
      </c>
      <c r="J21" s="81">
        <f>SUMIF('2.생활용수(마산)'!$C$5:$C$115,$C21,'2.생활용수(마산)'!$Q$5:$Q$115)</f>
        <v>0</v>
      </c>
      <c r="K21" s="81">
        <f>SUMIF('2.생활용수(부적)'!$C$5:$C$75,$C21,'2.생활용수(부적)'!$Q$5:$Q$75)</f>
        <v>0</v>
      </c>
      <c r="L21" s="81">
        <f>SUMIF('2.생활용수(연산)'!$C$5:$C$220,$C21,'2.생활용수(연산)'!$Q$5:$Q$220)</f>
        <v>0</v>
      </c>
      <c r="M21" s="81">
        <f>SUMIF('2.생활용수(채운)'!$C$5:$C$63,$C21,'2.생활용수(채운)'!$Q$5:$Q$63)</f>
        <v>0</v>
      </c>
      <c r="N21" s="81">
        <f>SUMIF('2.생활용수(강경)'!$C$5:$C$60,$C21,'2.생활용수(강경)'!$Q$5:$Q$60)</f>
        <v>318</v>
      </c>
      <c r="O21" s="81"/>
    </row>
    <row r="22" spans="1:15" ht="20.100000000000001" customHeight="1">
      <c r="A22" s="442" t="s">
        <v>1225</v>
      </c>
      <c r="B22" s="442" t="s">
        <v>1936</v>
      </c>
      <c r="C22" s="443" t="s">
        <v>1937</v>
      </c>
      <c r="D22" s="81">
        <f t="shared" si="1"/>
        <v>58</v>
      </c>
      <c r="E22" s="81">
        <f>SUMIF('2.생활용수(광석)'!$C$5:$C$56,C22,'2.생활용수(광석)'!$Q$5:$Q$56)</f>
        <v>0</v>
      </c>
      <c r="F22" s="81">
        <f>SUMIF('2.생활용수(성동)'!$C$5:$C$60,$C22,'2.생활용수(성동)'!$Q$5:$Q$60)</f>
        <v>0</v>
      </c>
      <c r="G22" s="81">
        <f>SUMIF('2.생활용수(봉화)'!$C$5:$C$18,$C22,'2.생활용수(봉화)'!$Q$5:$Q$18)</f>
        <v>0</v>
      </c>
      <c r="H22" s="81">
        <f>SUMIF('2.생활용수(논산)'!$C$5:$C$28,$C22,'2.생활용수(논산)'!$Q$5:$Q$28)</f>
        <v>0</v>
      </c>
      <c r="I22" s="81">
        <f>SUMIF('2.생활용수(연무)'!$C$5:$C$123,$C22,'2.생활용수(연무)'!$Q$5:$Q$123)</f>
        <v>0</v>
      </c>
      <c r="J22" s="81">
        <f>SUMIF('2.생활용수(마산)'!$C$5:$C$115,$C22,'2.생활용수(마산)'!$Q$5:$Q$115)</f>
        <v>0</v>
      </c>
      <c r="K22" s="81">
        <f>SUMIF('2.생활용수(부적)'!$C$5:$C$75,$C22,'2.생활용수(부적)'!$Q$5:$Q$75)</f>
        <v>0</v>
      </c>
      <c r="L22" s="81">
        <f>SUMIF('2.생활용수(연산)'!$C$5:$C$220,$C22,'2.생활용수(연산)'!$Q$5:$Q$220)</f>
        <v>0</v>
      </c>
      <c r="M22" s="81">
        <f>SUMIF('2.생활용수(채운)'!$C$5:$C$63,$C22,'2.생활용수(채운)'!$Q$5:$Q$63)</f>
        <v>0</v>
      </c>
      <c r="N22" s="81">
        <f>SUMIF('2.생활용수(강경)'!$C$5:$C$60,$C22,'2.생활용수(강경)'!$Q$5:$Q$60)</f>
        <v>58</v>
      </c>
      <c r="O22" s="81"/>
    </row>
    <row r="23" spans="1:15" ht="20.100000000000001" customHeight="1">
      <c r="A23" s="442" t="s">
        <v>1225</v>
      </c>
      <c r="B23" s="442" t="s">
        <v>1936</v>
      </c>
      <c r="C23" s="443" t="s">
        <v>1426</v>
      </c>
      <c r="D23" s="81">
        <f t="shared" si="1"/>
        <v>111</v>
      </c>
      <c r="E23" s="81">
        <f>SUMIF('2.생활용수(광석)'!$C$5:$C$56,C23,'2.생활용수(광석)'!$Q$5:$Q$56)</f>
        <v>0</v>
      </c>
      <c r="F23" s="81">
        <f>SUMIF('2.생활용수(성동)'!$C$5:$C$60,$C23,'2.생활용수(성동)'!$Q$5:$Q$60)</f>
        <v>0</v>
      </c>
      <c r="G23" s="81">
        <f>SUMIF('2.생활용수(봉화)'!$C$5:$C$18,$C23,'2.생활용수(봉화)'!$Q$5:$Q$18)</f>
        <v>0</v>
      </c>
      <c r="H23" s="81">
        <f>SUMIF('2.생활용수(논산)'!$C$5:$C$28,$C23,'2.생활용수(논산)'!$Q$5:$Q$28)</f>
        <v>0</v>
      </c>
      <c r="I23" s="81">
        <f>SUMIF('2.생활용수(연무)'!$C$5:$C$123,$C23,'2.생활용수(연무)'!$Q$5:$Q$123)</f>
        <v>0</v>
      </c>
      <c r="J23" s="81">
        <f>SUMIF('2.생활용수(마산)'!$C$5:$C$115,$C23,'2.생활용수(마산)'!$Q$5:$Q$115)</f>
        <v>0</v>
      </c>
      <c r="K23" s="81">
        <f>SUMIF('2.생활용수(부적)'!$C$5:$C$75,$C23,'2.생활용수(부적)'!$Q$5:$Q$75)</f>
        <v>0</v>
      </c>
      <c r="L23" s="81">
        <f>SUMIF('2.생활용수(연산)'!$C$5:$C$220,$C23,'2.생활용수(연산)'!$Q$5:$Q$220)</f>
        <v>0</v>
      </c>
      <c r="M23" s="81">
        <f>SUMIF('2.생활용수(채운)'!$C$5:$C$63,$C23,'2.생활용수(채운)'!$Q$5:$Q$63)</f>
        <v>0</v>
      </c>
      <c r="N23" s="81">
        <f>SUMIF('2.생활용수(강경)'!$C$5:$C$60,$C23,'2.생활용수(강경)'!$Q$5:$Q$60)</f>
        <v>111</v>
      </c>
      <c r="O23" s="81"/>
    </row>
    <row r="24" spans="1:15" ht="20.100000000000001" customHeight="1">
      <c r="A24" s="442" t="s">
        <v>1225</v>
      </c>
      <c r="B24" s="442" t="s">
        <v>1936</v>
      </c>
      <c r="C24" s="443" t="s">
        <v>1427</v>
      </c>
      <c r="D24" s="81">
        <f t="shared" si="1"/>
        <v>68</v>
      </c>
      <c r="E24" s="81">
        <f>SUMIF('2.생활용수(광석)'!$C$5:$C$56,C24,'2.생활용수(광석)'!$Q$5:$Q$56)</f>
        <v>0</v>
      </c>
      <c r="F24" s="81">
        <f>SUMIF('2.생활용수(성동)'!$C$5:$C$60,$C24,'2.생활용수(성동)'!$Q$5:$Q$60)</f>
        <v>0</v>
      </c>
      <c r="G24" s="81">
        <f>SUMIF('2.생활용수(봉화)'!$C$5:$C$18,$C24,'2.생활용수(봉화)'!$Q$5:$Q$18)</f>
        <v>0</v>
      </c>
      <c r="H24" s="81">
        <f>SUMIF('2.생활용수(논산)'!$C$5:$C$28,$C24,'2.생활용수(논산)'!$Q$5:$Q$28)</f>
        <v>0</v>
      </c>
      <c r="I24" s="81">
        <f>SUMIF('2.생활용수(연무)'!$C$5:$C$123,$C24,'2.생활용수(연무)'!$Q$5:$Q$123)</f>
        <v>0</v>
      </c>
      <c r="J24" s="81">
        <f>SUMIF('2.생활용수(마산)'!$C$5:$C$115,$C24,'2.생활용수(마산)'!$Q$5:$Q$115)</f>
        <v>0</v>
      </c>
      <c r="K24" s="81">
        <f>SUMIF('2.생활용수(부적)'!$C$5:$C$75,$C24,'2.생활용수(부적)'!$Q$5:$Q$75)</f>
        <v>0</v>
      </c>
      <c r="L24" s="81">
        <f>SUMIF('2.생활용수(연산)'!$C$5:$C$220,$C24,'2.생활용수(연산)'!$Q$5:$Q$220)</f>
        <v>0</v>
      </c>
      <c r="M24" s="81">
        <f>SUMIF('2.생활용수(채운)'!$C$5:$C$63,$C24,'2.생활용수(채운)'!$Q$5:$Q$63)</f>
        <v>0</v>
      </c>
      <c r="N24" s="81">
        <f>SUMIF('2.생활용수(강경)'!$C$5:$C$60,$C24,'2.생활용수(강경)'!$Q$5:$Q$60)</f>
        <v>68</v>
      </c>
      <c r="O24" s="81"/>
    </row>
    <row r="25" spans="1:15" ht="20.100000000000001" customHeight="1">
      <c r="A25" s="442" t="s">
        <v>1225</v>
      </c>
      <c r="B25" s="442" t="s">
        <v>1936</v>
      </c>
      <c r="C25" s="443" t="s">
        <v>1428</v>
      </c>
      <c r="D25" s="81">
        <f t="shared" si="1"/>
        <v>93</v>
      </c>
      <c r="E25" s="81">
        <f>SUMIF('2.생활용수(광석)'!$C$5:$C$56,C25,'2.생활용수(광석)'!$Q$5:$Q$56)</f>
        <v>0</v>
      </c>
      <c r="F25" s="81">
        <f>SUMIF('2.생활용수(성동)'!$C$5:$C$60,$C25,'2.생활용수(성동)'!$Q$5:$Q$60)</f>
        <v>0</v>
      </c>
      <c r="G25" s="81">
        <f>SUMIF('2.생활용수(봉화)'!$C$5:$C$18,$C25,'2.생활용수(봉화)'!$Q$5:$Q$18)</f>
        <v>0</v>
      </c>
      <c r="H25" s="81">
        <f>SUMIF('2.생활용수(논산)'!$C$5:$C$28,$C25,'2.생활용수(논산)'!$Q$5:$Q$28)</f>
        <v>0</v>
      </c>
      <c r="I25" s="81">
        <f>SUMIF('2.생활용수(연무)'!$C$5:$C$123,$C25,'2.생활용수(연무)'!$Q$5:$Q$123)</f>
        <v>0</v>
      </c>
      <c r="J25" s="81">
        <f>SUMIF('2.생활용수(마산)'!$C$5:$C$115,$C25,'2.생활용수(마산)'!$Q$5:$Q$115)</f>
        <v>0</v>
      </c>
      <c r="K25" s="81">
        <f>SUMIF('2.생활용수(부적)'!$C$5:$C$75,$C25,'2.생활용수(부적)'!$Q$5:$Q$75)</f>
        <v>0</v>
      </c>
      <c r="L25" s="81">
        <f>SUMIF('2.생활용수(연산)'!$C$5:$C$220,$C25,'2.생활용수(연산)'!$Q$5:$Q$220)</f>
        <v>0</v>
      </c>
      <c r="M25" s="81">
        <f>SUMIF('2.생활용수(채운)'!$C$5:$C$63,$C25,'2.생활용수(채운)'!$Q$5:$Q$63)</f>
        <v>0</v>
      </c>
      <c r="N25" s="81">
        <f>SUMIF('2.생활용수(강경)'!$C$5:$C$60,$C25,'2.생활용수(강경)'!$Q$5:$Q$60)</f>
        <v>93</v>
      </c>
      <c r="O25" s="81"/>
    </row>
    <row r="26" spans="1:15" ht="20.100000000000001" customHeight="1">
      <c r="A26" s="442" t="s">
        <v>1225</v>
      </c>
      <c r="B26" s="442" t="s">
        <v>1936</v>
      </c>
      <c r="C26" s="443" t="s">
        <v>1429</v>
      </c>
      <c r="D26" s="81">
        <f t="shared" si="1"/>
        <v>125</v>
      </c>
      <c r="E26" s="81">
        <f>SUMIF('2.생활용수(광석)'!$C$5:$C$56,C26,'2.생활용수(광석)'!$Q$5:$Q$56)</f>
        <v>0</v>
      </c>
      <c r="F26" s="81">
        <f>SUMIF('2.생활용수(성동)'!$C$5:$C$60,$C26,'2.생활용수(성동)'!$Q$5:$Q$60)</f>
        <v>0</v>
      </c>
      <c r="G26" s="81">
        <f>SUMIF('2.생활용수(봉화)'!$C$5:$C$18,$C26,'2.생활용수(봉화)'!$Q$5:$Q$18)</f>
        <v>0</v>
      </c>
      <c r="H26" s="81">
        <f>SUMIF('2.생활용수(논산)'!$C$5:$C$28,$C26,'2.생활용수(논산)'!$Q$5:$Q$28)</f>
        <v>0</v>
      </c>
      <c r="I26" s="81">
        <f>SUMIF('2.생활용수(연무)'!$C$5:$C$123,$C26,'2.생활용수(연무)'!$Q$5:$Q$123)</f>
        <v>0</v>
      </c>
      <c r="J26" s="81">
        <f>SUMIF('2.생활용수(마산)'!$C$5:$C$115,$C26,'2.생활용수(마산)'!$Q$5:$Q$115)</f>
        <v>0</v>
      </c>
      <c r="K26" s="81">
        <f>SUMIF('2.생활용수(부적)'!$C$5:$C$75,$C26,'2.생활용수(부적)'!$Q$5:$Q$75)</f>
        <v>0</v>
      </c>
      <c r="L26" s="81">
        <f>SUMIF('2.생활용수(연산)'!$C$5:$C$220,$C26,'2.생활용수(연산)'!$Q$5:$Q$220)</f>
        <v>0</v>
      </c>
      <c r="M26" s="81">
        <f>SUMIF('2.생활용수(채운)'!$C$5:$C$63,$C26,'2.생활용수(채운)'!$Q$5:$Q$63)</f>
        <v>0</v>
      </c>
      <c r="N26" s="81">
        <f>SUMIF('2.생활용수(강경)'!$C$5:$C$60,$C26,'2.생활용수(강경)'!$Q$5:$Q$60)</f>
        <v>125</v>
      </c>
      <c r="O26" s="81"/>
    </row>
    <row r="27" spans="1:15" ht="20.100000000000001" customHeight="1">
      <c r="A27" s="442" t="s">
        <v>1225</v>
      </c>
      <c r="B27" s="442" t="s">
        <v>1938</v>
      </c>
      <c r="C27" s="443" t="s">
        <v>1939</v>
      </c>
      <c r="D27" s="81">
        <f t="shared" si="1"/>
        <v>109</v>
      </c>
      <c r="E27" s="81">
        <f>SUMIF('2.생활용수(광석)'!$C$5:$C$56,C27,'2.생활용수(광석)'!$Q$5:$Q$56)</f>
        <v>0</v>
      </c>
      <c r="F27" s="81">
        <f>SUMIF('2.생활용수(성동)'!$C$5:$C$60,$C27,'2.생활용수(성동)'!$Q$5:$Q$60)</f>
        <v>0</v>
      </c>
      <c r="G27" s="81">
        <f>SUMIF('2.생활용수(봉화)'!$C$5:$C$18,$C27,'2.생활용수(봉화)'!$Q$5:$Q$18)</f>
        <v>0</v>
      </c>
      <c r="H27" s="81">
        <f>SUMIF('2.생활용수(논산)'!$C$5:$C$28,$C27,'2.생활용수(논산)'!$Q$5:$Q$28)</f>
        <v>0</v>
      </c>
      <c r="I27" s="81">
        <f>SUMIF('2.생활용수(연무)'!$C$5:$C$123,$C27,'2.생활용수(연무)'!$Q$5:$Q$123)</f>
        <v>0</v>
      </c>
      <c r="J27" s="81">
        <f>SUMIF('2.생활용수(마산)'!$C$5:$C$115,$C27,'2.생활용수(마산)'!$Q$5:$Q$115)</f>
        <v>0</v>
      </c>
      <c r="K27" s="81">
        <f>SUMIF('2.생활용수(부적)'!$C$5:$C$75,$C27,'2.생활용수(부적)'!$Q$5:$Q$75)</f>
        <v>0</v>
      </c>
      <c r="L27" s="81">
        <f>SUMIF('2.생활용수(연산)'!$C$5:$C$220,$C27,'2.생활용수(연산)'!$Q$5:$Q$220)</f>
        <v>0</v>
      </c>
      <c r="M27" s="81">
        <f>SUMIF('2.생활용수(채운)'!$C$5:$C$63,$C27,'2.생활용수(채운)'!$Q$5:$Q$63)</f>
        <v>0</v>
      </c>
      <c r="N27" s="81">
        <f>SUMIF('2.생활용수(강경)'!$C$5:$C$60,$C27,'2.생활용수(강경)'!$Q$5:$Q$60)</f>
        <v>109</v>
      </c>
      <c r="O27" s="81"/>
    </row>
    <row r="28" spans="1:15" ht="20.100000000000001" customHeight="1">
      <c r="A28" s="442" t="s">
        <v>1225</v>
      </c>
      <c r="B28" s="442" t="s">
        <v>1938</v>
      </c>
      <c r="C28" s="443" t="s">
        <v>1940</v>
      </c>
      <c r="D28" s="81">
        <f t="shared" si="1"/>
        <v>263</v>
      </c>
      <c r="E28" s="81">
        <f>SUMIF('2.생활용수(광석)'!$C$5:$C$56,C28,'2.생활용수(광석)'!$Q$5:$Q$56)</f>
        <v>0</v>
      </c>
      <c r="F28" s="81">
        <f>SUMIF('2.생활용수(성동)'!$C$5:$C$60,$C28,'2.생활용수(성동)'!$Q$5:$Q$60)</f>
        <v>0</v>
      </c>
      <c r="G28" s="81">
        <f>SUMIF('2.생활용수(봉화)'!$C$5:$C$18,$C28,'2.생활용수(봉화)'!$Q$5:$Q$18)</f>
        <v>0</v>
      </c>
      <c r="H28" s="81">
        <f>SUMIF('2.생활용수(논산)'!$C$5:$C$28,$C28,'2.생활용수(논산)'!$Q$5:$Q$28)</f>
        <v>0</v>
      </c>
      <c r="I28" s="81">
        <f>SUMIF('2.생활용수(연무)'!$C$5:$C$123,$C28,'2.생활용수(연무)'!$Q$5:$Q$123)</f>
        <v>0</v>
      </c>
      <c r="J28" s="81">
        <f>SUMIF('2.생활용수(마산)'!$C$5:$C$115,$C28,'2.생활용수(마산)'!$Q$5:$Q$115)</f>
        <v>0</v>
      </c>
      <c r="K28" s="81">
        <f>SUMIF('2.생활용수(부적)'!$C$5:$C$75,$C28,'2.생활용수(부적)'!$Q$5:$Q$75)</f>
        <v>0</v>
      </c>
      <c r="L28" s="81">
        <f>SUMIF('2.생활용수(연산)'!$C$5:$C$220,$C28,'2.생활용수(연산)'!$Q$5:$Q$220)</f>
        <v>0</v>
      </c>
      <c r="M28" s="81">
        <f>SUMIF('2.생활용수(채운)'!$C$5:$C$63,$C28,'2.생활용수(채운)'!$Q$5:$Q$63)</f>
        <v>0</v>
      </c>
      <c r="N28" s="81">
        <f>SUMIF('2.생활용수(강경)'!$C$5:$C$60,$C28,'2.생활용수(강경)'!$Q$5:$Q$60)</f>
        <v>263</v>
      </c>
      <c r="O28" s="81"/>
    </row>
    <row r="29" spans="1:15" ht="20.100000000000001" customHeight="1">
      <c r="A29" s="442" t="s">
        <v>1225</v>
      </c>
      <c r="B29" s="442" t="s">
        <v>1938</v>
      </c>
      <c r="C29" s="443" t="s">
        <v>1941</v>
      </c>
      <c r="D29" s="81">
        <f t="shared" si="1"/>
        <v>343</v>
      </c>
      <c r="E29" s="81">
        <f>SUMIF('2.생활용수(광석)'!$C$5:$C$56,C29,'2.생활용수(광석)'!$Q$5:$Q$56)</f>
        <v>0</v>
      </c>
      <c r="F29" s="81">
        <f>SUMIF('2.생활용수(성동)'!$C$5:$C$60,$C29,'2.생활용수(성동)'!$Q$5:$Q$60)</f>
        <v>0</v>
      </c>
      <c r="G29" s="81">
        <f>SUMIF('2.생활용수(봉화)'!$C$5:$C$18,$C29,'2.생활용수(봉화)'!$Q$5:$Q$18)</f>
        <v>0</v>
      </c>
      <c r="H29" s="81">
        <f>SUMIF('2.생활용수(논산)'!$C$5:$C$28,$C29,'2.생활용수(논산)'!$Q$5:$Q$28)</f>
        <v>0</v>
      </c>
      <c r="I29" s="81">
        <f>SUMIF('2.생활용수(연무)'!$C$5:$C$123,$C29,'2.생활용수(연무)'!$Q$5:$Q$123)</f>
        <v>0</v>
      </c>
      <c r="J29" s="81">
        <f>SUMIF('2.생활용수(마산)'!$C$5:$C$115,$C29,'2.생활용수(마산)'!$Q$5:$Q$115)</f>
        <v>0</v>
      </c>
      <c r="K29" s="81">
        <f>SUMIF('2.생활용수(부적)'!$C$5:$C$75,$C29,'2.생활용수(부적)'!$Q$5:$Q$75)</f>
        <v>0</v>
      </c>
      <c r="L29" s="81">
        <f>SUMIF('2.생활용수(연산)'!$C$5:$C$220,$C29,'2.생활용수(연산)'!$Q$5:$Q$220)</f>
        <v>0</v>
      </c>
      <c r="M29" s="81">
        <f>SUMIF('2.생활용수(채운)'!$C$5:$C$63,$C29,'2.생활용수(채운)'!$Q$5:$Q$63)</f>
        <v>0</v>
      </c>
      <c r="N29" s="81">
        <f>SUMIF('2.생활용수(강경)'!$C$5:$C$60,$C29,'2.생활용수(강경)'!$Q$5:$Q$60)</f>
        <v>343</v>
      </c>
      <c r="O29" s="81"/>
    </row>
    <row r="30" spans="1:15" ht="20.100000000000001" customHeight="1">
      <c r="A30" s="442" t="s">
        <v>1225</v>
      </c>
      <c r="B30" s="442" t="s">
        <v>823</v>
      </c>
      <c r="C30" s="443" t="s">
        <v>1942</v>
      </c>
      <c r="D30" s="81">
        <f t="shared" si="1"/>
        <v>32</v>
      </c>
      <c r="E30" s="81">
        <f>SUMIF('2.생활용수(광석)'!$C$5:$C$56,C30,'2.생활용수(광석)'!$Q$5:$Q$56)</f>
        <v>0</v>
      </c>
      <c r="F30" s="81">
        <f>SUMIF('2.생활용수(성동)'!$C$5:$C$60,$C30,'2.생활용수(성동)'!$Q$5:$Q$60)</f>
        <v>0</v>
      </c>
      <c r="G30" s="81">
        <f>SUMIF('2.생활용수(봉화)'!$C$5:$C$18,$C30,'2.생활용수(봉화)'!$Q$5:$Q$18)</f>
        <v>0</v>
      </c>
      <c r="H30" s="81">
        <f>SUMIF('2.생활용수(논산)'!$C$5:$C$28,$C30,'2.생활용수(논산)'!$Q$5:$Q$28)</f>
        <v>0</v>
      </c>
      <c r="I30" s="81">
        <f>SUMIF('2.생활용수(연무)'!$C$5:$C$123,$C30,'2.생활용수(연무)'!$Q$5:$Q$123)</f>
        <v>0</v>
      </c>
      <c r="J30" s="81">
        <f>SUMIF('2.생활용수(마산)'!$C$5:$C$115,$C30,'2.생활용수(마산)'!$Q$5:$Q$115)</f>
        <v>0</v>
      </c>
      <c r="K30" s="81">
        <f>SUMIF('2.생활용수(부적)'!$C$5:$C$75,$C30,'2.생활용수(부적)'!$Q$5:$Q$75)</f>
        <v>0</v>
      </c>
      <c r="L30" s="81">
        <f>SUMIF('2.생활용수(연산)'!$C$5:$C$220,$C30,'2.생활용수(연산)'!$Q$5:$Q$220)</f>
        <v>0</v>
      </c>
      <c r="M30" s="81">
        <f>SUMIF('2.생활용수(채운)'!$C$5:$C$63,$C30,'2.생활용수(채운)'!$Q$5:$Q$63)</f>
        <v>0</v>
      </c>
      <c r="N30" s="81">
        <f>SUMIF('2.생활용수(강경)'!$C$5:$C$60,$C30,'2.생활용수(강경)'!$Q$5:$Q$60)</f>
        <v>32</v>
      </c>
      <c r="O30" s="81"/>
    </row>
    <row r="31" spans="1:15" ht="20.100000000000001" customHeight="1">
      <c r="A31" s="442" t="s">
        <v>1225</v>
      </c>
      <c r="B31" s="442" t="s">
        <v>823</v>
      </c>
      <c r="C31" s="443" t="s">
        <v>1943</v>
      </c>
      <c r="D31" s="81">
        <f t="shared" si="1"/>
        <v>30</v>
      </c>
      <c r="E31" s="81">
        <f>SUMIF('2.생활용수(광석)'!$C$5:$C$56,C31,'2.생활용수(광석)'!$Q$5:$Q$56)</f>
        <v>0</v>
      </c>
      <c r="F31" s="81">
        <f>SUMIF('2.생활용수(성동)'!$C$5:$C$60,$C31,'2.생활용수(성동)'!$Q$5:$Q$60)</f>
        <v>0</v>
      </c>
      <c r="G31" s="81">
        <f>SUMIF('2.생활용수(봉화)'!$C$5:$C$18,$C31,'2.생활용수(봉화)'!$Q$5:$Q$18)</f>
        <v>0</v>
      </c>
      <c r="H31" s="81">
        <f>SUMIF('2.생활용수(논산)'!$C$5:$C$28,$C31,'2.생활용수(논산)'!$Q$5:$Q$28)</f>
        <v>0</v>
      </c>
      <c r="I31" s="81">
        <f>SUMIF('2.생활용수(연무)'!$C$5:$C$123,$C31,'2.생활용수(연무)'!$Q$5:$Q$123)</f>
        <v>0</v>
      </c>
      <c r="J31" s="81">
        <f>SUMIF('2.생활용수(마산)'!$C$5:$C$115,$C31,'2.생활용수(마산)'!$Q$5:$Q$115)</f>
        <v>0</v>
      </c>
      <c r="K31" s="81">
        <f>SUMIF('2.생활용수(부적)'!$C$5:$C$75,$C31,'2.생활용수(부적)'!$Q$5:$Q$75)</f>
        <v>0</v>
      </c>
      <c r="L31" s="81">
        <f>SUMIF('2.생활용수(연산)'!$C$5:$C$220,$C31,'2.생활용수(연산)'!$Q$5:$Q$220)</f>
        <v>0</v>
      </c>
      <c r="M31" s="81">
        <f>SUMIF('2.생활용수(채운)'!$C$5:$C$63,$C31,'2.생활용수(채운)'!$Q$5:$Q$63)</f>
        <v>0</v>
      </c>
      <c r="N31" s="81">
        <f>SUMIF('2.생활용수(강경)'!$C$5:$C$60,$C31,'2.생활용수(강경)'!$Q$5:$Q$60)</f>
        <v>30</v>
      </c>
      <c r="O31" s="81"/>
    </row>
    <row r="32" spans="1:15" ht="20.100000000000001" customHeight="1">
      <c r="A32" s="442" t="s">
        <v>700</v>
      </c>
      <c r="B32" s="442" t="s">
        <v>1944</v>
      </c>
      <c r="C32" s="443" t="s">
        <v>1945</v>
      </c>
      <c r="D32" s="81">
        <f t="shared" si="1"/>
        <v>260</v>
      </c>
      <c r="E32" s="81">
        <f>SUMIF('2.생활용수(광석)'!$C$5:$C$56,C32,'2.생활용수(광석)'!$Q$5:$Q$56)</f>
        <v>0</v>
      </c>
      <c r="F32" s="81">
        <f>SUMIF('2.생활용수(성동)'!$C$5:$C$60,$C32,'2.생활용수(성동)'!$Q$5:$Q$60)</f>
        <v>0</v>
      </c>
      <c r="G32" s="81">
        <f>SUMIF('2.생활용수(봉화)'!$C$5:$C$18,$C32,'2.생활용수(봉화)'!$Q$5:$Q$18)</f>
        <v>0</v>
      </c>
      <c r="H32" s="81">
        <f>SUMIF('2.생활용수(논산)'!$C$5:$C$28,$C32,'2.생활용수(논산)'!$Q$5:$Q$28)</f>
        <v>0</v>
      </c>
      <c r="I32" s="81">
        <f>SUMIF('2.생활용수(연무)'!$C$5:$C$123,$C32,'2.생활용수(연무)'!$Q$5:$Q$123)</f>
        <v>0</v>
      </c>
      <c r="J32" s="81">
        <f>SUMIF('2.생활용수(마산)'!$C$5:$C$115,$C32,'2.생활용수(마산)'!$Q$5:$Q$115)</f>
        <v>260</v>
      </c>
      <c r="K32" s="81">
        <f>SUMIF('2.생활용수(부적)'!$C$5:$C$75,$C32,'2.생활용수(부적)'!$Q$5:$Q$75)</f>
        <v>0</v>
      </c>
      <c r="L32" s="81">
        <f>SUMIF('2.생활용수(연산)'!$C$5:$C$220,$C32,'2.생활용수(연산)'!$Q$5:$Q$220)</f>
        <v>0</v>
      </c>
      <c r="M32" s="81">
        <f>SUMIF('2.생활용수(채운)'!$C$5:$C$63,$C32,'2.생활용수(채운)'!$Q$5:$Q$63)</f>
        <v>0</v>
      </c>
      <c r="N32" s="81">
        <f>SUMIF('2.생활용수(강경)'!$C$5:$C$60,$C32,'2.생활용수(강경)'!$Q$5:$Q$60)</f>
        <v>0</v>
      </c>
      <c r="O32" s="81"/>
    </row>
    <row r="33" spans="1:15" ht="20.100000000000001" customHeight="1">
      <c r="A33" s="442" t="s">
        <v>700</v>
      </c>
      <c r="B33" s="442" t="s">
        <v>1944</v>
      </c>
      <c r="C33" s="443" t="s">
        <v>1343</v>
      </c>
      <c r="D33" s="81">
        <f t="shared" si="1"/>
        <v>129</v>
      </c>
      <c r="E33" s="81">
        <f>SUMIF('2.생활용수(광석)'!$C$5:$C$56,C33,'2.생활용수(광석)'!$Q$5:$Q$56)</f>
        <v>0</v>
      </c>
      <c r="F33" s="81">
        <f>SUMIF('2.생활용수(성동)'!$C$5:$C$60,$C33,'2.생활용수(성동)'!$Q$5:$Q$60)</f>
        <v>0</v>
      </c>
      <c r="G33" s="81">
        <f>SUMIF('2.생활용수(봉화)'!$C$5:$C$18,$C33,'2.생활용수(봉화)'!$Q$5:$Q$18)</f>
        <v>0</v>
      </c>
      <c r="H33" s="81">
        <f>SUMIF('2.생활용수(논산)'!$C$5:$C$28,$C33,'2.생활용수(논산)'!$Q$5:$Q$28)</f>
        <v>0</v>
      </c>
      <c r="I33" s="81">
        <f>SUMIF('2.생활용수(연무)'!$C$5:$C$123,$C33,'2.생활용수(연무)'!$Q$5:$Q$123)</f>
        <v>0</v>
      </c>
      <c r="J33" s="81">
        <f>SUMIF('2.생활용수(마산)'!$C$5:$C$115,$C33,'2.생활용수(마산)'!$Q$5:$Q$115)</f>
        <v>129</v>
      </c>
      <c r="K33" s="81">
        <f>SUMIF('2.생활용수(부적)'!$C$5:$C$75,$C33,'2.생활용수(부적)'!$Q$5:$Q$75)</f>
        <v>0</v>
      </c>
      <c r="L33" s="81">
        <f>SUMIF('2.생활용수(연산)'!$C$5:$C$220,$C33,'2.생활용수(연산)'!$Q$5:$Q$220)</f>
        <v>0</v>
      </c>
      <c r="M33" s="81">
        <f>SUMIF('2.생활용수(채운)'!$C$5:$C$63,$C33,'2.생활용수(채운)'!$Q$5:$Q$63)</f>
        <v>0</v>
      </c>
      <c r="N33" s="81">
        <f>SUMIF('2.생활용수(강경)'!$C$5:$C$60,$C33,'2.생활용수(강경)'!$Q$5:$Q$60)</f>
        <v>0</v>
      </c>
      <c r="O33" s="81"/>
    </row>
    <row r="34" spans="1:15" ht="20.100000000000001" customHeight="1">
      <c r="A34" s="442" t="s">
        <v>700</v>
      </c>
      <c r="B34" s="442" t="s">
        <v>1944</v>
      </c>
      <c r="C34" s="443" t="s">
        <v>1344</v>
      </c>
      <c r="D34" s="81">
        <f t="shared" si="1"/>
        <v>118</v>
      </c>
      <c r="E34" s="81">
        <f>SUMIF('2.생활용수(광석)'!$C$5:$C$56,C34,'2.생활용수(광석)'!$Q$5:$Q$56)</f>
        <v>0</v>
      </c>
      <c r="F34" s="81">
        <f>SUMIF('2.생활용수(성동)'!$C$5:$C$60,$C34,'2.생활용수(성동)'!$Q$5:$Q$60)</f>
        <v>0</v>
      </c>
      <c r="G34" s="81">
        <f>SUMIF('2.생활용수(봉화)'!$C$5:$C$18,$C34,'2.생활용수(봉화)'!$Q$5:$Q$18)</f>
        <v>0</v>
      </c>
      <c r="H34" s="81">
        <f>SUMIF('2.생활용수(논산)'!$C$5:$C$28,$C34,'2.생활용수(논산)'!$Q$5:$Q$28)</f>
        <v>0</v>
      </c>
      <c r="I34" s="81">
        <f>SUMIF('2.생활용수(연무)'!$C$5:$C$123,$C34,'2.생활용수(연무)'!$Q$5:$Q$123)</f>
        <v>0</v>
      </c>
      <c r="J34" s="81">
        <f>SUMIF('2.생활용수(마산)'!$C$5:$C$115,$C34,'2.생활용수(마산)'!$Q$5:$Q$115)</f>
        <v>118</v>
      </c>
      <c r="K34" s="81">
        <f>SUMIF('2.생활용수(부적)'!$C$5:$C$75,$C34,'2.생활용수(부적)'!$Q$5:$Q$75)</f>
        <v>0</v>
      </c>
      <c r="L34" s="81">
        <f>SUMIF('2.생활용수(연산)'!$C$5:$C$220,$C34,'2.생활용수(연산)'!$Q$5:$Q$220)</f>
        <v>0</v>
      </c>
      <c r="M34" s="81">
        <f>SUMIF('2.생활용수(채운)'!$C$5:$C$63,$C34,'2.생활용수(채운)'!$Q$5:$Q$63)</f>
        <v>0</v>
      </c>
      <c r="N34" s="81">
        <f>SUMIF('2.생활용수(강경)'!$C$5:$C$60,$C34,'2.생활용수(강경)'!$Q$5:$Q$60)</f>
        <v>0</v>
      </c>
      <c r="O34" s="81"/>
    </row>
    <row r="35" spans="1:15" ht="20.100000000000001" customHeight="1">
      <c r="A35" s="442" t="s">
        <v>700</v>
      </c>
      <c r="B35" s="442" t="s">
        <v>1944</v>
      </c>
      <c r="C35" s="443" t="s">
        <v>1345</v>
      </c>
      <c r="D35" s="81">
        <f t="shared" si="1"/>
        <v>84</v>
      </c>
      <c r="E35" s="81">
        <f>SUMIF('2.생활용수(광석)'!$C$5:$C$56,C35,'2.생활용수(광석)'!$Q$5:$Q$56)</f>
        <v>0</v>
      </c>
      <c r="F35" s="81">
        <f>SUMIF('2.생활용수(성동)'!$C$5:$C$60,$C35,'2.생활용수(성동)'!$Q$5:$Q$60)</f>
        <v>0</v>
      </c>
      <c r="G35" s="81">
        <f>SUMIF('2.생활용수(봉화)'!$C$5:$C$18,$C35,'2.생활용수(봉화)'!$Q$5:$Q$18)</f>
        <v>0</v>
      </c>
      <c r="H35" s="81">
        <f>SUMIF('2.생활용수(논산)'!$C$5:$C$28,$C35,'2.생활용수(논산)'!$Q$5:$Q$28)</f>
        <v>0</v>
      </c>
      <c r="I35" s="81">
        <f>SUMIF('2.생활용수(연무)'!$C$5:$C$123,$C35,'2.생활용수(연무)'!$Q$5:$Q$123)</f>
        <v>0</v>
      </c>
      <c r="J35" s="81">
        <f>SUMIF('2.생활용수(마산)'!$C$5:$C$115,$C35,'2.생활용수(마산)'!$Q$5:$Q$115)</f>
        <v>84</v>
      </c>
      <c r="K35" s="81">
        <f>SUMIF('2.생활용수(부적)'!$C$5:$C$75,$C35,'2.생활용수(부적)'!$Q$5:$Q$75)</f>
        <v>0</v>
      </c>
      <c r="L35" s="81">
        <f>SUMIF('2.생활용수(연산)'!$C$5:$C$220,$C35,'2.생활용수(연산)'!$Q$5:$Q$220)</f>
        <v>0</v>
      </c>
      <c r="M35" s="81">
        <f>SUMIF('2.생활용수(채운)'!$C$5:$C$63,$C35,'2.생활용수(채운)'!$Q$5:$Q$63)</f>
        <v>0</v>
      </c>
      <c r="N35" s="81">
        <f>SUMIF('2.생활용수(강경)'!$C$5:$C$60,$C35,'2.생활용수(강경)'!$Q$5:$Q$60)</f>
        <v>0</v>
      </c>
      <c r="O35" s="81"/>
    </row>
    <row r="36" spans="1:15" ht="20.100000000000001" customHeight="1">
      <c r="A36" s="442" t="s">
        <v>700</v>
      </c>
      <c r="B36" s="442" t="s">
        <v>825</v>
      </c>
      <c r="C36" s="443" t="s">
        <v>1946</v>
      </c>
      <c r="D36" s="81">
        <f t="shared" si="1"/>
        <v>0</v>
      </c>
      <c r="E36" s="81">
        <f>SUMIF('2.생활용수(광석)'!$C$5:$C$56,C36,'2.생활용수(광석)'!$Q$5:$Q$56)</f>
        <v>0</v>
      </c>
      <c r="F36" s="81">
        <f>SUMIF('2.생활용수(성동)'!$C$5:$C$60,$C36,'2.생활용수(성동)'!$Q$5:$Q$60)</f>
        <v>0</v>
      </c>
      <c r="G36" s="81">
        <f>SUMIF('2.생활용수(봉화)'!$C$5:$C$18,$C36,'2.생활용수(봉화)'!$Q$5:$Q$18)</f>
        <v>0</v>
      </c>
      <c r="H36" s="81">
        <f>SUMIF('2.생활용수(논산)'!$C$5:$C$28,$C36,'2.생활용수(논산)'!$Q$5:$Q$28)</f>
        <v>0</v>
      </c>
      <c r="I36" s="81">
        <f>SUMIF('2.생활용수(연무)'!$C$5:$C$123,$C36,'2.생활용수(연무)'!$Q$5:$Q$123)</f>
        <v>0</v>
      </c>
      <c r="J36" s="81">
        <f>SUMIF('2.생활용수(마산)'!$C$5:$C$115,$C36,'2.생활용수(마산)'!$Q$5:$Q$115)</f>
        <v>0</v>
      </c>
      <c r="K36" s="81">
        <f>SUMIF('2.생활용수(부적)'!$C$5:$C$75,$C36,'2.생활용수(부적)'!$Q$5:$Q$75)</f>
        <v>0</v>
      </c>
      <c r="L36" s="81">
        <f>SUMIF('2.생활용수(연산)'!$C$5:$C$220,$C36,'2.생활용수(연산)'!$Q$5:$Q$220)</f>
        <v>0</v>
      </c>
      <c r="M36" s="81">
        <f>SUMIF('2.생활용수(채운)'!$C$5:$C$63,$C36,'2.생활용수(채운)'!$Q$5:$Q$63)</f>
        <v>0</v>
      </c>
      <c r="N36" s="81">
        <f>SUMIF('2.생활용수(강경)'!$C$5:$C$60,$C36,'2.생활용수(강경)'!$Q$5:$Q$60)</f>
        <v>0</v>
      </c>
      <c r="O36" s="81"/>
    </row>
    <row r="37" spans="1:15" ht="20.100000000000001" customHeight="1">
      <c r="A37" s="442" t="s">
        <v>700</v>
      </c>
      <c r="B37" s="442" t="s">
        <v>825</v>
      </c>
      <c r="C37" s="443" t="s">
        <v>1947</v>
      </c>
      <c r="D37" s="81">
        <f t="shared" si="1"/>
        <v>64</v>
      </c>
      <c r="E37" s="81">
        <f>SUMIF('2.생활용수(광석)'!$C$5:$C$56,C37,'2.생활용수(광석)'!$Q$5:$Q$56)</f>
        <v>0</v>
      </c>
      <c r="F37" s="81">
        <f>SUMIF('2.생활용수(성동)'!$C$5:$C$60,$C37,'2.생활용수(성동)'!$Q$5:$Q$60)</f>
        <v>0</v>
      </c>
      <c r="G37" s="81">
        <f>SUMIF('2.생활용수(봉화)'!$C$5:$C$18,$C37,'2.생활용수(봉화)'!$Q$5:$Q$18)</f>
        <v>0</v>
      </c>
      <c r="H37" s="81">
        <f>SUMIF('2.생활용수(논산)'!$C$5:$C$28,$C37,'2.생활용수(논산)'!$Q$5:$Q$28)</f>
        <v>0</v>
      </c>
      <c r="I37" s="81">
        <f>SUMIF('2.생활용수(연무)'!$C$5:$C$123,$C37,'2.생활용수(연무)'!$Q$5:$Q$123)</f>
        <v>0</v>
      </c>
      <c r="J37" s="81">
        <f>SUMIF('2.생활용수(마산)'!$C$5:$C$115,$C37,'2.생활용수(마산)'!$Q$5:$Q$115)</f>
        <v>64</v>
      </c>
      <c r="K37" s="81">
        <f>SUMIF('2.생활용수(부적)'!$C$5:$C$75,$C37,'2.생활용수(부적)'!$Q$5:$Q$75)</f>
        <v>0</v>
      </c>
      <c r="L37" s="81">
        <f>SUMIF('2.생활용수(연산)'!$C$5:$C$220,$C37,'2.생활용수(연산)'!$Q$5:$Q$220)</f>
        <v>0</v>
      </c>
      <c r="M37" s="81">
        <f>SUMIF('2.생활용수(채운)'!$C$5:$C$63,$C37,'2.생활용수(채운)'!$Q$5:$Q$63)</f>
        <v>0</v>
      </c>
      <c r="N37" s="81">
        <f>SUMIF('2.생활용수(강경)'!$C$5:$C$60,$C37,'2.생활용수(강경)'!$Q$5:$Q$60)</f>
        <v>0</v>
      </c>
      <c r="O37" s="81"/>
    </row>
    <row r="38" spans="1:15" ht="20.100000000000001" customHeight="1">
      <c r="A38" s="442" t="s">
        <v>700</v>
      </c>
      <c r="B38" s="442" t="s">
        <v>1948</v>
      </c>
      <c r="C38" s="443" t="s">
        <v>1949</v>
      </c>
      <c r="D38" s="81">
        <f t="shared" si="1"/>
        <v>158</v>
      </c>
      <c r="E38" s="81">
        <f>SUMIF('2.생활용수(광석)'!$C$5:$C$56,C38,'2.생활용수(광석)'!$Q$5:$Q$56)</f>
        <v>0</v>
      </c>
      <c r="F38" s="81">
        <f>SUMIF('2.생활용수(성동)'!$C$5:$C$60,$C38,'2.생활용수(성동)'!$Q$5:$Q$60)</f>
        <v>0</v>
      </c>
      <c r="G38" s="81">
        <f>SUMIF('2.생활용수(봉화)'!$C$5:$C$18,$C38,'2.생활용수(봉화)'!$Q$5:$Q$18)</f>
        <v>0</v>
      </c>
      <c r="H38" s="81">
        <f>SUMIF('2.생활용수(논산)'!$C$5:$C$28,$C38,'2.생활용수(논산)'!$Q$5:$Q$28)</f>
        <v>0</v>
      </c>
      <c r="I38" s="81">
        <f>SUMIF('2.생활용수(연무)'!$C$5:$C$123,$C38,'2.생활용수(연무)'!$Q$5:$Q$123)</f>
        <v>0</v>
      </c>
      <c r="J38" s="81">
        <f>SUMIF('2.생활용수(마산)'!$C$5:$C$115,$C38,'2.생활용수(마산)'!$Q$5:$Q$115)</f>
        <v>158</v>
      </c>
      <c r="K38" s="81">
        <f>SUMIF('2.생활용수(부적)'!$C$5:$C$75,$C38,'2.생활용수(부적)'!$Q$5:$Q$75)</f>
        <v>0</v>
      </c>
      <c r="L38" s="81">
        <f>SUMIF('2.생활용수(연산)'!$C$5:$C$220,$C38,'2.생활용수(연산)'!$Q$5:$Q$220)</f>
        <v>0</v>
      </c>
      <c r="M38" s="81">
        <f>SUMIF('2.생활용수(채운)'!$C$5:$C$63,$C38,'2.생활용수(채운)'!$Q$5:$Q$63)</f>
        <v>0</v>
      </c>
      <c r="N38" s="81">
        <f>SUMIF('2.생활용수(강경)'!$C$5:$C$60,$C38,'2.생활용수(강경)'!$Q$5:$Q$60)</f>
        <v>0</v>
      </c>
      <c r="O38" s="81"/>
    </row>
    <row r="39" spans="1:15" ht="20.100000000000001" customHeight="1">
      <c r="A39" s="442" t="s">
        <v>700</v>
      </c>
      <c r="B39" s="442" t="s">
        <v>1948</v>
      </c>
      <c r="C39" s="443" t="s">
        <v>1347</v>
      </c>
      <c r="D39" s="81">
        <f t="shared" si="1"/>
        <v>131</v>
      </c>
      <c r="E39" s="81">
        <f>SUMIF('2.생활용수(광석)'!$C$5:$C$56,C39,'2.생활용수(광석)'!$Q$5:$Q$56)</f>
        <v>0</v>
      </c>
      <c r="F39" s="81">
        <f>SUMIF('2.생활용수(성동)'!$C$5:$C$60,$C39,'2.생활용수(성동)'!$Q$5:$Q$60)</f>
        <v>0</v>
      </c>
      <c r="G39" s="81">
        <f>SUMIF('2.생활용수(봉화)'!$C$5:$C$18,$C39,'2.생활용수(봉화)'!$Q$5:$Q$18)</f>
        <v>0</v>
      </c>
      <c r="H39" s="81">
        <f>SUMIF('2.생활용수(논산)'!$C$5:$C$28,$C39,'2.생활용수(논산)'!$Q$5:$Q$28)</f>
        <v>0</v>
      </c>
      <c r="I39" s="81">
        <f>SUMIF('2.생활용수(연무)'!$C$5:$C$123,$C39,'2.생활용수(연무)'!$Q$5:$Q$123)</f>
        <v>0</v>
      </c>
      <c r="J39" s="81">
        <f>SUMIF('2.생활용수(마산)'!$C$5:$C$115,$C39,'2.생활용수(마산)'!$Q$5:$Q$115)</f>
        <v>131</v>
      </c>
      <c r="K39" s="81">
        <f>SUMIF('2.생활용수(부적)'!$C$5:$C$75,$C39,'2.생활용수(부적)'!$Q$5:$Q$75)</f>
        <v>0</v>
      </c>
      <c r="L39" s="81">
        <f>SUMIF('2.생활용수(연산)'!$C$5:$C$220,$C39,'2.생활용수(연산)'!$Q$5:$Q$220)</f>
        <v>0</v>
      </c>
      <c r="M39" s="81">
        <f>SUMIF('2.생활용수(채운)'!$C$5:$C$63,$C39,'2.생활용수(채운)'!$Q$5:$Q$63)</f>
        <v>0</v>
      </c>
      <c r="N39" s="81">
        <f>SUMIF('2.생활용수(강경)'!$C$5:$C$60,$C39,'2.생활용수(강경)'!$Q$5:$Q$60)</f>
        <v>0</v>
      </c>
      <c r="O39" s="81"/>
    </row>
    <row r="40" spans="1:15" ht="20.100000000000001" customHeight="1">
      <c r="A40" s="442" t="s">
        <v>700</v>
      </c>
      <c r="B40" s="442" t="s">
        <v>1948</v>
      </c>
      <c r="C40" s="443" t="s">
        <v>1348</v>
      </c>
      <c r="D40" s="81">
        <f t="shared" si="1"/>
        <v>99</v>
      </c>
      <c r="E40" s="81">
        <f>SUMIF('2.생활용수(광석)'!$C$5:$C$56,C40,'2.생활용수(광석)'!$Q$5:$Q$56)</f>
        <v>0</v>
      </c>
      <c r="F40" s="81">
        <f>SUMIF('2.생활용수(성동)'!$C$5:$C$60,$C40,'2.생활용수(성동)'!$Q$5:$Q$60)</f>
        <v>0</v>
      </c>
      <c r="G40" s="81">
        <f>SUMIF('2.생활용수(봉화)'!$C$5:$C$18,$C40,'2.생활용수(봉화)'!$Q$5:$Q$18)</f>
        <v>0</v>
      </c>
      <c r="H40" s="81">
        <f>SUMIF('2.생활용수(논산)'!$C$5:$C$28,$C40,'2.생활용수(논산)'!$Q$5:$Q$28)</f>
        <v>0</v>
      </c>
      <c r="I40" s="81">
        <f>SUMIF('2.생활용수(연무)'!$C$5:$C$123,$C40,'2.생활용수(연무)'!$Q$5:$Q$123)</f>
        <v>0</v>
      </c>
      <c r="J40" s="81">
        <f>SUMIF('2.생활용수(마산)'!$C$5:$C$115,$C40,'2.생활용수(마산)'!$Q$5:$Q$115)</f>
        <v>99</v>
      </c>
      <c r="K40" s="81">
        <f>SUMIF('2.생활용수(부적)'!$C$5:$C$75,$C40,'2.생활용수(부적)'!$Q$5:$Q$75)</f>
        <v>0</v>
      </c>
      <c r="L40" s="81">
        <f>SUMIF('2.생활용수(연산)'!$C$5:$C$220,$C40,'2.생활용수(연산)'!$Q$5:$Q$220)</f>
        <v>0</v>
      </c>
      <c r="M40" s="81">
        <f>SUMIF('2.생활용수(채운)'!$C$5:$C$63,$C40,'2.생활용수(채운)'!$Q$5:$Q$63)</f>
        <v>0</v>
      </c>
      <c r="N40" s="81">
        <f>SUMIF('2.생활용수(강경)'!$C$5:$C$60,$C40,'2.생활용수(강경)'!$Q$5:$Q$60)</f>
        <v>0</v>
      </c>
      <c r="O40" s="81"/>
    </row>
    <row r="41" spans="1:15" ht="20.100000000000001" customHeight="1">
      <c r="A41" s="442" t="s">
        <v>700</v>
      </c>
      <c r="B41" s="442" t="s">
        <v>1948</v>
      </c>
      <c r="C41" s="443" t="s">
        <v>1349</v>
      </c>
      <c r="D41" s="81">
        <f t="shared" si="1"/>
        <v>64</v>
      </c>
      <c r="E41" s="81">
        <f>SUMIF('2.생활용수(광석)'!$C$5:$C$56,C41,'2.생활용수(광석)'!$Q$5:$Q$56)</f>
        <v>0</v>
      </c>
      <c r="F41" s="81">
        <f>SUMIF('2.생활용수(성동)'!$C$5:$C$60,$C41,'2.생활용수(성동)'!$Q$5:$Q$60)</f>
        <v>0</v>
      </c>
      <c r="G41" s="81">
        <f>SUMIF('2.생활용수(봉화)'!$C$5:$C$18,$C41,'2.생활용수(봉화)'!$Q$5:$Q$18)</f>
        <v>0</v>
      </c>
      <c r="H41" s="81">
        <f>SUMIF('2.생활용수(논산)'!$C$5:$C$28,$C41,'2.생활용수(논산)'!$Q$5:$Q$28)</f>
        <v>0</v>
      </c>
      <c r="I41" s="81">
        <f>SUMIF('2.생활용수(연무)'!$C$5:$C$123,$C41,'2.생활용수(연무)'!$Q$5:$Q$123)</f>
        <v>0</v>
      </c>
      <c r="J41" s="81">
        <f>SUMIF('2.생활용수(마산)'!$C$5:$C$115,$C41,'2.생활용수(마산)'!$Q$5:$Q$115)</f>
        <v>64</v>
      </c>
      <c r="K41" s="81">
        <f>SUMIF('2.생활용수(부적)'!$C$5:$C$75,$C41,'2.생활용수(부적)'!$Q$5:$Q$75)</f>
        <v>0</v>
      </c>
      <c r="L41" s="81">
        <f>SUMIF('2.생활용수(연산)'!$C$5:$C$220,$C41,'2.생활용수(연산)'!$Q$5:$Q$220)</f>
        <v>0</v>
      </c>
      <c r="M41" s="81">
        <f>SUMIF('2.생활용수(채운)'!$C$5:$C$63,$C41,'2.생활용수(채운)'!$Q$5:$Q$63)</f>
        <v>0</v>
      </c>
      <c r="N41" s="81">
        <f>SUMIF('2.생활용수(강경)'!$C$5:$C$60,$C41,'2.생활용수(강경)'!$Q$5:$Q$60)</f>
        <v>0</v>
      </c>
      <c r="O41" s="81"/>
    </row>
    <row r="42" spans="1:15" ht="20.100000000000001" customHeight="1">
      <c r="A42" s="442" t="s">
        <v>700</v>
      </c>
      <c r="B42" s="442" t="s">
        <v>827</v>
      </c>
      <c r="C42" s="443" t="s">
        <v>1950</v>
      </c>
      <c r="D42" s="81">
        <f t="shared" si="1"/>
        <v>82</v>
      </c>
      <c r="E42" s="81">
        <f>SUMIF('2.생활용수(광석)'!$C$5:$C$56,C42,'2.생활용수(광석)'!$Q$5:$Q$56)</f>
        <v>0</v>
      </c>
      <c r="F42" s="81">
        <f>SUMIF('2.생활용수(성동)'!$C$5:$C$60,$C42,'2.생활용수(성동)'!$Q$5:$Q$60)</f>
        <v>0</v>
      </c>
      <c r="G42" s="81">
        <f>SUMIF('2.생활용수(봉화)'!$C$5:$C$18,$C42,'2.생활용수(봉화)'!$Q$5:$Q$18)</f>
        <v>0</v>
      </c>
      <c r="H42" s="81">
        <f>SUMIF('2.생활용수(논산)'!$C$5:$C$28,$C42,'2.생활용수(논산)'!$Q$5:$Q$28)</f>
        <v>0</v>
      </c>
      <c r="I42" s="81">
        <f>SUMIF('2.생활용수(연무)'!$C$5:$C$123,$C42,'2.생활용수(연무)'!$Q$5:$Q$123)</f>
        <v>82</v>
      </c>
      <c r="J42" s="81">
        <f>SUMIF('2.생활용수(마산)'!$C$5:$C$115,$C42,'2.생활용수(마산)'!$Q$5:$Q$115)</f>
        <v>0</v>
      </c>
      <c r="K42" s="81">
        <f>SUMIF('2.생활용수(부적)'!$C$5:$C$75,$C42,'2.생활용수(부적)'!$Q$5:$Q$75)</f>
        <v>0</v>
      </c>
      <c r="L42" s="81">
        <f>SUMIF('2.생활용수(연산)'!$C$5:$C$220,$C42,'2.생활용수(연산)'!$Q$5:$Q$220)</f>
        <v>0</v>
      </c>
      <c r="M42" s="81">
        <f>SUMIF('2.생활용수(채운)'!$C$5:$C$63,$C42,'2.생활용수(채운)'!$Q$5:$Q$63)</f>
        <v>0</v>
      </c>
      <c r="N42" s="81">
        <f>SUMIF('2.생활용수(강경)'!$C$5:$C$60,$C42,'2.생활용수(강경)'!$Q$5:$Q$60)</f>
        <v>0</v>
      </c>
      <c r="O42" s="81"/>
    </row>
    <row r="43" spans="1:15" ht="20.100000000000001" customHeight="1">
      <c r="A43" s="442" t="s">
        <v>700</v>
      </c>
      <c r="B43" s="442" t="s">
        <v>827</v>
      </c>
      <c r="C43" s="443" t="s">
        <v>1322</v>
      </c>
      <c r="D43" s="81">
        <f t="shared" si="1"/>
        <v>162</v>
      </c>
      <c r="E43" s="81">
        <f>SUMIF('2.생활용수(광석)'!$C$5:$C$56,C43,'2.생활용수(광석)'!$Q$5:$Q$56)</f>
        <v>0</v>
      </c>
      <c r="F43" s="81">
        <f>SUMIF('2.생활용수(성동)'!$C$5:$C$60,$C43,'2.생활용수(성동)'!$Q$5:$Q$60)</f>
        <v>0</v>
      </c>
      <c r="G43" s="81">
        <f>SUMIF('2.생활용수(봉화)'!$C$5:$C$18,$C43,'2.생활용수(봉화)'!$Q$5:$Q$18)</f>
        <v>0</v>
      </c>
      <c r="H43" s="81">
        <f>SUMIF('2.생활용수(논산)'!$C$5:$C$28,$C43,'2.생활용수(논산)'!$Q$5:$Q$28)</f>
        <v>0</v>
      </c>
      <c r="I43" s="81">
        <f>SUMIF('2.생활용수(연무)'!$C$5:$C$123,$C43,'2.생활용수(연무)'!$Q$5:$Q$123)</f>
        <v>162</v>
      </c>
      <c r="J43" s="81">
        <f>SUMIF('2.생활용수(마산)'!$C$5:$C$115,$C43,'2.생활용수(마산)'!$Q$5:$Q$115)</f>
        <v>0</v>
      </c>
      <c r="K43" s="81">
        <f>SUMIF('2.생활용수(부적)'!$C$5:$C$75,$C43,'2.생활용수(부적)'!$Q$5:$Q$75)</f>
        <v>0</v>
      </c>
      <c r="L43" s="81">
        <f>SUMIF('2.생활용수(연산)'!$C$5:$C$220,$C43,'2.생활용수(연산)'!$Q$5:$Q$220)</f>
        <v>0</v>
      </c>
      <c r="M43" s="81">
        <f>SUMIF('2.생활용수(채운)'!$C$5:$C$63,$C43,'2.생활용수(채운)'!$Q$5:$Q$63)</f>
        <v>0</v>
      </c>
      <c r="N43" s="81">
        <f>SUMIF('2.생활용수(강경)'!$C$5:$C$60,$C43,'2.생활용수(강경)'!$Q$5:$Q$60)</f>
        <v>0</v>
      </c>
      <c r="O43" s="81"/>
    </row>
    <row r="44" spans="1:15" ht="20.100000000000001" customHeight="1">
      <c r="A44" s="442" t="s">
        <v>700</v>
      </c>
      <c r="B44" s="442" t="s">
        <v>827</v>
      </c>
      <c r="C44" s="443" t="s">
        <v>1323</v>
      </c>
      <c r="D44" s="81">
        <f t="shared" si="1"/>
        <v>291</v>
      </c>
      <c r="E44" s="81">
        <f>SUMIF('2.생활용수(광석)'!$C$5:$C$56,C44,'2.생활용수(광석)'!$Q$5:$Q$56)</f>
        <v>0</v>
      </c>
      <c r="F44" s="81">
        <f>SUMIF('2.생활용수(성동)'!$C$5:$C$60,$C44,'2.생활용수(성동)'!$Q$5:$Q$60)</f>
        <v>0</v>
      </c>
      <c r="G44" s="81">
        <f>SUMIF('2.생활용수(봉화)'!$C$5:$C$18,$C44,'2.생활용수(봉화)'!$Q$5:$Q$18)</f>
        <v>0</v>
      </c>
      <c r="H44" s="81">
        <f>SUMIF('2.생활용수(논산)'!$C$5:$C$28,$C44,'2.생활용수(논산)'!$Q$5:$Q$28)</f>
        <v>0</v>
      </c>
      <c r="I44" s="81">
        <f>SUMIF('2.생활용수(연무)'!$C$5:$C$123,$C44,'2.생활용수(연무)'!$Q$5:$Q$123)</f>
        <v>291</v>
      </c>
      <c r="J44" s="81">
        <f>SUMIF('2.생활용수(마산)'!$C$5:$C$115,$C44,'2.생활용수(마산)'!$Q$5:$Q$115)</f>
        <v>0</v>
      </c>
      <c r="K44" s="81">
        <f>SUMIF('2.생활용수(부적)'!$C$5:$C$75,$C44,'2.생활용수(부적)'!$Q$5:$Q$75)</f>
        <v>0</v>
      </c>
      <c r="L44" s="81">
        <f>SUMIF('2.생활용수(연산)'!$C$5:$C$220,$C44,'2.생활용수(연산)'!$Q$5:$Q$220)</f>
        <v>0</v>
      </c>
      <c r="M44" s="81">
        <f>SUMIF('2.생활용수(채운)'!$C$5:$C$63,$C44,'2.생활용수(채운)'!$Q$5:$Q$63)</f>
        <v>0</v>
      </c>
      <c r="N44" s="81">
        <f>SUMIF('2.생활용수(강경)'!$C$5:$C$60,$C44,'2.생활용수(강경)'!$Q$5:$Q$60)</f>
        <v>0</v>
      </c>
      <c r="O44" s="81"/>
    </row>
    <row r="45" spans="1:15" ht="20.100000000000001" customHeight="1">
      <c r="A45" s="442" t="s">
        <v>700</v>
      </c>
      <c r="B45" s="442" t="s">
        <v>827</v>
      </c>
      <c r="C45" s="443" t="s">
        <v>1324</v>
      </c>
      <c r="D45" s="81">
        <f t="shared" si="1"/>
        <v>91</v>
      </c>
      <c r="E45" s="81">
        <f>SUMIF('2.생활용수(광석)'!$C$5:$C$56,C45,'2.생활용수(광석)'!$Q$5:$Q$56)</f>
        <v>0</v>
      </c>
      <c r="F45" s="81">
        <f>SUMIF('2.생활용수(성동)'!$C$5:$C$60,$C45,'2.생활용수(성동)'!$Q$5:$Q$60)</f>
        <v>0</v>
      </c>
      <c r="G45" s="81">
        <f>SUMIF('2.생활용수(봉화)'!$C$5:$C$18,$C45,'2.생활용수(봉화)'!$Q$5:$Q$18)</f>
        <v>0</v>
      </c>
      <c r="H45" s="81">
        <f>SUMIF('2.생활용수(논산)'!$C$5:$C$28,$C45,'2.생활용수(논산)'!$Q$5:$Q$28)</f>
        <v>0</v>
      </c>
      <c r="I45" s="81">
        <f>SUMIF('2.생활용수(연무)'!$C$5:$C$123,$C45,'2.생활용수(연무)'!$Q$5:$Q$123)</f>
        <v>91</v>
      </c>
      <c r="J45" s="81">
        <f>SUMIF('2.생활용수(마산)'!$C$5:$C$115,$C45,'2.생활용수(마산)'!$Q$5:$Q$115)</f>
        <v>0</v>
      </c>
      <c r="K45" s="81">
        <f>SUMIF('2.생활용수(부적)'!$C$5:$C$75,$C45,'2.생활용수(부적)'!$Q$5:$Q$75)</f>
        <v>0</v>
      </c>
      <c r="L45" s="81">
        <f>SUMIF('2.생활용수(연산)'!$C$5:$C$220,$C45,'2.생활용수(연산)'!$Q$5:$Q$220)</f>
        <v>0</v>
      </c>
      <c r="M45" s="81">
        <f>SUMIF('2.생활용수(채운)'!$C$5:$C$63,$C45,'2.생활용수(채운)'!$Q$5:$Q$63)</f>
        <v>0</v>
      </c>
      <c r="N45" s="81">
        <f>SUMIF('2.생활용수(강경)'!$C$5:$C$60,$C45,'2.생활용수(강경)'!$Q$5:$Q$60)</f>
        <v>0</v>
      </c>
      <c r="O45" s="81"/>
    </row>
    <row r="46" spans="1:15" ht="20.100000000000001" customHeight="1">
      <c r="A46" s="442" t="s">
        <v>700</v>
      </c>
      <c r="B46" s="442" t="s">
        <v>827</v>
      </c>
      <c r="C46" s="443" t="s">
        <v>1325</v>
      </c>
      <c r="D46" s="81">
        <f t="shared" si="1"/>
        <v>0</v>
      </c>
      <c r="E46" s="81">
        <f>SUMIF('2.생활용수(광석)'!$C$5:$C$56,C46,'2.생활용수(광석)'!$Q$5:$Q$56)</f>
        <v>0</v>
      </c>
      <c r="F46" s="81">
        <f>SUMIF('2.생활용수(성동)'!$C$5:$C$60,$C46,'2.생활용수(성동)'!$Q$5:$Q$60)</f>
        <v>0</v>
      </c>
      <c r="G46" s="81">
        <f>SUMIF('2.생활용수(봉화)'!$C$5:$C$18,$C46,'2.생활용수(봉화)'!$Q$5:$Q$18)</f>
        <v>0</v>
      </c>
      <c r="H46" s="81">
        <f>SUMIF('2.생활용수(논산)'!$C$5:$C$28,$C46,'2.생활용수(논산)'!$Q$5:$Q$28)</f>
        <v>0</v>
      </c>
      <c r="I46" s="81">
        <f>SUMIF('2.생활용수(연무)'!$C$5:$C$123,$C46,'2.생활용수(연무)'!$Q$5:$Q$123)</f>
        <v>0</v>
      </c>
      <c r="J46" s="81">
        <f>SUMIF('2.생활용수(마산)'!$C$5:$C$115,$C46,'2.생활용수(마산)'!$Q$5:$Q$115)</f>
        <v>0</v>
      </c>
      <c r="K46" s="81">
        <f>SUMIF('2.생활용수(부적)'!$C$5:$C$75,$C46,'2.생활용수(부적)'!$Q$5:$Q$75)</f>
        <v>0</v>
      </c>
      <c r="L46" s="81">
        <f>SUMIF('2.생활용수(연산)'!$C$5:$C$220,$C46,'2.생활용수(연산)'!$Q$5:$Q$220)</f>
        <v>0</v>
      </c>
      <c r="M46" s="81">
        <f>SUMIF('2.생활용수(채운)'!$C$5:$C$63,$C46,'2.생활용수(채운)'!$Q$5:$Q$63)</f>
        <v>0</v>
      </c>
      <c r="N46" s="81">
        <f>SUMIF('2.생활용수(강경)'!$C$5:$C$60,$C46,'2.생활용수(강경)'!$Q$5:$Q$60)</f>
        <v>0</v>
      </c>
      <c r="O46" s="81"/>
    </row>
    <row r="47" spans="1:15" ht="20.100000000000001" customHeight="1">
      <c r="A47" s="442" t="s">
        <v>700</v>
      </c>
      <c r="B47" s="442" t="s">
        <v>827</v>
      </c>
      <c r="C47" s="443" t="s">
        <v>1326</v>
      </c>
      <c r="D47" s="81">
        <f t="shared" si="1"/>
        <v>0</v>
      </c>
      <c r="E47" s="81">
        <f>SUMIF('2.생활용수(광석)'!$C$5:$C$56,C47,'2.생활용수(광석)'!$Q$5:$Q$56)</f>
        <v>0</v>
      </c>
      <c r="F47" s="81">
        <f>SUMIF('2.생활용수(성동)'!$C$5:$C$60,$C47,'2.생활용수(성동)'!$Q$5:$Q$60)</f>
        <v>0</v>
      </c>
      <c r="G47" s="81">
        <f>SUMIF('2.생활용수(봉화)'!$C$5:$C$18,$C47,'2.생활용수(봉화)'!$Q$5:$Q$18)</f>
        <v>0</v>
      </c>
      <c r="H47" s="81">
        <f>SUMIF('2.생활용수(논산)'!$C$5:$C$28,$C47,'2.생활용수(논산)'!$Q$5:$Q$28)</f>
        <v>0</v>
      </c>
      <c r="I47" s="81">
        <f>SUMIF('2.생활용수(연무)'!$C$5:$C$123,$C47,'2.생활용수(연무)'!$Q$5:$Q$123)</f>
        <v>0</v>
      </c>
      <c r="J47" s="81">
        <f>SUMIF('2.생활용수(마산)'!$C$5:$C$115,$C47,'2.생활용수(마산)'!$Q$5:$Q$115)</f>
        <v>0</v>
      </c>
      <c r="K47" s="81">
        <f>SUMIF('2.생활용수(부적)'!$C$5:$C$75,$C47,'2.생활용수(부적)'!$Q$5:$Q$75)</f>
        <v>0</v>
      </c>
      <c r="L47" s="81">
        <f>SUMIF('2.생활용수(연산)'!$C$5:$C$220,$C47,'2.생활용수(연산)'!$Q$5:$Q$220)</f>
        <v>0</v>
      </c>
      <c r="M47" s="81">
        <f>SUMIF('2.생활용수(채운)'!$C$5:$C$63,$C47,'2.생활용수(채운)'!$Q$5:$Q$63)</f>
        <v>0</v>
      </c>
      <c r="N47" s="81">
        <f>SUMIF('2.생활용수(강경)'!$C$5:$C$60,$C47,'2.생활용수(강경)'!$Q$5:$Q$60)</f>
        <v>0</v>
      </c>
      <c r="O47" s="81"/>
    </row>
    <row r="48" spans="1:15" ht="20.100000000000001" customHeight="1">
      <c r="A48" s="442" t="s">
        <v>700</v>
      </c>
      <c r="B48" s="442" t="s">
        <v>827</v>
      </c>
      <c r="C48" s="443" t="s">
        <v>1327</v>
      </c>
      <c r="D48" s="81">
        <f t="shared" si="1"/>
        <v>344</v>
      </c>
      <c r="E48" s="81">
        <f>SUMIF('2.생활용수(광석)'!$C$5:$C$56,C48,'2.생활용수(광석)'!$Q$5:$Q$56)</f>
        <v>0</v>
      </c>
      <c r="F48" s="81">
        <f>SUMIF('2.생활용수(성동)'!$C$5:$C$60,$C48,'2.생활용수(성동)'!$Q$5:$Q$60)</f>
        <v>0</v>
      </c>
      <c r="G48" s="81">
        <f>SUMIF('2.생활용수(봉화)'!$C$5:$C$18,$C48,'2.생활용수(봉화)'!$Q$5:$Q$18)</f>
        <v>0</v>
      </c>
      <c r="H48" s="81">
        <f>SUMIF('2.생활용수(논산)'!$C$5:$C$28,$C48,'2.생활용수(논산)'!$Q$5:$Q$28)</f>
        <v>0</v>
      </c>
      <c r="I48" s="81">
        <f>SUMIF('2.생활용수(연무)'!$C$5:$C$123,$C48,'2.생활용수(연무)'!$Q$5:$Q$123)</f>
        <v>344</v>
      </c>
      <c r="J48" s="81">
        <f>SUMIF('2.생활용수(마산)'!$C$5:$C$115,$C48,'2.생활용수(마산)'!$Q$5:$Q$115)</f>
        <v>0</v>
      </c>
      <c r="K48" s="81">
        <f>SUMIF('2.생활용수(부적)'!$C$5:$C$75,$C48,'2.생활용수(부적)'!$Q$5:$Q$75)</f>
        <v>0</v>
      </c>
      <c r="L48" s="81">
        <f>SUMIF('2.생활용수(연산)'!$C$5:$C$220,$C48,'2.생활용수(연산)'!$Q$5:$Q$220)</f>
        <v>0</v>
      </c>
      <c r="M48" s="81">
        <f>SUMIF('2.생활용수(채운)'!$C$5:$C$63,$C48,'2.생활용수(채운)'!$Q$5:$Q$63)</f>
        <v>0</v>
      </c>
      <c r="N48" s="81">
        <f>SUMIF('2.생활용수(강경)'!$C$5:$C$60,$C48,'2.생활용수(강경)'!$Q$5:$Q$60)</f>
        <v>0</v>
      </c>
      <c r="O48" s="81"/>
    </row>
    <row r="49" spans="1:15" ht="20.100000000000001" customHeight="1">
      <c r="A49" s="442" t="s">
        <v>700</v>
      </c>
      <c r="B49" s="442" t="s">
        <v>827</v>
      </c>
      <c r="C49" s="443" t="s">
        <v>1951</v>
      </c>
      <c r="D49" s="81">
        <f t="shared" si="1"/>
        <v>59</v>
      </c>
      <c r="E49" s="81">
        <f>SUMIF('2.생활용수(광석)'!$C$5:$C$56,C49,'2.생활용수(광석)'!$Q$5:$Q$56)</f>
        <v>0</v>
      </c>
      <c r="F49" s="81">
        <f>SUMIF('2.생활용수(성동)'!$C$5:$C$60,$C49,'2.생활용수(성동)'!$Q$5:$Q$60)</f>
        <v>0</v>
      </c>
      <c r="G49" s="81">
        <f>SUMIF('2.생활용수(봉화)'!$C$5:$C$18,$C49,'2.생활용수(봉화)'!$Q$5:$Q$18)</f>
        <v>0</v>
      </c>
      <c r="H49" s="81">
        <f>SUMIF('2.생활용수(논산)'!$C$5:$C$28,$C49,'2.생활용수(논산)'!$Q$5:$Q$28)</f>
        <v>0</v>
      </c>
      <c r="I49" s="81">
        <f>SUMIF('2.생활용수(연무)'!$C$5:$C$123,$C49,'2.생활용수(연무)'!$Q$5:$Q$123)</f>
        <v>0</v>
      </c>
      <c r="J49" s="81">
        <f>SUMIF('2.생활용수(마산)'!$C$5:$C$115,$C49,'2.생활용수(마산)'!$Q$5:$Q$115)</f>
        <v>59</v>
      </c>
      <c r="K49" s="81">
        <f>SUMIF('2.생활용수(부적)'!$C$5:$C$75,$C49,'2.생활용수(부적)'!$Q$5:$Q$75)</f>
        <v>0</v>
      </c>
      <c r="L49" s="81">
        <f>SUMIF('2.생활용수(연산)'!$C$5:$C$220,$C49,'2.생활용수(연산)'!$Q$5:$Q$220)</f>
        <v>0</v>
      </c>
      <c r="M49" s="81">
        <f>SUMIF('2.생활용수(채운)'!$C$5:$C$63,$C49,'2.생활용수(채운)'!$Q$5:$Q$63)</f>
        <v>0</v>
      </c>
      <c r="N49" s="81">
        <f>SUMIF('2.생활용수(강경)'!$C$5:$C$60,$C49,'2.생활용수(강경)'!$Q$5:$Q$60)</f>
        <v>0</v>
      </c>
      <c r="O49" s="81"/>
    </row>
    <row r="50" spans="1:15" ht="20.100000000000001" customHeight="1">
      <c r="A50" s="442" t="s">
        <v>700</v>
      </c>
      <c r="B50" s="442" t="s">
        <v>827</v>
      </c>
      <c r="C50" s="443" t="s">
        <v>1952</v>
      </c>
      <c r="D50" s="81">
        <f t="shared" si="1"/>
        <v>540</v>
      </c>
      <c r="E50" s="81">
        <f>SUMIF('2.생활용수(광석)'!$C$5:$C$56,C50,'2.생활용수(광석)'!$Q$5:$Q$56)</f>
        <v>0</v>
      </c>
      <c r="F50" s="81">
        <f>SUMIF('2.생활용수(성동)'!$C$5:$C$60,$C50,'2.생활용수(성동)'!$Q$5:$Q$60)</f>
        <v>0</v>
      </c>
      <c r="G50" s="81">
        <f>SUMIF('2.생활용수(봉화)'!$C$5:$C$18,$C50,'2.생활용수(봉화)'!$Q$5:$Q$18)</f>
        <v>0</v>
      </c>
      <c r="H50" s="81">
        <f>SUMIF('2.생활용수(논산)'!$C$5:$C$28,$C50,'2.생활용수(논산)'!$Q$5:$Q$28)</f>
        <v>0</v>
      </c>
      <c r="I50" s="81">
        <f>SUMIF('2.생활용수(연무)'!$C$5:$C$123,$C50,'2.생활용수(연무)'!$Q$5:$Q$123)</f>
        <v>540</v>
      </c>
      <c r="J50" s="81">
        <f>SUMIF('2.생활용수(마산)'!$C$5:$C$115,$C50,'2.생활용수(마산)'!$Q$5:$Q$115)</f>
        <v>0</v>
      </c>
      <c r="K50" s="81">
        <f>SUMIF('2.생활용수(부적)'!$C$5:$C$75,$C50,'2.생활용수(부적)'!$Q$5:$Q$75)</f>
        <v>0</v>
      </c>
      <c r="L50" s="81">
        <f>SUMIF('2.생활용수(연산)'!$C$5:$C$220,$C50,'2.생활용수(연산)'!$Q$5:$Q$220)</f>
        <v>0</v>
      </c>
      <c r="M50" s="81">
        <f>SUMIF('2.생활용수(채운)'!$C$5:$C$63,$C50,'2.생활용수(채운)'!$Q$5:$Q$63)</f>
        <v>0</v>
      </c>
      <c r="N50" s="81">
        <f>SUMIF('2.생활용수(강경)'!$C$5:$C$60,$C50,'2.생활용수(강경)'!$Q$5:$Q$60)</f>
        <v>0</v>
      </c>
      <c r="O50" s="81"/>
    </row>
    <row r="51" spans="1:15" ht="20.100000000000001" customHeight="1">
      <c r="A51" s="442" t="s">
        <v>700</v>
      </c>
      <c r="B51" s="442" t="s">
        <v>828</v>
      </c>
      <c r="C51" s="443" t="s">
        <v>1953</v>
      </c>
      <c r="D51" s="81">
        <f t="shared" si="1"/>
        <v>0</v>
      </c>
      <c r="E51" s="81">
        <f>SUMIF('2.생활용수(광석)'!$C$5:$C$56,C51,'2.생활용수(광석)'!$Q$5:$Q$56)</f>
        <v>0</v>
      </c>
      <c r="F51" s="81">
        <f>SUMIF('2.생활용수(성동)'!$C$5:$C$60,$C51,'2.생활용수(성동)'!$Q$5:$Q$60)</f>
        <v>0</v>
      </c>
      <c r="G51" s="81">
        <f>SUMIF('2.생활용수(봉화)'!$C$5:$C$18,$C51,'2.생활용수(봉화)'!$Q$5:$Q$18)</f>
        <v>0</v>
      </c>
      <c r="H51" s="81">
        <f>SUMIF('2.생활용수(논산)'!$C$5:$C$28,$C51,'2.생활용수(논산)'!$Q$5:$Q$28)</f>
        <v>0</v>
      </c>
      <c r="I51" s="81">
        <f>SUMIF('2.생활용수(연무)'!$C$5:$C$123,$C51,'2.생활용수(연무)'!$Q$5:$Q$123)</f>
        <v>0</v>
      </c>
      <c r="J51" s="81">
        <f>SUMIF('2.생활용수(마산)'!$C$5:$C$115,$C51,'2.생활용수(마산)'!$Q$5:$Q$115)</f>
        <v>0</v>
      </c>
      <c r="K51" s="81">
        <f>SUMIF('2.생활용수(부적)'!$C$5:$C$75,$C51,'2.생활용수(부적)'!$Q$5:$Q$75)</f>
        <v>0</v>
      </c>
      <c r="L51" s="81">
        <f>SUMIF('2.생활용수(연산)'!$C$5:$C$220,$C51,'2.생활용수(연산)'!$Q$5:$Q$220)</f>
        <v>0</v>
      </c>
      <c r="M51" s="81">
        <f>SUMIF('2.생활용수(채운)'!$C$5:$C$63,$C51,'2.생활용수(채운)'!$Q$5:$Q$63)</f>
        <v>0</v>
      </c>
      <c r="N51" s="81">
        <f>SUMIF('2.생활용수(강경)'!$C$5:$C$60,$C51,'2.생활용수(강경)'!$Q$5:$Q$60)</f>
        <v>0</v>
      </c>
      <c r="O51" s="81"/>
    </row>
    <row r="52" spans="1:15" ht="20.100000000000001" customHeight="1">
      <c r="A52" s="442" t="s">
        <v>700</v>
      </c>
      <c r="B52" s="442" t="s">
        <v>828</v>
      </c>
      <c r="C52" s="443" t="s">
        <v>1320</v>
      </c>
      <c r="D52" s="81">
        <f t="shared" si="1"/>
        <v>9</v>
      </c>
      <c r="E52" s="81">
        <f>SUMIF('2.생활용수(광석)'!$C$5:$C$56,C52,'2.생활용수(광석)'!$Q$5:$Q$56)</f>
        <v>0</v>
      </c>
      <c r="F52" s="81">
        <f>SUMIF('2.생활용수(성동)'!$C$5:$C$60,$C52,'2.생활용수(성동)'!$Q$5:$Q$60)</f>
        <v>0</v>
      </c>
      <c r="G52" s="81">
        <f>SUMIF('2.생활용수(봉화)'!$C$5:$C$18,$C52,'2.생활용수(봉화)'!$Q$5:$Q$18)</f>
        <v>0</v>
      </c>
      <c r="H52" s="81">
        <f>SUMIF('2.생활용수(논산)'!$C$5:$C$28,$C52,'2.생활용수(논산)'!$Q$5:$Q$28)</f>
        <v>0</v>
      </c>
      <c r="I52" s="81">
        <f>SUMIF('2.생활용수(연무)'!$C$5:$C$123,$C52,'2.생활용수(연무)'!$Q$5:$Q$123)</f>
        <v>9</v>
      </c>
      <c r="J52" s="81">
        <f>SUMIF('2.생활용수(마산)'!$C$5:$C$115,$C52,'2.생활용수(마산)'!$Q$5:$Q$115)</f>
        <v>0</v>
      </c>
      <c r="K52" s="81">
        <f>SUMIF('2.생활용수(부적)'!$C$5:$C$75,$C52,'2.생활용수(부적)'!$Q$5:$Q$75)</f>
        <v>0</v>
      </c>
      <c r="L52" s="81">
        <f>SUMIF('2.생활용수(연산)'!$C$5:$C$220,$C52,'2.생활용수(연산)'!$Q$5:$Q$220)</f>
        <v>0</v>
      </c>
      <c r="M52" s="81">
        <f>SUMIF('2.생활용수(채운)'!$C$5:$C$63,$C52,'2.생활용수(채운)'!$Q$5:$Q$63)</f>
        <v>0</v>
      </c>
      <c r="N52" s="81">
        <f>SUMIF('2.생활용수(강경)'!$C$5:$C$60,$C52,'2.생활용수(강경)'!$Q$5:$Q$60)</f>
        <v>0</v>
      </c>
      <c r="O52" s="81"/>
    </row>
    <row r="53" spans="1:15" ht="20.100000000000001" customHeight="1">
      <c r="A53" s="442" t="s">
        <v>700</v>
      </c>
      <c r="B53" s="442" t="s">
        <v>829</v>
      </c>
      <c r="C53" s="443" t="s">
        <v>1954</v>
      </c>
      <c r="D53" s="81">
        <f t="shared" si="1"/>
        <v>35</v>
      </c>
      <c r="E53" s="81">
        <f>SUMIF('2.생활용수(광석)'!$C$5:$C$56,C53,'2.생활용수(광석)'!$Q$5:$Q$56)</f>
        <v>0</v>
      </c>
      <c r="F53" s="81">
        <f>SUMIF('2.생활용수(성동)'!$C$5:$C$60,$C53,'2.생활용수(성동)'!$Q$5:$Q$60)</f>
        <v>0</v>
      </c>
      <c r="G53" s="81">
        <f>SUMIF('2.생활용수(봉화)'!$C$5:$C$18,$C53,'2.생활용수(봉화)'!$Q$5:$Q$18)</f>
        <v>0</v>
      </c>
      <c r="H53" s="81">
        <f>SUMIF('2.생활용수(논산)'!$C$5:$C$28,$C53,'2.생활용수(논산)'!$Q$5:$Q$28)</f>
        <v>0</v>
      </c>
      <c r="I53" s="81">
        <f>SUMIF('2.생활용수(연무)'!$C$5:$C$123,$C53,'2.생활용수(연무)'!$Q$5:$Q$123)</f>
        <v>0</v>
      </c>
      <c r="J53" s="81">
        <f>SUMIF('2.생활용수(마산)'!$C$5:$C$115,$C53,'2.생활용수(마산)'!$Q$5:$Q$115)</f>
        <v>35</v>
      </c>
      <c r="K53" s="81">
        <f>SUMIF('2.생활용수(부적)'!$C$5:$C$75,$C53,'2.생활용수(부적)'!$Q$5:$Q$75)</f>
        <v>0</v>
      </c>
      <c r="L53" s="81">
        <f>SUMIF('2.생활용수(연산)'!$C$5:$C$220,$C53,'2.생활용수(연산)'!$Q$5:$Q$220)</f>
        <v>0</v>
      </c>
      <c r="M53" s="81">
        <f>SUMIF('2.생활용수(채운)'!$C$5:$C$63,$C53,'2.생활용수(채운)'!$Q$5:$Q$63)</f>
        <v>0</v>
      </c>
      <c r="N53" s="81">
        <f>SUMIF('2.생활용수(강경)'!$C$5:$C$60,$C53,'2.생활용수(강경)'!$Q$5:$Q$60)</f>
        <v>0</v>
      </c>
      <c r="O53" s="81"/>
    </row>
    <row r="54" spans="1:15" ht="20.100000000000001" customHeight="1">
      <c r="A54" s="442" t="s">
        <v>700</v>
      </c>
      <c r="B54" s="442" t="s">
        <v>830</v>
      </c>
      <c r="C54" s="443" t="s">
        <v>1955</v>
      </c>
      <c r="D54" s="81">
        <f t="shared" si="1"/>
        <v>0</v>
      </c>
      <c r="E54" s="81">
        <f>SUMIF('2.생활용수(광석)'!$C$5:$C$56,C54,'2.생활용수(광석)'!$Q$5:$Q$56)</f>
        <v>0</v>
      </c>
      <c r="F54" s="81">
        <f>SUMIF('2.생활용수(성동)'!$C$5:$C$60,$C54,'2.생활용수(성동)'!$Q$5:$Q$60)</f>
        <v>0</v>
      </c>
      <c r="G54" s="81">
        <f>SUMIF('2.생활용수(봉화)'!$C$5:$C$18,$C54,'2.생활용수(봉화)'!$Q$5:$Q$18)</f>
        <v>0</v>
      </c>
      <c r="H54" s="81">
        <f>SUMIF('2.생활용수(논산)'!$C$5:$C$28,$C54,'2.생활용수(논산)'!$Q$5:$Q$28)</f>
        <v>0</v>
      </c>
      <c r="I54" s="81">
        <f>SUMIF('2.생활용수(연무)'!$C$5:$C$123,$C54,'2.생활용수(연무)'!$Q$5:$Q$123)</f>
        <v>0</v>
      </c>
      <c r="J54" s="81">
        <f>SUMIF('2.생활용수(마산)'!$C$5:$C$115,$C54,'2.생활용수(마산)'!$Q$5:$Q$115)</f>
        <v>0</v>
      </c>
      <c r="K54" s="81">
        <f>SUMIF('2.생활용수(부적)'!$C$5:$C$75,$C54,'2.생활용수(부적)'!$Q$5:$Q$75)</f>
        <v>0</v>
      </c>
      <c r="L54" s="81">
        <f>SUMIF('2.생활용수(연산)'!$C$5:$C$220,$C54,'2.생활용수(연산)'!$Q$5:$Q$220)</f>
        <v>0</v>
      </c>
      <c r="M54" s="81">
        <f>SUMIF('2.생활용수(채운)'!$C$5:$C$63,$C54,'2.생활용수(채운)'!$Q$5:$Q$63)</f>
        <v>0</v>
      </c>
      <c r="N54" s="81">
        <f>SUMIF('2.생활용수(강경)'!$C$5:$C$60,$C54,'2.생활용수(강경)'!$Q$5:$Q$60)</f>
        <v>0</v>
      </c>
      <c r="O54" s="81"/>
    </row>
    <row r="55" spans="1:15" ht="20.100000000000001" customHeight="1">
      <c r="A55" s="442" t="s">
        <v>700</v>
      </c>
      <c r="B55" s="442" t="s">
        <v>830</v>
      </c>
      <c r="C55" s="443" t="s">
        <v>1956</v>
      </c>
      <c r="D55" s="81">
        <f t="shared" si="1"/>
        <v>69</v>
      </c>
      <c r="E55" s="81">
        <f>SUMIF('2.생활용수(광석)'!$C$5:$C$56,C55,'2.생활용수(광석)'!$Q$5:$Q$56)</f>
        <v>0</v>
      </c>
      <c r="F55" s="81">
        <f>SUMIF('2.생활용수(성동)'!$C$5:$C$60,$C55,'2.생활용수(성동)'!$Q$5:$Q$60)</f>
        <v>0</v>
      </c>
      <c r="G55" s="81">
        <f>SUMIF('2.생활용수(봉화)'!$C$5:$C$18,$C55,'2.생활용수(봉화)'!$Q$5:$Q$18)</f>
        <v>0</v>
      </c>
      <c r="H55" s="81">
        <f>SUMIF('2.생활용수(논산)'!$C$5:$C$28,$C55,'2.생활용수(논산)'!$Q$5:$Q$28)</f>
        <v>0</v>
      </c>
      <c r="I55" s="81">
        <f>SUMIF('2.생활용수(연무)'!$C$5:$C$123,$C55,'2.생활용수(연무)'!$Q$5:$Q$123)</f>
        <v>0</v>
      </c>
      <c r="J55" s="81">
        <f>SUMIF('2.생활용수(마산)'!$C$5:$C$115,$C55,'2.생활용수(마산)'!$Q$5:$Q$115)</f>
        <v>69</v>
      </c>
      <c r="K55" s="81">
        <f>SUMIF('2.생활용수(부적)'!$C$5:$C$75,$C55,'2.생활용수(부적)'!$Q$5:$Q$75)</f>
        <v>0</v>
      </c>
      <c r="L55" s="81">
        <f>SUMIF('2.생활용수(연산)'!$C$5:$C$220,$C55,'2.생활용수(연산)'!$Q$5:$Q$220)</f>
        <v>0</v>
      </c>
      <c r="M55" s="81">
        <f>SUMIF('2.생활용수(채운)'!$C$5:$C$63,$C55,'2.생활용수(채운)'!$Q$5:$Q$63)</f>
        <v>0</v>
      </c>
      <c r="N55" s="81">
        <f>SUMIF('2.생활용수(강경)'!$C$5:$C$60,$C55,'2.생활용수(강경)'!$Q$5:$Q$60)</f>
        <v>0</v>
      </c>
      <c r="O55" s="81"/>
    </row>
    <row r="56" spans="1:15" ht="20.100000000000001" customHeight="1">
      <c r="A56" s="442" t="s">
        <v>700</v>
      </c>
      <c r="B56" s="442" t="s">
        <v>831</v>
      </c>
      <c r="C56" s="443" t="s">
        <v>1957</v>
      </c>
      <c r="D56" s="81">
        <f t="shared" si="1"/>
        <v>73</v>
      </c>
      <c r="E56" s="81">
        <f>SUMIF('2.생활용수(광석)'!$C$5:$C$56,C56,'2.생활용수(광석)'!$Q$5:$Q$56)</f>
        <v>0</v>
      </c>
      <c r="F56" s="81">
        <f>SUMIF('2.생활용수(성동)'!$C$5:$C$60,$C56,'2.생활용수(성동)'!$Q$5:$Q$60)</f>
        <v>0</v>
      </c>
      <c r="G56" s="81">
        <f>SUMIF('2.생활용수(봉화)'!$C$5:$C$18,$C56,'2.생활용수(봉화)'!$Q$5:$Q$18)</f>
        <v>0</v>
      </c>
      <c r="H56" s="81">
        <f>SUMIF('2.생활용수(논산)'!$C$5:$C$28,$C56,'2.생활용수(논산)'!$Q$5:$Q$28)</f>
        <v>0</v>
      </c>
      <c r="I56" s="81">
        <f>SUMIF('2.생활용수(연무)'!$C$5:$C$123,$C56,'2.생활용수(연무)'!$Q$5:$Q$123)</f>
        <v>0</v>
      </c>
      <c r="J56" s="81">
        <f>SUMIF('2.생활용수(마산)'!$C$5:$C$115,$C56,'2.생활용수(마산)'!$Q$5:$Q$115)</f>
        <v>73</v>
      </c>
      <c r="K56" s="81">
        <f>SUMIF('2.생활용수(부적)'!$C$5:$C$75,$C56,'2.생활용수(부적)'!$Q$5:$Q$75)</f>
        <v>0</v>
      </c>
      <c r="L56" s="81">
        <f>SUMIF('2.생활용수(연산)'!$C$5:$C$220,$C56,'2.생활용수(연산)'!$Q$5:$Q$220)</f>
        <v>0</v>
      </c>
      <c r="M56" s="81">
        <f>SUMIF('2.생활용수(채운)'!$C$5:$C$63,$C56,'2.생활용수(채운)'!$Q$5:$Q$63)</f>
        <v>0</v>
      </c>
      <c r="N56" s="81">
        <f>SUMIF('2.생활용수(강경)'!$C$5:$C$60,$C56,'2.생활용수(강경)'!$Q$5:$Q$60)</f>
        <v>0</v>
      </c>
      <c r="O56" s="81"/>
    </row>
    <row r="57" spans="1:15" ht="20.100000000000001" customHeight="1">
      <c r="A57" s="442" t="s">
        <v>700</v>
      </c>
      <c r="B57" s="442" t="s">
        <v>831</v>
      </c>
      <c r="C57" s="443" t="s">
        <v>1358</v>
      </c>
      <c r="D57" s="81">
        <f t="shared" si="1"/>
        <v>0</v>
      </c>
      <c r="E57" s="81">
        <f>SUMIF('2.생활용수(광석)'!$C$5:$C$56,C57,'2.생활용수(광석)'!$Q$5:$Q$56)</f>
        <v>0</v>
      </c>
      <c r="F57" s="81">
        <f>SUMIF('2.생활용수(성동)'!$C$5:$C$60,$C57,'2.생활용수(성동)'!$Q$5:$Q$60)</f>
        <v>0</v>
      </c>
      <c r="G57" s="81">
        <f>SUMIF('2.생활용수(봉화)'!$C$5:$C$18,$C57,'2.생활용수(봉화)'!$Q$5:$Q$18)</f>
        <v>0</v>
      </c>
      <c r="H57" s="81">
        <f>SUMIF('2.생활용수(논산)'!$C$5:$C$28,$C57,'2.생활용수(논산)'!$Q$5:$Q$28)</f>
        <v>0</v>
      </c>
      <c r="I57" s="81">
        <f>SUMIF('2.생활용수(연무)'!$C$5:$C$123,$C57,'2.생활용수(연무)'!$Q$5:$Q$123)</f>
        <v>0</v>
      </c>
      <c r="J57" s="81">
        <f>SUMIF('2.생활용수(마산)'!$C$5:$C$115,$C57,'2.생활용수(마산)'!$Q$5:$Q$115)</f>
        <v>0</v>
      </c>
      <c r="K57" s="81">
        <f>SUMIF('2.생활용수(부적)'!$C$5:$C$75,$C57,'2.생활용수(부적)'!$Q$5:$Q$75)</f>
        <v>0</v>
      </c>
      <c r="L57" s="81">
        <f>SUMIF('2.생활용수(연산)'!$C$5:$C$220,$C57,'2.생활용수(연산)'!$Q$5:$Q$220)</f>
        <v>0</v>
      </c>
      <c r="M57" s="81">
        <f>SUMIF('2.생활용수(채운)'!$C$5:$C$63,$C57,'2.생활용수(채운)'!$Q$5:$Q$63)</f>
        <v>0</v>
      </c>
      <c r="N57" s="81">
        <f>SUMIF('2.생활용수(강경)'!$C$5:$C$60,$C57,'2.생활용수(강경)'!$Q$5:$Q$60)</f>
        <v>0</v>
      </c>
      <c r="O57" s="81"/>
    </row>
    <row r="58" spans="1:15" ht="20.100000000000001" customHeight="1">
      <c r="A58" s="442" t="s">
        <v>700</v>
      </c>
      <c r="B58" s="442" t="s">
        <v>831</v>
      </c>
      <c r="C58" s="443" t="s">
        <v>1359</v>
      </c>
      <c r="D58" s="81">
        <f t="shared" si="1"/>
        <v>0</v>
      </c>
      <c r="E58" s="81">
        <f>SUMIF('2.생활용수(광석)'!$C$5:$C$56,C58,'2.생활용수(광석)'!$Q$5:$Q$56)</f>
        <v>0</v>
      </c>
      <c r="F58" s="81">
        <f>SUMIF('2.생활용수(성동)'!$C$5:$C$60,$C58,'2.생활용수(성동)'!$Q$5:$Q$60)</f>
        <v>0</v>
      </c>
      <c r="G58" s="81">
        <f>SUMIF('2.생활용수(봉화)'!$C$5:$C$18,$C58,'2.생활용수(봉화)'!$Q$5:$Q$18)</f>
        <v>0</v>
      </c>
      <c r="H58" s="81">
        <f>SUMIF('2.생활용수(논산)'!$C$5:$C$28,$C58,'2.생활용수(논산)'!$Q$5:$Q$28)</f>
        <v>0</v>
      </c>
      <c r="I58" s="81">
        <f>SUMIF('2.생활용수(연무)'!$C$5:$C$123,$C58,'2.생활용수(연무)'!$Q$5:$Q$123)</f>
        <v>0</v>
      </c>
      <c r="J58" s="81">
        <f>SUMIF('2.생활용수(마산)'!$C$5:$C$115,$C58,'2.생활용수(마산)'!$Q$5:$Q$115)</f>
        <v>0</v>
      </c>
      <c r="K58" s="81">
        <f>SUMIF('2.생활용수(부적)'!$C$5:$C$75,$C58,'2.생활용수(부적)'!$Q$5:$Q$75)</f>
        <v>0</v>
      </c>
      <c r="L58" s="81">
        <f>SUMIF('2.생활용수(연산)'!$C$5:$C$220,$C58,'2.생활용수(연산)'!$Q$5:$Q$220)</f>
        <v>0</v>
      </c>
      <c r="M58" s="81">
        <f>SUMIF('2.생활용수(채운)'!$C$5:$C$63,$C58,'2.생활용수(채운)'!$Q$5:$Q$63)</f>
        <v>0</v>
      </c>
      <c r="N58" s="81">
        <f>SUMIF('2.생활용수(강경)'!$C$5:$C$60,$C58,'2.생활용수(강경)'!$Q$5:$Q$60)</f>
        <v>0</v>
      </c>
      <c r="O58" s="81"/>
    </row>
    <row r="59" spans="1:15" ht="20.100000000000001" customHeight="1">
      <c r="A59" s="442" t="s">
        <v>700</v>
      </c>
      <c r="B59" s="442" t="s">
        <v>831</v>
      </c>
      <c r="C59" s="443" t="s">
        <v>1360</v>
      </c>
      <c r="D59" s="81">
        <f t="shared" si="1"/>
        <v>31</v>
      </c>
      <c r="E59" s="81">
        <f>SUMIF('2.생활용수(광석)'!$C$5:$C$56,C59,'2.생활용수(광석)'!$Q$5:$Q$56)</f>
        <v>0</v>
      </c>
      <c r="F59" s="81">
        <f>SUMIF('2.생활용수(성동)'!$C$5:$C$60,$C59,'2.생활용수(성동)'!$Q$5:$Q$60)</f>
        <v>0</v>
      </c>
      <c r="G59" s="81">
        <f>SUMIF('2.생활용수(봉화)'!$C$5:$C$18,$C59,'2.생활용수(봉화)'!$Q$5:$Q$18)</f>
        <v>0</v>
      </c>
      <c r="H59" s="81">
        <f>SUMIF('2.생활용수(논산)'!$C$5:$C$28,$C59,'2.생활용수(논산)'!$Q$5:$Q$28)</f>
        <v>0</v>
      </c>
      <c r="I59" s="81">
        <f>SUMIF('2.생활용수(연무)'!$C$5:$C$123,$C59,'2.생활용수(연무)'!$Q$5:$Q$123)</f>
        <v>0</v>
      </c>
      <c r="J59" s="81">
        <f>SUMIF('2.생활용수(마산)'!$C$5:$C$115,$C59,'2.생활용수(마산)'!$Q$5:$Q$115)</f>
        <v>31</v>
      </c>
      <c r="K59" s="81">
        <f>SUMIF('2.생활용수(부적)'!$C$5:$C$75,$C59,'2.생활용수(부적)'!$Q$5:$Q$75)</f>
        <v>0</v>
      </c>
      <c r="L59" s="81">
        <f>SUMIF('2.생활용수(연산)'!$C$5:$C$220,$C59,'2.생활용수(연산)'!$Q$5:$Q$220)</f>
        <v>0</v>
      </c>
      <c r="M59" s="81">
        <f>SUMIF('2.생활용수(채운)'!$C$5:$C$63,$C59,'2.생활용수(채운)'!$Q$5:$Q$63)</f>
        <v>0</v>
      </c>
      <c r="N59" s="81">
        <f>SUMIF('2.생활용수(강경)'!$C$5:$C$60,$C59,'2.생활용수(강경)'!$Q$5:$Q$60)</f>
        <v>0</v>
      </c>
      <c r="O59" s="81"/>
    </row>
    <row r="60" spans="1:15" ht="20.100000000000001" customHeight="1">
      <c r="A60" s="442" t="s">
        <v>700</v>
      </c>
      <c r="B60" s="442" t="s">
        <v>831</v>
      </c>
      <c r="C60" s="443" t="s">
        <v>1361</v>
      </c>
      <c r="D60" s="81">
        <f t="shared" si="1"/>
        <v>24</v>
      </c>
      <c r="E60" s="81">
        <f>SUMIF('2.생활용수(광석)'!$C$5:$C$56,C60,'2.생활용수(광석)'!$Q$5:$Q$56)</f>
        <v>0</v>
      </c>
      <c r="F60" s="81">
        <f>SUMIF('2.생활용수(성동)'!$C$5:$C$60,$C60,'2.생활용수(성동)'!$Q$5:$Q$60)</f>
        <v>0</v>
      </c>
      <c r="G60" s="81">
        <f>SUMIF('2.생활용수(봉화)'!$C$5:$C$18,$C60,'2.생활용수(봉화)'!$Q$5:$Q$18)</f>
        <v>0</v>
      </c>
      <c r="H60" s="81">
        <f>SUMIF('2.생활용수(논산)'!$C$5:$C$28,$C60,'2.생활용수(논산)'!$Q$5:$Q$28)</f>
        <v>0</v>
      </c>
      <c r="I60" s="81">
        <f>SUMIF('2.생활용수(연무)'!$C$5:$C$123,$C60,'2.생활용수(연무)'!$Q$5:$Q$123)</f>
        <v>0</v>
      </c>
      <c r="J60" s="81">
        <f>SUMIF('2.생활용수(마산)'!$C$5:$C$115,$C60,'2.생활용수(마산)'!$Q$5:$Q$115)</f>
        <v>24</v>
      </c>
      <c r="K60" s="81">
        <f>SUMIF('2.생활용수(부적)'!$C$5:$C$75,$C60,'2.생활용수(부적)'!$Q$5:$Q$75)</f>
        <v>0</v>
      </c>
      <c r="L60" s="81">
        <f>SUMIF('2.생활용수(연산)'!$C$5:$C$220,$C60,'2.생활용수(연산)'!$Q$5:$Q$220)</f>
        <v>0</v>
      </c>
      <c r="M60" s="81">
        <f>SUMIF('2.생활용수(채운)'!$C$5:$C$63,$C60,'2.생활용수(채운)'!$Q$5:$Q$63)</f>
        <v>0</v>
      </c>
      <c r="N60" s="81">
        <f>SUMIF('2.생활용수(강경)'!$C$5:$C$60,$C60,'2.생활용수(강경)'!$Q$5:$Q$60)</f>
        <v>0</v>
      </c>
      <c r="O60" s="81"/>
    </row>
    <row r="61" spans="1:15" ht="20.100000000000001" customHeight="1">
      <c r="A61" s="442" t="s">
        <v>700</v>
      </c>
      <c r="B61" s="442" t="s">
        <v>831</v>
      </c>
      <c r="C61" s="443" t="s">
        <v>1362</v>
      </c>
      <c r="D61" s="81">
        <f t="shared" si="1"/>
        <v>17</v>
      </c>
      <c r="E61" s="81">
        <f>SUMIF('2.생활용수(광석)'!$C$5:$C$56,C61,'2.생활용수(광석)'!$Q$5:$Q$56)</f>
        <v>0</v>
      </c>
      <c r="F61" s="81">
        <f>SUMIF('2.생활용수(성동)'!$C$5:$C$60,$C61,'2.생활용수(성동)'!$Q$5:$Q$60)</f>
        <v>0</v>
      </c>
      <c r="G61" s="81">
        <f>SUMIF('2.생활용수(봉화)'!$C$5:$C$18,$C61,'2.생활용수(봉화)'!$Q$5:$Q$18)</f>
        <v>0</v>
      </c>
      <c r="H61" s="81">
        <f>SUMIF('2.생활용수(논산)'!$C$5:$C$28,$C61,'2.생활용수(논산)'!$Q$5:$Q$28)</f>
        <v>0</v>
      </c>
      <c r="I61" s="81">
        <f>SUMIF('2.생활용수(연무)'!$C$5:$C$123,$C61,'2.생활용수(연무)'!$Q$5:$Q$123)</f>
        <v>0</v>
      </c>
      <c r="J61" s="81">
        <f>SUMIF('2.생활용수(마산)'!$C$5:$C$115,$C61,'2.생활용수(마산)'!$Q$5:$Q$115)</f>
        <v>17</v>
      </c>
      <c r="K61" s="81">
        <f>SUMIF('2.생활용수(부적)'!$C$5:$C$75,$C61,'2.생활용수(부적)'!$Q$5:$Q$75)</f>
        <v>0</v>
      </c>
      <c r="L61" s="81">
        <f>SUMIF('2.생활용수(연산)'!$C$5:$C$220,$C61,'2.생활용수(연산)'!$Q$5:$Q$220)</f>
        <v>0</v>
      </c>
      <c r="M61" s="81">
        <f>SUMIF('2.생활용수(채운)'!$C$5:$C$63,$C61,'2.생활용수(채운)'!$Q$5:$Q$63)</f>
        <v>0</v>
      </c>
      <c r="N61" s="81">
        <f>SUMIF('2.생활용수(강경)'!$C$5:$C$60,$C61,'2.생활용수(강경)'!$Q$5:$Q$60)</f>
        <v>0</v>
      </c>
      <c r="O61" s="81"/>
    </row>
    <row r="62" spans="1:15" ht="20.100000000000001" customHeight="1">
      <c r="A62" s="442" t="s">
        <v>700</v>
      </c>
      <c r="B62" s="442" t="s">
        <v>832</v>
      </c>
      <c r="C62" s="443" t="s">
        <v>1958</v>
      </c>
      <c r="D62" s="81">
        <f t="shared" si="1"/>
        <v>0</v>
      </c>
      <c r="E62" s="81">
        <f>SUMIF('2.생활용수(광석)'!$C$5:$C$56,C62,'2.생활용수(광석)'!$Q$5:$Q$56)</f>
        <v>0</v>
      </c>
      <c r="F62" s="81">
        <f>SUMIF('2.생활용수(성동)'!$C$5:$C$60,$C62,'2.생활용수(성동)'!$Q$5:$Q$60)</f>
        <v>0</v>
      </c>
      <c r="G62" s="81">
        <f>SUMIF('2.생활용수(봉화)'!$C$5:$C$18,$C62,'2.생활용수(봉화)'!$Q$5:$Q$18)</f>
        <v>0</v>
      </c>
      <c r="H62" s="81">
        <f>SUMIF('2.생활용수(논산)'!$C$5:$C$28,$C62,'2.생활용수(논산)'!$Q$5:$Q$28)</f>
        <v>0</v>
      </c>
      <c r="I62" s="81">
        <f>SUMIF('2.생활용수(연무)'!$C$5:$C$123,$C62,'2.생활용수(연무)'!$Q$5:$Q$123)</f>
        <v>0</v>
      </c>
      <c r="J62" s="81">
        <f>SUMIF('2.생활용수(마산)'!$C$5:$C$115,$C62,'2.생활용수(마산)'!$Q$5:$Q$115)</f>
        <v>0</v>
      </c>
      <c r="K62" s="81">
        <f>SUMIF('2.생활용수(부적)'!$C$5:$C$75,$C62,'2.생활용수(부적)'!$Q$5:$Q$75)</f>
        <v>0</v>
      </c>
      <c r="L62" s="81">
        <f>SUMIF('2.생활용수(연산)'!$C$5:$C$220,$C62,'2.생활용수(연산)'!$Q$5:$Q$220)</f>
        <v>0</v>
      </c>
      <c r="M62" s="81">
        <f>SUMIF('2.생활용수(채운)'!$C$5:$C$63,$C62,'2.생활용수(채운)'!$Q$5:$Q$63)</f>
        <v>0</v>
      </c>
      <c r="N62" s="81">
        <f>SUMIF('2.생활용수(강경)'!$C$5:$C$60,$C62,'2.생활용수(강경)'!$Q$5:$Q$60)</f>
        <v>0</v>
      </c>
      <c r="O62" s="81"/>
    </row>
    <row r="63" spans="1:15" ht="20.100000000000001" customHeight="1">
      <c r="A63" s="442" t="s">
        <v>700</v>
      </c>
      <c r="B63" s="442" t="s">
        <v>832</v>
      </c>
      <c r="C63" s="443" t="s">
        <v>1364</v>
      </c>
      <c r="D63" s="81">
        <f t="shared" si="1"/>
        <v>26</v>
      </c>
      <c r="E63" s="81">
        <f>SUMIF('2.생활용수(광석)'!$C$5:$C$56,C63,'2.생활용수(광석)'!$Q$5:$Q$56)</f>
        <v>0</v>
      </c>
      <c r="F63" s="81">
        <f>SUMIF('2.생활용수(성동)'!$C$5:$C$60,$C63,'2.생활용수(성동)'!$Q$5:$Q$60)</f>
        <v>0</v>
      </c>
      <c r="G63" s="81">
        <f>SUMIF('2.생활용수(봉화)'!$C$5:$C$18,$C63,'2.생활용수(봉화)'!$Q$5:$Q$18)</f>
        <v>0</v>
      </c>
      <c r="H63" s="81">
        <f>SUMIF('2.생활용수(논산)'!$C$5:$C$28,$C63,'2.생활용수(논산)'!$Q$5:$Q$28)</f>
        <v>0</v>
      </c>
      <c r="I63" s="81">
        <f>SUMIF('2.생활용수(연무)'!$C$5:$C$123,$C63,'2.생활용수(연무)'!$Q$5:$Q$123)</f>
        <v>0</v>
      </c>
      <c r="J63" s="81">
        <f>SUMIF('2.생활용수(마산)'!$C$5:$C$115,$C63,'2.생활용수(마산)'!$Q$5:$Q$115)</f>
        <v>26</v>
      </c>
      <c r="K63" s="81">
        <f>SUMIF('2.생활용수(부적)'!$C$5:$C$75,$C63,'2.생활용수(부적)'!$Q$5:$Q$75)</f>
        <v>0</v>
      </c>
      <c r="L63" s="81">
        <f>SUMIF('2.생활용수(연산)'!$C$5:$C$220,$C63,'2.생활용수(연산)'!$Q$5:$Q$220)</f>
        <v>0</v>
      </c>
      <c r="M63" s="81">
        <f>SUMIF('2.생활용수(채운)'!$C$5:$C$63,$C63,'2.생활용수(채운)'!$Q$5:$Q$63)</f>
        <v>0</v>
      </c>
      <c r="N63" s="81">
        <f>SUMIF('2.생활용수(강경)'!$C$5:$C$60,$C63,'2.생활용수(강경)'!$Q$5:$Q$60)</f>
        <v>0</v>
      </c>
      <c r="O63" s="81"/>
    </row>
    <row r="64" spans="1:15" ht="20.100000000000001" customHeight="1">
      <c r="A64" s="442" t="s">
        <v>700</v>
      </c>
      <c r="B64" s="442" t="s">
        <v>832</v>
      </c>
      <c r="C64" s="443" t="s">
        <v>1365</v>
      </c>
      <c r="D64" s="81">
        <f t="shared" si="1"/>
        <v>27</v>
      </c>
      <c r="E64" s="81">
        <f>SUMIF('2.생활용수(광석)'!$C$5:$C$56,C64,'2.생활용수(광석)'!$Q$5:$Q$56)</f>
        <v>0</v>
      </c>
      <c r="F64" s="81">
        <f>SUMIF('2.생활용수(성동)'!$C$5:$C$60,$C64,'2.생활용수(성동)'!$Q$5:$Q$60)</f>
        <v>0</v>
      </c>
      <c r="G64" s="81">
        <f>SUMIF('2.생활용수(봉화)'!$C$5:$C$18,$C64,'2.생활용수(봉화)'!$Q$5:$Q$18)</f>
        <v>0</v>
      </c>
      <c r="H64" s="81">
        <f>SUMIF('2.생활용수(논산)'!$C$5:$C$28,$C64,'2.생활용수(논산)'!$Q$5:$Q$28)</f>
        <v>0</v>
      </c>
      <c r="I64" s="81">
        <f>SUMIF('2.생활용수(연무)'!$C$5:$C$123,$C64,'2.생활용수(연무)'!$Q$5:$Q$123)</f>
        <v>0</v>
      </c>
      <c r="J64" s="81">
        <f>SUMIF('2.생활용수(마산)'!$C$5:$C$115,$C64,'2.생활용수(마산)'!$Q$5:$Q$115)</f>
        <v>27</v>
      </c>
      <c r="K64" s="81">
        <f>SUMIF('2.생활용수(부적)'!$C$5:$C$75,$C64,'2.생활용수(부적)'!$Q$5:$Q$75)</f>
        <v>0</v>
      </c>
      <c r="L64" s="81">
        <f>SUMIF('2.생활용수(연산)'!$C$5:$C$220,$C64,'2.생활용수(연산)'!$Q$5:$Q$220)</f>
        <v>0</v>
      </c>
      <c r="M64" s="81">
        <f>SUMIF('2.생활용수(채운)'!$C$5:$C$63,$C64,'2.생활용수(채운)'!$Q$5:$Q$63)</f>
        <v>0</v>
      </c>
      <c r="N64" s="81">
        <f>SUMIF('2.생활용수(강경)'!$C$5:$C$60,$C64,'2.생활용수(강경)'!$Q$5:$Q$60)</f>
        <v>0</v>
      </c>
      <c r="O64" s="81"/>
    </row>
    <row r="65" spans="1:15" ht="20.100000000000001" customHeight="1">
      <c r="A65" s="442" t="s">
        <v>700</v>
      </c>
      <c r="B65" s="442" t="s">
        <v>832</v>
      </c>
      <c r="C65" s="443" t="s">
        <v>1366</v>
      </c>
      <c r="D65" s="81">
        <f t="shared" si="1"/>
        <v>9</v>
      </c>
      <c r="E65" s="81">
        <f>SUMIF('2.생활용수(광석)'!$C$5:$C$56,C65,'2.생활용수(광석)'!$Q$5:$Q$56)</f>
        <v>0</v>
      </c>
      <c r="F65" s="81">
        <f>SUMIF('2.생활용수(성동)'!$C$5:$C$60,$C65,'2.생활용수(성동)'!$Q$5:$Q$60)</f>
        <v>0</v>
      </c>
      <c r="G65" s="81">
        <f>SUMIF('2.생활용수(봉화)'!$C$5:$C$18,$C65,'2.생활용수(봉화)'!$Q$5:$Q$18)</f>
        <v>0</v>
      </c>
      <c r="H65" s="81">
        <f>SUMIF('2.생활용수(논산)'!$C$5:$C$28,$C65,'2.생활용수(논산)'!$Q$5:$Q$28)</f>
        <v>0</v>
      </c>
      <c r="I65" s="81">
        <f>SUMIF('2.생활용수(연무)'!$C$5:$C$123,$C65,'2.생활용수(연무)'!$Q$5:$Q$123)</f>
        <v>0</v>
      </c>
      <c r="J65" s="81">
        <f>SUMIF('2.생활용수(마산)'!$C$5:$C$115,$C65,'2.생활용수(마산)'!$Q$5:$Q$115)</f>
        <v>9</v>
      </c>
      <c r="K65" s="81">
        <f>SUMIF('2.생활용수(부적)'!$C$5:$C$75,$C65,'2.생활용수(부적)'!$Q$5:$Q$75)</f>
        <v>0</v>
      </c>
      <c r="L65" s="81">
        <f>SUMIF('2.생활용수(연산)'!$C$5:$C$220,$C65,'2.생활용수(연산)'!$Q$5:$Q$220)</f>
        <v>0</v>
      </c>
      <c r="M65" s="81">
        <f>SUMIF('2.생활용수(채운)'!$C$5:$C$63,$C65,'2.생활용수(채운)'!$Q$5:$Q$63)</f>
        <v>0</v>
      </c>
      <c r="N65" s="81">
        <f>SUMIF('2.생활용수(강경)'!$C$5:$C$60,$C65,'2.생활용수(강경)'!$Q$5:$Q$60)</f>
        <v>0</v>
      </c>
      <c r="O65" s="81"/>
    </row>
    <row r="66" spans="1:15" ht="20.100000000000001" customHeight="1">
      <c r="A66" s="442" t="s">
        <v>700</v>
      </c>
      <c r="B66" s="442" t="s">
        <v>832</v>
      </c>
      <c r="C66" s="443" t="s">
        <v>1367</v>
      </c>
      <c r="D66" s="81">
        <f t="shared" si="1"/>
        <v>15</v>
      </c>
      <c r="E66" s="81">
        <f>SUMIF('2.생활용수(광석)'!$C$5:$C$56,C66,'2.생활용수(광석)'!$Q$5:$Q$56)</f>
        <v>0</v>
      </c>
      <c r="F66" s="81">
        <f>SUMIF('2.생활용수(성동)'!$C$5:$C$60,$C66,'2.생활용수(성동)'!$Q$5:$Q$60)</f>
        <v>0</v>
      </c>
      <c r="G66" s="81">
        <f>SUMIF('2.생활용수(봉화)'!$C$5:$C$18,$C66,'2.생활용수(봉화)'!$Q$5:$Q$18)</f>
        <v>0</v>
      </c>
      <c r="H66" s="81">
        <f>SUMIF('2.생활용수(논산)'!$C$5:$C$28,$C66,'2.생활용수(논산)'!$Q$5:$Q$28)</f>
        <v>0</v>
      </c>
      <c r="I66" s="81">
        <f>SUMIF('2.생활용수(연무)'!$C$5:$C$123,$C66,'2.생활용수(연무)'!$Q$5:$Q$123)</f>
        <v>0</v>
      </c>
      <c r="J66" s="81">
        <f>SUMIF('2.생활용수(마산)'!$C$5:$C$115,$C66,'2.생활용수(마산)'!$Q$5:$Q$115)</f>
        <v>15</v>
      </c>
      <c r="K66" s="81">
        <f>SUMIF('2.생활용수(부적)'!$C$5:$C$75,$C66,'2.생활용수(부적)'!$Q$5:$Q$75)</f>
        <v>0</v>
      </c>
      <c r="L66" s="81">
        <f>SUMIF('2.생활용수(연산)'!$C$5:$C$220,$C66,'2.생활용수(연산)'!$Q$5:$Q$220)</f>
        <v>0</v>
      </c>
      <c r="M66" s="81">
        <f>SUMIF('2.생활용수(채운)'!$C$5:$C$63,$C66,'2.생활용수(채운)'!$Q$5:$Q$63)</f>
        <v>0</v>
      </c>
      <c r="N66" s="81">
        <f>SUMIF('2.생활용수(강경)'!$C$5:$C$60,$C66,'2.생활용수(강경)'!$Q$5:$Q$60)</f>
        <v>0</v>
      </c>
      <c r="O66" s="81"/>
    </row>
    <row r="67" spans="1:15" ht="20.100000000000001" customHeight="1">
      <c r="A67" s="442" t="s">
        <v>700</v>
      </c>
      <c r="B67" s="442" t="s">
        <v>832</v>
      </c>
      <c r="C67" s="443" t="s">
        <v>1368</v>
      </c>
      <c r="D67" s="81">
        <f t="shared" si="1"/>
        <v>38</v>
      </c>
      <c r="E67" s="81">
        <f>SUMIF('2.생활용수(광석)'!$C$5:$C$56,C67,'2.생활용수(광석)'!$Q$5:$Q$56)</f>
        <v>0</v>
      </c>
      <c r="F67" s="81">
        <f>SUMIF('2.생활용수(성동)'!$C$5:$C$60,$C67,'2.생활용수(성동)'!$Q$5:$Q$60)</f>
        <v>0</v>
      </c>
      <c r="G67" s="81">
        <f>SUMIF('2.생활용수(봉화)'!$C$5:$C$18,$C67,'2.생활용수(봉화)'!$Q$5:$Q$18)</f>
        <v>0</v>
      </c>
      <c r="H67" s="81">
        <f>SUMIF('2.생활용수(논산)'!$C$5:$C$28,$C67,'2.생활용수(논산)'!$Q$5:$Q$28)</f>
        <v>0</v>
      </c>
      <c r="I67" s="81">
        <f>SUMIF('2.생활용수(연무)'!$C$5:$C$123,$C67,'2.생활용수(연무)'!$Q$5:$Q$123)</f>
        <v>0</v>
      </c>
      <c r="J67" s="81">
        <f>SUMIF('2.생활용수(마산)'!$C$5:$C$115,$C67,'2.생활용수(마산)'!$Q$5:$Q$115)</f>
        <v>38</v>
      </c>
      <c r="K67" s="81">
        <f>SUMIF('2.생활용수(부적)'!$C$5:$C$75,$C67,'2.생활용수(부적)'!$Q$5:$Q$75)</f>
        <v>0</v>
      </c>
      <c r="L67" s="81">
        <f>SUMIF('2.생활용수(연산)'!$C$5:$C$220,$C67,'2.생활용수(연산)'!$Q$5:$Q$220)</f>
        <v>0</v>
      </c>
      <c r="M67" s="81">
        <f>SUMIF('2.생활용수(채운)'!$C$5:$C$63,$C67,'2.생활용수(채운)'!$Q$5:$Q$63)</f>
        <v>0</v>
      </c>
      <c r="N67" s="81">
        <f>SUMIF('2.생활용수(강경)'!$C$5:$C$60,$C67,'2.생활용수(강경)'!$Q$5:$Q$60)</f>
        <v>0</v>
      </c>
      <c r="O67" s="81"/>
    </row>
    <row r="68" spans="1:15" ht="20.100000000000001" customHeight="1">
      <c r="A68" s="442" t="s">
        <v>700</v>
      </c>
      <c r="B68" s="442" t="s">
        <v>833</v>
      </c>
      <c r="C68" s="443" t="s">
        <v>1959</v>
      </c>
      <c r="D68" s="81">
        <f t="shared" si="1"/>
        <v>0</v>
      </c>
      <c r="E68" s="81">
        <f>SUMIF('2.생활용수(광석)'!$C$5:$C$56,C68,'2.생활용수(광석)'!$Q$5:$Q$56)</f>
        <v>0</v>
      </c>
      <c r="F68" s="81">
        <f>SUMIF('2.생활용수(성동)'!$C$5:$C$60,$C68,'2.생활용수(성동)'!$Q$5:$Q$60)</f>
        <v>0</v>
      </c>
      <c r="G68" s="81">
        <f>SUMIF('2.생활용수(봉화)'!$C$5:$C$18,$C68,'2.생활용수(봉화)'!$Q$5:$Q$18)</f>
        <v>0</v>
      </c>
      <c r="H68" s="81">
        <f>SUMIF('2.생활용수(논산)'!$C$5:$C$28,$C68,'2.생활용수(논산)'!$Q$5:$Q$28)</f>
        <v>0</v>
      </c>
      <c r="I68" s="81">
        <f>SUMIF('2.생활용수(연무)'!$C$5:$C$123,$C68,'2.생활용수(연무)'!$Q$5:$Q$123)</f>
        <v>0</v>
      </c>
      <c r="J68" s="81">
        <f>SUMIF('2.생활용수(마산)'!$C$5:$C$115,$C68,'2.생활용수(마산)'!$Q$5:$Q$115)</f>
        <v>0</v>
      </c>
      <c r="K68" s="81">
        <f>SUMIF('2.생활용수(부적)'!$C$5:$C$75,$C68,'2.생활용수(부적)'!$Q$5:$Q$75)</f>
        <v>0</v>
      </c>
      <c r="L68" s="81">
        <f>SUMIF('2.생활용수(연산)'!$C$5:$C$220,$C68,'2.생활용수(연산)'!$Q$5:$Q$220)</f>
        <v>0</v>
      </c>
      <c r="M68" s="81">
        <f>SUMIF('2.생활용수(채운)'!$C$5:$C$63,$C68,'2.생활용수(채운)'!$Q$5:$Q$63)</f>
        <v>0</v>
      </c>
      <c r="N68" s="81">
        <f>SUMIF('2.생활용수(강경)'!$C$5:$C$60,$C68,'2.생활용수(강경)'!$Q$5:$Q$60)</f>
        <v>0</v>
      </c>
      <c r="O68" s="81"/>
    </row>
    <row r="69" spans="1:15" ht="20.100000000000001" customHeight="1">
      <c r="A69" s="442" t="s">
        <v>700</v>
      </c>
      <c r="B69" s="442" t="s">
        <v>833</v>
      </c>
      <c r="C69" s="443" t="s">
        <v>1353</v>
      </c>
      <c r="D69" s="81">
        <f t="shared" ref="D69:D132" si="2">SUM(E69:O69)</f>
        <v>30</v>
      </c>
      <c r="E69" s="81">
        <f>SUMIF('2.생활용수(광석)'!$C$5:$C$56,C69,'2.생활용수(광석)'!$Q$5:$Q$56)</f>
        <v>0</v>
      </c>
      <c r="F69" s="81">
        <f>SUMIF('2.생활용수(성동)'!$C$5:$C$60,$C69,'2.생활용수(성동)'!$Q$5:$Q$60)</f>
        <v>0</v>
      </c>
      <c r="G69" s="81">
        <f>SUMIF('2.생활용수(봉화)'!$C$5:$C$18,$C69,'2.생활용수(봉화)'!$Q$5:$Q$18)</f>
        <v>0</v>
      </c>
      <c r="H69" s="81">
        <f>SUMIF('2.생활용수(논산)'!$C$5:$C$28,$C69,'2.생활용수(논산)'!$Q$5:$Q$28)</f>
        <v>0</v>
      </c>
      <c r="I69" s="81">
        <f>SUMIF('2.생활용수(연무)'!$C$5:$C$123,$C69,'2.생활용수(연무)'!$Q$5:$Q$123)</f>
        <v>0</v>
      </c>
      <c r="J69" s="81">
        <f>SUMIF('2.생활용수(마산)'!$C$5:$C$115,$C69,'2.생활용수(마산)'!$Q$5:$Q$115)</f>
        <v>30</v>
      </c>
      <c r="K69" s="81">
        <f>SUMIF('2.생활용수(부적)'!$C$5:$C$75,$C69,'2.생활용수(부적)'!$Q$5:$Q$75)</f>
        <v>0</v>
      </c>
      <c r="L69" s="81">
        <f>SUMIF('2.생활용수(연산)'!$C$5:$C$220,$C69,'2.생활용수(연산)'!$Q$5:$Q$220)</f>
        <v>0</v>
      </c>
      <c r="M69" s="81">
        <f>SUMIF('2.생활용수(채운)'!$C$5:$C$63,$C69,'2.생활용수(채운)'!$Q$5:$Q$63)</f>
        <v>0</v>
      </c>
      <c r="N69" s="81">
        <f>SUMIF('2.생활용수(강경)'!$C$5:$C$60,$C69,'2.생활용수(강경)'!$Q$5:$Q$60)</f>
        <v>0</v>
      </c>
      <c r="O69" s="81"/>
    </row>
    <row r="70" spans="1:15" ht="20.100000000000001" customHeight="1">
      <c r="A70" s="442" t="s">
        <v>700</v>
      </c>
      <c r="B70" s="442" t="s">
        <v>833</v>
      </c>
      <c r="C70" s="443" t="s">
        <v>1354</v>
      </c>
      <c r="D70" s="81">
        <f t="shared" si="2"/>
        <v>62</v>
      </c>
      <c r="E70" s="81">
        <f>SUMIF('2.생활용수(광석)'!$C$5:$C$56,C70,'2.생활용수(광석)'!$Q$5:$Q$56)</f>
        <v>0</v>
      </c>
      <c r="F70" s="81">
        <f>SUMIF('2.생활용수(성동)'!$C$5:$C$60,$C70,'2.생활용수(성동)'!$Q$5:$Q$60)</f>
        <v>0</v>
      </c>
      <c r="G70" s="81">
        <f>SUMIF('2.생활용수(봉화)'!$C$5:$C$18,$C70,'2.생활용수(봉화)'!$Q$5:$Q$18)</f>
        <v>0</v>
      </c>
      <c r="H70" s="81">
        <f>SUMIF('2.생활용수(논산)'!$C$5:$C$28,$C70,'2.생활용수(논산)'!$Q$5:$Q$28)</f>
        <v>0</v>
      </c>
      <c r="I70" s="81">
        <f>SUMIF('2.생활용수(연무)'!$C$5:$C$123,$C70,'2.생활용수(연무)'!$Q$5:$Q$123)</f>
        <v>0</v>
      </c>
      <c r="J70" s="81">
        <f>SUMIF('2.생활용수(마산)'!$C$5:$C$115,$C70,'2.생활용수(마산)'!$Q$5:$Q$115)</f>
        <v>62</v>
      </c>
      <c r="K70" s="81">
        <f>SUMIF('2.생활용수(부적)'!$C$5:$C$75,$C70,'2.생활용수(부적)'!$Q$5:$Q$75)</f>
        <v>0</v>
      </c>
      <c r="L70" s="81">
        <f>SUMIF('2.생활용수(연산)'!$C$5:$C$220,$C70,'2.생활용수(연산)'!$Q$5:$Q$220)</f>
        <v>0</v>
      </c>
      <c r="M70" s="81">
        <f>SUMIF('2.생활용수(채운)'!$C$5:$C$63,$C70,'2.생활용수(채운)'!$Q$5:$Q$63)</f>
        <v>0</v>
      </c>
      <c r="N70" s="81">
        <f>SUMIF('2.생활용수(강경)'!$C$5:$C$60,$C70,'2.생활용수(강경)'!$Q$5:$Q$60)</f>
        <v>0</v>
      </c>
      <c r="O70" s="81"/>
    </row>
    <row r="71" spans="1:15" ht="20.100000000000001" customHeight="1">
      <c r="A71" s="442" t="s">
        <v>700</v>
      </c>
      <c r="B71" s="442" t="s">
        <v>833</v>
      </c>
      <c r="C71" s="443" t="s">
        <v>1355</v>
      </c>
      <c r="D71" s="81">
        <f t="shared" si="2"/>
        <v>25</v>
      </c>
      <c r="E71" s="81">
        <f>SUMIF('2.생활용수(광석)'!$C$5:$C$56,C71,'2.생활용수(광석)'!$Q$5:$Q$56)</f>
        <v>0</v>
      </c>
      <c r="F71" s="81">
        <f>SUMIF('2.생활용수(성동)'!$C$5:$C$60,$C71,'2.생활용수(성동)'!$Q$5:$Q$60)</f>
        <v>0</v>
      </c>
      <c r="G71" s="81">
        <f>SUMIF('2.생활용수(봉화)'!$C$5:$C$18,$C71,'2.생활용수(봉화)'!$Q$5:$Q$18)</f>
        <v>0</v>
      </c>
      <c r="H71" s="81">
        <f>SUMIF('2.생활용수(논산)'!$C$5:$C$28,$C71,'2.생활용수(논산)'!$Q$5:$Q$28)</f>
        <v>0</v>
      </c>
      <c r="I71" s="81">
        <f>SUMIF('2.생활용수(연무)'!$C$5:$C$123,$C71,'2.생활용수(연무)'!$Q$5:$Q$123)</f>
        <v>0</v>
      </c>
      <c r="J71" s="81">
        <f>SUMIF('2.생활용수(마산)'!$C$5:$C$115,$C71,'2.생활용수(마산)'!$Q$5:$Q$115)</f>
        <v>25</v>
      </c>
      <c r="K71" s="81">
        <f>SUMIF('2.생활용수(부적)'!$C$5:$C$75,$C71,'2.생활용수(부적)'!$Q$5:$Q$75)</f>
        <v>0</v>
      </c>
      <c r="L71" s="81">
        <f>SUMIF('2.생활용수(연산)'!$C$5:$C$220,$C71,'2.생활용수(연산)'!$Q$5:$Q$220)</f>
        <v>0</v>
      </c>
      <c r="M71" s="81">
        <f>SUMIF('2.생활용수(채운)'!$C$5:$C$63,$C71,'2.생활용수(채운)'!$Q$5:$Q$63)</f>
        <v>0</v>
      </c>
      <c r="N71" s="81">
        <f>SUMIF('2.생활용수(강경)'!$C$5:$C$60,$C71,'2.생활용수(강경)'!$Q$5:$Q$60)</f>
        <v>0</v>
      </c>
      <c r="O71" s="81"/>
    </row>
    <row r="72" spans="1:15" ht="20.100000000000001" customHeight="1">
      <c r="A72" s="442" t="s">
        <v>700</v>
      </c>
      <c r="B72" s="442" t="s">
        <v>834</v>
      </c>
      <c r="C72" s="443" t="s">
        <v>1960</v>
      </c>
      <c r="D72" s="81">
        <f t="shared" si="2"/>
        <v>262</v>
      </c>
      <c r="E72" s="81">
        <f>SUMIF('2.생활용수(광석)'!$C$5:$C$56,C72,'2.생활용수(광석)'!$Q$5:$Q$56)</f>
        <v>0</v>
      </c>
      <c r="F72" s="81">
        <f>SUMIF('2.생활용수(성동)'!$C$5:$C$60,$C72,'2.생활용수(성동)'!$Q$5:$Q$60)</f>
        <v>0</v>
      </c>
      <c r="G72" s="81">
        <f>SUMIF('2.생활용수(봉화)'!$C$5:$C$18,$C72,'2.생활용수(봉화)'!$Q$5:$Q$18)</f>
        <v>0</v>
      </c>
      <c r="H72" s="81">
        <f>SUMIF('2.생활용수(논산)'!$C$5:$C$28,$C72,'2.생활용수(논산)'!$Q$5:$Q$28)</f>
        <v>0</v>
      </c>
      <c r="I72" s="81">
        <f>SUMIF('2.생활용수(연무)'!$C$5:$C$123,$C72,'2.생활용수(연무)'!$Q$5:$Q$123)</f>
        <v>0</v>
      </c>
      <c r="J72" s="81">
        <f>SUMIF('2.생활용수(마산)'!$C$5:$C$115,$C72,'2.생활용수(마산)'!$Q$5:$Q$115)</f>
        <v>262</v>
      </c>
      <c r="K72" s="81">
        <f>SUMIF('2.생활용수(부적)'!$C$5:$C$75,$C72,'2.생활용수(부적)'!$Q$5:$Q$75)</f>
        <v>0</v>
      </c>
      <c r="L72" s="81">
        <f>SUMIF('2.생활용수(연산)'!$C$5:$C$220,$C72,'2.생활용수(연산)'!$Q$5:$Q$220)</f>
        <v>0</v>
      </c>
      <c r="M72" s="81">
        <f>SUMIF('2.생활용수(채운)'!$C$5:$C$63,$C72,'2.생활용수(채운)'!$Q$5:$Q$63)</f>
        <v>0</v>
      </c>
      <c r="N72" s="81">
        <f>SUMIF('2.생활용수(강경)'!$C$5:$C$60,$C72,'2.생활용수(강경)'!$Q$5:$Q$60)</f>
        <v>0</v>
      </c>
      <c r="O72" s="81"/>
    </row>
    <row r="73" spans="1:15" ht="20.100000000000001" customHeight="1">
      <c r="A73" s="442" t="s">
        <v>700</v>
      </c>
      <c r="B73" s="442" t="s">
        <v>834</v>
      </c>
      <c r="C73" s="443" t="s">
        <v>1333</v>
      </c>
      <c r="D73" s="81">
        <f t="shared" si="2"/>
        <v>152</v>
      </c>
      <c r="E73" s="81">
        <f>SUMIF('2.생활용수(광석)'!$C$5:$C$56,C73,'2.생활용수(광석)'!$Q$5:$Q$56)</f>
        <v>0</v>
      </c>
      <c r="F73" s="81">
        <f>SUMIF('2.생활용수(성동)'!$C$5:$C$60,$C73,'2.생활용수(성동)'!$Q$5:$Q$60)</f>
        <v>0</v>
      </c>
      <c r="G73" s="81">
        <f>SUMIF('2.생활용수(봉화)'!$C$5:$C$18,$C73,'2.생활용수(봉화)'!$Q$5:$Q$18)</f>
        <v>0</v>
      </c>
      <c r="H73" s="81">
        <f>SUMIF('2.생활용수(논산)'!$C$5:$C$28,$C73,'2.생활용수(논산)'!$Q$5:$Q$28)</f>
        <v>0</v>
      </c>
      <c r="I73" s="81">
        <f>SUMIF('2.생활용수(연무)'!$C$5:$C$123,$C73,'2.생활용수(연무)'!$Q$5:$Q$123)</f>
        <v>0</v>
      </c>
      <c r="J73" s="81">
        <f>SUMIF('2.생활용수(마산)'!$C$5:$C$115,$C73,'2.생활용수(마산)'!$Q$5:$Q$115)</f>
        <v>152</v>
      </c>
      <c r="K73" s="81">
        <f>SUMIF('2.생활용수(부적)'!$C$5:$C$75,$C73,'2.생활용수(부적)'!$Q$5:$Q$75)</f>
        <v>0</v>
      </c>
      <c r="L73" s="81">
        <f>SUMIF('2.생활용수(연산)'!$C$5:$C$220,$C73,'2.생활용수(연산)'!$Q$5:$Q$220)</f>
        <v>0</v>
      </c>
      <c r="M73" s="81">
        <f>SUMIF('2.생활용수(채운)'!$C$5:$C$63,$C73,'2.생활용수(채운)'!$Q$5:$Q$63)</f>
        <v>0</v>
      </c>
      <c r="N73" s="81">
        <f>SUMIF('2.생활용수(강경)'!$C$5:$C$60,$C73,'2.생활용수(강경)'!$Q$5:$Q$60)</f>
        <v>0</v>
      </c>
      <c r="O73" s="81"/>
    </row>
    <row r="74" spans="1:15" ht="20.100000000000001" customHeight="1">
      <c r="A74" s="442" t="s">
        <v>700</v>
      </c>
      <c r="B74" s="442" t="s">
        <v>834</v>
      </c>
      <c r="C74" s="443" t="s">
        <v>1334</v>
      </c>
      <c r="D74" s="81">
        <f t="shared" si="2"/>
        <v>48</v>
      </c>
      <c r="E74" s="81">
        <f>SUMIF('2.생활용수(광석)'!$C$5:$C$56,C74,'2.생활용수(광석)'!$Q$5:$Q$56)</f>
        <v>0</v>
      </c>
      <c r="F74" s="81">
        <f>SUMIF('2.생활용수(성동)'!$C$5:$C$60,$C74,'2.생활용수(성동)'!$Q$5:$Q$60)</f>
        <v>0</v>
      </c>
      <c r="G74" s="81">
        <f>SUMIF('2.생활용수(봉화)'!$C$5:$C$18,$C74,'2.생활용수(봉화)'!$Q$5:$Q$18)</f>
        <v>0</v>
      </c>
      <c r="H74" s="81">
        <f>SUMIF('2.생활용수(논산)'!$C$5:$C$28,$C74,'2.생활용수(논산)'!$Q$5:$Q$28)</f>
        <v>0</v>
      </c>
      <c r="I74" s="81">
        <f>SUMIF('2.생활용수(연무)'!$C$5:$C$123,$C74,'2.생활용수(연무)'!$Q$5:$Q$123)</f>
        <v>0</v>
      </c>
      <c r="J74" s="81">
        <f>SUMIF('2.생활용수(마산)'!$C$5:$C$115,$C74,'2.생활용수(마산)'!$Q$5:$Q$115)</f>
        <v>48</v>
      </c>
      <c r="K74" s="81">
        <f>SUMIF('2.생활용수(부적)'!$C$5:$C$75,$C74,'2.생활용수(부적)'!$Q$5:$Q$75)</f>
        <v>0</v>
      </c>
      <c r="L74" s="81">
        <f>SUMIF('2.생활용수(연산)'!$C$5:$C$220,$C74,'2.생활용수(연산)'!$Q$5:$Q$220)</f>
        <v>0</v>
      </c>
      <c r="M74" s="81">
        <f>SUMIF('2.생활용수(채운)'!$C$5:$C$63,$C74,'2.생활용수(채운)'!$Q$5:$Q$63)</f>
        <v>0</v>
      </c>
      <c r="N74" s="81">
        <f>SUMIF('2.생활용수(강경)'!$C$5:$C$60,$C74,'2.생활용수(강경)'!$Q$5:$Q$60)</f>
        <v>0</v>
      </c>
      <c r="O74" s="81"/>
    </row>
    <row r="75" spans="1:15" ht="20.100000000000001" customHeight="1">
      <c r="A75" s="442" t="s">
        <v>700</v>
      </c>
      <c r="B75" s="442" t="s">
        <v>834</v>
      </c>
      <c r="C75" s="443" t="s">
        <v>1335</v>
      </c>
      <c r="D75" s="81">
        <f t="shared" si="2"/>
        <v>84</v>
      </c>
      <c r="E75" s="81">
        <f>SUMIF('2.생활용수(광석)'!$C$5:$C$56,C75,'2.생활용수(광석)'!$Q$5:$Q$56)</f>
        <v>0</v>
      </c>
      <c r="F75" s="81">
        <f>SUMIF('2.생활용수(성동)'!$C$5:$C$60,$C75,'2.생활용수(성동)'!$Q$5:$Q$60)</f>
        <v>0</v>
      </c>
      <c r="G75" s="81">
        <f>SUMIF('2.생활용수(봉화)'!$C$5:$C$18,$C75,'2.생활용수(봉화)'!$Q$5:$Q$18)</f>
        <v>0</v>
      </c>
      <c r="H75" s="81">
        <f>SUMIF('2.생활용수(논산)'!$C$5:$C$28,$C75,'2.생활용수(논산)'!$Q$5:$Q$28)</f>
        <v>0</v>
      </c>
      <c r="I75" s="81">
        <f>SUMIF('2.생활용수(연무)'!$C$5:$C$123,$C75,'2.생활용수(연무)'!$Q$5:$Q$123)</f>
        <v>0</v>
      </c>
      <c r="J75" s="81">
        <f>SUMIF('2.생활용수(마산)'!$C$5:$C$115,$C75,'2.생활용수(마산)'!$Q$5:$Q$115)</f>
        <v>84</v>
      </c>
      <c r="K75" s="81">
        <f>SUMIF('2.생활용수(부적)'!$C$5:$C$75,$C75,'2.생활용수(부적)'!$Q$5:$Q$75)</f>
        <v>0</v>
      </c>
      <c r="L75" s="81">
        <f>SUMIF('2.생활용수(연산)'!$C$5:$C$220,$C75,'2.생활용수(연산)'!$Q$5:$Q$220)</f>
        <v>0</v>
      </c>
      <c r="M75" s="81">
        <f>SUMIF('2.생활용수(채운)'!$C$5:$C$63,$C75,'2.생활용수(채운)'!$Q$5:$Q$63)</f>
        <v>0</v>
      </c>
      <c r="N75" s="81">
        <f>SUMIF('2.생활용수(강경)'!$C$5:$C$60,$C75,'2.생활용수(강경)'!$Q$5:$Q$60)</f>
        <v>0</v>
      </c>
      <c r="O75" s="81"/>
    </row>
    <row r="76" spans="1:15" ht="20.100000000000001" customHeight="1">
      <c r="A76" s="442" t="s">
        <v>700</v>
      </c>
      <c r="B76" s="442" t="s">
        <v>834</v>
      </c>
      <c r="C76" s="443" t="s">
        <v>1336</v>
      </c>
      <c r="D76" s="81">
        <f t="shared" si="2"/>
        <v>69</v>
      </c>
      <c r="E76" s="81">
        <f>SUMIF('2.생활용수(광석)'!$C$5:$C$56,C76,'2.생활용수(광석)'!$Q$5:$Q$56)</f>
        <v>0</v>
      </c>
      <c r="F76" s="81">
        <f>SUMIF('2.생활용수(성동)'!$C$5:$C$60,$C76,'2.생활용수(성동)'!$Q$5:$Q$60)</f>
        <v>0</v>
      </c>
      <c r="G76" s="81">
        <f>SUMIF('2.생활용수(봉화)'!$C$5:$C$18,$C76,'2.생활용수(봉화)'!$Q$5:$Q$18)</f>
        <v>0</v>
      </c>
      <c r="H76" s="81">
        <f>SUMIF('2.생활용수(논산)'!$C$5:$C$28,$C76,'2.생활용수(논산)'!$Q$5:$Q$28)</f>
        <v>0</v>
      </c>
      <c r="I76" s="81">
        <f>SUMIF('2.생활용수(연무)'!$C$5:$C$123,$C76,'2.생활용수(연무)'!$Q$5:$Q$123)</f>
        <v>0</v>
      </c>
      <c r="J76" s="81">
        <f>SUMIF('2.생활용수(마산)'!$C$5:$C$115,$C76,'2.생활용수(마산)'!$Q$5:$Q$115)</f>
        <v>69</v>
      </c>
      <c r="K76" s="81">
        <f>SUMIF('2.생활용수(부적)'!$C$5:$C$75,$C76,'2.생활용수(부적)'!$Q$5:$Q$75)</f>
        <v>0</v>
      </c>
      <c r="L76" s="81">
        <f>SUMIF('2.생활용수(연산)'!$C$5:$C$220,$C76,'2.생활용수(연산)'!$Q$5:$Q$220)</f>
        <v>0</v>
      </c>
      <c r="M76" s="81">
        <f>SUMIF('2.생활용수(채운)'!$C$5:$C$63,$C76,'2.생활용수(채운)'!$Q$5:$Q$63)</f>
        <v>0</v>
      </c>
      <c r="N76" s="81">
        <f>SUMIF('2.생활용수(강경)'!$C$5:$C$60,$C76,'2.생활용수(강경)'!$Q$5:$Q$60)</f>
        <v>0</v>
      </c>
      <c r="O76" s="81"/>
    </row>
    <row r="77" spans="1:15" ht="20.100000000000001" customHeight="1">
      <c r="A77" s="442" t="s">
        <v>700</v>
      </c>
      <c r="B77" s="442" t="s">
        <v>834</v>
      </c>
      <c r="C77" s="443" t="s">
        <v>1337</v>
      </c>
      <c r="D77" s="81">
        <f t="shared" si="2"/>
        <v>51</v>
      </c>
      <c r="E77" s="81">
        <f>SUMIF('2.생활용수(광석)'!$C$5:$C$56,C77,'2.생활용수(광석)'!$Q$5:$Q$56)</f>
        <v>0</v>
      </c>
      <c r="F77" s="81">
        <f>SUMIF('2.생활용수(성동)'!$C$5:$C$60,$C77,'2.생활용수(성동)'!$Q$5:$Q$60)</f>
        <v>0</v>
      </c>
      <c r="G77" s="81">
        <f>SUMIF('2.생활용수(봉화)'!$C$5:$C$18,$C77,'2.생활용수(봉화)'!$Q$5:$Q$18)</f>
        <v>0</v>
      </c>
      <c r="H77" s="81">
        <f>SUMIF('2.생활용수(논산)'!$C$5:$C$28,$C77,'2.생활용수(논산)'!$Q$5:$Q$28)</f>
        <v>0</v>
      </c>
      <c r="I77" s="81">
        <f>SUMIF('2.생활용수(연무)'!$C$5:$C$123,$C77,'2.생활용수(연무)'!$Q$5:$Q$123)</f>
        <v>0</v>
      </c>
      <c r="J77" s="81">
        <f>SUMIF('2.생활용수(마산)'!$C$5:$C$115,$C77,'2.생활용수(마산)'!$Q$5:$Q$115)</f>
        <v>51</v>
      </c>
      <c r="K77" s="81">
        <f>SUMIF('2.생활용수(부적)'!$C$5:$C$75,$C77,'2.생활용수(부적)'!$Q$5:$Q$75)</f>
        <v>0</v>
      </c>
      <c r="L77" s="81">
        <f>SUMIF('2.생활용수(연산)'!$C$5:$C$220,$C77,'2.생활용수(연산)'!$Q$5:$Q$220)</f>
        <v>0</v>
      </c>
      <c r="M77" s="81">
        <f>SUMIF('2.생활용수(채운)'!$C$5:$C$63,$C77,'2.생활용수(채운)'!$Q$5:$Q$63)</f>
        <v>0</v>
      </c>
      <c r="N77" s="81">
        <f>SUMIF('2.생활용수(강경)'!$C$5:$C$60,$C77,'2.생활용수(강경)'!$Q$5:$Q$60)</f>
        <v>0</v>
      </c>
      <c r="O77" s="81"/>
    </row>
    <row r="78" spans="1:15" ht="20.100000000000001" customHeight="1">
      <c r="A78" s="442" t="s">
        <v>700</v>
      </c>
      <c r="B78" s="442" t="s">
        <v>834</v>
      </c>
      <c r="C78" s="443" t="s">
        <v>1961</v>
      </c>
      <c r="D78" s="81">
        <f t="shared" si="2"/>
        <v>284</v>
      </c>
      <c r="E78" s="81">
        <f>SUMIF('2.생활용수(광석)'!$C$5:$C$56,C78,'2.생활용수(광석)'!$Q$5:$Q$56)</f>
        <v>0</v>
      </c>
      <c r="F78" s="81">
        <f>SUMIF('2.생활용수(성동)'!$C$5:$C$60,$C78,'2.생활용수(성동)'!$Q$5:$Q$60)</f>
        <v>0</v>
      </c>
      <c r="G78" s="81">
        <f>SUMIF('2.생활용수(봉화)'!$C$5:$C$18,$C78,'2.생활용수(봉화)'!$Q$5:$Q$18)</f>
        <v>0</v>
      </c>
      <c r="H78" s="81">
        <f>SUMIF('2.생활용수(논산)'!$C$5:$C$28,$C78,'2.생활용수(논산)'!$Q$5:$Q$28)</f>
        <v>0</v>
      </c>
      <c r="I78" s="81">
        <f>SUMIF('2.생활용수(연무)'!$C$5:$C$123,$C78,'2.생활용수(연무)'!$Q$5:$Q$123)</f>
        <v>284</v>
      </c>
      <c r="J78" s="81">
        <f>SUMIF('2.생활용수(마산)'!$C$5:$C$115,$C78,'2.생활용수(마산)'!$Q$5:$Q$115)</f>
        <v>0</v>
      </c>
      <c r="K78" s="81">
        <f>SUMIF('2.생활용수(부적)'!$C$5:$C$75,$C78,'2.생활용수(부적)'!$Q$5:$Q$75)</f>
        <v>0</v>
      </c>
      <c r="L78" s="81">
        <f>SUMIF('2.생활용수(연산)'!$C$5:$C$220,$C78,'2.생활용수(연산)'!$Q$5:$Q$220)</f>
        <v>0</v>
      </c>
      <c r="M78" s="81">
        <f>SUMIF('2.생활용수(채운)'!$C$5:$C$63,$C78,'2.생활용수(채운)'!$Q$5:$Q$63)</f>
        <v>0</v>
      </c>
      <c r="N78" s="81">
        <f>SUMIF('2.생활용수(강경)'!$C$5:$C$60,$C78,'2.생활용수(강경)'!$Q$5:$Q$60)</f>
        <v>0</v>
      </c>
      <c r="O78" s="81"/>
    </row>
    <row r="79" spans="1:15" ht="20.100000000000001" customHeight="1">
      <c r="A79" s="442" t="s">
        <v>700</v>
      </c>
      <c r="B79" s="442" t="s">
        <v>834</v>
      </c>
      <c r="C79" s="443" t="s">
        <v>1962</v>
      </c>
      <c r="D79" s="81">
        <f t="shared" si="2"/>
        <v>349</v>
      </c>
      <c r="E79" s="81">
        <f>SUMIF('2.생활용수(광석)'!$C$5:$C$56,C79,'2.생활용수(광석)'!$Q$5:$Q$56)</f>
        <v>0</v>
      </c>
      <c r="F79" s="81">
        <f>SUMIF('2.생활용수(성동)'!$C$5:$C$60,$C79,'2.생활용수(성동)'!$Q$5:$Q$60)</f>
        <v>0</v>
      </c>
      <c r="G79" s="81">
        <f>SUMIF('2.생활용수(봉화)'!$C$5:$C$18,$C79,'2.생활용수(봉화)'!$Q$5:$Q$18)</f>
        <v>0</v>
      </c>
      <c r="H79" s="81">
        <f>SUMIF('2.생활용수(논산)'!$C$5:$C$28,$C79,'2.생활용수(논산)'!$Q$5:$Q$28)</f>
        <v>0</v>
      </c>
      <c r="I79" s="81">
        <f>SUMIF('2.생활용수(연무)'!$C$5:$C$123,$C79,'2.생활용수(연무)'!$Q$5:$Q$123)</f>
        <v>349</v>
      </c>
      <c r="J79" s="81">
        <f>SUMIF('2.생활용수(마산)'!$C$5:$C$115,$C79,'2.생활용수(마산)'!$Q$5:$Q$115)</f>
        <v>0</v>
      </c>
      <c r="K79" s="81">
        <f>SUMIF('2.생활용수(부적)'!$C$5:$C$75,$C79,'2.생활용수(부적)'!$Q$5:$Q$75)</f>
        <v>0</v>
      </c>
      <c r="L79" s="81">
        <f>SUMIF('2.생활용수(연산)'!$C$5:$C$220,$C79,'2.생활용수(연산)'!$Q$5:$Q$220)</f>
        <v>0</v>
      </c>
      <c r="M79" s="81">
        <f>SUMIF('2.생활용수(채운)'!$C$5:$C$63,$C79,'2.생활용수(채운)'!$Q$5:$Q$63)</f>
        <v>0</v>
      </c>
      <c r="N79" s="81">
        <f>SUMIF('2.생활용수(강경)'!$C$5:$C$60,$C79,'2.생활용수(강경)'!$Q$5:$Q$60)</f>
        <v>0</v>
      </c>
      <c r="O79" s="81"/>
    </row>
    <row r="80" spans="1:15" ht="20.100000000000001" customHeight="1">
      <c r="A80" s="442" t="s">
        <v>700</v>
      </c>
      <c r="B80" s="442" t="s">
        <v>834</v>
      </c>
      <c r="C80" s="443" t="s">
        <v>1963</v>
      </c>
      <c r="D80" s="81">
        <f t="shared" si="2"/>
        <v>563</v>
      </c>
      <c r="E80" s="81">
        <f>SUMIF('2.생활용수(광석)'!$C$5:$C$56,C80,'2.생활용수(광석)'!$Q$5:$Q$56)</f>
        <v>0</v>
      </c>
      <c r="F80" s="81">
        <f>SUMIF('2.생활용수(성동)'!$C$5:$C$60,$C80,'2.생활용수(성동)'!$Q$5:$Q$60)</f>
        <v>0</v>
      </c>
      <c r="G80" s="81">
        <f>SUMIF('2.생활용수(봉화)'!$C$5:$C$18,$C80,'2.생활용수(봉화)'!$Q$5:$Q$18)</f>
        <v>0</v>
      </c>
      <c r="H80" s="81">
        <f>SUMIF('2.생활용수(논산)'!$C$5:$C$28,$C80,'2.생활용수(논산)'!$Q$5:$Q$28)</f>
        <v>0</v>
      </c>
      <c r="I80" s="81">
        <f>SUMIF('2.생활용수(연무)'!$C$5:$C$123,$C80,'2.생활용수(연무)'!$Q$5:$Q$123)</f>
        <v>0</v>
      </c>
      <c r="J80" s="81">
        <f>SUMIF('2.생활용수(마산)'!$C$5:$C$115,$C80,'2.생활용수(마산)'!$Q$5:$Q$115)</f>
        <v>563</v>
      </c>
      <c r="K80" s="81">
        <f>SUMIF('2.생활용수(부적)'!$C$5:$C$75,$C80,'2.생활용수(부적)'!$Q$5:$Q$75)</f>
        <v>0</v>
      </c>
      <c r="L80" s="81">
        <f>SUMIF('2.생활용수(연산)'!$C$5:$C$220,$C80,'2.생활용수(연산)'!$Q$5:$Q$220)</f>
        <v>0</v>
      </c>
      <c r="M80" s="81">
        <f>SUMIF('2.생활용수(채운)'!$C$5:$C$63,$C80,'2.생활용수(채운)'!$Q$5:$Q$63)</f>
        <v>0</v>
      </c>
      <c r="N80" s="81">
        <f>SUMIF('2.생활용수(강경)'!$C$5:$C$60,$C80,'2.생활용수(강경)'!$Q$5:$Q$60)</f>
        <v>0</v>
      </c>
      <c r="O80" s="81"/>
    </row>
    <row r="81" spans="1:15" ht="20.100000000000001" customHeight="1">
      <c r="A81" s="442" t="s">
        <v>700</v>
      </c>
      <c r="B81" s="442" t="s">
        <v>1964</v>
      </c>
      <c r="C81" s="443" t="s">
        <v>1965</v>
      </c>
      <c r="D81" s="81">
        <f t="shared" si="2"/>
        <v>38</v>
      </c>
      <c r="E81" s="81">
        <f>SUMIF('2.생활용수(광석)'!$C$5:$C$56,C81,'2.생활용수(광석)'!$Q$5:$Q$56)</f>
        <v>0</v>
      </c>
      <c r="F81" s="81">
        <f>SUMIF('2.생활용수(성동)'!$C$5:$C$60,$C81,'2.생활용수(성동)'!$Q$5:$Q$60)</f>
        <v>0</v>
      </c>
      <c r="G81" s="81">
        <f>SUMIF('2.생활용수(봉화)'!$C$5:$C$18,$C81,'2.생활용수(봉화)'!$Q$5:$Q$18)</f>
        <v>0</v>
      </c>
      <c r="H81" s="81">
        <f>SUMIF('2.생활용수(논산)'!$C$5:$C$28,$C81,'2.생활용수(논산)'!$Q$5:$Q$28)</f>
        <v>0</v>
      </c>
      <c r="I81" s="81">
        <f>SUMIF('2.생활용수(연무)'!$C$5:$C$123,$C81,'2.생활용수(연무)'!$Q$5:$Q$123)</f>
        <v>0</v>
      </c>
      <c r="J81" s="81">
        <f>SUMIF('2.생활용수(마산)'!$C$5:$C$115,$C81,'2.생활용수(마산)'!$Q$5:$Q$115)</f>
        <v>0</v>
      </c>
      <c r="K81" s="81">
        <f>SUMIF('2.생활용수(부적)'!$C$5:$C$75,$C81,'2.생활용수(부적)'!$Q$5:$Q$75)</f>
        <v>0</v>
      </c>
      <c r="L81" s="81">
        <f>SUMIF('2.생활용수(연산)'!$C$5:$C$220,$C81,'2.생활용수(연산)'!$Q$5:$Q$220)</f>
        <v>0</v>
      </c>
      <c r="M81" s="81">
        <f>SUMIF('2.생활용수(채운)'!$C$5:$C$63,$C81,'2.생활용수(채운)'!$Q$5:$Q$63)</f>
        <v>38</v>
      </c>
      <c r="N81" s="81">
        <f>SUMIF('2.생활용수(강경)'!$C$5:$C$60,$C81,'2.생활용수(강경)'!$Q$5:$Q$60)</f>
        <v>0</v>
      </c>
      <c r="O81" s="81"/>
    </row>
    <row r="82" spans="1:15" ht="20.100000000000001" customHeight="1">
      <c r="A82" s="442" t="s">
        <v>700</v>
      </c>
      <c r="B82" s="442" t="s">
        <v>1964</v>
      </c>
      <c r="C82" s="443" t="s">
        <v>1966</v>
      </c>
      <c r="D82" s="81">
        <f t="shared" si="2"/>
        <v>20</v>
      </c>
      <c r="E82" s="81">
        <f>SUMIF('2.생활용수(광석)'!$C$5:$C$56,C82,'2.생활용수(광석)'!$Q$5:$Q$56)</f>
        <v>0</v>
      </c>
      <c r="F82" s="81">
        <f>SUMIF('2.생활용수(성동)'!$C$5:$C$60,$C82,'2.생활용수(성동)'!$Q$5:$Q$60)</f>
        <v>0</v>
      </c>
      <c r="G82" s="81">
        <f>SUMIF('2.생활용수(봉화)'!$C$5:$C$18,$C82,'2.생활용수(봉화)'!$Q$5:$Q$18)</f>
        <v>0</v>
      </c>
      <c r="H82" s="81">
        <f>SUMIF('2.생활용수(논산)'!$C$5:$C$28,$C82,'2.생활용수(논산)'!$Q$5:$Q$28)</f>
        <v>0</v>
      </c>
      <c r="I82" s="81">
        <f>SUMIF('2.생활용수(연무)'!$C$5:$C$123,$C82,'2.생활용수(연무)'!$Q$5:$Q$123)</f>
        <v>0</v>
      </c>
      <c r="J82" s="81">
        <f>SUMIF('2.생활용수(마산)'!$C$5:$C$115,$C82,'2.생활용수(마산)'!$Q$5:$Q$115)</f>
        <v>0</v>
      </c>
      <c r="K82" s="81">
        <f>SUMIF('2.생활용수(부적)'!$C$5:$C$75,$C82,'2.생활용수(부적)'!$Q$5:$Q$75)</f>
        <v>0</v>
      </c>
      <c r="L82" s="81">
        <f>SUMIF('2.생활용수(연산)'!$C$5:$C$220,$C82,'2.생활용수(연산)'!$Q$5:$Q$220)</f>
        <v>0</v>
      </c>
      <c r="M82" s="81">
        <f>SUMIF('2.생활용수(채운)'!$C$5:$C$63,$C82,'2.생활용수(채운)'!$Q$5:$Q$63)</f>
        <v>20</v>
      </c>
      <c r="N82" s="81">
        <f>SUMIF('2.생활용수(강경)'!$C$5:$C$60,$C82,'2.생활용수(강경)'!$Q$5:$Q$60)</f>
        <v>0</v>
      </c>
      <c r="O82" s="81"/>
    </row>
    <row r="83" spans="1:15" ht="20.100000000000001" customHeight="1">
      <c r="A83" s="442" t="s">
        <v>700</v>
      </c>
      <c r="B83" s="442" t="s">
        <v>1964</v>
      </c>
      <c r="C83" s="443" t="s">
        <v>1493</v>
      </c>
      <c r="D83" s="81">
        <f t="shared" si="2"/>
        <v>17</v>
      </c>
      <c r="E83" s="81">
        <f>SUMIF('2.생활용수(광석)'!$C$5:$C$56,C83,'2.생활용수(광석)'!$Q$5:$Q$56)</f>
        <v>0</v>
      </c>
      <c r="F83" s="81">
        <f>SUMIF('2.생활용수(성동)'!$C$5:$C$60,$C83,'2.생활용수(성동)'!$Q$5:$Q$60)</f>
        <v>0</v>
      </c>
      <c r="G83" s="81">
        <f>SUMIF('2.생활용수(봉화)'!$C$5:$C$18,$C83,'2.생활용수(봉화)'!$Q$5:$Q$18)</f>
        <v>0</v>
      </c>
      <c r="H83" s="81">
        <f>SUMIF('2.생활용수(논산)'!$C$5:$C$28,$C83,'2.생활용수(논산)'!$Q$5:$Q$28)</f>
        <v>0</v>
      </c>
      <c r="I83" s="81">
        <f>SUMIF('2.생활용수(연무)'!$C$5:$C$123,$C83,'2.생활용수(연무)'!$Q$5:$Q$123)</f>
        <v>0</v>
      </c>
      <c r="J83" s="81">
        <f>SUMIF('2.생활용수(마산)'!$C$5:$C$115,$C83,'2.생활용수(마산)'!$Q$5:$Q$115)</f>
        <v>0</v>
      </c>
      <c r="K83" s="81">
        <f>SUMIF('2.생활용수(부적)'!$C$5:$C$75,$C83,'2.생활용수(부적)'!$Q$5:$Q$75)</f>
        <v>0</v>
      </c>
      <c r="L83" s="81">
        <f>SUMIF('2.생활용수(연산)'!$C$5:$C$220,$C83,'2.생활용수(연산)'!$Q$5:$Q$220)</f>
        <v>0</v>
      </c>
      <c r="M83" s="81">
        <f>SUMIF('2.생활용수(채운)'!$C$5:$C$63,$C83,'2.생활용수(채운)'!$Q$5:$Q$63)</f>
        <v>17</v>
      </c>
      <c r="N83" s="81">
        <f>SUMIF('2.생활용수(강경)'!$C$5:$C$60,$C83,'2.생활용수(강경)'!$Q$5:$Q$60)</f>
        <v>0</v>
      </c>
      <c r="O83" s="81"/>
    </row>
    <row r="84" spans="1:15" ht="20.100000000000001" customHeight="1">
      <c r="A84" s="442" t="s">
        <v>700</v>
      </c>
      <c r="B84" s="442" t="s">
        <v>835</v>
      </c>
      <c r="C84" s="443" t="s">
        <v>1967</v>
      </c>
      <c r="D84" s="81">
        <f t="shared" si="2"/>
        <v>26</v>
      </c>
      <c r="E84" s="81">
        <f>SUMIF('2.생활용수(광석)'!$C$5:$C$56,C84,'2.생활용수(광석)'!$Q$5:$Q$56)</f>
        <v>0</v>
      </c>
      <c r="F84" s="81">
        <f>SUMIF('2.생활용수(성동)'!$C$5:$C$60,$C84,'2.생활용수(성동)'!$Q$5:$Q$60)</f>
        <v>0</v>
      </c>
      <c r="G84" s="81">
        <f>SUMIF('2.생활용수(봉화)'!$C$5:$C$18,$C84,'2.생활용수(봉화)'!$Q$5:$Q$18)</f>
        <v>0</v>
      </c>
      <c r="H84" s="81">
        <f>SUMIF('2.생활용수(논산)'!$C$5:$C$28,$C84,'2.생활용수(논산)'!$Q$5:$Q$28)</f>
        <v>0</v>
      </c>
      <c r="I84" s="81">
        <f>SUMIF('2.생활용수(연무)'!$C$5:$C$123,$C84,'2.생활용수(연무)'!$Q$5:$Q$123)</f>
        <v>0</v>
      </c>
      <c r="J84" s="81">
        <f>SUMIF('2.생활용수(마산)'!$C$5:$C$115,$C84,'2.생활용수(마산)'!$Q$5:$Q$115)</f>
        <v>26</v>
      </c>
      <c r="K84" s="81">
        <f>SUMIF('2.생활용수(부적)'!$C$5:$C$75,$C84,'2.생활용수(부적)'!$Q$5:$Q$75)</f>
        <v>0</v>
      </c>
      <c r="L84" s="81">
        <f>SUMIF('2.생활용수(연산)'!$C$5:$C$220,$C84,'2.생활용수(연산)'!$Q$5:$Q$220)</f>
        <v>0</v>
      </c>
      <c r="M84" s="81">
        <f>SUMIF('2.생활용수(채운)'!$C$5:$C$63,$C84,'2.생활용수(채운)'!$Q$5:$Q$63)</f>
        <v>0</v>
      </c>
      <c r="N84" s="81">
        <f>SUMIF('2.생활용수(강경)'!$C$5:$C$60,$C84,'2.생활용수(강경)'!$Q$5:$Q$60)</f>
        <v>0</v>
      </c>
      <c r="O84" s="81"/>
    </row>
    <row r="85" spans="1:15" ht="20.100000000000001" customHeight="1">
      <c r="A85" s="442" t="s">
        <v>700</v>
      </c>
      <c r="B85" s="442" t="s">
        <v>835</v>
      </c>
      <c r="C85" s="443" t="s">
        <v>1370</v>
      </c>
      <c r="D85" s="81">
        <f t="shared" si="2"/>
        <v>18</v>
      </c>
      <c r="E85" s="81">
        <f>SUMIF('2.생활용수(광석)'!$C$5:$C$56,C85,'2.생활용수(광석)'!$Q$5:$Q$56)</f>
        <v>0</v>
      </c>
      <c r="F85" s="81">
        <f>SUMIF('2.생활용수(성동)'!$C$5:$C$60,$C85,'2.생활용수(성동)'!$Q$5:$Q$60)</f>
        <v>0</v>
      </c>
      <c r="G85" s="81">
        <f>SUMIF('2.생활용수(봉화)'!$C$5:$C$18,$C85,'2.생활용수(봉화)'!$Q$5:$Q$18)</f>
        <v>0</v>
      </c>
      <c r="H85" s="81">
        <f>SUMIF('2.생활용수(논산)'!$C$5:$C$28,$C85,'2.생활용수(논산)'!$Q$5:$Q$28)</f>
        <v>0</v>
      </c>
      <c r="I85" s="81">
        <f>SUMIF('2.생활용수(연무)'!$C$5:$C$123,$C85,'2.생활용수(연무)'!$Q$5:$Q$123)</f>
        <v>0</v>
      </c>
      <c r="J85" s="81">
        <f>SUMIF('2.생활용수(마산)'!$C$5:$C$115,$C85,'2.생활용수(마산)'!$Q$5:$Q$115)</f>
        <v>18</v>
      </c>
      <c r="K85" s="81">
        <f>SUMIF('2.생활용수(부적)'!$C$5:$C$75,$C85,'2.생활용수(부적)'!$Q$5:$Q$75)</f>
        <v>0</v>
      </c>
      <c r="L85" s="81">
        <f>SUMIF('2.생활용수(연산)'!$C$5:$C$220,$C85,'2.생활용수(연산)'!$Q$5:$Q$220)</f>
        <v>0</v>
      </c>
      <c r="M85" s="81">
        <f>SUMIF('2.생활용수(채운)'!$C$5:$C$63,$C85,'2.생활용수(채운)'!$Q$5:$Q$63)</f>
        <v>0</v>
      </c>
      <c r="N85" s="81">
        <f>SUMIF('2.생활용수(강경)'!$C$5:$C$60,$C85,'2.생활용수(강경)'!$Q$5:$Q$60)</f>
        <v>0</v>
      </c>
      <c r="O85" s="81"/>
    </row>
    <row r="86" spans="1:15" ht="20.100000000000001" customHeight="1">
      <c r="A86" s="442" t="s">
        <v>700</v>
      </c>
      <c r="B86" s="442" t="s">
        <v>835</v>
      </c>
      <c r="C86" s="443" t="s">
        <v>1371</v>
      </c>
      <c r="D86" s="81">
        <f t="shared" si="2"/>
        <v>0</v>
      </c>
      <c r="E86" s="81">
        <f>SUMIF('2.생활용수(광석)'!$C$5:$C$56,C86,'2.생활용수(광석)'!$Q$5:$Q$56)</f>
        <v>0</v>
      </c>
      <c r="F86" s="81">
        <f>SUMIF('2.생활용수(성동)'!$C$5:$C$60,$C86,'2.생활용수(성동)'!$Q$5:$Q$60)</f>
        <v>0</v>
      </c>
      <c r="G86" s="81">
        <f>SUMIF('2.생활용수(봉화)'!$C$5:$C$18,$C86,'2.생활용수(봉화)'!$Q$5:$Q$18)</f>
        <v>0</v>
      </c>
      <c r="H86" s="81">
        <f>SUMIF('2.생활용수(논산)'!$C$5:$C$28,$C86,'2.생활용수(논산)'!$Q$5:$Q$28)</f>
        <v>0</v>
      </c>
      <c r="I86" s="81">
        <f>SUMIF('2.생활용수(연무)'!$C$5:$C$123,$C86,'2.생활용수(연무)'!$Q$5:$Q$123)</f>
        <v>0</v>
      </c>
      <c r="J86" s="81">
        <f>SUMIF('2.생활용수(마산)'!$C$5:$C$115,$C86,'2.생활용수(마산)'!$Q$5:$Q$115)</f>
        <v>0</v>
      </c>
      <c r="K86" s="81">
        <f>SUMIF('2.생활용수(부적)'!$C$5:$C$75,$C86,'2.생활용수(부적)'!$Q$5:$Q$75)</f>
        <v>0</v>
      </c>
      <c r="L86" s="81">
        <f>SUMIF('2.생활용수(연산)'!$C$5:$C$220,$C86,'2.생활용수(연산)'!$Q$5:$Q$220)</f>
        <v>0</v>
      </c>
      <c r="M86" s="81">
        <f>SUMIF('2.생활용수(채운)'!$C$5:$C$63,$C86,'2.생활용수(채운)'!$Q$5:$Q$63)</f>
        <v>0</v>
      </c>
      <c r="N86" s="81">
        <f>SUMIF('2.생활용수(강경)'!$C$5:$C$60,$C86,'2.생활용수(강경)'!$Q$5:$Q$60)</f>
        <v>0</v>
      </c>
      <c r="O86" s="81"/>
    </row>
    <row r="87" spans="1:15" ht="20.100000000000001" customHeight="1">
      <c r="A87" s="442" t="s">
        <v>700</v>
      </c>
      <c r="B87" s="442" t="s">
        <v>835</v>
      </c>
      <c r="C87" s="443" t="s">
        <v>1372</v>
      </c>
      <c r="D87" s="81">
        <f t="shared" si="2"/>
        <v>27</v>
      </c>
      <c r="E87" s="81">
        <f>SUMIF('2.생활용수(광석)'!$C$5:$C$56,C87,'2.생활용수(광석)'!$Q$5:$Q$56)</f>
        <v>0</v>
      </c>
      <c r="F87" s="81">
        <f>SUMIF('2.생활용수(성동)'!$C$5:$C$60,$C87,'2.생활용수(성동)'!$Q$5:$Q$60)</f>
        <v>0</v>
      </c>
      <c r="G87" s="81">
        <f>SUMIF('2.생활용수(봉화)'!$C$5:$C$18,$C87,'2.생활용수(봉화)'!$Q$5:$Q$18)</f>
        <v>0</v>
      </c>
      <c r="H87" s="81">
        <f>SUMIF('2.생활용수(논산)'!$C$5:$C$28,$C87,'2.생활용수(논산)'!$Q$5:$Q$28)</f>
        <v>0</v>
      </c>
      <c r="I87" s="81">
        <f>SUMIF('2.생활용수(연무)'!$C$5:$C$123,$C87,'2.생활용수(연무)'!$Q$5:$Q$123)</f>
        <v>0</v>
      </c>
      <c r="J87" s="81">
        <f>SUMIF('2.생활용수(마산)'!$C$5:$C$115,$C87,'2.생활용수(마산)'!$Q$5:$Q$115)</f>
        <v>27</v>
      </c>
      <c r="K87" s="81">
        <f>SUMIF('2.생활용수(부적)'!$C$5:$C$75,$C87,'2.생활용수(부적)'!$Q$5:$Q$75)</f>
        <v>0</v>
      </c>
      <c r="L87" s="81">
        <f>SUMIF('2.생활용수(연산)'!$C$5:$C$220,$C87,'2.생활용수(연산)'!$Q$5:$Q$220)</f>
        <v>0</v>
      </c>
      <c r="M87" s="81">
        <f>SUMIF('2.생활용수(채운)'!$C$5:$C$63,$C87,'2.생활용수(채운)'!$Q$5:$Q$63)</f>
        <v>0</v>
      </c>
      <c r="N87" s="81">
        <f>SUMIF('2.생활용수(강경)'!$C$5:$C$60,$C87,'2.생활용수(강경)'!$Q$5:$Q$60)</f>
        <v>0</v>
      </c>
      <c r="O87" s="81"/>
    </row>
    <row r="88" spans="1:15" ht="20.100000000000001" customHeight="1">
      <c r="A88" s="442" t="s">
        <v>700</v>
      </c>
      <c r="B88" s="442" t="s">
        <v>835</v>
      </c>
      <c r="C88" s="443" t="s">
        <v>1373</v>
      </c>
      <c r="D88" s="81">
        <f t="shared" si="2"/>
        <v>12</v>
      </c>
      <c r="E88" s="81">
        <f>SUMIF('2.생활용수(광석)'!$C$5:$C$56,C88,'2.생활용수(광석)'!$Q$5:$Q$56)</f>
        <v>0</v>
      </c>
      <c r="F88" s="81">
        <f>SUMIF('2.생활용수(성동)'!$C$5:$C$60,$C88,'2.생활용수(성동)'!$Q$5:$Q$60)</f>
        <v>0</v>
      </c>
      <c r="G88" s="81">
        <f>SUMIF('2.생활용수(봉화)'!$C$5:$C$18,$C88,'2.생활용수(봉화)'!$Q$5:$Q$18)</f>
        <v>0</v>
      </c>
      <c r="H88" s="81">
        <f>SUMIF('2.생활용수(논산)'!$C$5:$C$28,$C88,'2.생활용수(논산)'!$Q$5:$Q$28)</f>
        <v>0</v>
      </c>
      <c r="I88" s="81">
        <f>SUMIF('2.생활용수(연무)'!$C$5:$C$123,$C88,'2.생활용수(연무)'!$Q$5:$Q$123)</f>
        <v>0</v>
      </c>
      <c r="J88" s="81">
        <f>SUMIF('2.생활용수(마산)'!$C$5:$C$115,$C88,'2.생활용수(마산)'!$Q$5:$Q$115)</f>
        <v>12</v>
      </c>
      <c r="K88" s="81">
        <f>SUMIF('2.생활용수(부적)'!$C$5:$C$75,$C88,'2.생활용수(부적)'!$Q$5:$Q$75)</f>
        <v>0</v>
      </c>
      <c r="L88" s="81">
        <f>SUMIF('2.생활용수(연산)'!$C$5:$C$220,$C88,'2.생활용수(연산)'!$Q$5:$Q$220)</f>
        <v>0</v>
      </c>
      <c r="M88" s="81">
        <f>SUMIF('2.생활용수(채운)'!$C$5:$C$63,$C88,'2.생활용수(채운)'!$Q$5:$Q$63)</f>
        <v>0</v>
      </c>
      <c r="N88" s="81">
        <f>SUMIF('2.생활용수(강경)'!$C$5:$C$60,$C88,'2.생활용수(강경)'!$Q$5:$Q$60)</f>
        <v>0</v>
      </c>
      <c r="O88" s="81"/>
    </row>
    <row r="89" spans="1:15" ht="20.100000000000001" customHeight="1">
      <c r="A89" s="442" t="s">
        <v>700</v>
      </c>
      <c r="B89" s="442" t="s">
        <v>835</v>
      </c>
      <c r="C89" s="443" t="s">
        <v>1374</v>
      </c>
      <c r="D89" s="81">
        <f t="shared" si="2"/>
        <v>13</v>
      </c>
      <c r="E89" s="81">
        <f>SUMIF('2.생활용수(광석)'!$C$5:$C$56,C89,'2.생활용수(광석)'!$Q$5:$Q$56)</f>
        <v>0</v>
      </c>
      <c r="F89" s="81">
        <f>SUMIF('2.생활용수(성동)'!$C$5:$C$60,$C89,'2.생활용수(성동)'!$Q$5:$Q$60)</f>
        <v>0</v>
      </c>
      <c r="G89" s="81">
        <f>SUMIF('2.생활용수(봉화)'!$C$5:$C$18,$C89,'2.생활용수(봉화)'!$Q$5:$Q$18)</f>
        <v>0</v>
      </c>
      <c r="H89" s="81">
        <f>SUMIF('2.생활용수(논산)'!$C$5:$C$28,$C89,'2.생활용수(논산)'!$Q$5:$Q$28)</f>
        <v>0</v>
      </c>
      <c r="I89" s="81">
        <f>SUMIF('2.생활용수(연무)'!$C$5:$C$123,$C89,'2.생활용수(연무)'!$Q$5:$Q$123)</f>
        <v>0</v>
      </c>
      <c r="J89" s="81">
        <f>SUMIF('2.생활용수(마산)'!$C$5:$C$115,$C89,'2.생활용수(마산)'!$Q$5:$Q$115)</f>
        <v>13</v>
      </c>
      <c r="K89" s="81">
        <f>SUMIF('2.생활용수(부적)'!$C$5:$C$75,$C89,'2.생활용수(부적)'!$Q$5:$Q$75)</f>
        <v>0</v>
      </c>
      <c r="L89" s="81">
        <f>SUMIF('2.생활용수(연산)'!$C$5:$C$220,$C89,'2.생활용수(연산)'!$Q$5:$Q$220)</f>
        <v>0</v>
      </c>
      <c r="M89" s="81">
        <f>SUMIF('2.생활용수(채운)'!$C$5:$C$63,$C89,'2.생활용수(채운)'!$Q$5:$Q$63)</f>
        <v>0</v>
      </c>
      <c r="N89" s="81">
        <f>SUMIF('2.생활용수(강경)'!$C$5:$C$60,$C89,'2.생활용수(강경)'!$Q$5:$Q$60)</f>
        <v>0</v>
      </c>
      <c r="O89" s="81"/>
    </row>
    <row r="90" spans="1:15" ht="20.100000000000001" customHeight="1">
      <c r="A90" s="442" t="s">
        <v>701</v>
      </c>
      <c r="B90" s="442" t="s">
        <v>838</v>
      </c>
      <c r="C90" s="443" t="s">
        <v>1640</v>
      </c>
      <c r="D90" s="81">
        <f t="shared" si="2"/>
        <v>52</v>
      </c>
      <c r="E90" s="81">
        <f>SUMIF('2.생활용수(광석)'!$C$5:$C$56,C90,'2.생활용수(광석)'!$Q$5:$Q$56)</f>
        <v>0</v>
      </c>
      <c r="F90" s="81">
        <f>SUMIF('2.생활용수(성동)'!$C$5:$C$60,$C90,'2.생활용수(성동)'!$Q$5:$Q$60)</f>
        <v>52</v>
      </c>
      <c r="G90" s="81">
        <f>SUMIF('2.생활용수(봉화)'!$C$5:$C$18,$C90,'2.생활용수(봉화)'!$Q$5:$Q$18)</f>
        <v>0</v>
      </c>
      <c r="H90" s="81">
        <f>SUMIF('2.생활용수(논산)'!$C$5:$C$28,$C90,'2.생활용수(논산)'!$Q$5:$Q$28)</f>
        <v>0</v>
      </c>
      <c r="I90" s="81">
        <f>SUMIF('2.생활용수(연무)'!$C$5:$C$123,$C90,'2.생활용수(연무)'!$Q$5:$Q$123)</f>
        <v>0</v>
      </c>
      <c r="J90" s="81">
        <f>SUMIF('2.생활용수(마산)'!$C$5:$C$115,$C90,'2.생활용수(마산)'!$Q$5:$Q$115)</f>
        <v>0</v>
      </c>
      <c r="K90" s="81">
        <f>SUMIF('2.생활용수(부적)'!$C$5:$C$75,$C90,'2.생활용수(부적)'!$Q$5:$Q$75)</f>
        <v>0</v>
      </c>
      <c r="L90" s="81">
        <f>SUMIF('2.생활용수(연산)'!$C$5:$C$220,$C90,'2.생활용수(연산)'!$Q$5:$Q$220)</f>
        <v>0</v>
      </c>
      <c r="M90" s="81">
        <f>SUMIF('2.생활용수(채운)'!$C$5:$C$63,$C90,'2.생활용수(채운)'!$Q$5:$Q$63)</f>
        <v>0</v>
      </c>
      <c r="N90" s="81">
        <f>SUMIF('2.생활용수(강경)'!$C$5:$C$60,$C90,'2.생활용수(강경)'!$Q$5:$Q$60)</f>
        <v>0</v>
      </c>
      <c r="O90" s="81"/>
    </row>
    <row r="91" spans="1:15" ht="20.100000000000001" customHeight="1">
      <c r="A91" s="442" t="s">
        <v>701</v>
      </c>
      <c r="B91" s="442" t="s">
        <v>838</v>
      </c>
      <c r="C91" s="443" t="s">
        <v>1968</v>
      </c>
      <c r="D91" s="81">
        <f t="shared" si="2"/>
        <v>32</v>
      </c>
      <c r="E91" s="81">
        <f>SUMIF('2.생활용수(광석)'!$C$5:$C$56,C91,'2.생활용수(광석)'!$Q$5:$Q$56)</f>
        <v>0</v>
      </c>
      <c r="F91" s="81">
        <f>SUMIF('2.생활용수(성동)'!$C$5:$C$60,$C91,'2.생활용수(성동)'!$Q$5:$Q$60)</f>
        <v>32</v>
      </c>
      <c r="G91" s="81">
        <f>SUMIF('2.생활용수(봉화)'!$C$5:$C$18,$C91,'2.생활용수(봉화)'!$Q$5:$Q$18)</f>
        <v>0</v>
      </c>
      <c r="H91" s="81">
        <f>SUMIF('2.생활용수(논산)'!$C$5:$C$28,$C91,'2.생활용수(논산)'!$Q$5:$Q$28)</f>
        <v>0</v>
      </c>
      <c r="I91" s="81">
        <f>SUMIF('2.생활용수(연무)'!$C$5:$C$123,$C91,'2.생활용수(연무)'!$Q$5:$Q$123)</f>
        <v>0</v>
      </c>
      <c r="J91" s="81">
        <f>SUMIF('2.생활용수(마산)'!$C$5:$C$115,$C91,'2.생활용수(마산)'!$Q$5:$Q$115)</f>
        <v>0</v>
      </c>
      <c r="K91" s="81">
        <f>SUMIF('2.생활용수(부적)'!$C$5:$C$75,$C91,'2.생활용수(부적)'!$Q$5:$Q$75)</f>
        <v>0</v>
      </c>
      <c r="L91" s="81">
        <f>SUMIF('2.생활용수(연산)'!$C$5:$C$220,$C91,'2.생활용수(연산)'!$Q$5:$Q$220)</f>
        <v>0</v>
      </c>
      <c r="M91" s="81">
        <f>SUMIF('2.생활용수(채운)'!$C$5:$C$63,$C91,'2.생활용수(채운)'!$Q$5:$Q$63)</f>
        <v>0</v>
      </c>
      <c r="N91" s="81">
        <f>SUMIF('2.생활용수(강경)'!$C$5:$C$60,$C91,'2.생활용수(강경)'!$Q$5:$Q$60)</f>
        <v>0</v>
      </c>
      <c r="O91" s="81"/>
    </row>
    <row r="92" spans="1:15" ht="20.100000000000001" customHeight="1">
      <c r="A92" s="442" t="s">
        <v>701</v>
      </c>
      <c r="B92" s="442" t="s">
        <v>839</v>
      </c>
      <c r="C92" s="443" t="s">
        <v>1969</v>
      </c>
      <c r="D92" s="81">
        <f t="shared" si="2"/>
        <v>0</v>
      </c>
      <c r="E92" s="81">
        <f>SUMIF('2.생활용수(광석)'!$C$5:$C$56,C92,'2.생활용수(광석)'!$Q$5:$Q$56)</f>
        <v>0</v>
      </c>
      <c r="F92" s="81">
        <f>SUMIF('2.생활용수(성동)'!$C$5:$C$60,$C92,'2.생활용수(성동)'!$Q$5:$Q$60)</f>
        <v>0</v>
      </c>
      <c r="G92" s="81">
        <f>SUMIF('2.생활용수(봉화)'!$C$5:$C$18,$C92,'2.생활용수(봉화)'!$Q$5:$Q$18)</f>
        <v>0</v>
      </c>
      <c r="H92" s="81">
        <f>SUMIF('2.생활용수(논산)'!$C$5:$C$28,$C92,'2.생활용수(논산)'!$Q$5:$Q$28)</f>
        <v>0</v>
      </c>
      <c r="I92" s="81">
        <f>SUMIF('2.생활용수(연무)'!$C$5:$C$123,$C92,'2.생활용수(연무)'!$Q$5:$Q$123)</f>
        <v>0</v>
      </c>
      <c r="J92" s="81">
        <f>SUMIF('2.생활용수(마산)'!$C$5:$C$115,$C92,'2.생활용수(마산)'!$Q$5:$Q$115)</f>
        <v>0</v>
      </c>
      <c r="K92" s="81">
        <f>SUMIF('2.생활용수(부적)'!$C$5:$C$75,$C92,'2.생활용수(부적)'!$Q$5:$Q$75)</f>
        <v>0</v>
      </c>
      <c r="L92" s="81">
        <f>SUMIF('2.생활용수(연산)'!$C$5:$C$220,$C92,'2.생활용수(연산)'!$Q$5:$Q$220)</f>
        <v>0</v>
      </c>
      <c r="M92" s="81">
        <f>SUMIF('2.생활용수(채운)'!$C$5:$C$63,$C92,'2.생활용수(채운)'!$Q$5:$Q$63)</f>
        <v>0</v>
      </c>
      <c r="N92" s="81">
        <f>SUMIF('2.생활용수(강경)'!$C$5:$C$60,$C92,'2.생활용수(강경)'!$Q$5:$Q$60)</f>
        <v>0</v>
      </c>
      <c r="O92" s="81"/>
    </row>
    <row r="93" spans="1:15" ht="20.100000000000001" customHeight="1">
      <c r="A93" s="442" t="s">
        <v>701</v>
      </c>
      <c r="B93" s="442" t="s">
        <v>839</v>
      </c>
      <c r="C93" s="443" t="s">
        <v>1970</v>
      </c>
      <c r="D93" s="81">
        <f t="shared" si="2"/>
        <v>0</v>
      </c>
      <c r="E93" s="81">
        <f>SUMIF('2.생활용수(광석)'!$C$5:$C$56,C93,'2.생활용수(광석)'!$Q$5:$Q$56)</f>
        <v>0</v>
      </c>
      <c r="F93" s="81">
        <f>SUMIF('2.생활용수(성동)'!$C$5:$C$60,$C93,'2.생활용수(성동)'!$Q$5:$Q$60)</f>
        <v>0</v>
      </c>
      <c r="G93" s="81">
        <f>SUMIF('2.생활용수(봉화)'!$C$5:$C$18,$C93,'2.생활용수(봉화)'!$Q$5:$Q$18)</f>
        <v>0</v>
      </c>
      <c r="H93" s="81">
        <f>SUMIF('2.생활용수(논산)'!$C$5:$C$28,$C93,'2.생활용수(논산)'!$Q$5:$Q$28)</f>
        <v>0</v>
      </c>
      <c r="I93" s="81">
        <f>SUMIF('2.생활용수(연무)'!$C$5:$C$123,$C93,'2.생활용수(연무)'!$Q$5:$Q$123)</f>
        <v>0</v>
      </c>
      <c r="J93" s="81">
        <f>SUMIF('2.생활용수(마산)'!$C$5:$C$115,$C93,'2.생활용수(마산)'!$Q$5:$Q$115)</f>
        <v>0</v>
      </c>
      <c r="K93" s="81">
        <f>SUMIF('2.생활용수(부적)'!$C$5:$C$75,$C93,'2.생활용수(부적)'!$Q$5:$Q$75)</f>
        <v>0</v>
      </c>
      <c r="L93" s="81">
        <f>SUMIF('2.생활용수(연산)'!$C$5:$C$220,$C93,'2.생활용수(연산)'!$Q$5:$Q$220)</f>
        <v>0</v>
      </c>
      <c r="M93" s="81">
        <f>SUMIF('2.생활용수(채운)'!$C$5:$C$63,$C93,'2.생활용수(채운)'!$Q$5:$Q$63)</f>
        <v>0</v>
      </c>
      <c r="N93" s="81">
        <f>SUMIF('2.생활용수(강경)'!$C$5:$C$60,$C93,'2.생활용수(강경)'!$Q$5:$Q$60)</f>
        <v>0</v>
      </c>
      <c r="O93" s="81"/>
    </row>
    <row r="94" spans="1:15" ht="20.100000000000001" customHeight="1">
      <c r="A94" s="442" t="s">
        <v>701</v>
      </c>
      <c r="B94" s="442" t="s">
        <v>839</v>
      </c>
      <c r="C94" s="443" t="s">
        <v>1971</v>
      </c>
      <c r="D94" s="81">
        <f t="shared" si="2"/>
        <v>48</v>
      </c>
      <c r="E94" s="81">
        <f>SUMIF('2.생활용수(광석)'!$C$5:$C$56,C94,'2.생활용수(광석)'!$Q$5:$Q$56)</f>
        <v>0</v>
      </c>
      <c r="F94" s="81">
        <f>SUMIF('2.생활용수(성동)'!$C$5:$C$60,$C94,'2.생활용수(성동)'!$Q$5:$Q$60)</f>
        <v>48</v>
      </c>
      <c r="G94" s="81">
        <f>SUMIF('2.생활용수(봉화)'!$C$5:$C$18,$C94,'2.생활용수(봉화)'!$Q$5:$Q$18)</f>
        <v>0</v>
      </c>
      <c r="H94" s="81">
        <f>SUMIF('2.생활용수(논산)'!$C$5:$C$28,$C94,'2.생활용수(논산)'!$Q$5:$Q$28)</f>
        <v>0</v>
      </c>
      <c r="I94" s="81">
        <f>SUMIF('2.생활용수(연무)'!$C$5:$C$123,$C94,'2.생활용수(연무)'!$Q$5:$Q$123)</f>
        <v>0</v>
      </c>
      <c r="J94" s="81">
        <f>SUMIF('2.생활용수(마산)'!$C$5:$C$115,$C94,'2.생활용수(마산)'!$Q$5:$Q$115)</f>
        <v>0</v>
      </c>
      <c r="K94" s="81">
        <f>SUMIF('2.생활용수(부적)'!$C$5:$C$75,$C94,'2.생활용수(부적)'!$Q$5:$Q$75)</f>
        <v>0</v>
      </c>
      <c r="L94" s="81">
        <f>SUMIF('2.생활용수(연산)'!$C$5:$C$220,$C94,'2.생활용수(연산)'!$Q$5:$Q$220)</f>
        <v>0</v>
      </c>
      <c r="M94" s="81">
        <f>SUMIF('2.생활용수(채운)'!$C$5:$C$63,$C94,'2.생활용수(채운)'!$Q$5:$Q$63)</f>
        <v>0</v>
      </c>
      <c r="N94" s="81">
        <f>SUMIF('2.생활용수(강경)'!$C$5:$C$60,$C94,'2.생활용수(강경)'!$Q$5:$Q$60)</f>
        <v>0</v>
      </c>
      <c r="O94" s="81"/>
    </row>
    <row r="95" spans="1:15" ht="20.100000000000001" customHeight="1">
      <c r="A95" s="442" t="s">
        <v>701</v>
      </c>
      <c r="B95" s="442" t="s">
        <v>840</v>
      </c>
      <c r="C95" s="443" t="s">
        <v>1972</v>
      </c>
      <c r="D95" s="81">
        <f t="shared" si="2"/>
        <v>0</v>
      </c>
      <c r="E95" s="81">
        <f>SUMIF('2.생활용수(광석)'!$C$5:$C$56,C95,'2.생활용수(광석)'!$Q$5:$Q$56)</f>
        <v>0</v>
      </c>
      <c r="F95" s="81">
        <f>SUMIF('2.생활용수(성동)'!$C$5:$C$60,$C95,'2.생활용수(성동)'!$Q$5:$Q$60)</f>
        <v>0</v>
      </c>
      <c r="G95" s="81">
        <f>SUMIF('2.생활용수(봉화)'!$C$5:$C$18,$C95,'2.생활용수(봉화)'!$Q$5:$Q$18)</f>
        <v>0</v>
      </c>
      <c r="H95" s="81">
        <f>SUMIF('2.생활용수(논산)'!$C$5:$C$28,$C95,'2.생활용수(논산)'!$Q$5:$Q$28)</f>
        <v>0</v>
      </c>
      <c r="I95" s="81">
        <f>SUMIF('2.생활용수(연무)'!$C$5:$C$123,$C95,'2.생활용수(연무)'!$Q$5:$Q$123)</f>
        <v>0</v>
      </c>
      <c r="J95" s="81">
        <f>SUMIF('2.생활용수(마산)'!$C$5:$C$115,$C95,'2.생활용수(마산)'!$Q$5:$Q$115)</f>
        <v>0</v>
      </c>
      <c r="K95" s="81">
        <f>SUMIF('2.생활용수(부적)'!$C$5:$C$75,$C95,'2.생활용수(부적)'!$Q$5:$Q$75)</f>
        <v>0</v>
      </c>
      <c r="L95" s="81">
        <f>SUMIF('2.생활용수(연산)'!$C$5:$C$220,$C95,'2.생활용수(연산)'!$Q$5:$Q$220)</f>
        <v>0</v>
      </c>
      <c r="M95" s="81">
        <f>SUMIF('2.생활용수(채운)'!$C$5:$C$63,$C95,'2.생활용수(채운)'!$Q$5:$Q$63)</f>
        <v>0</v>
      </c>
      <c r="N95" s="81">
        <f>SUMIF('2.생활용수(강경)'!$C$5:$C$60,$C95,'2.생활용수(강경)'!$Q$5:$Q$60)</f>
        <v>0</v>
      </c>
      <c r="O95" s="81"/>
    </row>
    <row r="96" spans="1:15" ht="20.100000000000001" customHeight="1">
      <c r="A96" s="442" t="s">
        <v>701</v>
      </c>
      <c r="B96" s="442" t="s">
        <v>840</v>
      </c>
      <c r="C96" s="443" t="s">
        <v>1973</v>
      </c>
      <c r="D96" s="81">
        <f t="shared" si="2"/>
        <v>20</v>
      </c>
      <c r="E96" s="81">
        <f>SUMIF('2.생활용수(광석)'!$C$5:$C$56,C96,'2.생활용수(광석)'!$Q$5:$Q$56)</f>
        <v>0</v>
      </c>
      <c r="F96" s="81">
        <f>SUMIF('2.생활용수(성동)'!$C$5:$C$60,$C96,'2.생활용수(성동)'!$Q$5:$Q$60)</f>
        <v>20</v>
      </c>
      <c r="G96" s="81">
        <f>SUMIF('2.생활용수(봉화)'!$C$5:$C$18,$C96,'2.생활용수(봉화)'!$Q$5:$Q$18)</f>
        <v>0</v>
      </c>
      <c r="H96" s="81">
        <f>SUMIF('2.생활용수(논산)'!$C$5:$C$28,$C96,'2.생활용수(논산)'!$Q$5:$Q$28)</f>
        <v>0</v>
      </c>
      <c r="I96" s="81">
        <f>SUMIF('2.생활용수(연무)'!$C$5:$C$123,$C96,'2.생활용수(연무)'!$Q$5:$Q$123)</f>
        <v>0</v>
      </c>
      <c r="J96" s="81">
        <f>SUMIF('2.생활용수(마산)'!$C$5:$C$115,$C96,'2.생활용수(마산)'!$Q$5:$Q$115)</f>
        <v>0</v>
      </c>
      <c r="K96" s="81">
        <f>SUMIF('2.생활용수(부적)'!$C$5:$C$75,$C96,'2.생활용수(부적)'!$Q$5:$Q$75)</f>
        <v>0</v>
      </c>
      <c r="L96" s="81">
        <f>SUMIF('2.생활용수(연산)'!$C$5:$C$220,$C96,'2.생활용수(연산)'!$Q$5:$Q$220)</f>
        <v>0</v>
      </c>
      <c r="M96" s="81">
        <f>SUMIF('2.생활용수(채운)'!$C$5:$C$63,$C96,'2.생활용수(채운)'!$Q$5:$Q$63)</f>
        <v>0</v>
      </c>
      <c r="N96" s="81">
        <f>SUMIF('2.생활용수(강경)'!$C$5:$C$60,$C96,'2.생활용수(강경)'!$Q$5:$Q$60)</f>
        <v>0</v>
      </c>
      <c r="O96" s="81"/>
    </row>
    <row r="97" spans="1:15" ht="20.100000000000001" customHeight="1">
      <c r="A97" s="442" t="s">
        <v>701</v>
      </c>
      <c r="B97" s="442" t="s">
        <v>841</v>
      </c>
      <c r="C97" s="443" t="s">
        <v>1974</v>
      </c>
      <c r="D97" s="81">
        <f t="shared" si="2"/>
        <v>71</v>
      </c>
      <c r="E97" s="81">
        <f>SUMIF('2.생활용수(광석)'!$C$5:$C$56,C97,'2.생활용수(광석)'!$Q$5:$Q$56)</f>
        <v>0</v>
      </c>
      <c r="F97" s="81">
        <f>SUMIF('2.생활용수(성동)'!$C$5:$C$60,$C97,'2.생활용수(성동)'!$Q$5:$Q$60)</f>
        <v>71</v>
      </c>
      <c r="G97" s="81">
        <f>SUMIF('2.생활용수(봉화)'!$C$5:$C$18,$C97,'2.생활용수(봉화)'!$Q$5:$Q$18)</f>
        <v>0</v>
      </c>
      <c r="H97" s="81">
        <f>SUMIF('2.생활용수(논산)'!$C$5:$C$28,$C97,'2.생활용수(논산)'!$Q$5:$Q$28)</f>
        <v>0</v>
      </c>
      <c r="I97" s="81">
        <f>SUMIF('2.생활용수(연무)'!$C$5:$C$123,$C97,'2.생활용수(연무)'!$Q$5:$Q$123)</f>
        <v>0</v>
      </c>
      <c r="J97" s="81">
        <f>SUMIF('2.생활용수(마산)'!$C$5:$C$115,$C97,'2.생활용수(마산)'!$Q$5:$Q$115)</f>
        <v>0</v>
      </c>
      <c r="K97" s="81">
        <f>SUMIF('2.생활용수(부적)'!$C$5:$C$75,$C97,'2.생활용수(부적)'!$Q$5:$Q$75)</f>
        <v>0</v>
      </c>
      <c r="L97" s="81">
        <f>SUMIF('2.생활용수(연산)'!$C$5:$C$220,$C97,'2.생활용수(연산)'!$Q$5:$Q$220)</f>
        <v>0</v>
      </c>
      <c r="M97" s="81">
        <f>SUMIF('2.생활용수(채운)'!$C$5:$C$63,$C97,'2.생활용수(채운)'!$Q$5:$Q$63)</f>
        <v>0</v>
      </c>
      <c r="N97" s="81">
        <f>SUMIF('2.생활용수(강경)'!$C$5:$C$60,$C97,'2.생활용수(강경)'!$Q$5:$Q$60)</f>
        <v>0</v>
      </c>
      <c r="O97" s="81"/>
    </row>
    <row r="98" spans="1:15" ht="20.100000000000001" customHeight="1">
      <c r="A98" s="442" t="s">
        <v>701</v>
      </c>
      <c r="B98" s="442" t="s">
        <v>841</v>
      </c>
      <c r="C98" s="443" t="s">
        <v>1975</v>
      </c>
      <c r="D98" s="81">
        <f t="shared" si="2"/>
        <v>39</v>
      </c>
      <c r="E98" s="81">
        <f>SUMIF('2.생활용수(광석)'!$C$5:$C$56,C98,'2.생활용수(광석)'!$Q$5:$Q$56)</f>
        <v>0</v>
      </c>
      <c r="F98" s="81">
        <f>SUMIF('2.생활용수(성동)'!$C$5:$C$60,$C98,'2.생활용수(성동)'!$Q$5:$Q$60)</f>
        <v>39</v>
      </c>
      <c r="G98" s="81">
        <f>SUMIF('2.생활용수(봉화)'!$C$5:$C$18,$C98,'2.생활용수(봉화)'!$Q$5:$Q$18)</f>
        <v>0</v>
      </c>
      <c r="H98" s="81">
        <f>SUMIF('2.생활용수(논산)'!$C$5:$C$28,$C98,'2.생활용수(논산)'!$Q$5:$Q$28)</f>
        <v>0</v>
      </c>
      <c r="I98" s="81">
        <f>SUMIF('2.생활용수(연무)'!$C$5:$C$123,$C98,'2.생활용수(연무)'!$Q$5:$Q$123)</f>
        <v>0</v>
      </c>
      <c r="J98" s="81">
        <f>SUMIF('2.생활용수(마산)'!$C$5:$C$115,$C98,'2.생활용수(마산)'!$Q$5:$Q$115)</f>
        <v>0</v>
      </c>
      <c r="K98" s="81">
        <f>SUMIF('2.생활용수(부적)'!$C$5:$C$75,$C98,'2.생활용수(부적)'!$Q$5:$Q$75)</f>
        <v>0</v>
      </c>
      <c r="L98" s="81">
        <f>SUMIF('2.생활용수(연산)'!$C$5:$C$220,$C98,'2.생활용수(연산)'!$Q$5:$Q$220)</f>
        <v>0</v>
      </c>
      <c r="M98" s="81">
        <f>SUMIF('2.생활용수(채운)'!$C$5:$C$63,$C98,'2.생활용수(채운)'!$Q$5:$Q$63)</f>
        <v>0</v>
      </c>
      <c r="N98" s="81">
        <f>SUMIF('2.생활용수(강경)'!$C$5:$C$60,$C98,'2.생활용수(강경)'!$Q$5:$Q$60)</f>
        <v>0</v>
      </c>
      <c r="O98" s="81"/>
    </row>
    <row r="99" spans="1:15" ht="20.100000000000001" customHeight="1">
      <c r="A99" s="442" t="s">
        <v>701</v>
      </c>
      <c r="B99" s="442" t="s">
        <v>841</v>
      </c>
      <c r="C99" s="443" t="s">
        <v>1976</v>
      </c>
      <c r="D99" s="81">
        <f t="shared" si="2"/>
        <v>55</v>
      </c>
      <c r="E99" s="81">
        <f>SUMIF('2.생활용수(광석)'!$C$5:$C$56,C99,'2.생활용수(광석)'!$Q$5:$Q$56)</f>
        <v>0</v>
      </c>
      <c r="F99" s="81">
        <f>SUMIF('2.생활용수(성동)'!$C$5:$C$60,$C99,'2.생활용수(성동)'!$Q$5:$Q$60)</f>
        <v>55</v>
      </c>
      <c r="G99" s="81">
        <f>SUMIF('2.생활용수(봉화)'!$C$5:$C$18,$C99,'2.생활용수(봉화)'!$Q$5:$Q$18)</f>
        <v>0</v>
      </c>
      <c r="H99" s="81">
        <f>SUMIF('2.생활용수(논산)'!$C$5:$C$28,$C99,'2.생활용수(논산)'!$Q$5:$Q$28)</f>
        <v>0</v>
      </c>
      <c r="I99" s="81">
        <f>SUMIF('2.생활용수(연무)'!$C$5:$C$123,$C99,'2.생활용수(연무)'!$Q$5:$Q$123)</f>
        <v>0</v>
      </c>
      <c r="J99" s="81">
        <f>SUMIF('2.생활용수(마산)'!$C$5:$C$115,$C99,'2.생활용수(마산)'!$Q$5:$Q$115)</f>
        <v>0</v>
      </c>
      <c r="K99" s="81">
        <f>SUMIF('2.생활용수(부적)'!$C$5:$C$75,$C99,'2.생활용수(부적)'!$Q$5:$Q$75)</f>
        <v>0</v>
      </c>
      <c r="L99" s="81">
        <f>SUMIF('2.생활용수(연산)'!$C$5:$C$220,$C99,'2.생활용수(연산)'!$Q$5:$Q$220)</f>
        <v>0</v>
      </c>
      <c r="M99" s="81">
        <f>SUMIF('2.생활용수(채운)'!$C$5:$C$63,$C99,'2.생활용수(채운)'!$Q$5:$Q$63)</f>
        <v>0</v>
      </c>
      <c r="N99" s="81">
        <f>SUMIF('2.생활용수(강경)'!$C$5:$C$60,$C99,'2.생활용수(강경)'!$Q$5:$Q$60)</f>
        <v>0</v>
      </c>
      <c r="O99" s="81"/>
    </row>
    <row r="100" spans="1:15" ht="20.100000000000001" customHeight="1">
      <c r="A100" s="442" t="s">
        <v>701</v>
      </c>
      <c r="B100" s="442" t="s">
        <v>1977</v>
      </c>
      <c r="C100" s="443" t="s">
        <v>1978</v>
      </c>
      <c r="D100" s="81">
        <f t="shared" si="2"/>
        <v>120</v>
      </c>
      <c r="E100" s="81">
        <f>SUMIF('2.생활용수(광석)'!$C$5:$C$56,C100,'2.생활용수(광석)'!$Q$5:$Q$56)</f>
        <v>0</v>
      </c>
      <c r="F100" s="81">
        <f>SUMIF('2.생활용수(성동)'!$C$5:$C$60,$C100,'2.생활용수(성동)'!$Q$5:$Q$60)</f>
        <v>120</v>
      </c>
      <c r="G100" s="81">
        <f>SUMIF('2.생활용수(봉화)'!$C$5:$C$18,$C100,'2.생활용수(봉화)'!$Q$5:$Q$18)</f>
        <v>0</v>
      </c>
      <c r="H100" s="81">
        <f>SUMIF('2.생활용수(논산)'!$C$5:$C$28,$C100,'2.생활용수(논산)'!$Q$5:$Q$28)</f>
        <v>0</v>
      </c>
      <c r="I100" s="81">
        <f>SUMIF('2.생활용수(연무)'!$C$5:$C$123,$C100,'2.생활용수(연무)'!$Q$5:$Q$123)</f>
        <v>0</v>
      </c>
      <c r="J100" s="81">
        <f>SUMIF('2.생활용수(마산)'!$C$5:$C$115,$C100,'2.생활용수(마산)'!$Q$5:$Q$115)</f>
        <v>0</v>
      </c>
      <c r="K100" s="81">
        <f>SUMIF('2.생활용수(부적)'!$C$5:$C$75,$C100,'2.생활용수(부적)'!$Q$5:$Q$75)</f>
        <v>0</v>
      </c>
      <c r="L100" s="81">
        <f>SUMIF('2.생활용수(연산)'!$C$5:$C$220,$C100,'2.생활용수(연산)'!$Q$5:$Q$220)</f>
        <v>0</v>
      </c>
      <c r="M100" s="81">
        <f>SUMIF('2.생활용수(채운)'!$C$5:$C$63,$C100,'2.생활용수(채운)'!$Q$5:$Q$63)</f>
        <v>0</v>
      </c>
      <c r="N100" s="81">
        <f>SUMIF('2.생활용수(강경)'!$C$5:$C$60,$C100,'2.생활용수(강경)'!$Q$5:$Q$60)</f>
        <v>0</v>
      </c>
      <c r="O100" s="81"/>
    </row>
    <row r="101" spans="1:15" ht="20.100000000000001" customHeight="1">
      <c r="A101" s="442" t="s">
        <v>701</v>
      </c>
      <c r="B101" s="442" t="s">
        <v>1977</v>
      </c>
      <c r="C101" s="443" t="s">
        <v>1979</v>
      </c>
      <c r="D101" s="81">
        <f t="shared" si="2"/>
        <v>87</v>
      </c>
      <c r="E101" s="81">
        <f>SUMIF('2.생활용수(광석)'!$C$5:$C$56,C101,'2.생활용수(광석)'!$Q$5:$Q$56)</f>
        <v>0</v>
      </c>
      <c r="F101" s="81">
        <f>SUMIF('2.생활용수(성동)'!$C$5:$C$60,$C101,'2.생활용수(성동)'!$Q$5:$Q$60)</f>
        <v>87</v>
      </c>
      <c r="G101" s="81">
        <f>SUMIF('2.생활용수(봉화)'!$C$5:$C$18,$C101,'2.생활용수(봉화)'!$Q$5:$Q$18)</f>
        <v>0</v>
      </c>
      <c r="H101" s="81">
        <f>SUMIF('2.생활용수(논산)'!$C$5:$C$28,$C101,'2.생활용수(논산)'!$Q$5:$Q$28)</f>
        <v>0</v>
      </c>
      <c r="I101" s="81">
        <f>SUMIF('2.생활용수(연무)'!$C$5:$C$123,$C101,'2.생활용수(연무)'!$Q$5:$Q$123)</f>
        <v>0</v>
      </c>
      <c r="J101" s="81">
        <f>SUMIF('2.생활용수(마산)'!$C$5:$C$115,$C101,'2.생활용수(마산)'!$Q$5:$Q$115)</f>
        <v>0</v>
      </c>
      <c r="K101" s="81">
        <f>SUMIF('2.생활용수(부적)'!$C$5:$C$75,$C101,'2.생활용수(부적)'!$Q$5:$Q$75)</f>
        <v>0</v>
      </c>
      <c r="L101" s="81">
        <f>SUMIF('2.생활용수(연산)'!$C$5:$C$220,$C101,'2.생활용수(연산)'!$Q$5:$Q$220)</f>
        <v>0</v>
      </c>
      <c r="M101" s="81">
        <f>SUMIF('2.생활용수(채운)'!$C$5:$C$63,$C101,'2.생활용수(채운)'!$Q$5:$Q$63)</f>
        <v>0</v>
      </c>
      <c r="N101" s="81">
        <f>SUMIF('2.생활용수(강경)'!$C$5:$C$60,$C101,'2.생활용수(강경)'!$Q$5:$Q$60)</f>
        <v>0</v>
      </c>
      <c r="O101" s="81"/>
    </row>
    <row r="102" spans="1:15" ht="20.100000000000001" customHeight="1">
      <c r="A102" s="442" t="s">
        <v>701</v>
      </c>
      <c r="B102" s="442" t="s">
        <v>1977</v>
      </c>
      <c r="C102" s="443" t="s">
        <v>1980</v>
      </c>
      <c r="D102" s="81">
        <f t="shared" si="2"/>
        <v>65</v>
      </c>
      <c r="E102" s="81">
        <f>SUMIF('2.생활용수(광석)'!$C$5:$C$56,C102,'2.생활용수(광석)'!$Q$5:$Q$56)</f>
        <v>0</v>
      </c>
      <c r="F102" s="81">
        <f>SUMIF('2.생활용수(성동)'!$C$5:$C$60,$C102,'2.생활용수(성동)'!$Q$5:$Q$60)</f>
        <v>65</v>
      </c>
      <c r="G102" s="81">
        <f>SUMIF('2.생활용수(봉화)'!$C$5:$C$18,$C102,'2.생활용수(봉화)'!$Q$5:$Q$18)</f>
        <v>0</v>
      </c>
      <c r="H102" s="81">
        <f>SUMIF('2.생활용수(논산)'!$C$5:$C$28,$C102,'2.생활용수(논산)'!$Q$5:$Q$28)</f>
        <v>0</v>
      </c>
      <c r="I102" s="81">
        <f>SUMIF('2.생활용수(연무)'!$C$5:$C$123,$C102,'2.생활용수(연무)'!$Q$5:$Q$123)</f>
        <v>0</v>
      </c>
      <c r="J102" s="81">
        <f>SUMIF('2.생활용수(마산)'!$C$5:$C$115,$C102,'2.생활용수(마산)'!$Q$5:$Q$115)</f>
        <v>0</v>
      </c>
      <c r="K102" s="81">
        <f>SUMIF('2.생활용수(부적)'!$C$5:$C$75,$C102,'2.생활용수(부적)'!$Q$5:$Q$75)</f>
        <v>0</v>
      </c>
      <c r="L102" s="81">
        <f>SUMIF('2.생활용수(연산)'!$C$5:$C$220,$C102,'2.생활용수(연산)'!$Q$5:$Q$220)</f>
        <v>0</v>
      </c>
      <c r="M102" s="81">
        <f>SUMIF('2.생활용수(채운)'!$C$5:$C$63,$C102,'2.생활용수(채운)'!$Q$5:$Q$63)</f>
        <v>0</v>
      </c>
      <c r="N102" s="81">
        <f>SUMIF('2.생활용수(강경)'!$C$5:$C$60,$C102,'2.생활용수(강경)'!$Q$5:$Q$60)</f>
        <v>0</v>
      </c>
      <c r="O102" s="81"/>
    </row>
    <row r="103" spans="1:15" ht="20.100000000000001" customHeight="1">
      <c r="A103" s="442" t="s">
        <v>701</v>
      </c>
      <c r="B103" s="442" t="s">
        <v>1977</v>
      </c>
      <c r="C103" s="443" t="s">
        <v>1981</v>
      </c>
      <c r="D103" s="81">
        <f t="shared" si="2"/>
        <v>122</v>
      </c>
      <c r="E103" s="81">
        <f>SUMIF('2.생활용수(광석)'!$C$5:$C$56,C103,'2.생활용수(광석)'!$Q$5:$Q$56)</f>
        <v>0</v>
      </c>
      <c r="F103" s="81">
        <f>SUMIF('2.생활용수(성동)'!$C$5:$C$60,$C103,'2.생활용수(성동)'!$Q$5:$Q$60)</f>
        <v>122</v>
      </c>
      <c r="G103" s="81">
        <f>SUMIF('2.생활용수(봉화)'!$C$5:$C$18,$C103,'2.생활용수(봉화)'!$Q$5:$Q$18)</f>
        <v>0</v>
      </c>
      <c r="H103" s="81">
        <f>SUMIF('2.생활용수(논산)'!$C$5:$C$28,$C103,'2.생활용수(논산)'!$Q$5:$Q$28)</f>
        <v>0</v>
      </c>
      <c r="I103" s="81">
        <f>SUMIF('2.생활용수(연무)'!$C$5:$C$123,$C103,'2.생활용수(연무)'!$Q$5:$Q$123)</f>
        <v>0</v>
      </c>
      <c r="J103" s="81">
        <f>SUMIF('2.생활용수(마산)'!$C$5:$C$115,$C103,'2.생활용수(마산)'!$Q$5:$Q$115)</f>
        <v>0</v>
      </c>
      <c r="K103" s="81">
        <f>SUMIF('2.생활용수(부적)'!$C$5:$C$75,$C103,'2.생활용수(부적)'!$Q$5:$Q$75)</f>
        <v>0</v>
      </c>
      <c r="L103" s="81">
        <f>SUMIF('2.생활용수(연산)'!$C$5:$C$220,$C103,'2.생활용수(연산)'!$Q$5:$Q$220)</f>
        <v>0</v>
      </c>
      <c r="M103" s="81">
        <f>SUMIF('2.생활용수(채운)'!$C$5:$C$63,$C103,'2.생활용수(채운)'!$Q$5:$Q$63)</f>
        <v>0</v>
      </c>
      <c r="N103" s="81">
        <f>SUMIF('2.생활용수(강경)'!$C$5:$C$60,$C103,'2.생활용수(강경)'!$Q$5:$Q$60)</f>
        <v>0</v>
      </c>
      <c r="O103" s="81"/>
    </row>
    <row r="104" spans="1:15" ht="20.100000000000001" customHeight="1">
      <c r="A104" s="442" t="s">
        <v>701</v>
      </c>
      <c r="B104" s="442" t="s">
        <v>1982</v>
      </c>
      <c r="C104" s="443" t="s">
        <v>1983</v>
      </c>
      <c r="D104" s="81">
        <f t="shared" si="2"/>
        <v>25</v>
      </c>
      <c r="E104" s="81">
        <f>SUMIF('2.생활용수(광석)'!$C$5:$C$56,C104,'2.생활용수(광석)'!$Q$5:$Q$56)</f>
        <v>0</v>
      </c>
      <c r="F104" s="81">
        <f>SUMIF('2.생활용수(성동)'!$C$5:$C$60,$C104,'2.생활용수(성동)'!$Q$5:$Q$60)</f>
        <v>25</v>
      </c>
      <c r="G104" s="81">
        <f>SUMIF('2.생활용수(봉화)'!$C$5:$C$18,$C104,'2.생활용수(봉화)'!$Q$5:$Q$18)</f>
        <v>0</v>
      </c>
      <c r="H104" s="81">
        <f>SUMIF('2.생활용수(논산)'!$C$5:$C$28,$C104,'2.생활용수(논산)'!$Q$5:$Q$28)</f>
        <v>0</v>
      </c>
      <c r="I104" s="81">
        <f>SUMIF('2.생활용수(연무)'!$C$5:$C$123,$C104,'2.생활용수(연무)'!$Q$5:$Q$123)</f>
        <v>0</v>
      </c>
      <c r="J104" s="81">
        <f>SUMIF('2.생활용수(마산)'!$C$5:$C$115,$C104,'2.생활용수(마산)'!$Q$5:$Q$115)</f>
        <v>0</v>
      </c>
      <c r="K104" s="81">
        <f>SUMIF('2.생활용수(부적)'!$C$5:$C$75,$C104,'2.생활용수(부적)'!$Q$5:$Q$75)</f>
        <v>0</v>
      </c>
      <c r="L104" s="81">
        <f>SUMIF('2.생활용수(연산)'!$C$5:$C$220,$C104,'2.생활용수(연산)'!$Q$5:$Q$220)</f>
        <v>0</v>
      </c>
      <c r="M104" s="81">
        <f>SUMIF('2.생활용수(채운)'!$C$5:$C$63,$C104,'2.생활용수(채운)'!$Q$5:$Q$63)</f>
        <v>0</v>
      </c>
      <c r="N104" s="81">
        <f>SUMIF('2.생활용수(강경)'!$C$5:$C$60,$C104,'2.생활용수(강경)'!$Q$5:$Q$60)</f>
        <v>0</v>
      </c>
      <c r="O104" s="81"/>
    </row>
    <row r="105" spans="1:15" ht="20.100000000000001" customHeight="1">
      <c r="A105" s="442" t="s">
        <v>701</v>
      </c>
      <c r="B105" s="442" t="s">
        <v>1982</v>
      </c>
      <c r="C105" s="443" t="s">
        <v>1984</v>
      </c>
      <c r="D105" s="81">
        <f t="shared" si="2"/>
        <v>8</v>
      </c>
      <c r="E105" s="81">
        <f>SUMIF('2.생활용수(광석)'!$C$5:$C$56,C105,'2.생활용수(광석)'!$Q$5:$Q$56)</f>
        <v>0</v>
      </c>
      <c r="F105" s="81">
        <f>SUMIF('2.생활용수(성동)'!$C$5:$C$60,$C105,'2.생활용수(성동)'!$Q$5:$Q$60)</f>
        <v>8</v>
      </c>
      <c r="G105" s="81">
        <f>SUMIF('2.생활용수(봉화)'!$C$5:$C$18,$C105,'2.생활용수(봉화)'!$Q$5:$Q$18)</f>
        <v>0</v>
      </c>
      <c r="H105" s="81">
        <f>SUMIF('2.생활용수(논산)'!$C$5:$C$28,$C105,'2.생활용수(논산)'!$Q$5:$Q$28)</f>
        <v>0</v>
      </c>
      <c r="I105" s="81">
        <f>SUMIF('2.생활용수(연무)'!$C$5:$C$123,$C105,'2.생활용수(연무)'!$Q$5:$Q$123)</f>
        <v>0</v>
      </c>
      <c r="J105" s="81">
        <f>SUMIF('2.생활용수(마산)'!$C$5:$C$115,$C105,'2.생활용수(마산)'!$Q$5:$Q$115)</f>
        <v>0</v>
      </c>
      <c r="K105" s="81">
        <f>SUMIF('2.생활용수(부적)'!$C$5:$C$75,$C105,'2.생활용수(부적)'!$Q$5:$Q$75)</f>
        <v>0</v>
      </c>
      <c r="L105" s="81">
        <f>SUMIF('2.생활용수(연산)'!$C$5:$C$220,$C105,'2.생활용수(연산)'!$Q$5:$Q$220)</f>
        <v>0</v>
      </c>
      <c r="M105" s="81">
        <f>SUMIF('2.생활용수(채운)'!$C$5:$C$63,$C105,'2.생활용수(채운)'!$Q$5:$Q$63)</f>
        <v>0</v>
      </c>
      <c r="N105" s="81">
        <f>SUMIF('2.생활용수(강경)'!$C$5:$C$60,$C105,'2.생활용수(강경)'!$Q$5:$Q$60)</f>
        <v>0</v>
      </c>
      <c r="O105" s="81"/>
    </row>
    <row r="106" spans="1:15" ht="20.100000000000001" customHeight="1">
      <c r="A106" s="442" t="s">
        <v>701</v>
      </c>
      <c r="B106" s="442" t="s">
        <v>1982</v>
      </c>
      <c r="C106" s="443" t="s">
        <v>1985</v>
      </c>
      <c r="D106" s="81">
        <f t="shared" si="2"/>
        <v>10</v>
      </c>
      <c r="E106" s="81">
        <f>SUMIF('2.생활용수(광석)'!$C$5:$C$56,C106,'2.생활용수(광석)'!$Q$5:$Q$56)</f>
        <v>0</v>
      </c>
      <c r="F106" s="81">
        <f>SUMIF('2.생활용수(성동)'!$C$5:$C$60,$C106,'2.생활용수(성동)'!$Q$5:$Q$60)</f>
        <v>10</v>
      </c>
      <c r="G106" s="81">
        <f>SUMIF('2.생활용수(봉화)'!$C$5:$C$18,$C106,'2.생활용수(봉화)'!$Q$5:$Q$18)</f>
        <v>0</v>
      </c>
      <c r="H106" s="81">
        <f>SUMIF('2.생활용수(논산)'!$C$5:$C$28,$C106,'2.생활용수(논산)'!$Q$5:$Q$28)</f>
        <v>0</v>
      </c>
      <c r="I106" s="81">
        <f>SUMIF('2.생활용수(연무)'!$C$5:$C$123,$C106,'2.생활용수(연무)'!$Q$5:$Q$123)</f>
        <v>0</v>
      </c>
      <c r="J106" s="81">
        <f>SUMIF('2.생활용수(마산)'!$C$5:$C$115,$C106,'2.생활용수(마산)'!$Q$5:$Q$115)</f>
        <v>0</v>
      </c>
      <c r="K106" s="81">
        <f>SUMIF('2.생활용수(부적)'!$C$5:$C$75,$C106,'2.생활용수(부적)'!$Q$5:$Q$75)</f>
        <v>0</v>
      </c>
      <c r="L106" s="81">
        <f>SUMIF('2.생활용수(연산)'!$C$5:$C$220,$C106,'2.생활용수(연산)'!$Q$5:$Q$220)</f>
        <v>0</v>
      </c>
      <c r="M106" s="81">
        <f>SUMIF('2.생활용수(채운)'!$C$5:$C$63,$C106,'2.생활용수(채운)'!$Q$5:$Q$63)</f>
        <v>0</v>
      </c>
      <c r="N106" s="81">
        <f>SUMIF('2.생활용수(강경)'!$C$5:$C$60,$C106,'2.생활용수(강경)'!$Q$5:$Q$60)</f>
        <v>0</v>
      </c>
      <c r="O106" s="81"/>
    </row>
    <row r="107" spans="1:15" ht="20.100000000000001" customHeight="1">
      <c r="A107" s="442" t="s">
        <v>701</v>
      </c>
      <c r="B107" s="442" t="s">
        <v>844</v>
      </c>
      <c r="C107" s="443" t="s">
        <v>1986</v>
      </c>
      <c r="D107" s="81">
        <f t="shared" si="2"/>
        <v>55</v>
      </c>
      <c r="E107" s="81">
        <f>SUMIF('2.생활용수(광석)'!$C$5:$C$56,C107,'2.생활용수(광석)'!$Q$5:$Q$56)</f>
        <v>0</v>
      </c>
      <c r="F107" s="81">
        <f>SUMIF('2.생활용수(성동)'!$C$5:$C$60,$C107,'2.생활용수(성동)'!$Q$5:$Q$60)</f>
        <v>55</v>
      </c>
      <c r="G107" s="81">
        <f>SUMIF('2.생활용수(봉화)'!$C$5:$C$18,$C107,'2.생활용수(봉화)'!$Q$5:$Q$18)</f>
        <v>0</v>
      </c>
      <c r="H107" s="81">
        <f>SUMIF('2.생활용수(논산)'!$C$5:$C$28,$C107,'2.생활용수(논산)'!$Q$5:$Q$28)</f>
        <v>0</v>
      </c>
      <c r="I107" s="81">
        <f>SUMIF('2.생활용수(연무)'!$C$5:$C$123,$C107,'2.생활용수(연무)'!$Q$5:$Q$123)</f>
        <v>0</v>
      </c>
      <c r="J107" s="81">
        <f>SUMIF('2.생활용수(마산)'!$C$5:$C$115,$C107,'2.생활용수(마산)'!$Q$5:$Q$115)</f>
        <v>0</v>
      </c>
      <c r="K107" s="81">
        <f>SUMIF('2.생활용수(부적)'!$C$5:$C$75,$C107,'2.생활용수(부적)'!$Q$5:$Q$75)</f>
        <v>0</v>
      </c>
      <c r="L107" s="81">
        <f>SUMIF('2.생활용수(연산)'!$C$5:$C$220,$C107,'2.생활용수(연산)'!$Q$5:$Q$220)</f>
        <v>0</v>
      </c>
      <c r="M107" s="81">
        <f>SUMIF('2.생활용수(채운)'!$C$5:$C$63,$C107,'2.생활용수(채운)'!$Q$5:$Q$63)</f>
        <v>0</v>
      </c>
      <c r="N107" s="81">
        <f>SUMIF('2.생활용수(강경)'!$C$5:$C$60,$C107,'2.생활용수(강경)'!$Q$5:$Q$60)</f>
        <v>0</v>
      </c>
      <c r="O107" s="81"/>
    </row>
    <row r="108" spans="1:15" ht="20.100000000000001" customHeight="1">
      <c r="A108" s="442" t="s">
        <v>701</v>
      </c>
      <c r="B108" s="442" t="s">
        <v>844</v>
      </c>
      <c r="C108" s="443" t="s">
        <v>1987</v>
      </c>
      <c r="D108" s="81">
        <f t="shared" si="2"/>
        <v>42</v>
      </c>
      <c r="E108" s="81">
        <f>SUMIF('2.생활용수(광석)'!$C$5:$C$56,C108,'2.생활용수(광석)'!$Q$5:$Q$56)</f>
        <v>0</v>
      </c>
      <c r="F108" s="81">
        <f>SUMIF('2.생활용수(성동)'!$C$5:$C$60,$C108,'2.생활용수(성동)'!$Q$5:$Q$60)</f>
        <v>42</v>
      </c>
      <c r="G108" s="81">
        <f>SUMIF('2.생활용수(봉화)'!$C$5:$C$18,$C108,'2.생활용수(봉화)'!$Q$5:$Q$18)</f>
        <v>0</v>
      </c>
      <c r="H108" s="81">
        <f>SUMIF('2.생활용수(논산)'!$C$5:$C$28,$C108,'2.생활용수(논산)'!$Q$5:$Q$28)</f>
        <v>0</v>
      </c>
      <c r="I108" s="81">
        <f>SUMIF('2.생활용수(연무)'!$C$5:$C$123,$C108,'2.생활용수(연무)'!$Q$5:$Q$123)</f>
        <v>0</v>
      </c>
      <c r="J108" s="81">
        <f>SUMIF('2.생활용수(마산)'!$C$5:$C$115,$C108,'2.생활용수(마산)'!$Q$5:$Q$115)</f>
        <v>0</v>
      </c>
      <c r="K108" s="81">
        <f>SUMIF('2.생활용수(부적)'!$C$5:$C$75,$C108,'2.생활용수(부적)'!$Q$5:$Q$75)</f>
        <v>0</v>
      </c>
      <c r="L108" s="81">
        <f>SUMIF('2.생활용수(연산)'!$C$5:$C$220,$C108,'2.생활용수(연산)'!$Q$5:$Q$220)</f>
        <v>0</v>
      </c>
      <c r="M108" s="81">
        <f>SUMIF('2.생활용수(채운)'!$C$5:$C$63,$C108,'2.생활용수(채운)'!$Q$5:$Q$63)</f>
        <v>0</v>
      </c>
      <c r="N108" s="81">
        <f>SUMIF('2.생활용수(강경)'!$C$5:$C$60,$C108,'2.생활용수(강경)'!$Q$5:$Q$60)</f>
        <v>0</v>
      </c>
      <c r="O108" s="81"/>
    </row>
    <row r="109" spans="1:15" ht="20.100000000000001" customHeight="1">
      <c r="A109" s="442" t="s">
        <v>701</v>
      </c>
      <c r="B109" s="442" t="s">
        <v>844</v>
      </c>
      <c r="C109" s="443" t="s">
        <v>1988</v>
      </c>
      <c r="D109" s="81">
        <f t="shared" si="2"/>
        <v>39</v>
      </c>
      <c r="E109" s="81">
        <f>SUMIF('2.생활용수(광석)'!$C$5:$C$56,C109,'2.생활용수(광석)'!$Q$5:$Q$56)</f>
        <v>0</v>
      </c>
      <c r="F109" s="81">
        <f>SUMIF('2.생활용수(성동)'!$C$5:$C$60,$C109,'2.생활용수(성동)'!$Q$5:$Q$60)</f>
        <v>39</v>
      </c>
      <c r="G109" s="81">
        <f>SUMIF('2.생활용수(봉화)'!$C$5:$C$18,$C109,'2.생활용수(봉화)'!$Q$5:$Q$18)</f>
        <v>0</v>
      </c>
      <c r="H109" s="81">
        <f>SUMIF('2.생활용수(논산)'!$C$5:$C$28,$C109,'2.생활용수(논산)'!$Q$5:$Q$28)</f>
        <v>0</v>
      </c>
      <c r="I109" s="81">
        <f>SUMIF('2.생활용수(연무)'!$C$5:$C$123,$C109,'2.생활용수(연무)'!$Q$5:$Q$123)</f>
        <v>0</v>
      </c>
      <c r="J109" s="81">
        <f>SUMIF('2.생활용수(마산)'!$C$5:$C$115,$C109,'2.생활용수(마산)'!$Q$5:$Q$115)</f>
        <v>0</v>
      </c>
      <c r="K109" s="81">
        <f>SUMIF('2.생활용수(부적)'!$C$5:$C$75,$C109,'2.생활용수(부적)'!$Q$5:$Q$75)</f>
        <v>0</v>
      </c>
      <c r="L109" s="81">
        <f>SUMIF('2.생활용수(연산)'!$C$5:$C$220,$C109,'2.생활용수(연산)'!$Q$5:$Q$220)</f>
        <v>0</v>
      </c>
      <c r="M109" s="81">
        <f>SUMIF('2.생활용수(채운)'!$C$5:$C$63,$C109,'2.생활용수(채운)'!$Q$5:$Q$63)</f>
        <v>0</v>
      </c>
      <c r="N109" s="81">
        <f>SUMIF('2.생활용수(강경)'!$C$5:$C$60,$C109,'2.생활용수(강경)'!$Q$5:$Q$60)</f>
        <v>0</v>
      </c>
      <c r="O109" s="81"/>
    </row>
    <row r="110" spans="1:15" ht="20.100000000000001" customHeight="1">
      <c r="A110" s="442" t="s">
        <v>701</v>
      </c>
      <c r="B110" s="442" t="s">
        <v>845</v>
      </c>
      <c r="C110" s="443" t="s">
        <v>1989</v>
      </c>
      <c r="D110" s="81">
        <f t="shared" si="2"/>
        <v>48</v>
      </c>
      <c r="E110" s="81">
        <f>SUMIF('2.생활용수(광석)'!$C$5:$C$56,C110,'2.생활용수(광석)'!$Q$5:$Q$56)</f>
        <v>0</v>
      </c>
      <c r="F110" s="81">
        <f>SUMIF('2.생활용수(성동)'!$C$5:$C$60,$C110,'2.생활용수(성동)'!$Q$5:$Q$60)</f>
        <v>48</v>
      </c>
      <c r="G110" s="81">
        <f>SUMIF('2.생활용수(봉화)'!$C$5:$C$18,$C110,'2.생활용수(봉화)'!$Q$5:$Q$18)</f>
        <v>0</v>
      </c>
      <c r="H110" s="81">
        <f>SUMIF('2.생활용수(논산)'!$C$5:$C$28,$C110,'2.생활용수(논산)'!$Q$5:$Q$28)</f>
        <v>0</v>
      </c>
      <c r="I110" s="81">
        <f>SUMIF('2.생활용수(연무)'!$C$5:$C$123,$C110,'2.생활용수(연무)'!$Q$5:$Q$123)</f>
        <v>0</v>
      </c>
      <c r="J110" s="81">
        <f>SUMIF('2.생활용수(마산)'!$C$5:$C$115,$C110,'2.생활용수(마산)'!$Q$5:$Q$115)</f>
        <v>0</v>
      </c>
      <c r="K110" s="81">
        <f>SUMIF('2.생활용수(부적)'!$C$5:$C$75,$C110,'2.생활용수(부적)'!$Q$5:$Q$75)</f>
        <v>0</v>
      </c>
      <c r="L110" s="81">
        <f>SUMIF('2.생활용수(연산)'!$C$5:$C$220,$C110,'2.생활용수(연산)'!$Q$5:$Q$220)</f>
        <v>0</v>
      </c>
      <c r="M110" s="81">
        <f>SUMIF('2.생활용수(채운)'!$C$5:$C$63,$C110,'2.생활용수(채운)'!$Q$5:$Q$63)</f>
        <v>0</v>
      </c>
      <c r="N110" s="81">
        <f>SUMIF('2.생활용수(강경)'!$C$5:$C$60,$C110,'2.생활용수(강경)'!$Q$5:$Q$60)</f>
        <v>0</v>
      </c>
      <c r="O110" s="81"/>
    </row>
    <row r="111" spans="1:15" ht="20.100000000000001" customHeight="1">
      <c r="A111" s="442" t="s">
        <v>701</v>
      </c>
      <c r="B111" s="442" t="s">
        <v>845</v>
      </c>
      <c r="C111" s="443" t="s">
        <v>1990</v>
      </c>
      <c r="D111" s="81">
        <f t="shared" si="2"/>
        <v>30</v>
      </c>
      <c r="E111" s="81">
        <f>SUMIF('2.생활용수(광석)'!$C$5:$C$56,C111,'2.생활용수(광석)'!$Q$5:$Q$56)</f>
        <v>0</v>
      </c>
      <c r="F111" s="81">
        <f>SUMIF('2.생활용수(성동)'!$C$5:$C$60,$C111,'2.생활용수(성동)'!$Q$5:$Q$60)</f>
        <v>30</v>
      </c>
      <c r="G111" s="81">
        <f>SUMIF('2.생활용수(봉화)'!$C$5:$C$18,$C111,'2.생활용수(봉화)'!$Q$5:$Q$18)</f>
        <v>0</v>
      </c>
      <c r="H111" s="81">
        <f>SUMIF('2.생활용수(논산)'!$C$5:$C$28,$C111,'2.생활용수(논산)'!$Q$5:$Q$28)</f>
        <v>0</v>
      </c>
      <c r="I111" s="81">
        <f>SUMIF('2.생활용수(연무)'!$C$5:$C$123,$C111,'2.생활용수(연무)'!$Q$5:$Q$123)</f>
        <v>0</v>
      </c>
      <c r="J111" s="81">
        <f>SUMIF('2.생활용수(마산)'!$C$5:$C$115,$C111,'2.생활용수(마산)'!$Q$5:$Q$115)</f>
        <v>0</v>
      </c>
      <c r="K111" s="81">
        <f>SUMIF('2.생활용수(부적)'!$C$5:$C$75,$C111,'2.생활용수(부적)'!$Q$5:$Q$75)</f>
        <v>0</v>
      </c>
      <c r="L111" s="81">
        <f>SUMIF('2.생활용수(연산)'!$C$5:$C$220,$C111,'2.생활용수(연산)'!$Q$5:$Q$220)</f>
        <v>0</v>
      </c>
      <c r="M111" s="81">
        <f>SUMIF('2.생활용수(채운)'!$C$5:$C$63,$C111,'2.생활용수(채운)'!$Q$5:$Q$63)</f>
        <v>0</v>
      </c>
      <c r="N111" s="81">
        <f>SUMIF('2.생활용수(강경)'!$C$5:$C$60,$C111,'2.생활용수(강경)'!$Q$5:$Q$60)</f>
        <v>0</v>
      </c>
      <c r="O111" s="81"/>
    </row>
    <row r="112" spans="1:15" ht="20.100000000000001" customHeight="1">
      <c r="A112" s="442" t="s">
        <v>701</v>
      </c>
      <c r="B112" s="442" t="s">
        <v>845</v>
      </c>
      <c r="C112" s="443" t="s">
        <v>1991</v>
      </c>
      <c r="D112" s="81">
        <f t="shared" si="2"/>
        <v>37</v>
      </c>
      <c r="E112" s="81">
        <f>SUMIF('2.생활용수(광석)'!$C$5:$C$56,C112,'2.생활용수(광석)'!$Q$5:$Q$56)</f>
        <v>0</v>
      </c>
      <c r="F112" s="81">
        <f>SUMIF('2.생활용수(성동)'!$C$5:$C$60,$C112,'2.생활용수(성동)'!$Q$5:$Q$60)</f>
        <v>37</v>
      </c>
      <c r="G112" s="81">
        <f>SUMIF('2.생활용수(봉화)'!$C$5:$C$18,$C112,'2.생활용수(봉화)'!$Q$5:$Q$18)</f>
        <v>0</v>
      </c>
      <c r="H112" s="81">
        <f>SUMIF('2.생활용수(논산)'!$C$5:$C$28,$C112,'2.생활용수(논산)'!$Q$5:$Q$28)</f>
        <v>0</v>
      </c>
      <c r="I112" s="81">
        <f>SUMIF('2.생활용수(연무)'!$C$5:$C$123,$C112,'2.생활용수(연무)'!$Q$5:$Q$123)</f>
        <v>0</v>
      </c>
      <c r="J112" s="81">
        <f>SUMIF('2.생활용수(마산)'!$C$5:$C$115,$C112,'2.생활용수(마산)'!$Q$5:$Q$115)</f>
        <v>0</v>
      </c>
      <c r="K112" s="81">
        <f>SUMIF('2.생활용수(부적)'!$C$5:$C$75,$C112,'2.생활용수(부적)'!$Q$5:$Q$75)</f>
        <v>0</v>
      </c>
      <c r="L112" s="81">
        <f>SUMIF('2.생활용수(연산)'!$C$5:$C$220,$C112,'2.생활용수(연산)'!$Q$5:$Q$220)</f>
        <v>0</v>
      </c>
      <c r="M112" s="81">
        <f>SUMIF('2.생활용수(채운)'!$C$5:$C$63,$C112,'2.생활용수(채운)'!$Q$5:$Q$63)</f>
        <v>0</v>
      </c>
      <c r="N112" s="81">
        <f>SUMIF('2.생활용수(강경)'!$C$5:$C$60,$C112,'2.생활용수(강경)'!$Q$5:$Q$60)</f>
        <v>0</v>
      </c>
      <c r="O112" s="81"/>
    </row>
    <row r="113" spans="1:15" ht="20.100000000000001" customHeight="1">
      <c r="A113" s="442" t="s">
        <v>701</v>
      </c>
      <c r="B113" s="442" t="s">
        <v>845</v>
      </c>
      <c r="C113" s="443" t="s">
        <v>1992</v>
      </c>
      <c r="D113" s="81">
        <f t="shared" si="2"/>
        <v>24</v>
      </c>
      <c r="E113" s="81">
        <f>SUMIF('2.생활용수(광석)'!$C$5:$C$56,C113,'2.생활용수(광석)'!$Q$5:$Q$56)</f>
        <v>0</v>
      </c>
      <c r="F113" s="81">
        <f>SUMIF('2.생활용수(성동)'!$C$5:$C$60,$C113,'2.생활용수(성동)'!$Q$5:$Q$60)</f>
        <v>24</v>
      </c>
      <c r="G113" s="81">
        <f>SUMIF('2.생활용수(봉화)'!$C$5:$C$18,$C113,'2.생활용수(봉화)'!$Q$5:$Q$18)</f>
        <v>0</v>
      </c>
      <c r="H113" s="81">
        <f>SUMIF('2.생활용수(논산)'!$C$5:$C$28,$C113,'2.생활용수(논산)'!$Q$5:$Q$28)</f>
        <v>0</v>
      </c>
      <c r="I113" s="81">
        <f>SUMIF('2.생활용수(연무)'!$C$5:$C$123,$C113,'2.생활용수(연무)'!$Q$5:$Q$123)</f>
        <v>0</v>
      </c>
      <c r="J113" s="81">
        <f>SUMIF('2.생활용수(마산)'!$C$5:$C$115,$C113,'2.생활용수(마산)'!$Q$5:$Q$115)</f>
        <v>0</v>
      </c>
      <c r="K113" s="81">
        <f>SUMIF('2.생활용수(부적)'!$C$5:$C$75,$C113,'2.생활용수(부적)'!$Q$5:$Q$75)</f>
        <v>0</v>
      </c>
      <c r="L113" s="81">
        <f>SUMIF('2.생활용수(연산)'!$C$5:$C$220,$C113,'2.생활용수(연산)'!$Q$5:$Q$220)</f>
        <v>0</v>
      </c>
      <c r="M113" s="81">
        <f>SUMIF('2.생활용수(채운)'!$C$5:$C$63,$C113,'2.생활용수(채운)'!$Q$5:$Q$63)</f>
        <v>0</v>
      </c>
      <c r="N113" s="81">
        <f>SUMIF('2.생활용수(강경)'!$C$5:$C$60,$C113,'2.생활용수(강경)'!$Q$5:$Q$60)</f>
        <v>0</v>
      </c>
      <c r="O113" s="81"/>
    </row>
    <row r="114" spans="1:15" ht="20.100000000000001" customHeight="1">
      <c r="A114" s="442" t="s">
        <v>701</v>
      </c>
      <c r="B114" s="442" t="s">
        <v>846</v>
      </c>
      <c r="C114" s="443" t="s">
        <v>1993</v>
      </c>
      <c r="D114" s="81">
        <f t="shared" si="2"/>
        <v>38</v>
      </c>
      <c r="E114" s="81">
        <f>SUMIF('2.생활용수(광석)'!$C$5:$C$56,C114,'2.생활용수(광석)'!$Q$5:$Q$56)</f>
        <v>0</v>
      </c>
      <c r="F114" s="81">
        <f>SUMIF('2.생활용수(성동)'!$C$5:$C$60,$C114,'2.생활용수(성동)'!$Q$5:$Q$60)</f>
        <v>38</v>
      </c>
      <c r="G114" s="81">
        <f>SUMIF('2.생활용수(봉화)'!$C$5:$C$18,$C114,'2.생활용수(봉화)'!$Q$5:$Q$18)</f>
        <v>0</v>
      </c>
      <c r="H114" s="81">
        <f>SUMIF('2.생활용수(논산)'!$C$5:$C$28,$C114,'2.생활용수(논산)'!$Q$5:$Q$28)</f>
        <v>0</v>
      </c>
      <c r="I114" s="81">
        <f>SUMIF('2.생활용수(연무)'!$C$5:$C$123,$C114,'2.생활용수(연무)'!$Q$5:$Q$123)</f>
        <v>0</v>
      </c>
      <c r="J114" s="81">
        <f>SUMIF('2.생활용수(마산)'!$C$5:$C$115,$C114,'2.생활용수(마산)'!$Q$5:$Q$115)</f>
        <v>0</v>
      </c>
      <c r="K114" s="81">
        <f>SUMIF('2.생활용수(부적)'!$C$5:$C$75,$C114,'2.생활용수(부적)'!$Q$5:$Q$75)</f>
        <v>0</v>
      </c>
      <c r="L114" s="81">
        <f>SUMIF('2.생활용수(연산)'!$C$5:$C$220,$C114,'2.생활용수(연산)'!$Q$5:$Q$220)</f>
        <v>0</v>
      </c>
      <c r="M114" s="81">
        <f>SUMIF('2.생활용수(채운)'!$C$5:$C$63,$C114,'2.생활용수(채운)'!$Q$5:$Q$63)</f>
        <v>0</v>
      </c>
      <c r="N114" s="81">
        <f>SUMIF('2.생활용수(강경)'!$C$5:$C$60,$C114,'2.생활용수(강경)'!$Q$5:$Q$60)</f>
        <v>0</v>
      </c>
      <c r="O114" s="81"/>
    </row>
    <row r="115" spans="1:15" ht="20.100000000000001" customHeight="1">
      <c r="A115" s="442" t="s">
        <v>701</v>
      </c>
      <c r="B115" s="442" t="s">
        <v>846</v>
      </c>
      <c r="C115" s="443" t="s">
        <v>1994</v>
      </c>
      <c r="D115" s="81">
        <f t="shared" si="2"/>
        <v>41</v>
      </c>
      <c r="E115" s="81">
        <f>SUMIF('2.생활용수(광석)'!$C$5:$C$56,C115,'2.생활용수(광석)'!$Q$5:$Q$56)</f>
        <v>0</v>
      </c>
      <c r="F115" s="81">
        <f>SUMIF('2.생활용수(성동)'!$C$5:$C$60,$C115,'2.생활용수(성동)'!$Q$5:$Q$60)</f>
        <v>41</v>
      </c>
      <c r="G115" s="81">
        <f>SUMIF('2.생활용수(봉화)'!$C$5:$C$18,$C115,'2.생활용수(봉화)'!$Q$5:$Q$18)</f>
        <v>0</v>
      </c>
      <c r="H115" s="81">
        <f>SUMIF('2.생활용수(논산)'!$C$5:$C$28,$C115,'2.생활용수(논산)'!$Q$5:$Q$28)</f>
        <v>0</v>
      </c>
      <c r="I115" s="81">
        <f>SUMIF('2.생활용수(연무)'!$C$5:$C$123,$C115,'2.생활용수(연무)'!$Q$5:$Q$123)</f>
        <v>0</v>
      </c>
      <c r="J115" s="81">
        <f>SUMIF('2.생활용수(마산)'!$C$5:$C$115,$C115,'2.생활용수(마산)'!$Q$5:$Q$115)</f>
        <v>0</v>
      </c>
      <c r="K115" s="81">
        <f>SUMIF('2.생활용수(부적)'!$C$5:$C$75,$C115,'2.생활용수(부적)'!$Q$5:$Q$75)</f>
        <v>0</v>
      </c>
      <c r="L115" s="81">
        <f>SUMIF('2.생활용수(연산)'!$C$5:$C$220,$C115,'2.생활용수(연산)'!$Q$5:$Q$220)</f>
        <v>0</v>
      </c>
      <c r="M115" s="81">
        <f>SUMIF('2.생활용수(채운)'!$C$5:$C$63,$C115,'2.생활용수(채운)'!$Q$5:$Q$63)</f>
        <v>0</v>
      </c>
      <c r="N115" s="81">
        <f>SUMIF('2.생활용수(강경)'!$C$5:$C$60,$C115,'2.생활용수(강경)'!$Q$5:$Q$60)</f>
        <v>0</v>
      </c>
      <c r="O115" s="81"/>
    </row>
    <row r="116" spans="1:15" ht="20.100000000000001" customHeight="1">
      <c r="A116" s="442" t="s">
        <v>701</v>
      </c>
      <c r="B116" s="442" t="s">
        <v>846</v>
      </c>
      <c r="C116" s="443" t="s">
        <v>1995</v>
      </c>
      <c r="D116" s="81">
        <f t="shared" si="2"/>
        <v>49</v>
      </c>
      <c r="E116" s="81">
        <f>SUMIF('2.생활용수(광석)'!$C$5:$C$56,C116,'2.생활용수(광석)'!$Q$5:$Q$56)</f>
        <v>0</v>
      </c>
      <c r="F116" s="81">
        <f>SUMIF('2.생활용수(성동)'!$C$5:$C$60,$C116,'2.생활용수(성동)'!$Q$5:$Q$60)</f>
        <v>49</v>
      </c>
      <c r="G116" s="81">
        <f>SUMIF('2.생활용수(봉화)'!$C$5:$C$18,$C116,'2.생활용수(봉화)'!$Q$5:$Q$18)</f>
        <v>0</v>
      </c>
      <c r="H116" s="81">
        <f>SUMIF('2.생활용수(논산)'!$C$5:$C$28,$C116,'2.생활용수(논산)'!$Q$5:$Q$28)</f>
        <v>0</v>
      </c>
      <c r="I116" s="81">
        <f>SUMIF('2.생활용수(연무)'!$C$5:$C$123,$C116,'2.생활용수(연무)'!$Q$5:$Q$123)</f>
        <v>0</v>
      </c>
      <c r="J116" s="81">
        <f>SUMIF('2.생활용수(마산)'!$C$5:$C$115,$C116,'2.생활용수(마산)'!$Q$5:$Q$115)</f>
        <v>0</v>
      </c>
      <c r="K116" s="81">
        <f>SUMIF('2.생활용수(부적)'!$C$5:$C$75,$C116,'2.생활용수(부적)'!$Q$5:$Q$75)</f>
        <v>0</v>
      </c>
      <c r="L116" s="81">
        <f>SUMIF('2.생활용수(연산)'!$C$5:$C$220,$C116,'2.생활용수(연산)'!$Q$5:$Q$220)</f>
        <v>0</v>
      </c>
      <c r="M116" s="81">
        <f>SUMIF('2.생활용수(채운)'!$C$5:$C$63,$C116,'2.생활용수(채운)'!$Q$5:$Q$63)</f>
        <v>0</v>
      </c>
      <c r="N116" s="81">
        <f>SUMIF('2.생활용수(강경)'!$C$5:$C$60,$C116,'2.생활용수(강경)'!$Q$5:$Q$60)</f>
        <v>0</v>
      </c>
      <c r="O116" s="81"/>
    </row>
    <row r="117" spans="1:15" ht="20.100000000000001" customHeight="1">
      <c r="A117" s="442" t="s">
        <v>701</v>
      </c>
      <c r="B117" s="442" t="s">
        <v>846</v>
      </c>
      <c r="C117" s="443" t="s">
        <v>1996</v>
      </c>
      <c r="D117" s="81">
        <f t="shared" si="2"/>
        <v>44</v>
      </c>
      <c r="E117" s="81">
        <f>SUMIF('2.생활용수(광석)'!$C$5:$C$56,C117,'2.생활용수(광석)'!$Q$5:$Q$56)</f>
        <v>0</v>
      </c>
      <c r="F117" s="81">
        <f>SUMIF('2.생활용수(성동)'!$C$5:$C$60,$C117,'2.생활용수(성동)'!$Q$5:$Q$60)</f>
        <v>44</v>
      </c>
      <c r="G117" s="81">
        <f>SUMIF('2.생활용수(봉화)'!$C$5:$C$18,$C117,'2.생활용수(봉화)'!$Q$5:$Q$18)</f>
        <v>0</v>
      </c>
      <c r="H117" s="81">
        <f>SUMIF('2.생활용수(논산)'!$C$5:$C$28,$C117,'2.생활용수(논산)'!$Q$5:$Q$28)</f>
        <v>0</v>
      </c>
      <c r="I117" s="81">
        <f>SUMIF('2.생활용수(연무)'!$C$5:$C$123,$C117,'2.생활용수(연무)'!$Q$5:$Q$123)</f>
        <v>0</v>
      </c>
      <c r="J117" s="81">
        <f>SUMIF('2.생활용수(마산)'!$C$5:$C$115,$C117,'2.생활용수(마산)'!$Q$5:$Q$115)</f>
        <v>0</v>
      </c>
      <c r="K117" s="81">
        <f>SUMIF('2.생활용수(부적)'!$C$5:$C$75,$C117,'2.생활용수(부적)'!$Q$5:$Q$75)</f>
        <v>0</v>
      </c>
      <c r="L117" s="81">
        <f>SUMIF('2.생활용수(연산)'!$C$5:$C$220,$C117,'2.생활용수(연산)'!$Q$5:$Q$220)</f>
        <v>0</v>
      </c>
      <c r="M117" s="81">
        <f>SUMIF('2.생활용수(채운)'!$C$5:$C$63,$C117,'2.생활용수(채운)'!$Q$5:$Q$63)</f>
        <v>0</v>
      </c>
      <c r="N117" s="81">
        <f>SUMIF('2.생활용수(강경)'!$C$5:$C$60,$C117,'2.생활용수(강경)'!$Q$5:$Q$60)</f>
        <v>0</v>
      </c>
      <c r="O117" s="81"/>
    </row>
    <row r="118" spans="1:15" ht="20.100000000000001" customHeight="1">
      <c r="A118" s="442" t="s">
        <v>701</v>
      </c>
      <c r="B118" s="433" t="s">
        <v>1169</v>
      </c>
      <c r="C118" s="443" t="s">
        <v>1668</v>
      </c>
      <c r="D118" s="81">
        <f t="shared" si="2"/>
        <v>0</v>
      </c>
      <c r="E118" s="81">
        <f>SUMIF('2.생활용수(광석)'!$C$5:$C$56,C118,'2.생활용수(광석)'!$Q$5:$Q$56)</f>
        <v>0</v>
      </c>
      <c r="F118" s="81">
        <f>SUMIF('2.생활용수(성동)'!$C$5:$C$60,$C118,'2.생활용수(성동)'!$Q$5:$Q$60)</f>
        <v>0</v>
      </c>
      <c r="G118" s="81">
        <f>SUMIF('2.생활용수(봉화)'!$C$5:$C$18,$C118,'2.생활용수(봉화)'!$Q$5:$Q$18)</f>
        <v>0</v>
      </c>
      <c r="H118" s="81">
        <f>SUMIF('2.생활용수(논산)'!$C$5:$C$28,$C118,'2.생활용수(논산)'!$Q$5:$Q$28)</f>
        <v>0</v>
      </c>
      <c r="I118" s="81">
        <f>SUMIF('2.생활용수(연무)'!$C$5:$C$123,$C118,'2.생활용수(연무)'!$Q$5:$Q$123)</f>
        <v>0</v>
      </c>
      <c r="J118" s="81">
        <f>SUMIF('2.생활용수(마산)'!$C$5:$C$115,$C118,'2.생활용수(마산)'!$Q$5:$Q$115)</f>
        <v>0</v>
      </c>
      <c r="K118" s="81">
        <f>SUMIF('2.생활용수(부적)'!$C$5:$C$75,$C118,'2.생활용수(부적)'!$Q$5:$Q$75)</f>
        <v>0</v>
      </c>
      <c r="L118" s="81">
        <f>SUMIF('2.생활용수(연산)'!$C$5:$C$220,$C118,'2.생활용수(연산)'!$Q$5:$Q$220)</f>
        <v>0</v>
      </c>
      <c r="M118" s="81">
        <f>SUMIF('2.생활용수(채운)'!$C$5:$C$63,$C118,'2.생활용수(채운)'!$Q$5:$Q$63)</f>
        <v>0</v>
      </c>
      <c r="N118" s="81">
        <f>SUMIF('2.생활용수(강경)'!$C$5:$C$60,$C118,'2.생활용수(강경)'!$Q$5:$Q$60)</f>
        <v>0</v>
      </c>
      <c r="O118" s="81"/>
    </row>
    <row r="119" spans="1:15" ht="20.100000000000001" customHeight="1">
      <c r="A119" s="442" t="s">
        <v>701</v>
      </c>
      <c r="B119" s="433" t="s">
        <v>1169</v>
      </c>
      <c r="C119" s="443" t="s">
        <v>1669</v>
      </c>
      <c r="D119" s="81">
        <f t="shared" si="2"/>
        <v>12</v>
      </c>
      <c r="E119" s="81">
        <f>SUMIF('2.생활용수(광석)'!$C$5:$C$56,C119,'2.생활용수(광석)'!$Q$5:$Q$56)</f>
        <v>0</v>
      </c>
      <c r="F119" s="81">
        <f>SUMIF('2.생활용수(성동)'!$C$5:$C$60,$C119,'2.생활용수(성동)'!$Q$5:$Q$60)</f>
        <v>12</v>
      </c>
      <c r="G119" s="81">
        <f>SUMIF('2.생활용수(봉화)'!$C$5:$C$18,$C119,'2.생활용수(봉화)'!$Q$5:$Q$18)</f>
        <v>0</v>
      </c>
      <c r="H119" s="81">
        <f>SUMIF('2.생활용수(논산)'!$C$5:$C$28,$C119,'2.생활용수(논산)'!$Q$5:$Q$28)</f>
        <v>0</v>
      </c>
      <c r="I119" s="81">
        <f>SUMIF('2.생활용수(연무)'!$C$5:$C$123,$C119,'2.생활용수(연무)'!$Q$5:$Q$123)</f>
        <v>0</v>
      </c>
      <c r="J119" s="81">
        <f>SUMIF('2.생활용수(마산)'!$C$5:$C$115,$C119,'2.생활용수(마산)'!$Q$5:$Q$115)</f>
        <v>0</v>
      </c>
      <c r="K119" s="81">
        <f>SUMIF('2.생활용수(부적)'!$C$5:$C$75,$C119,'2.생활용수(부적)'!$Q$5:$Q$75)</f>
        <v>0</v>
      </c>
      <c r="L119" s="81">
        <f>SUMIF('2.생활용수(연산)'!$C$5:$C$220,$C119,'2.생활용수(연산)'!$Q$5:$Q$220)</f>
        <v>0</v>
      </c>
      <c r="M119" s="81">
        <f>SUMIF('2.생활용수(채운)'!$C$5:$C$63,$C119,'2.생활용수(채운)'!$Q$5:$Q$63)</f>
        <v>0</v>
      </c>
      <c r="N119" s="81">
        <f>SUMIF('2.생활용수(강경)'!$C$5:$C$60,$C119,'2.생활용수(강경)'!$Q$5:$Q$60)</f>
        <v>0</v>
      </c>
      <c r="O119" s="81"/>
    </row>
    <row r="120" spans="1:15" ht="20.100000000000001" customHeight="1">
      <c r="A120" s="442" t="s">
        <v>701</v>
      </c>
      <c r="B120" s="442" t="s">
        <v>1997</v>
      </c>
      <c r="C120" s="443" t="s">
        <v>1998</v>
      </c>
      <c r="D120" s="81">
        <f t="shared" si="2"/>
        <v>35</v>
      </c>
      <c r="E120" s="81">
        <f>SUMIF('2.생활용수(광석)'!$C$5:$C$56,C120,'2.생활용수(광석)'!$Q$5:$Q$56)</f>
        <v>0</v>
      </c>
      <c r="F120" s="81">
        <f>SUMIF('2.생활용수(성동)'!$C$5:$C$60,$C120,'2.생활용수(성동)'!$Q$5:$Q$60)</f>
        <v>35</v>
      </c>
      <c r="G120" s="81">
        <f>SUMIF('2.생활용수(봉화)'!$C$5:$C$18,$C120,'2.생활용수(봉화)'!$Q$5:$Q$18)</f>
        <v>0</v>
      </c>
      <c r="H120" s="81">
        <f>SUMIF('2.생활용수(논산)'!$C$5:$C$28,$C120,'2.생활용수(논산)'!$Q$5:$Q$28)</f>
        <v>0</v>
      </c>
      <c r="I120" s="81">
        <f>SUMIF('2.생활용수(연무)'!$C$5:$C$123,$C120,'2.생활용수(연무)'!$Q$5:$Q$123)</f>
        <v>0</v>
      </c>
      <c r="J120" s="81">
        <f>SUMIF('2.생활용수(마산)'!$C$5:$C$115,$C120,'2.생활용수(마산)'!$Q$5:$Q$115)</f>
        <v>0</v>
      </c>
      <c r="K120" s="81">
        <f>SUMIF('2.생활용수(부적)'!$C$5:$C$75,$C120,'2.생활용수(부적)'!$Q$5:$Q$75)</f>
        <v>0</v>
      </c>
      <c r="L120" s="81">
        <f>SUMIF('2.생활용수(연산)'!$C$5:$C$220,$C120,'2.생활용수(연산)'!$Q$5:$Q$220)</f>
        <v>0</v>
      </c>
      <c r="M120" s="81">
        <f>SUMIF('2.생활용수(채운)'!$C$5:$C$63,$C120,'2.생활용수(채운)'!$Q$5:$Q$63)</f>
        <v>0</v>
      </c>
      <c r="N120" s="81">
        <f>SUMIF('2.생활용수(강경)'!$C$5:$C$60,$C120,'2.생활용수(강경)'!$Q$5:$Q$60)</f>
        <v>0</v>
      </c>
      <c r="O120" s="81"/>
    </row>
    <row r="121" spans="1:15" ht="20.100000000000001" customHeight="1">
      <c r="A121" s="442" t="s">
        <v>702</v>
      </c>
      <c r="B121" s="442" t="s">
        <v>849</v>
      </c>
      <c r="C121" s="443" t="s">
        <v>1999</v>
      </c>
      <c r="D121" s="81">
        <f t="shared" si="2"/>
        <v>36</v>
      </c>
      <c r="E121" s="81">
        <f>SUMIF('2.생활용수(광석)'!$C$5:$C$56,C121,'2.생활용수(광석)'!$Q$5:$Q$56)</f>
        <v>36</v>
      </c>
      <c r="F121" s="81">
        <f>SUMIF('2.생활용수(성동)'!$C$5:$C$60,$C121,'2.생활용수(성동)'!$Q$5:$Q$60)</f>
        <v>0</v>
      </c>
      <c r="G121" s="81">
        <f>SUMIF('2.생활용수(봉화)'!$C$5:$C$18,$C121,'2.생활용수(봉화)'!$Q$5:$Q$18)</f>
        <v>0</v>
      </c>
      <c r="H121" s="81">
        <f>SUMIF('2.생활용수(논산)'!$C$5:$C$28,$C121,'2.생활용수(논산)'!$Q$5:$Q$28)</f>
        <v>0</v>
      </c>
      <c r="I121" s="81">
        <f>SUMIF('2.생활용수(연무)'!$C$5:$C$123,$C121,'2.생활용수(연무)'!$Q$5:$Q$123)</f>
        <v>0</v>
      </c>
      <c r="J121" s="81">
        <f>SUMIF('2.생활용수(마산)'!$C$5:$C$115,$C121,'2.생활용수(마산)'!$Q$5:$Q$115)</f>
        <v>0</v>
      </c>
      <c r="K121" s="81">
        <f>SUMIF('2.생활용수(부적)'!$C$5:$C$75,$C121,'2.생활용수(부적)'!$Q$5:$Q$75)</f>
        <v>0</v>
      </c>
      <c r="L121" s="81">
        <f>SUMIF('2.생활용수(연산)'!$C$5:$C$220,$C121,'2.생활용수(연산)'!$Q$5:$Q$220)</f>
        <v>0</v>
      </c>
      <c r="M121" s="81">
        <f>SUMIF('2.생활용수(채운)'!$C$5:$C$63,$C121,'2.생활용수(채운)'!$Q$5:$Q$63)</f>
        <v>0</v>
      </c>
      <c r="N121" s="81">
        <f>SUMIF('2.생활용수(강경)'!$C$5:$C$60,$C121,'2.생활용수(강경)'!$Q$5:$Q$60)</f>
        <v>0</v>
      </c>
      <c r="O121" s="81"/>
    </row>
    <row r="122" spans="1:15" ht="20.100000000000001" customHeight="1">
      <c r="A122" s="442" t="s">
        <v>702</v>
      </c>
      <c r="B122" s="442" t="s">
        <v>849</v>
      </c>
      <c r="C122" s="443" t="s">
        <v>2000</v>
      </c>
      <c r="D122" s="81">
        <f t="shared" si="2"/>
        <v>20</v>
      </c>
      <c r="E122" s="81">
        <f>SUMIF('2.생활용수(광석)'!$C$5:$C$56,C122,'2.생활용수(광석)'!$Q$5:$Q$56)</f>
        <v>20</v>
      </c>
      <c r="F122" s="81">
        <f>SUMIF('2.생활용수(성동)'!$C$5:$C$60,$C122,'2.생활용수(성동)'!$Q$5:$Q$60)</f>
        <v>0</v>
      </c>
      <c r="G122" s="81">
        <f>SUMIF('2.생활용수(봉화)'!$C$5:$C$18,$C122,'2.생활용수(봉화)'!$Q$5:$Q$18)</f>
        <v>0</v>
      </c>
      <c r="H122" s="81">
        <f>SUMIF('2.생활용수(논산)'!$C$5:$C$28,$C122,'2.생활용수(논산)'!$Q$5:$Q$28)</f>
        <v>0</v>
      </c>
      <c r="I122" s="81">
        <f>SUMIF('2.생활용수(연무)'!$C$5:$C$123,$C122,'2.생활용수(연무)'!$Q$5:$Q$123)</f>
        <v>0</v>
      </c>
      <c r="J122" s="81">
        <f>SUMIF('2.생활용수(마산)'!$C$5:$C$115,$C122,'2.생활용수(마산)'!$Q$5:$Q$115)</f>
        <v>0</v>
      </c>
      <c r="K122" s="81">
        <f>SUMIF('2.생활용수(부적)'!$C$5:$C$75,$C122,'2.생활용수(부적)'!$Q$5:$Q$75)</f>
        <v>0</v>
      </c>
      <c r="L122" s="81">
        <f>SUMIF('2.생활용수(연산)'!$C$5:$C$220,$C122,'2.생활용수(연산)'!$Q$5:$Q$220)</f>
        <v>0</v>
      </c>
      <c r="M122" s="81">
        <f>SUMIF('2.생활용수(채운)'!$C$5:$C$63,$C122,'2.생활용수(채운)'!$Q$5:$Q$63)</f>
        <v>0</v>
      </c>
      <c r="N122" s="81">
        <f>SUMIF('2.생활용수(강경)'!$C$5:$C$60,$C122,'2.생활용수(강경)'!$Q$5:$Q$60)</f>
        <v>0</v>
      </c>
      <c r="O122" s="81"/>
    </row>
    <row r="123" spans="1:15" ht="20.100000000000001" customHeight="1">
      <c r="A123" s="442" t="s">
        <v>702</v>
      </c>
      <c r="B123" s="442" t="s">
        <v>849</v>
      </c>
      <c r="C123" s="443" t="s">
        <v>2001</v>
      </c>
      <c r="D123" s="81">
        <f t="shared" si="2"/>
        <v>19</v>
      </c>
      <c r="E123" s="81">
        <f>SUMIF('2.생활용수(광석)'!$C$5:$C$56,C123,'2.생활용수(광석)'!$Q$5:$Q$56)</f>
        <v>19</v>
      </c>
      <c r="F123" s="81">
        <f>SUMIF('2.생활용수(성동)'!$C$5:$C$60,$C123,'2.생활용수(성동)'!$Q$5:$Q$60)</f>
        <v>0</v>
      </c>
      <c r="G123" s="81">
        <f>SUMIF('2.생활용수(봉화)'!$C$5:$C$18,$C123,'2.생활용수(봉화)'!$Q$5:$Q$18)</f>
        <v>0</v>
      </c>
      <c r="H123" s="81">
        <f>SUMIF('2.생활용수(논산)'!$C$5:$C$28,$C123,'2.생활용수(논산)'!$Q$5:$Q$28)</f>
        <v>0</v>
      </c>
      <c r="I123" s="81">
        <f>SUMIF('2.생활용수(연무)'!$C$5:$C$123,$C123,'2.생활용수(연무)'!$Q$5:$Q$123)</f>
        <v>0</v>
      </c>
      <c r="J123" s="81">
        <f>SUMIF('2.생활용수(마산)'!$C$5:$C$115,$C123,'2.생활용수(마산)'!$Q$5:$Q$115)</f>
        <v>0</v>
      </c>
      <c r="K123" s="81">
        <f>SUMIF('2.생활용수(부적)'!$C$5:$C$75,$C123,'2.생활용수(부적)'!$Q$5:$Q$75)</f>
        <v>0</v>
      </c>
      <c r="L123" s="81">
        <f>SUMIF('2.생활용수(연산)'!$C$5:$C$220,$C123,'2.생활용수(연산)'!$Q$5:$Q$220)</f>
        <v>0</v>
      </c>
      <c r="M123" s="81">
        <f>SUMIF('2.생활용수(채운)'!$C$5:$C$63,$C123,'2.생활용수(채운)'!$Q$5:$Q$63)</f>
        <v>0</v>
      </c>
      <c r="N123" s="81">
        <f>SUMIF('2.생활용수(강경)'!$C$5:$C$60,$C123,'2.생활용수(강경)'!$Q$5:$Q$60)</f>
        <v>0</v>
      </c>
      <c r="O123" s="81"/>
    </row>
    <row r="124" spans="1:15" ht="20.100000000000001" customHeight="1">
      <c r="A124" s="442" t="s">
        <v>702</v>
      </c>
      <c r="B124" s="442" t="s">
        <v>850</v>
      </c>
      <c r="C124" s="443" t="s">
        <v>2002</v>
      </c>
      <c r="D124" s="81">
        <f t="shared" si="2"/>
        <v>15</v>
      </c>
      <c r="E124" s="81">
        <f>SUMIF('2.생활용수(광석)'!$C$5:$C$56,C124,'2.생활용수(광석)'!$Q$5:$Q$56)</f>
        <v>15</v>
      </c>
      <c r="F124" s="81">
        <f>SUMIF('2.생활용수(성동)'!$C$5:$C$60,$C124,'2.생활용수(성동)'!$Q$5:$Q$60)</f>
        <v>0</v>
      </c>
      <c r="G124" s="81">
        <f>SUMIF('2.생활용수(봉화)'!$C$5:$C$18,$C124,'2.생활용수(봉화)'!$Q$5:$Q$18)</f>
        <v>0</v>
      </c>
      <c r="H124" s="81">
        <f>SUMIF('2.생활용수(논산)'!$C$5:$C$28,$C124,'2.생활용수(논산)'!$Q$5:$Q$28)</f>
        <v>0</v>
      </c>
      <c r="I124" s="81">
        <f>SUMIF('2.생활용수(연무)'!$C$5:$C$123,$C124,'2.생활용수(연무)'!$Q$5:$Q$123)</f>
        <v>0</v>
      </c>
      <c r="J124" s="81">
        <f>SUMIF('2.생활용수(마산)'!$C$5:$C$115,$C124,'2.생활용수(마산)'!$Q$5:$Q$115)</f>
        <v>0</v>
      </c>
      <c r="K124" s="81">
        <f>SUMIF('2.생활용수(부적)'!$C$5:$C$75,$C124,'2.생활용수(부적)'!$Q$5:$Q$75)</f>
        <v>0</v>
      </c>
      <c r="L124" s="81">
        <f>SUMIF('2.생활용수(연산)'!$C$5:$C$220,$C124,'2.생활용수(연산)'!$Q$5:$Q$220)</f>
        <v>0</v>
      </c>
      <c r="M124" s="81">
        <f>SUMIF('2.생활용수(채운)'!$C$5:$C$63,$C124,'2.생활용수(채운)'!$Q$5:$Q$63)</f>
        <v>0</v>
      </c>
      <c r="N124" s="81">
        <f>SUMIF('2.생활용수(강경)'!$C$5:$C$60,$C124,'2.생활용수(강경)'!$Q$5:$Q$60)</f>
        <v>0</v>
      </c>
      <c r="O124" s="81"/>
    </row>
    <row r="125" spans="1:15" ht="20.100000000000001" customHeight="1">
      <c r="A125" s="442" t="s">
        <v>702</v>
      </c>
      <c r="B125" s="442" t="s">
        <v>850</v>
      </c>
      <c r="C125" s="443" t="s">
        <v>2003</v>
      </c>
      <c r="D125" s="81">
        <f t="shared" si="2"/>
        <v>14</v>
      </c>
      <c r="E125" s="81">
        <f>SUMIF('2.생활용수(광석)'!$C$5:$C$56,C125,'2.생활용수(광석)'!$Q$5:$Q$56)</f>
        <v>14</v>
      </c>
      <c r="F125" s="81">
        <f>SUMIF('2.생활용수(성동)'!$C$5:$C$60,$C125,'2.생활용수(성동)'!$Q$5:$Q$60)</f>
        <v>0</v>
      </c>
      <c r="G125" s="81">
        <f>SUMIF('2.생활용수(봉화)'!$C$5:$C$18,$C125,'2.생활용수(봉화)'!$Q$5:$Q$18)</f>
        <v>0</v>
      </c>
      <c r="H125" s="81">
        <f>SUMIF('2.생활용수(논산)'!$C$5:$C$28,$C125,'2.생활용수(논산)'!$Q$5:$Q$28)</f>
        <v>0</v>
      </c>
      <c r="I125" s="81">
        <f>SUMIF('2.생활용수(연무)'!$C$5:$C$123,$C125,'2.생활용수(연무)'!$Q$5:$Q$123)</f>
        <v>0</v>
      </c>
      <c r="J125" s="81">
        <f>SUMIF('2.생활용수(마산)'!$C$5:$C$115,$C125,'2.생활용수(마산)'!$Q$5:$Q$115)</f>
        <v>0</v>
      </c>
      <c r="K125" s="81">
        <f>SUMIF('2.생활용수(부적)'!$C$5:$C$75,$C125,'2.생활용수(부적)'!$Q$5:$Q$75)</f>
        <v>0</v>
      </c>
      <c r="L125" s="81">
        <f>SUMIF('2.생활용수(연산)'!$C$5:$C$220,$C125,'2.생활용수(연산)'!$Q$5:$Q$220)</f>
        <v>0</v>
      </c>
      <c r="M125" s="81">
        <f>SUMIF('2.생활용수(채운)'!$C$5:$C$63,$C125,'2.생활용수(채운)'!$Q$5:$Q$63)</f>
        <v>0</v>
      </c>
      <c r="N125" s="81">
        <f>SUMIF('2.생활용수(강경)'!$C$5:$C$60,$C125,'2.생활용수(강경)'!$Q$5:$Q$60)</f>
        <v>0</v>
      </c>
      <c r="O125" s="81"/>
    </row>
    <row r="126" spans="1:15" ht="20.100000000000001" customHeight="1">
      <c r="A126" s="442" t="s">
        <v>702</v>
      </c>
      <c r="B126" s="442" t="s">
        <v>851</v>
      </c>
      <c r="C126" s="443" t="s">
        <v>2004</v>
      </c>
      <c r="D126" s="81">
        <f t="shared" si="2"/>
        <v>4</v>
      </c>
      <c r="E126" s="81">
        <f>SUMIF('2.생활용수(광석)'!$C$5:$C$56,C126,'2.생활용수(광석)'!$Q$5:$Q$56)</f>
        <v>4</v>
      </c>
      <c r="F126" s="81">
        <f>SUMIF('2.생활용수(성동)'!$C$5:$C$60,$C126,'2.생활용수(성동)'!$Q$5:$Q$60)</f>
        <v>0</v>
      </c>
      <c r="G126" s="81">
        <f>SUMIF('2.생활용수(봉화)'!$C$5:$C$18,$C126,'2.생활용수(봉화)'!$Q$5:$Q$18)</f>
        <v>0</v>
      </c>
      <c r="H126" s="81">
        <f>SUMIF('2.생활용수(논산)'!$C$5:$C$28,$C126,'2.생활용수(논산)'!$Q$5:$Q$28)</f>
        <v>0</v>
      </c>
      <c r="I126" s="81">
        <f>SUMIF('2.생활용수(연무)'!$C$5:$C$123,$C126,'2.생활용수(연무)'!$Q$5:$Q$123)</f>
        <v>0</v>
      </c>
      <c r="J126" s="81">
        <f>SUMIF('2.생활용수(마산)'!$C$5:$C$115,$C126,'2.생활용수(마산)'!$Q$5:$Q$115)</f>
        <v>0</v>
      </c>
      <c r="K126" s="81">
        <f>SUMIF('2.생활용수(부적)'!$C$5:$C$75,$C126,'2.생활용수(부적)'!$Q$5:$Q$75)</f>
        <v>0</v>
      </c>
      <c r="L126" s="81">
        <f>SUMIF('2.생활용수(연산)'!$C$5:$C$220,$C126,'2.생활용수(연산)'!$Q$5:$Q$220)</f>
        <v>0</v>
      </c>
      <c r="M126" s="81">
        <f>SUMIF('2.생활용수(채운)'!$C$5:$C$63,$C126,'2.생활용수(채운)'!$Q$5:$Q$63)</f>
        <v>0</v>
      </c>
      <c r="N126" s="81">
        <f>SUMIF('2.생활용수(강경)'!$C$5:$C$60,$C126,'2.생활용수(강경)'!$Q$5:$Q$60)</f>
        <v>0</v>
      </c>
      <c r="O126" s="81"/>
    </row>
    <row r="127" spans="1:15" ht="20.100000000000001" customHeight="1">
      <c r="A127" s="442" t="s">
        <v>702</v>
      </c>
      <c r="B127" s="442" t="s">
        <v>851</v>
      </c>
      <c r="C127" s="443" t="s">
        <v>2005</v>
      </c>
      <c r="D127" s="81">
        <f t="shared" si="2"/>
        <v>0</v>
      </c>
      <c r="E127" s="81">
        <f>SUMIF('2.생활용수(광석)'!$C$5:$C$56,C127,'2.생활용수(광석)'!$Q$5:$Q$56)</f>
        <v>0</v>
      </c>
      <c r="F127" s="81">
        <f>SUMIF('2.생활용수(성동)'!$C$5:$C$60,$C127,'2.생활용수(성동)'!$Q$5:$Q$60)</f>
        <v>0</v>
      </c>
      <c r="G127" s="81">
        <f>SUMIF('2.생활용수(봉화)'!$C$5:$C$18,$C127,'2.생활용수(봉화)'!$Q$5:$Q$18)</f>
        <v>0</v>
      </c>
      <c r="H127" s="81">
        <f>SUMIF('2.생활용수(논산)'!$C$5:$C$28,$C127,'2.생활용수(논산)'!$Q$5:$Q$28)</f>
        <v>0</v>
      </c>
      <c r="I127" s="81">
        <f>SUMIF('2.생활용수(연무)'!$C$5:$C$123,$C127,'2.생활용수(연무)'!$Q$5:$Q$123)</f>
        <v>0</v>
      </c>
      <c r="J127" s="81">
        <f>SUMIF('2.생활용수(마산)'!$C$5:$C$115,$C127,'2.생활용수(마산)'!$Q$5:$Q$115)</f>
        <v>0</v>
      </c>
      <c r="K127" s="81">
        <f>SUMIF('2.생활용수(부적)'!$C$5:$C$75,$C127,'2.생활용수(부적)'!$Q$5:$Q$75)</f>
        <v>0</v>
      </c>
      <c r="L127" s="81">
        <f>SUMIF('2.생활용수(연산)'!$C$5:$C$220,$C127,'2.생활용수(연산)'!$Q$5:$Q$220)</f>
        <v>0</v>
      </c>
      <c r="M127" s="81">
        <f>SUMIF('2.생활용수(채운)'!$C$5:$C$63,$C127,'2.생활용수(채운)'!$Q$5:$Q$63)</f>
        <v>0</v>
      </c>
      <c r="N127" s="81">
        <f>SUMIF('2.생활용수(강경)'!$C$5:$C$60,$C127,'2.생활용수(강경)'!$Q$5:$Q$60)</f>
        <v>0</v>
      </c>
      <c r="O127" s="81"/>
    </row>
    <row r="128" spans="1:15" ht="20.100000000000001" customHeight="1">
      <c r="A128" s="442" t="s">
        <v>702</v>
      </c>
      <c r="B128" s="442" t="s">
        <v>851</v>
      </c>
      <c r="C128" s="443" t="s">
        <v>2006</v>
      </c>
      <c r="D128" s="81">
        <f t="shared" si="2"/>
        <v>3</v>
      </c>
      <c r="E128" s="81">
        <f>SUMIF('2.생활용수(광석)'!$C$5:$C$56,C128,'2.생활용수(광석)'!$Q$5:$Q$56)</f>
        <v>3</v>
      </c>
      <c r="F128" s="81">
        <f>SUMIF('2.생활용수(성동)'!$C$5:$C$60,$C128,'2.생활용수(성동)'!$Q$5:$Q$60)</f>
        <v>0</v>
      </c>
      <c r="G128" s="81">
        <f>SUMIF('2.생활용수(봉화)'!$C$5:$C$18,$C128,'2.생활용수(봉화)'!$Q$5:$Q$18)</f>
        <v>0</v>
      </c>
      <c r="H128" s="81">
        <f>SUMIF('2.생활용수(논산)'!$C$5:$C$28,$C128,'2.생활용수(논산)'!$Q$5:$Q$28)</f>
        <v>0</v>
      </c>
      <c r="I128" s="81">
        <f>SUMIF('2.생활용수(연무)'!$C$5:$C$123,$C128,'2.생활용수(연무)'!$Q$5:$Q$123)</f>
        <v>0</v>
      </c>
      <c r="J128" s="81">
        <f>SUMIF('2.생활용수(마산)'!$C$5:$C$115,$C128,'2.생활용수(마산)'!$Q$5:$Q$115)</f>
        <v>0</v>
      </c>
      <c r="K128" s="81">
        <f>SUMIF('2.생활용수(부적)'!$C$5:$C$75,$C128,'2.생활용수(부적)'!$Q$5:$Q$75)</f>
        <v>0</v>
      </c>
      <c r="L128" s="81">
        <f>SUMIF('2.생활용수(연산)'!$C$5:$C$220,$C128,'2.생활용수(연산)'!$Q$5:$Q$220)</f>
        <v>0</v>
      </c>
      <c r="M128" s="81">
        <f>SUMIF('2.생활용수(채운)'!$C$5:$C$63,$C128,'2.생활용수(채운)'!$Q$5:$Q$63)</f>
        <v>0</v>
      </c>
      <c r="N128" s="81">
        <f>SUMIF('2.생활용수(강경)'!$C$5:$C$60,$C128,'2.생활용수(강경)'!$Q$5:$Q$60)</f>
        <v>0</v>
      </c>
      <c r="O128" s="81"/>
    </row>
    <row r="129" spans="1:15" ht="20.100000000000001" customHeight="1">
      <c r="A129" s="442" t="s">
        <v>702</v>
      </c>
      <c r="B129" s="442" t="s">
        <v>852</v>
      </c>
      <c r="C129" s="443" t="s">
        <v>2007</v>
      </c>
      <c r="D129" s="81">
        <f t="shared" si="2"/>
        <v>31</v>
      </c>
      <c r="E129" s="81">
        <f>SUMIF('2.생활용수(광석)'!$C$5:$C$56,C129,'2.생활용수(광석)'!$Q$5:$Q$56)</f>
        <v>31</v>
      </c>
      <c r="F129" s="81">
        <f>SUMIF('2.생활용수(성동)'!$C$5:$C$60,$C129,'2.생활용수(성동)'!$Q$5:$Q$60)</f>
        <v>0</v>
      </c>
      <c r="G129" s="81">
        <f>SUMIF('2.생활용수(봉화)'!$C$5:$C$18,$C129,'2.생활용수(봉화)'!$Q$5:$Q$18)</f>
        <v>0</v>
      </c>
      <c r="H129" s="81">
        <f>SUMIF('2.생활용수(논산)'!$C$5:$C$28,$C129,'2.생활용수(논산)'!$Q$5:$Q$28)</f>
        <v>0</v>
      </c>
      <c r="I129" s="81">
        <f>SUMIF('2.생활용수(연무)'!$C$5:$C$123,$C129,'2.생활용수(연무)'!$Q$5:$Q$123)</f>
        <v>0</v>
      </c>
      <c r="J129" s="81">
        <f>SUMIF('2.생활용수(마산)'!$C$5:$C$115,$C129,'2.생활용수(마산)'!$Q$5:$Q$115)</f>
        <v>0</v>
      </c>
      <c r="K129" s="81">
        <f>SUMIF('2.생활용수(부적)'!$C$5:$C$75,$C129,'2.생활용수(부적)'!$Q$5:$Q$75)</f>
        <v>0</v>
      </c>
      <c r="L129" s="81">
        <f>SUMIF('2.생활용수(연산)'!$C$5:$C$220,$C129,'2.생활용수(연산)'!$Q$5:$Q$220)</f>
        <v>0</v>
      </c>
      <c r="M129" s="81">
        <f>SUMIF('2.생활용수(채운)'!$C$5:$C$63,$C129,'2.생활용수(채운)'!$Q$5:$Q$63)</f>
        <v>0</v>
      </c>
      <c r="N129" s="81">
        <f>SUMIF('2.생활용수(강경)'!$C$5:$C$60,$C129,'2.생활용수(강경)'!$Q$5:$Q$60)</f>
        <v>0</v>
      </c>
      <c r="O129" s="81"/>
    </row>
    <row r="130" spans="1:15" ht="20.100000000000001" customHeight="1">
      <c r="A130" s="442" t="s">
        <v>702</v>
      </c>
      <c r="B130" s="442" t="s">
        <v>852</v>
      </c>
      <c r="C130" s="443" t="s">
        <v>2008</v>
      </c>
      <c r="D130" s="81">
        <f t="shared" si="2"/>
        <v>23</v>
      </c>
      <c r="E130" s="81">
        <f>SUMIF('2.생활용수(광석)'!$C$5:$C$56,C130,'2.생활용수(광석)'!$Q$5:$Q$56)</f>
        <v>23</v>
      </c>
      <c r="F130" s="81">
        <f>SUMIF('2.생활용수(성동)'!$C$5:$C$60,$C130,'2.생활용수(성동)'!$Q$5:$Q$60)</f>
        <v>0</v>
      </c>
      <c r="G130" s="81">
        <f>SUMIF('2.생활용수(봉화)'!$C$5:$C$18,$C130,'2.생활용수(봉화)'!$Q$5:$Q$18)</f>
        <v>0</v>
      </c>
      <c r="H130" s="81">
        <f>SUMIF('2.생활용수(논산)'!$C$5:$C$28,$C130,'2.생활용수(논산)'!$Q$5:$Q$28)</f>
        <v>0</v>
      </c>
      <c r="I130" s="81">
        <f>SUMIF('2.생활용수(연무)'!$C$5:$C$123,$C130,'2.생활용수(연무)'!$Q$5:$Q$123)</f>
        <v>0</v>
      </c>
      <c r="J130" s="81">
        <f>SUMIF('2.생활용수(마산)'!$C$5:$C$115,$C130,'2.생활용수(마산)'!$Q$5:$Q$115)</f>
        <v>0</v>
      </c>
      <c r="K130" s="81">
        <f>SUMIF('2.생활용수(부적)'!$C$5:$C$75,$C130,'2.생활용수(부적)'!$Q$5:$Q$75)</f>
        <v>0</v>
      </c>
      <c r="L130" s="81">
        <f>SUMIF('2.생활용수(연산)'!$C$5:$C$220,$C130,'2.생활용수(연산)'!$Q$5:$Q$220)</f>
        <v>0</v>
      </c>
      <c r="M130" s="81">
        <f>SUMIF('2.생활용수(채운)'!$C$5:$C$63,$C130,'2.생활용수(채운)'!$Q$5:$Q$63)</f>
        <v>0</v>
      </c>
      <c r="N130" s="81">
        <f>SUMIF('2.생활용수(강경)'!$C$5:$C$60,$C130,'2.생활용수(강경)'!$Q$5:$Q$60)</f>
        <v>0</v>
      </c>
      <c r="O130" s="81"/>
    </row>
    <row r="131" spans="1:15" ht="20.100000000000001" customHeight="1">
      <c r="A131" s="442" t="s">
        <v>702</v>
      </c>
      <c r="B131" s="444" t="s">
        <v>2009</v>
      </c>
      <c r="C131" s="444" t="s">
        <v>2009</v>
      </c>
      <c r="D131" s="81">
        <f t="shared" si="2"/>
        <v>16</v>
      </c>
      <c r="E131" s="81">
        <f>SUMIF('2.생활용수(광석)'!$C$5:$C$56,C131,'2.생활용수(광석)'!$Q$5:$Q$56)</f>
        <v>16</v>
      </c>
      <c r="F131" s="81">
        <f>SUMIF('2.생활용수(성동)'!$C$5:$C$60,$C131,'2.생활용수(성동)'!$Q$5:$Q$60)</f>
        <v>0</v>
      </c>
      <c r="G131" s="81">
        <f>SUMIF('2.생활용수(봉화)'!$C$5:$C$18,$C131,'2.생활용수(봉화)'!$Q$5:$Q$18)</f>
        <v>0</v>
      </c>
      <c r="H131" s="81">
        <f>SUMIF('2.생활용수(논산)'!$C$5:$C$28,$C131,'2.생활용수(논산)'!$Q$5:$Q$28)</f>
        <v>0</v>
      </c>
      <c r="I131" s="81">
        <f>SUMIF('2.생활용수(연무)'!$C$5:$C$123,$C131,'2.생활용수(연무)'!$Q$5:$Q$123)</f>
        <v>0</v>
      </c>
      <c r="J131" s="81">
        <f>SUMIF('2.생활용수(마산)'!$C$5:$C$115,$C131,'2.생활용수(마산)'!$Q$5:$Q$115)</f>
        <v>0</v>
      </c>
      <c r="K131" s="81">
        <f>SUMIF('2.생활용수(부적)'!$C$5:$C$75,$C131,'2.생활용수(부적)'!$Q$5:$Q$75)</f>
        <v>0</v>
      </c>
      <c r="L131" s="81">
        <f>SUMIF('2.생활용수(연산)'!$C$5:$C$220,$C131,'2.생활용수(연산)'!$Q$5:$Q$220)</f>
        <v>0</v>
      </c>
      <c r="M131" s="81">
        <f>SUMIF('2.생활용수(채운)'!$C$5:$C$63,$C131,'2.생활용수(채운)'!$Q$5:$Q$63)</f>
        <v>0</v>
      </c>
      <c r="N131" s="81">
        <f>SUMIF('2.생활용수(강경)'!$C$5:$C$60,$C131,'2.생활용수(강경)'!$Q$5:$Q$60)</f>
        <v>0</v>
      </c>
      <c r="O131" s="81"/>
    </row>
    <row r="132" spans="1:15" ht="20.100000000000001" customHeight="1">
      <c r="A132" s="442" t="s">
        <v>702</v>
      </c>
      <c r="B132" s="442" t="s">
        <v>853</v>
      </c>
      <c r="C132" s="443" t="s">
        <v>2010</v>
      </c>
      <c r="D132" s="81">
        <f t="shared" si="2"/>
        <v>63</v>
      </c>
      <c r="E132" s="81">
        <f>SUMIF('2.생활용수(광석)'!$C$5:$C$56,C132,'2.생활용수(광석)'!$Q$5:$Q$56)</f>
        <v>63</v>
      </c>
      <c r="F132" s="81">
        <f>SUMIF('2.생활용수(성동)'!$C$5:$C$60,$C132,'2.생활용수(성동)'!$Q$5:$Q$60)</f>
        <v>0</v>
      </c>
      <c r="G132" s="81">
        <f>SUMIF('2.생활용수(봉화)'!$C$5:$C$18,$C132,'2.생활용수(봉화)'!$Q$5:$Q$18)</f>
        <v>0</v>
      </c>
      <c r="H132" s="81">
        <f>SUMIF('2.생활용수(논산)'!$C$5:$C$28,$C132,'2.생활용수(논산)'!$Q$5:$Q$28)</f>
        <v>0</v>
      </c>
      <c r="I132" s="81">
        <f>SUMIF('2.생활용수(연무)'!$C$5:$C$123,$C132,'2.생활용수(연무)'!$Q$5:$Q$123)</f>
        <v>0</v>
      </c>
      <c r="J132" s="81">
        <f>SUMIF('2.생활용수(마산)'!$C$5:$C$115,$C132,'2.생활용수(마산)'!$Q$5:$Q$115)</f>
        <v>0</v>
      </c>
      <c r="K132" s="81">
        <f>SUMIF('2.생활용수(부적)'!$C$5:$C$75,$C132,'2.생활용수(부적)'!$Q$5:$Q$75)</f>
        <v>0</v>
      </c>
      <c r="L132" s="81">
        <f>SUMIF('2.생활용수(연산)'!$C$5:$C$220,$C132,'2.생활용수(연산)'!$Q$5:$Q$220)</f>
        <v>0</v>
      </c>
      <c r="M132" s="81">
        <f>SUMIF('2.생활용수(채운)'!$C$5:$C$63,$C132,'2.생활용수(채운)'!$Q$5:$Q$63)</f>
        <v>0</v>
      </c>
      <c r="N132" s="81">
        <f>SUMIF('2.생활용수(강경)'!$C$5:$C$60,$C132,'2.생활용수(강경)'!$Q$5:$Q$60)</f>
        <v>0</v>
      </c>
      <c r="O132" s="81"/>
    </row>
    <row r="133" spans="1:15" ht="20.100000000000001" customHeight="1">
      <c r="A133" s="442" t="s">
        <v>702</v>
      </c>
      <c r="B133" s="442" t="s">
        <v>853</v>
      </c>
      <c r="C133" s="443" t="s">
        <v>2011</v>
      </c>
      <c r="D133" s="81">
        <f t="shared" ref="D133:D196" si="3">SUM(E133:O133)</f>
        <v>27</v>
      </c>
      <c r="E133" s="81">
        <f>SUMIF('2.생활용수(광석)'!$C$5:$C$56,C133,'2.생활용수(광석)'!$Q$5:$Q$56)</f>
        <v>27</v>
      </c>
      <c r="F133" s="81">
        <f>SUMIF('2.생활용수(성동)'!$C$5:$C$60,$C133,'2.생활용수(성동)'!$Q$5:$Q$60)</f>
        <v>0</v>
      </c>
      <c r="G133" s="81">
        <f>SUMIF('2.생활용수(봉화)'!$C$5:$C$18,$C133,'2.생활용수(봉화)'!$Q$5:$Q$18)</f>
        <v>0</v>
      </c>
      <c r="H133" s="81">
        <f>SUMIF('2.생활용수(논산)'!$C$5:$C$28,$C133,'2.생활용수(논산)'!$Q$5:$Q$28)</f>
        <v>0</v>
      </c>
      <c r="I133" s="81">
        <f>SUMIF('2.생활용수(연무)'!$C$5:$C$123,$C133,'2.생활용수(연무)'!$Q$5:$Q$123)</f>
        <v>0</v>
      </c>
      <c r="J133" s="81">
        <f>SUMIF('2.생활용수(마산)'!$C$5:$C$115,$C133,'2.생활용수(마산)'!$Q$5:$Q$115)</f>
        <v>0</v>
      </c>
      <c r="K133" s="81">
        <f>SUMIF('2.생활용수(부적)'!$C$5:$C$75,$C133,'2.생활용수(부적)'!$Q$5:$Q$75)</f>
        <v>0</v>
      </c>
      <c r="L133" s="81">
        <f>SUMIF('2.생활용수(연산)'!$C$5:$C$220,$C133,'2.생활용수(연산)'!$Q$5:$Q$220)</f>
        <v>0</v>
      </c>
      <c r="M133" s="81">
        <f>SUMIF('2.생활용수(채운)'!$C$5:$C$63,$C133,'2.생활용수(채운)'!$Q$5:$Q$63)</f>
        <v>0</v>
      </c>
      <c r="N133" s="81">
        <f>SUMIF('2.생활용수(강경)'!$C$5:$C$60,$C133,'2.생활용수(강경)'!$Q$5:$Q$60)</f>
        <v>0</v>
      </c>
      <c r="O133" s="81"/>
    </row>
    <row r="134" spans="1:15" ht="20.100000000000001" customHeight="1">
      <c r="A134" s="442" t="s">
        <v>702</v>
      </c>
      <c r="B134" s="442" t="s">
        <v>2012</v>
      </c>
      <c r="C134" s="443" t="s">
        <v>2013</v>
      </c>
      <c r="D134" s="81">
        <f t="shared" si="3"/>
        <v>80</v>
      </c>
      <c r="E134" s="81">
        <f>SUMIF('2.생활용수(광석)'!$C$5:$C$56,C134,'2.생활용수(광석)'!$Q$5:$Q$56)</f>
        <v>0</v>
      </c>
      <c r="F134" s="81">
        <f>SUMIF('2.생활용수(성동)'!$C$5:$C$60,$C134,'2.생활용수(성동)'!$Q$5:$Q$60)</f>
        <v>80</v>
      </c>
      <c r="G134" s="81">
        <f>SUMIF('2.생활용수(봉화)'!$C$5:$C$18,$C134,'2.생활용수(봉화)'!$Q$5:$Q$18)</f>
        <v>0</v>
      </c>
      <c r="H134" s="81">
        <f>SUMIF('2.생활용수(논산)'!$C$5:$C$28,$C134,'2.생활용수(논산)'!$Q$5:$Q$28)</f>
        <v>0</v>
      </c>
      <c r="I134" s="81">
        <f>SUMIF('2.생활용수(연무)'!$C$5:$C$123,$C134,'2.생활용수(연무)'!$Q$5:$Q$123)</f>
        <v>0</v>
      </c>
      <c r="J134" s="81">
        <f>SUMIF('2.생활용수(마산)'!$C$5:$C$115,$C134,'2.생활용수(마산)'!$Q$5:$Q$115)</f>
        <v>0</v>
      </c>
      <c r="K134" s="81">
        <f>SUMIF('2.생활용수(부적)'!$C$5:$C$75,$C134,'2.생활용수(부적)'!$Q$5:$Q$75)</f>
        <v>0</v>
      </c>
      <c r="L134" s="81">
        <f>SUMIF('2.생활용수(연산)'!$C$5:$C$220,$C134,'2.생활용수(연산)'!$Q$5:$Q$220)</f>
        <v>0</v>
      </c>
      <c r="M134" s="81">
        <f>SUMIF('2.생활용수(채운)'!$C$5:$C$63,$C134,'2.생활용수(채운)'!$Q$5:$Q$63)</f>
        <v>0</v>
      </c>
      <c r="N134" s="81">
        <f>SUMIF('2.생활용수(강경)'!$C$5:$C$60,$C134,'2.생활용수(강경)'!$Q$5:$Q$60)</f>
        <v>0</v>
      </c>
      <c r="O134" s="81"/>
    </row>
    <row r="135" spans="1:15" ht="20.100000000000001" customHeight="1">
      <c r="A135" s="442" t="s">
        <v>702</v>
      </c>
      <c r="B135" s="442" t="s">
        <v>855</v>
      </c>
      <c r="C135" s="443" t="s">
        <v>2014</v>
      </c>
      <c r="D135" s="81">
        <f t="shared" si="3"/>
        <v>0</v>
      </c>
      <c r="E135" s="81">
        <f>SUMIF('2.생활용수(광석)'!$C$5:$C$56,C135,'2.생활용수(광석)'!$Q$5:$Q$56)</f>
        <v>0</v>
      </c>
      <c r="F135" s="81">
        <f>SUMIF('2.생활용수(성동)'!$C$5:$C$60,$C135,'2.생활용수(성동)'!$Q$5:$Q$60)</f>
        <v>0</v>
      </c>
      <c r="G135" s="81">
        <f>SUMIF('2.생활용수(봉화)'!$C$5:$C$18,$C135,'2.생활용수(봉화)'!$Q$5:$Q$18)</f>
        <v>0</v>
      </c>
      <c r="H135" s="81">
        <f>SUMIF('2.생활용수(논산)'!$C$5:$C$28,$C135,'2.생활용수(논산)'!$Q$5:$Q$28)</f>
        <v>0</v>
      </c>
      <c r="I135" s="81">
        <f>SUMIF('2.생활용수(연무)'!$C$5:$C$123,$C135,'2.생활용수(연무)'!$Q$5:$Q$123)</f>
        <v>0</v>
      </c>
      <c r="J135" s="81">
        <f>SUMIF('2.생활용수(마산)'!$C$5:$C$115,$C135,'2.생활용수(마산)'!$Q$5:$Q$115)</f>
        <v>0</v>
      </c>
      <c r="K135" s="81">
        <f>SUMIF('2.생활용수(부적)'!$C$5:$C$75,$C135,'2.생활용수(부적)'!$Q$5:$Q$75)</f>
        <v>0</v>
      </c>
      <c r="L135" s="81">
        <f>SUMIF('2.생활용수(연산)'!$C$5:$C$220,$C135,'2.생활용수(연산)'!$Q$5:$Q$220)</f>
        <v>0</v>
      </c>
      <c r="M135" s="81">
        <f>SUMIF('2.생활용수(채운)'!$C$5:$C$63,$C135,'2.생활용수(채운)'!$Q$5:$Q$63)</f>
        <v>0</v>
      </c>
      <c r="N135" s="81">
        <f>SUMIF('2.생활용수(강경)'!$C$5:$C$60,$C135,'2.생활용수(강경)'!$Q$5:$Q$60)</f>
        <v>0</v>
      </c>
      <c r="O135" s="81"/>
    </row>
    <row r="136" spans="1:15" ht="20.100000000000001" customHeight="1">
      <c r="A136" s="442" t="s">
        <v>702</v>
      </c>
      <c r="B136" s="442" t="s">
        <v>855</v>
      </c>
      <c r="C136" s="443" t="s">
        <v>2015</v>
      </c>
      <c r="D136" s="81">
        <f t="shared" si="3"/>
        <v>0</v>
      </c>
      <c r="E136" s="81">
        <f>SUMIF('2.생활용수(광석)'!$C$5:$C$56,C136,'2.생활용수(광석)'!$Q$5:$Q$56)</f>
        <v>0</v>
      </c>
      <c r="F136" s="81">
        <f>SUMIF('2.생활용수(성동)'!$C$5:$C$60,$C136,'2.생활용수(성동)'!$Q$5:$Q$60)</f>
        <v>0</v>
      </c>
      <c r="G136" s="81">
        <f>SUMIF('2.생활용수(봉화)'!$C$5:$C$18,$C136,'2.생활용수(봉화)'!$Q$5:$Q$18)</f>
        <v>0</v>
      </c>
      <c r="H136" s="81">
        <f>SUMIF('2.생활용수(논산)'!$C$5:$C$28,$C136,'2.생활용수(논산)'!$Q$5:$Q$28)</f>
        <v>0</v>
      </c>
      <c r="I136" s="81">
        <f>SUMIF('2.생활용수(연무)'!$C$5:$C$123,$C136,'2.생활용수(연무)'!$Q$5:$Q$123)</f>
        <v>0</v>
      </c>
      <c r="J136" s="81">
        <f>SUMIF('2.생활용수(마산)'!$C$5:$C$115,$C136,'2.생활용수(마산)'!$Q$5:$Q$115)</f>
        <v>0</v>
      </c>
      <c r="K136" s="81">
        <f>SUMIF('2.생활용수(부적)'!$C$5:$C$75,$C136,'2.생활용수(부적)'!$Q$5:$Q$75)</f>
        <v>0</v>
      </c>
      <c r="L136" s="81">
        <f>SUMIF('2.생활용수(연산)'!$C$5:$C$220,$C136,'2.생활용수(연산)'!$Q$5:$Q$220)</f>
        <v>0</v>
      </c>
      <c r="M136" s="81">
        <f>SUMIF('2.생활용수(채운)'!$C$5:$C$63,$C136,'2.생활용수(채운)'!$Q$5:$Q$63)</f>
        <v>0</v>
      </c>
      <c r="N136" s="81">
        <f>SUMIF('2.생활용수(강경)'!$C$5:$C$60,$C136,'2.생활용수(강경)'!$Q$5:$Q$60)</f>
        <v>0</v>
      </c>
      <c r="O136" s="81"/>
    </row>
    <row r="137" spans="1:15" ht="20.100000000000001" customHeight="1">
      <c r="A137" s="442" t="s">
        <v>702</v>
      </c>
      <c r="B137" s="442" t="s">
        <v>855</v>
      </c>
      <c r="C137" s="443" t="s">
        <v>2016</v>
      </c>
      <c r="D137" s="81">
        <f t="shared" si="3"/>
        <v>0</v>
      </c>
      <c r="E137" s="81">
        <f>SUMIF('2.생활용수(광석)'!$C$5:$C$56,C137,'2.생활용수(광석)'!$Q$5:$Q$56)</f>
        <v>0</v>
      </c>
      <c r="F137" s="81">
        <f>SUMIF('2.생활용수(성동)'!$C$5:$C$60,$C137,'2.생활용수(성동)'!$Q$5:$Q$60)</f>
        <v>0</v>
      </c>
      <c r="G137" s="81">
        <f>SUMIF('2.생활용수(봉화)'!$C$5:$C$18,$C137,'2.생활용수(봉화)'!$Q$5:$Q$18)</f>
        <v>0</v>
      </c>
      <c r="H137" s="81">
        <f>SUMIF('2.생활용수(논산)'!$C$5:$C$28,$C137,'2.생활용수(논산)'!$Q$5:$Q$28)</f>
        <v>0</v>
      </c>
      <c r="I137" s="81">
        <f>SUMIF('2.생활용수(연무)'!$C$5:$C$123,$C137,'2.생활용수(연무)'!$Q$5:$Q$123)</f>
        <v>0</v>
      </c>
      <c r="J137" s="81">
        <f>SUMIF('2.생활용수(마산)'!$C$5:$C$115,$C137,'2.생활용수(마산)'!$Q$5:$Q$115)</f>
        <v>0</v>
      </c>
      <c r="K137" s="81">
        <f>SUMIF('2.생활용수(부적)'!$C$5:$C$75,$C137,'2.생활용수(부적)'!$Q$5:$Q$75)</f>
        <v>0</v>
      </c>
      <c r="L137" s="81">
        <f>SUMIF('2.생활용수(연산)'!$C$5:$C$220,$C137,'2.생활용수(연산)'!$Q$5:$Q$220)</f>
        <v>0</v>
      </c>
      <c r="M137" s="81">
        <f>SUMIF('2.생활용수(채운)'!$C$5:$C$63,$C137,'2.생활용수(채운)'!$Q$5:$Q$63)</f>
        <v>0</v>
      </c>
      <c r="N137" s="81">
        <f>SUMIF('2.생활용수(강경)'!$C$5:$C$60,$C137,'2.생활용수(강경)'!$Q$5:$Q$60)</f>
        <v>0</v>
      </c>
      <c r="O137" s="81"/>
    </row>
    <row r="138" spans="1:15" ht="20.100000000000001" customHeight="1">
      <c r="A138" s="442" t="s">
        <v>702</v>
      </c>
      <c r="B138" s="442" t="s">
        <v>855</v>
      </c>
      <c r="C138" s="443" t="s">
        <v>2017</v>
      </c>
      <c r="D138" s="81">
        <f t="shared" si="3"/>
        <v>16</v>
      </c>
      <c r="E138" s="81">
        <f>SUMIF('2.생활용수(광석)'!$C$5:$C$56,C138,'2.생활용수(광석)'!$Q$5:$Q$56)</f>
        <v>16</v>
      </c>
      <c r="F138" s="81">
        <f>SUMIF('2.생활용수(성동)'!$C$5:$C$60,$C138,'2.생활용수(성동)'!$Q$5:$Q$60)</f>
        <v>0</v>
      </c>
      <c r="G138" s="81">
        <f>SUMIF('2.생활용수(봉화)'!$C$5:$C$18,$C138,'2.생활용수(봉화)'!$Q$5:$Q$18)</f>
        <v>0</v>
      </c>
      <c r="H138" s="81">
        <f>SUMIF('2.생활용수(논산)'!$C$5:$C$28,$C138,'2.생활용수(논산)'!$Q$5:$Q$28)</f>
        <v>0</v>
      </c>
      <c r="I138" s="81">
        <f>SUMIF('2.생활용수(연무)'!$C$5:$C$123,$C138,'2.생활용수(연무)'!$Q$5:$Q$123)</f>
        <v>0</v>
      </c>
      <c r="J138" s="81">
        <f>SUMIF('2.생활용수(마산)'!$C$5:$C$115,$C138,'2.생활용수(마산)'!$Q$5:$Q$115)</f>
        <v>0</v>
      </c>
      <c r="K138" s="81">
        <f>SUMIF('2.생활용수(부적)'!$C$5:$C$75,$C138,'2.생활용수(부적)'!$Q$5:$Q$75)</f>
        <v>0</v>
      </c>
      <c r="L138" s="81">
        <f>SUMIF('2.생활용수(연산)'!$C$5:$C$220,$C138,'2.생활용수(연산)'!$Q$5:$Q$220)</f>
        <v>0</v>
      </c>
      <c r="M138" s="81">
        <f>SUMIF('2.생활용수(채운)'!$C$5:$C$63,$C138,'2.생활용수(채운)'!$Q$5:$Q$63)</f>
        <v>0</v>
      </c>
      <c r="N138" s="81">
        <f>SUMIF('2.생활용수(강경)'!$C$5:$C$60,$C138,'2.생활용수(강경)'!$Q$5:$Q$60)</f>
        <v>0</v>
      </c>
      <c r="O138" s="81"/>
    </row>
    <row r="139" spans="1:15" ht="20.100000000000001" customHeight="1">
      <c r="A139" s="442" t="s">
        <v>702</v>
      </c>
      <c r="B139" s="442" t="s">
        <v>2018</v>
      </c>
      <c r="C139" s="443" t="s">
        <v>2019</v>
      </c>
      <c r="D139" s="81">
        <f t="shared" si="3"/>
        <v>0</v>
      </c>
      <c r="E139" s="81">
        <f>SUMIF('2.생활용수(광석)'!$C$5:$C$56,C139,'2.생활용수(광석)'!$Q$5:$Q$56)</f>
        <v>0</v>
      </c>
      <c r="F139" s="81">
        <f>SUMIF('2.생활용수(성동)'!$C$5:$C$60,$C139,'2.생활용수(성동)'!$Q$5:$Q$60)</f>
        <v>0</v>
      </c>
      <c r="G139" s="81">
        <f>SUMIF('2.생활용수(봉화)'!$C$5:$C$18,$C139,'2.생활용수(봉화)'!$Q$5:$Q$18)</f>
        <v>0</v>
      </c>
      <c r="H139" s="81">
        <f>SUMIF('2.생활용수(논산)'!$C$5:$C$28,$C139,'2.생활용수(논산)'!$Q$5:$Q$28)</f>
        <v>0</v>
      </c>
      <c r="I139" s="81">
        <f>SUMIF('2.생활용수(연무)'!$C$5:$C$123,$C139,'2.생활용수(연무)'!$Q$5:$Q$123)</f>
        <v>0</v>
      </c>
      <c r="J139" s="81">
        <f>SUMIF('2.생활용수(마산)'!$C$5:$C$115,$C139,'2.생활용수(마산)'!$Q$5:$Q$115)</f>
        <v>0</v>
      </c>
      <c r="K139" s="81">
        <f>SUMIF('2.생활용수(부적)'!$C$5:$C$75,$C139,'2.생활용수(부적)'!$Q$5:$Q$75)</f>
        <v>0</v>
      </c>
      <c r="L139" s="81">
        <f>SUMIF('2.생활용수(연산)'!$C$5:$C$220,$C139,'2.생활용수(연산)'!$Q$5:$Q$220)</f>
        <v>0</v>
      </c>
      <c r="M139" s="81">
        <f>SUMIF('2.생활용수(채운)'!$C$5:$C$63,$C139,'2.생활용수(채운)'!$Q$5:$Q$63)</f>
        <v>0</v>
      </c>
      <c r="N139" s="81">
        <f>SUMIF('2.생활용수(강경)'!$C$5:$C$60,$C139,'2.생활용수(강경)'!$Q$5:$Q$60)</f>
        <v>0</v>
      </c>
      <c r="O139" s="81"/>
    </row>
    <row r="140" spans="1:15" ht="20.100000000000001" customHeight="1">
      <c r="A140" s="442" t="s">
        <v>702</v>
      </c>
      <c r="B140" s="442" t="s">
        <v>2018</v>
      </c>
      <c r="C140" s="443" t="s">
        <v>2020</v>
      </c>
      <c r="D140" s="81">
        <f t="shared" si="3"/>
        <v>29</v>
      </c>
      <c r="E140" s="81">
        <f>SUMIF('2.생활용수(광석)'!$C$5:$C$56,C140,'2.생활용수(광석)'!$Q$5:$Q$56)</f>
        <v>0</v>
      </c>
      <c r="F140" s="81">
        <f>SUMIF('2.생활용수(성동)'!$C$5:$C$60,$C140,'2.생활용수(성동)'!$Q$5:$Q$60)</f>
        <v>29</v>
      </c>
      <c r="G140" s="81">
        <f>SUMIF('2.생활용수(봉화)'!$C$5:$C$18,$C140,'2.생활용수(봉화)'!$Q$5:$Q$18)</f>
        <v>0</v>
      </c>
      <c r="H140" s="81">
        <f>SUMIF('2.생활용수(논산)'!$C$5:$C$28,$C140,'2.생활용수(논산)'!$Q$5:$Q$28)</f>
        <v>0</v>
      </c>
      <c r="I140" s="81">
        <f>SUMIF('2.생활용수(연무)'!$C$5:$C$123,$C140,'2.생활용수(연무)'!$Q$5:$Q$123)</f>
        <v>0</v>
      </c>
      <c r="J140" s="81">
        <f>SUMIF('2.생활용수(마산)'!$C$5:$C$115,$C140,'2.생활용수(마산)'!$Q$5:$Q$115)</f>
        <v>0</v>
      </c>
      <c r="K140" s="81">
        <f>SUMIF('2.생활용수(부적)'!$C$5:$C$75,$C140,'2.생활용수(부적)'!$Q$5:$Q$75)</f>
        <v>0</v>
      </c>
      <c r="L140" s="81">
        <f>SUMIF('2.생활용수(연산)'!$C$5:$C$220,$C140,'2.생활용수(연산)'!$Q$5:$Q$220)</f>
        <v>0</v>
      </c>
      <c r="M140" s="81">
        <f>SUMIF('2.생활용수(채운)'!$C$5:$C$63,$C140,'2.생활용수(채운)'!$Q$5:$Q$63)</f>
        <v>0</v>
      </c>
      <c r="N140" s="81">
        <f>SUMIF('2.생활용수(강경)'!$C$5:$C$60,$C140,'2.생활용수(강경)'!$Q$5:$Q$60)</f>
        <v>0</v>
      </c>
      <c r="O140" s="81"/>
    </row>
    <row r="141" spans="1:15" ht="20.100000000000001" customHeight="1">
      <c r="A141" s="442" t="s">
        <v>702</v>
      </c>
      <c r="B141" s="442" t="s">
        <v>2018</v>
      </c>
      <c r="C141" s="443" t="s">
        <v>2021</v>
      </c>
      <c r="D141" s="81">
        <f t="shared" si="3"/>
        <v>0</v>
      </c>
      <c r="E141" s="81">
        <f>SUMIF('2.생활용수(광석)'!$C$5:$C$56,C141,'2.생활용수(광석)'!$Q$5:$Q$56)</f>
        <v>0</v>
      </c>
      <c r="F141" s="81">
        <f>SUMIF('2.생활용수(성동)'!$C$5:$C$60,$C141,'2.생활용수(성동)'!$Q$5:$Q$60)</f>
        <v>0</v>
      </c>
      <c r="G141" s="81">
        <f>SUMIF('2.생활용수(봉화)'!$C$5:$C$18,$C141,'2.생활용수(봉화)'!$Q$5:$Q$18)</f>
        <v>0</v>
      </c>
      <c r="H141" s="81">
        <f>SUMIF('2.생활용수(논산)'!$C$5:$C$28,$C141,'2.생활용수(논산)'!$Q$5:$Q$28)</f>
        <v>0</v>
      </c>
      <c r="I141" s="81">
        <f>SUMIF('2.생활용수(연무)'!$C$5:$C$123,$C141,'2.생활용수(연무)'!$Q$5:$Q$123)</f>
        <v>0</v>
      </c>
      <c r="J141" s="81">
        <f>SUMIF('2.생활용수(마산)'!$C$5:$C$115,$C141,'2.생활용수(마산)'!$Q$5:$Q$115)</f>
        <v>0</v>
      </c>
      <c r="K141" s="81">
        <f>SUMIF('2.생활용수(부적)'!$C$5:$C$75,$C141,'2.생활용수(부적)'!$Q$5:$Q$75)</f>
        <v>0</v>
      </c>
      <c r="L141" s="81">
        <f>SUMIF('2.생활용수(연산)'!$C$5:$C$220,$C141,'2.생활용수(연산)'!$Q$5:$Q$220)</f>
        <v>0</v>
      </c>
      <c r="M141" s="81">
        <f>SUMIF('2.생활용수(채운)'!$C$5:$C$63,$C141,'2.생활용수(채운)'!$Q$5:$Q$63)</f>
        <v>0</v>
      </c>
      <c r="N141" s="81">
        <f>SUMIF('2.생활용수(강경)'!$C$5:$C$60,$C141,'2.생활용수(강경)'!$Q$5:$Q$60)</f>
        <v>0</v>
      </c>
      <c r="O141" s="81"/>
    </row>
    <row r="142" spans="1:15" ht="20.100000000000001" customHeight="1">
      <c r="A142" s="442" t="s">
        <v>702</v>
      </c>
      <c r="B142" s="442" t="s">
        <v>857</v>
      </c>
      <c r="C142" s="443" t="s">
        <v>2022</v>
      </c>
      <c r="D142" s="81">
        <f t="shared" si="3"/>
        <v>0</v>
      </c>
      <c r="E142" s="81">
        <f>SUMIF('2.생활용수(광석)'!$C$5:$C$56,C142,'2.생활용수(광석)'!$Q$5:$Q$56)</f>
        <v>0</v>
      </c>
      <c r="F142" s="81">
        <f>SUMIF('2.생활용수(성동)'!$C$5:$C$60,$C142,'2.생활용수(성동)'!$Q$5:$Q$60)</f>
        <v>0</v>
      </c>
      <c r="G142" s="81">
        <f>SUMIF('2.생활용수(봉화)'!$C$5:$C$18,$C142,'2.생활용수(봉화)'!$Q$5:$Q$18)</f>
        <v>0</v>
      </c>
      <c r="H142" s="81">
        <f>SUMIF('2.생활용수(논산)'!$C$5:$C$28,$C142,'2.생활용수(논산)'!$Q$5:$Q$28)</f>
        <v>0</v>
      </c>
      <c r="I142" s="81">
        <f>SUMIF('2.생활용수(연무)'!$C$5:$C$123,$C142,'2.생활용수(연무)'!$Q$5:$Q$123)</f>
        <v>0</v>
      </c>
      <c r="J142" s="81">
        <f>SUMIF('2.생활용수(마산)'!$C$5:$C$115,$C142,'2.생활용수(마산)'!$Q$5:$Q$115)</f>
        <v>0</v>
      </c>
      <c r="K142" s="81">
        <f>SUMIF('2.생활용수(부적)'!$C$5:$C$75,$C142,'2.생활용수(부적)'!$Q$5:$Q$75)</f>
        <v>0</v>
      </c>
      <c r="L142" s="81">
        <f>SUMIF('2.생활용수(연산)'!$C$5:$C$220,$C142,'2.생활용수(연산)'!$Q$5:$Q$220)</f>
        <v>0</v>
      </c>
      <c r="M142" s="81">
        <f>SUMIF('2.생활용수(채운)'!$C$5:$C$63,$C142,'2.생활용수(채운)'!$Q$5:$Q$63)</f>
        <v>0</v>
      </c>
      <c r="N142" s="81">
        <f>SUMIF('2.생활용수(강경)'!$C$5:$C$60,$C142,'2.생활용수(강경)'!$Q$5:$Q$60)</f>
        <v>0</v>
      </c>
      <c r="O142" s="81"/>
    </row>
    <row r="143" spans="1:15" ht="20.100000000000001" customHeight="1">
      <c r="A143" s="442" t="s">
        <v>702</v>
      </c>
      <c r="B143" s="442" t="s">
        <v>857</v>
      </c>
      <c r="C143" s="443" t="s">
        <v>2023</v>
      </c>
      <c r="D143" s="81">
        <f t="shared" si="3"/>
        <v>0</v>
      </c>
      <c r="E143" s="81">
        <f>SUMIF('2.생활용수(광석)'!$C$5:$C$56,C143,'2.생활용수(광석)'!$Q$5:$Q$56)</f>
        <v>0</v>
      </c>
      <c r="F143" s="81">
        <f>SUMIF('2.생활용수(성동)'!$C$5:$C$60,$C143,'2.생활용수(성동)'!$Q$5:$Q$60)</f>
        <v>0</v>
      </c>
      <c r="G143" s="81">
        <f>SUMIF('2.생활용수(봉화)'!$C$5:$C$18,$C143,'2.생활용수(봉화)'!$Q$5:$Q$18)</f>
        <v>0</v>
      </c>
      <c r="H143" s="81">
        <f>SUMIF('2.생활용수(논산)'!$C$5:$C$28,$C143,'2.생활용수(논산)'!$Q$5:$Q$28)</f>
        <v>0</v>
      </c>
      <c r="I143" s="81">
        <f>SUMIF('2.생활용수(연무)'!$C$5:$C$123,$C143,'2.생활용수(연무)'!$Q$5:$Q$123)</f>
        <v>0</v>
      </c>
      <c r="J143" s="81">
        <f>SUMIF('2.생활용수(마산)'!$C$5:$C$115,$C143,'2.생활용수(마산)'!$Q$5:$Q$115)</f>
        <v>0</v>
      </c>
      <c r="K143" s="81">
        <f>SUMIF('2.생활용수(부적)'!$C$5:$C$75,$C143,'2.생활용수(부적)'!$Q$5:$Q$75)</f>
        <v>0</v>
      </c>
      <c r="L143" s="81">
        <f>SUMIF('2.생활용수(연산)'!$C$5:$C$220,$C143,'2.생활용수(연산)'!$Q$5:$Q$220)</f>
        <v>0</v>
      </c>
      <c r="M143" s="81">
        <f>SUMIF('2.생활용수(채운)'!$C$5:$C$63,$C143,'2.생활용수(채운)'!$Q$5:$Q$63)</f>
        <v>0</v>
      </c>
      <c r="N143" s="81">
        <f>SUMIF('2.생활용수(강경)'!$C$5:$C$60,$C143,'2.생활용수(강경)'!$Q$5:$Q$60)</f>
        <v>0</v>
      </c>
      <c r="O143" s="81"/>
    </row>
    <row r="144" spans="1:15" ht="20.100000000000001" customHeight="1">
      <c r="A144" s="442" t="s">
        <v>702</v>
      </c>
      <c r="B144" s="442" t="s">
        <v>857</v>
      </c>
      <c r="C144" s="443" t="s">
        <v>2024</v>
      </c>
      <c r="D144" s="81">
        <f t="shared" si="3"/>
        <v>0</v>
      </c>
      <c r="E144" s="81">
        <f>SUMIF('2.생활용수(광석)'!$C$5:$C$56,C144,'2.생활용수(광석)'!$Q$5:$Q$56)</f>
        <v>0</v>
      </c>
      <c r="F144" s="81">
        <f>SUMIF('2.생활용수(성동)'!$C$5:$C$60,$C144,'2.생활용수(성동)'!$Q$5:$Q$60)</f>
        <v>0</v>
      </c>
      <c r="G144" s="81">
        <f>SUMIF('2.생활용수(봉화)'!$C$5:$C$18,$C144,'2.생활용수(봉화)'!$Q$5:$Q$18)</f>
        <v>0</v>
      </c>
      <c r="H144" s="81">
        <f>SUMIF('2.생활용수(논산)'!$C$5:$C$28,$C144,'2.생활용수(논산)'!$Q$5:$Q$28)</f>
        <v>0</v>
      </c>
      <c r="I144" s="81">
        <f>SUMIF('2.생활용수(연무)'!$C$5:$C$123,$C144,'2.생활용수(연무)'!$Q$5:$Q$123)</f>
        <v>0</v>
      </c>
      <c r="J144" s="81">
        <f>SUMIF('2.생활용수(마산)'!$C$5:$C$115,$C144,'2.생활용수(마산)'!$Q$5:$Q$115)</f>
        <v>0</v>
      </c>
      <c r="K144" s="81">
        <f>SUMIF('2.생활용수(부적)'!$C$5:$C$75,$C144,'2.생활용수(부적)'!$Q$5:$Q$75)</f>
        <v>0</v>
      </c>
      <c r="L144" s="81">
        <f>SUMIF('2.생활용수(연산)'!$C$5:$C$220,$C144,'2.생활용수(연산)'!$Q$5:$Q$220)</f>
        <v>0</v>
      </c>
      <c r="M144" s="81">
        <f>SUMIF('2.생활용수(채운)'!$C$5:$C$63,$C144,'2.생활용수(채운)'!$Q$5:$Q$63)</f>
        <v>0</v>
      </c>
      <c r="N144" s="81">
        <f>SUMIF('2.생활용수(강경)'!$C$5:$C$60,$C144,'2.생활용수(강경)'!$Q$5:$Q$60)</f>
        <v>0</v>
      </c>
      <c r="O144" s="81"/>
    </row>
    <row r="145" spans="1:15" ht="20.100000000000001" customHeight="1">
      <c r="A145" s="442" t="s">
        <v>702</v>
      </c>
      <c r="B145" s="442" t="s">
        <v>857</v>
      </c>
      <c r="C145" s="443" t="s">
        <v>2025</v>
      </c>
      <c r="D145" s="81">
        <f t="shared" si="3"/>
        <v>0</v>
      </c>
      <c r="E145" s="81">
        <f>SUMIF('2.생활용수(광석)'!$C$5:$C$56,C145,'2.생활용수(광석)'!$Q$5:$Q$56)</f>
        <v>0</v>
      </c>
      <c r="F145" s="81">
        <f>SUMIF('2.생활용수(성동)'!$C$5:$C$60,$C145,'2.생활용수(성동)'!$Q$5:$Q$60)</f>
        <v>0</v>
      </c>
      <c r="G145" s="81">
        <f>SUMIF('2.생활용수(봉화)'!$C$5:$C$18,$C145,'2.생활용수(봉화)'!$Q$5:$Q$18)</f>
        <v>0</v>
      </c>
      <c r="H145" s="81">
        <f>SUMIF('2.생활용수(논산)'!$C$5:$C$28,$C145,'2.생활용수(논산)'!$Q$5:$Q$28)</f>
        <v>0</v>
      </c>
      <c r="I145" s="81">
        <f>SUMIF('2.생활용수(연무)'!$C$5:$C$123,$C145,'2.생활용수(연무)'!$Q$5:$Q$123)</f>
        <v>0</v>
      </c>
      <c r="J145" s="81">
        <f>SUMIF('2.생활용수(마산)'!$C$5:$C$115,$C145,'2.생활용수(마산)'!$Q$5:$Q$115)</f>
        <v>0</v>
      </c>
      <c r="K145" s="81">
        <f>SUMIF('2.생활용수(부적)'!$C$5:$C$75,$C145,'2.생활용수(부적)'!$Q$5:$Q$75)</f>
        <v>0</v>
      </c>
      <c r="L145" s="81">
        <f>SUMIF('2.생활용수(연산)'!$C$5:$C$220,$C145,'2.생활용수(연산)'!$Q$5:$Q$220)</f>
        <v>0</v>
      </c>
      <c r="M145" s="81">
        <f>SUMIF('2.생활용수(채운)'!$C$5:$C$63,$C145,'2.생활용수(채운)'!$Q$5:$Q$63)</f>
        <v>0</v>
      </c>
      <c r="N145" s="81">
        <f>SUMIF('2.생활용수(강경)'!$C$5:$C$60,$C145,'2.생활용수(강경)'!$Q$5:$Q$60)</f>
        <v>0</v>
      </c>
      <c r="O145" s="81"/>
    </row>
    <row r="146" spans="1:15" ht="20.100000000000001" customHeight="1">
      <c r="A146" s="442" t="s">
        <v>702</v>
      </c>
      <c r="B146" s="442" t="s">
        <v>858</v>
      </c>
      <c r="C146" s="443" t="s">
        <v>2026</v>
      </c>
      <c r="D146" s="81">
        <f t="shared" si="3"/>
        <v>0</v>
      </c>
      <c r="E146" s="81">
        <f>SUMIF('2.생활용수(광석)'!$C$5:$C$56,C146,'2.생활용수(광석)'!$Q$5:$Q$56)</f>
        <v>0</v>
      </c>
      <c r="F146" s="81">
        <f>SUMIF('2.생활용수(성동)'!$C$5:$C$60,$C146,'2.생활용수(성동)'!$Q$5:$Q$60)</f>
        <v>0</v>
      </c>
      <c r="G146" s="81">
        <f>SUMIF('2.생활용수(봉화)'!$C$5:$C$18,$C146,'2.생활용수(봉화)'!$Q$5:$Q$18)</f>
        <v>0</v>
      </c>
      <c r="H146" s="81">
        <f>SUMIF('2.생활용수(논산)'!$C$5:$C$28,$C146,'2.생활용수(논산)'!$Q$5:$Q$28)</f>
        <v>0</v>
      </c>
      <c r="I146" s="81">
        <f>SUMIF('2.생활용수(연무)'!$C$5:$C$123,$C146,'2.생활용수(연무)'!$Q$5:$Q$123)</f>
        <v>0</v>
      </c>
      <c r="J146" s="81">
        <f>SUMIF('2.생활용수(마산)'!$C$5:$C$115,$C146,'2.생활용수(마산)'!$Q$5:$Q$115)</f>
        <v>0</v>
      </c>
      <c r="K146" s="81">
        <f>SUMIF('2.생활용수(부적)'!$C$5:$C$75,$C146,'2.생활용수(부적)'!$Q$5:$Q$75)</f>
        <v>0</v>
      </c>
      <c r="L146" s="81">
        <f>SUMIF('2.생활용수(연산)'!$C$5:$C$220,$C146,'2.생활용수(연산)'!$Q$5:$Q$220)</f>
        <v>0</v>
      </c>
      <c r="M146" s="81">
        <f>SUMIF('2.생활용수(채운)'!$C$5:$C$63,$C146,'2.생활용수(채운)'!$Q$5:$Q$63)</f>
        <v>0</v>
      </c>
      <c r="N146" s="81">
        <f>SUMIF('2.생활용수(강경)'!$C$5:$C$60,$C146,'2.생활용수(강경)'!$Q$5:$Q$60)</f>
        <v>0</v>
      </c>
      <c r="O146" s="81"/>
    </row>
    <row r="147" spans="1:15" ht="20.100000000000001" customHeight="1">
      <c r="A147" s="442" t="s">
        <v>702</v>
      </c>
      <c r="B147" s="442" t="s">
        <v>858</v>
      </c>
      <c r="C147" s="443" t="s">
        <v>2027</v>
      </c>
      <c r="D147" s="81">
        <f t="shared" si="3"/>
        <v>0</v>
      </c>
      <c r="E147" s="81">
        <f>SUMIF('2.생활용수(광석)'!$C$5:$C$56,C147,'2.생활용수(광석)'!$Q$5:$Q$56)</f>
        <v>0</v>
      </c>
      <c r="F147" s="81">
        <f>SUMIF('2.생활용수(성동)'!$C$5:$C$60,$C147,'2.생활용수(성동)'!$Q$5:$Q$60)</f>
        <v>0</v>
      </c>
      <c r="G147" s="81">
        <f>SUMIF('2.생활용수(봉화)'!$C$5:$C$18,$C147,'2.생활용수(봉화)'!$Q$5:$Q$18)</f>
        <v>0</v>
      </c>
      <c r="H147" s="81">
        <f>SUMIF('2.생활용수(논산)'!$C$5:$C$28,$C147,'2.생활용수(논산)'!$Q$5:$Q$28)</f>
        <v>0</v>
      </c>
      <c r="I147" s="81">
        <f>SUMIF('2.생활용수(연무)'!$C$5:$C$123,$C147,'2.생활용수(연무)'!$Q$5:$Q$123)</f>
        <v>0</v>
      </c>
      <c r="J147" s="81">
        <f>SUMIF('2.생활용수(마산)'!$C$5:$C$115,$C147,'2.생활용수(마산)'!$Q$5:$Q$115)</f>
        <v>0</v>
      </c>
      <c r="K147" s="81">
        <f>SUMIF('2.생활용수(부적)'!$C$5:$C$75,$C147,'2.생활용수(부적)'!$Q$5:$Q$75)</f>
        <v>0</v>
      </c>
      <c r="L147" s="81">
        <f>SUMIF('2.생활용수(연산)'!$C$5:$C$220,$C147,'2.생활용수(연산)'!$Q$5:$Q$220)</f>
        <v>0</v>
      </c>
      <c r="M147" s="81">
        <f>SUMIF('2.생활용수(채운)'!$C$5:$C$63,$C147,'2.생활용수(채운)'!$Q$5:$Q$63)</f>
        <v>0</v>
      </c>
      <c r="N147" s="81">
        <f>SUMIF('2.생활용수(강경)'!$C$5:$C$60,$C147,'2.생활용수(강경)'!$Q$5:$Q$60)</f>
        <v>0</v>
      </c>
      <c r="O147" s="81"/>
    </row>
    <row r="148" spans="1:15" ht="20.100000000000001" customHeight="1">
      <c r="A148" s="442" t="s">
        <v>702</v>
      </c>
      <c r="B148" s="442" t="s">
        <v>858</v>
      </c>
      <c r="C148" s="443" t="s">
        <v>2028</v>
      </c>
      <c r="D148" s="81">
        <f t="shared" si="3"/>
        <v>0</v>
      </c>
      <c r="E148" s="81">
        <f>SUMIF('2.생활용수(광석)'!$C$5:$C$56,C148,'2.생활용수(광석)'!$Q$5:$Q$56)</f>
        <v>0</v>
      </c>
      <c r="F148" s="81">
        <f>SUMIF('2.생활용수(성동)'!$C$5:$C$60,$C148,'2.생활용수(성동)'!$Q$5:$Q$60)</f>
        <v>0</v>
      </c>
      <c r="G148" s="81">
        <f>SUMIF('2.생활용수(봉화)'!$C$5:$C$18,$C148,'2.생활용수(봉화)'!$Q$5:$Q$18)</f>
        <v>0</v>
      </c>
      <c r="H148" s="81">
        <f>SUMIF('2.생활용수(논산)'!$C$5:$C$28,$C148,'2.생활용수(논산)'!$Q$5:$Q$28)</f>
        <v>0</v>
      </c>
      <c r="I148" s="81">
        <f>SUMIF('2.생활용수(연무)'!$C$5:$C$123,$C148,'2.생활용수(연무)'!$Q$5:$Q$123)</f>
        <v>0</v>
      </c>
      <c r="J148" s="81">
        <f>SUMIF('2.생활용수(마산)'!$C$5:$C$115,$C148,'2.생활용수(마산)'!$Q$5:$Q$115)</f>
        <v>0</v>
      </c>
      <c r="K148" s="81">
        <f>SUMIF('2.생활용수(부적)'!$C$5:$C$75,$C148,'2.생활용수(부적)'!$Q$5:$Q$75)</f>
        <v>0</v>
      </c>
      <c r="L148" s="81">
        <f>SUMIF('2.생활용수(연산)'!$C$5:$C$220,$C148,'2.생활용수(연산)'!$Q$5:$Q$220)</f>
        <v>0</v>
      </c>
      <c r="M148" s="81">
        <f>SUMIF('2.생활용수(채운)'!$C$5:$C$63,$C148,'2.생활용수(채운)'!$Q$5:$Q$63)</f>
        <v>0</v>
      </c>
      <c r="N148" s="81">
        <f>SUMIF('2.생활용수(강경)'!$C$5:$C$60,$C148,'2.생활용수(강경)'!$Q$5:$Q$60)</f>
        <v>0</v>
      </c>
      <c r="O148" s="81"/>
    </row>
    <row r="149" spans="1:15" ht="20.100000000000001" customHeight="1">
      <c r="A149" s="442" t="s">
        <v>702</v>
      </c>
      <c r="B149" s="442" t="s">
        <v>2029</v>
      </c>
      <c r="C149" s="443" t="s">
        <v>2030</v>
      </c>
      <c r="D149" s="81">
        <f t="shared" si="3"/>
        <v>0</v>
      </c>
      <c r="E149" s="81">
        <f>SUMIF('2.생활용수(광석)'!$C$5:$C$56,C149,'2.생활용수(광석)'!$Q$5:$Q$56)</f>
        <v>0</v>
      </c>
      <c r="F149" s="81">
        <f>SUMIF('2.생활용수(성동)'!$C$5:$C$60,$C149,'2.생활용수(성동)'!$Q$5:$Q$60)</f>
        <v>0</v>
      </c>
      <c r="G149" s="81">
        <f>SUMIF('2.생활용수(봉화)'!$C$5:$C$18,$C149,'2.생활용수(봉화)'!$Q$5:$Q$18)</f>
        <v>0</v>
      </c>
      <c r="H149" s="81">
        <f>SUMIF('2.생활용수(논산)'!$C$5:$C$28,$C149,'2.생활용수(논산)'!$Q$5:$Q$28)</f>
        <v>0</v>
      </c>
      <c r="I149" s="81">
        <f>SUMIF('2.생활용수(연무)'!$C$5:$C$123,$C149,'2.생활용수(연무)'!$Q$5:$Q$123)</f>
        <v>0</v>
      </c>
      <c r="J149" s="81">
        <f>SUMIF('2.생활용수(마산)'!$C$5:$C$115,$C149,'2.생활용수(마산)'!$Q$5:$Q$115)</f>
        <v>0</v>
      </c>
      <c r="K149" s="81">
        <f>SUMIF('2.생활용수(부적)'!$C$5:$C$75,$C149,'2.생활용수(부적)'!$Q$5:$Q$75)</f>
        <v>0</v>
      </c>
      <c r="L149" s="81">
        <f>SUMIF('2.생활용수(연산)'!$C$5:$C$220,$C149,'2.생활용수(연산)'!$Q$5:$Q$220)</f>
        <v>0</v>
      </c>
      <c r="M149" s="81">
        <f>SUMIF('2.생활용수(채운)'!$C$5:$C$63,$C149,'2.생활용수(채운)'!$Q$5:$Q$63)</f>
        <v>0</v>
      </c>
      <c r="N149" s="81">
        <f>SUMIF('2.생활용수(강경)'!$C$5:$C$60,$C149,'2.생활용수(강경)'!$Q$5:$Q$60)</f>
        <v>0</v>
      </c>
      <c r="O149" s="81"/>
    </row>
    <row r="150" spans="1:15" ht="20.100000000000001" customHeight="1">
      <c r="A150" s="442" t="s">
        <v>702</v>
      </c>
      <c r="B150" s="442" t="s">
        <v>2029</v>
      </c>
      <c r="C150" s="443" t="s">
        <v>2031</v>
      </c>
      <c r="D150" s="81">
        <f t="shared" si="3"/>
        <v>0</v>
      </c>
      <c r="E150" s="81">
        <f>SUMIF('2.생활용수(광석)'!$C$5:$C$56,C150,'2.생활용수(광석)'!$Q$5:$Q$56)</f>
        <v>0</v>
      </c>
      <c r="F150" s="81">
        <f>SUMIF('2.생활용수(성동)'!$C$5:$C$60,$C150,'2.생활용수(성동)'!$Q$5:$Q$60)</f>
        <v>0</v>
      </c>
      <c r="G150" s="81">
        <f>SUMIF('2.생활용수(봉화)'!$C$5:$C$18,$C150,'2.생활용수(봉화)'!$Q$5:$Q$18)</f>
        <v>0</v>
      </c>
      <c r="H150" s="81">
        <f>SUMIF('2.생활용수(논산)'!$C$5:$C$28,$C150,'2.생활용수(논산)'!$Q$5:$Q$28)</f>
        <v>0</v>
      </c>
      <c r="I150" s="81">
        <f>SUMIF('2.생활용수(연무)'!$C$5:$C$123,$C150,'2.생활용수(연무)'!$Q$5:$Q$123)</f>
        <v>0</v>
      </c>
      <c r="J150" s="81">
        <f>SUMIF('2.생활용수(마산)'!$C$5:$C$115,$C150,'2.생활용수(마산)'!$Q$5:$Q$115)</f>
        <v>0</v>
      </c>
      <c r="K150" s="81">
        <f>SUMIF('2.생활용수(부적)'!$C$5:$C$75,$C150,'2.생활용수(부적)'!$Q$5:$Q$75)</f>
        <v>0</v>
      </c>
      <c r="L150" s="81">
        <f>SUMIF('2.생활용수(연산)'!$C$5:$C$220,$C150,'2.생활용수(연산)'!$Q$5:$Q$220)</f>
        <v>0</v>
      </c>
      <c r="M150" s="81">
        <f>SUMIF('2.생활용수(채운)'!$C$5:$C$63,$C150,'2.생활용수(채운)'!$Q$5:$Q$63)</f>
        <v>0</v>
      </c>
      <c r="N150" s="81">
        <f>SUMIF('2.생활용수(강경)'!$C$5:$C$60,$C150,'2.생활용수(강경)'!$Q$5:$Q$60)</f>
        <v>0</v>
      </c>
      <c r="O150" s="81"/>
    </row>
    <row r="151" spans="1:15" ht="20.100000000000001" customHeight="1">
      <c r="A151" s="442" t="s">
        <v>702</v>
      </c>
      <c r="B151" s="442" t="s">
        <v>2029</v>
      </c>
      <c r="C151" s="443" t="s">
        <v>2032</v>
      </c>
      <c r="D151" s="81">
        <f t="shared" si="3"/>
        <v>0</v>
      </c>
      <c r="E151" s="81">
        <f>SUMIF('2.생활용수(광석)'!$C$5:$C$56,C151,'2.생활용수(광석)'!$Q$5:$Q$56)</f>
        <v>0</v>
      </c>
      <c r="F151" s="81">
        <f>SUMIF('2.생활용수(성동)'!$C$5:$C$60,$C151,'2.생활용수(성동)'!$Q$5:$Q$60)</f>
        <v>0</v>
      </c>
      <c r="G151" s="81">
        <f>SUMIF('2.생활용수(봉화)'!$C$5:$C$18,$C151,'2.생활용수(봉화)'!$Q$5:$Q$18)</f>
        <v>0</v>
      </c>
      <c r="H151" s="81">
        <f>SUMIF('2.생활용수(논산)'!$C$5:$C$28,$C151,'2.생활용수(논산)'!$Q$5:$Q$28)</f>
        <v>0</v>
      </c>
      <c r="I151" s="81">
        <f>SUMIF('2.생활용수(연무)'!$C$5:$C$123,$C151,'2.생활용수(연무)'!$Q$5:$Q$123)</f>
        <v>0</v>
      </c>
      <c r="J151" s="81">
        <f>SUMIF('2.생활용수(마산)'!$C$5:$C$115,$C151,'2.생활용수(마산)'!$Q$5:$Q$115)</f>
        <v>0</v>
      </c>
      <c r="K151" s="81">
        <f>SUMIF('2.생활용수(부적)'!$C$5:$C$75,$C151,'2.생활용수(부적)'!$Q$5:$Q$75)</f>
        <v>0</v>
      </c>
      <c r="L151" s="81">
        <f>SUMIF('2.생활용수(연산)'!$C$5:$C$220,$C151,'2.생활용수(연산)'!$Q$5:$Q$220)</f>
        <v>0</v>
      </c>
      <c r="M151" s="81">
        <f>SUMIF('2.생활용수(채운)'!$C$5:$C$63,$C151,'2.생활용수(채운)'!$Q$5:$Q$63)</f>
        <v>0</v>
      </c>
      <c r="N151" s="81">
        <f>SUMIF('2.생활용수(강경)'!$C$5:$C$60,$C151,'2.생활용수(강경)'!$Q$5:$Q$60)</f>
        <v>0</v>
      </c>
      <c r="O151" s="81"/>
    </row>
    <row r="152" spans="1:15" ht="20.100000000000001" customHeight="1">
      <c r="A152" s="442" t="s">
        <v>702</v>
      </c>
      <c r="B152" s="442" t="s">
        <v>860</v>
      </c>
      <c r="C152" s="443" t="s">
        <v>2033</v>
      </c>
      <c r="D152" s="81">
        <f t="shared" si="3"/>
        <v>0</v>
      </c>
      <c r="E152" s="81">
        <f>SUMIF('2.생활용수(광석)'!$C$5:$C$56,C152,'2.생활용수(광석)'!$Q$5:$Q$56)</f>
        <v>0</v>
      </c>
      <c r="F152" s="81">
        <f>SUMIF('2.생활용수(성동)'!$C$5:$C$60,$C152,'2.생활용수(성동)'!$Q$5:$Q$60)</f>
        <v>0</v>
      </c>
      <c r="G152" s="81">
        <f>SUMIF('2.생활용수(봉화)'!$C$5:$C$18,$C152,'2.생활용수(봉화)'!$Q$5:$Q$18)</f>
        <v>0</v>
      </c>
      <c r="H152" s="81">
        <f>SUMIF('2.생활용수(논산)'!$C$5:$C$28,$C152,'2.생활용수(논산)'!$Q$5:$Q$28)</f>
        <v>0</v>
      </c>
      <c r="I152" s="81">
        <f>SUMIF('2.생활용수(연무)'!$C$5:$C$123,$C152,'2.생활용수(연무)'!$Q$5:$Q$123)</f>
        <v>0</v>
      </c>
      <c r="J152" s="81">
        <f>SUMIF('2.생활용수(마산)'!$C$5:$C$115,$C152,'2.생활용수(마산)'!$Q$5:$Q$115)</f>
        <v>0</v>
      </c>
      <c r="K152" s="81">
        <f>SUMIF('2.생활용수(부적)'!$C$5:$C$75,$C152,'2.생활용수(부적)'!$Q$5:$Q$75)</f>
        <v>0</v>
      </c>
      <c r="L152" s="81">
        <f>SUMIF('2.생활용수(연산)'!$C$5:$C$220,$C152,'2.생활용수(연산)'!$Q$5:$Q$220)</f>
        <v>0</v>
      </c>
      <c r="M152" s="81">
        <f>SUMIF('2.생활용수(채운)'!$C$5:$C$63,$C152,'2.생활용수(채운)'!$Q$5:$Q$63)</f>
        <v>0</v>
      </c>
      <c r="N152" s="81">
        <f>SUMIF('2.생활용수(강경)'!$C$5:$C$60,$C152,'2.생활용수(강경)'!$Q$5:$Q$60)</f>
        <v>0</v>
      </c>
      <c r="O152" s="81"/>
    </row>
    <row r="153" spans="1:15" ht="20.100000000000001" customHeight="1">
      <c r="A153" s="442" t="s">
        <v>702</v>
      </c>
      <c r="B153" s="442" t="s">
        <v>860</v>
      </c>
      <c r="C153" s="443" t="s">
        <v>2034</v>
      </c>
      <c r="D153" s="81">
        <f t="shared" si="3"/>
        <v>0</v>
      </c>
      <c r="E153" s="81">
        <f>SUMIF('2.생활용수(광석)'!$C$5:$C$56,C153,'2.생활용수(광석)'!$Q$5:$Q$56)</f>
        <v>0</v>
      </c>
      <c r="F153" s="81">
        <f>SUMIF('2.생활용수(성동)'!$C$5:$C$60,$C153,'2.생활용수(성동)'!$Q$5:$Q$60)</f>
        <v>0</v>
      </c>
      <c r="G153" s="81">
        <f>SUMIF('2.생활용수(봉화)'!$C$5:$C$18,$C153,'2.생활용수(봉화)'!$Q$5:$Q$18)</f>
        <v>0</v>
      </c>
      <c r="H153" s="81">
        <f>SUMIF('2.생활용수(논산)'!$C$5:$C$28,$C153,'2.생활용수(논산)'!$Q$5:$Q$28)</f>
        <v>0</v>
      </c>
      <c r="I153" s="81">
        <f>SUMIF('2.생활용수(연무)'!$C$5:$C$123,$C153,'2.생활용수(연무)'!$Q$5:$Q$123)</f>
        <v>0</v>
      </c>
      <c r="J153" s="81">
        <f>SUMIF('2.생활용수(마산)'!$C$5:$C$115,$C153,'2.생활용수(마산)'!$Q$5:$Q$115)</f>
        <v>0</v>
      </c>
      <c r="K153" s="81">
        <f>SUMIF('2.생활용수(부적)'!$C$5:$C$75,$C153,'2.생활용수(부적)'!$Q$5:$Q$75)</f>
        <v>0</v>
      </c>
      <c r="L153" s="81">
        <f>SUMIF('2.생활용수(연산)'!$C$5:$C$220,$C153,'2.생활용수(연산)'!$Q$5:$Q$220)</f>
        <v>0</v>
      </c>
      <c r="M153" s="81">
        <f>SUMIF('2.생활용수(채운)'!$C$5:$C$63,$C153,'2.생활용수(채운)'!$Q$5:$Q$63)</f>
        <v>0</v>
      </c>
      <c r="N153" s="81">
        <f>SUMIF('2.생활용수(강경)'!$C$5:$C$60,$C153,'2.생활용수(강경)'!$Q$5:$Q$60)</f>
        <v>0</v>
      </c>
      <c r="O153" s="81"/>
    </row>
    <row r="154" spans="1:15" ht="20.100000000000001" customHeight="1">
      <c r="A154" s="442" t="s">
        <v>703</v>
      </c>
      <c r="B154" s="442" t="s">
        <v>862</v>
      </c>
      <c r="C154" s="443" t="s">
        <v>2035</v>
      </c>
      <c r="D154" s="81">
        <f t="shared" si="3"/>
        <v>0</v>
      </c>
      <c r="E154" s="81">
        <f>SUMIF('2.생활용수(광석)'!$C$5:$C$56,C154,'2.생활용수(광석)'!$Q$5:$Q$56)</f>
        <v>0</v>
      </c>
      <c r="F154" s="81">
        <f>SUMIF('2.생활용수(성동)'!$C$5:$C$60,$C154,'2.생활용수(성동)'!$Q$5:$Q$60)</f>
        <v>0</v>
      </c>
      <c r="G154" s="81">
        <f>SUMIF('2.생활용수(봉화)'!$C$5:$C$18,$C154,'2.생활용수(봉화)'!$Q$5:$Q$18)</f>
        <v>0</v>
      </c>
      <c r="H154" s="81">
        <f>SUMIF('2.생활용수(논산)'!$C$5:$C$28,$C154,'2.생활용수(논산)'!$Q$5:$Q$28)</f>
        <v>0</v>
      </c>
      <c r="I154" s="81">
        <f>SUMIF('2.생활용수(연무)'!$C$5:$C$123,$C154,'2.생활용수(연무)'!$Q$5:$Q$123)</f>
        <v>0</v>
      </c>
      <c r="J154" s="81">
        <f>SUMIF('2.생활용수(마산)'!$C$5:$C$115,$C154,'2.생활용수(마산)'!$Q$5:$Q$115)</f>
        <v>0</v>
      </c>
      <c r="K154" s="81">
        <f>SUMIF('2.생활용수(부적)'!$C$5:$C$75,$C154,'2.생활용수(부적)'!$Q$5:$Q$75)</f>
        <v>0</v>
      </c>
      <c r="L154" s="81">
        <f>SUMIF('2.생활용수(연산)'!$C$5:$C$220,$C154,'2.생활용수(연산)'!$Q$5:$Q$220)</f>
        <v>0</v>
      </c>
      <c r="M154" s="81">
        <f>SUMIF('2.생활용수(채운)'!$C$5:$C$63,$C154,'2.생활용수(채운)'!$Q$5:$Q$63)</f>
        <v>0</v>
      </c>
      <c r="N154" s="81">
        <f>SUMIF('2.생활용수(강경)'!$C$5:$C$60,$C154,'2.생활용수(강경)'!$Q$5:$Q$60)</f>
        <v>0</v>
      </c>
      <c r="O154" s="81"/>
    </row>
    <row r="155" spans="1:15" ht="20.100000000000001" customHeight="1">
      <c r="A155" s="442" t="s">
        <v>703</v>
      </c>
      <c r="B155" s="442" t="s">
        <v>862</v>
      </c>
      <c r="C155" s="443" t="s">
        <v>2036</v>
      </c>
      <c r="D155" s="81">
        <f t="shared" si="3"/>
        <v>0</v>
      </c>
      <c r="E155" s="81">
        <f>SUMIF('2.생활용수(광석)'!$C$5:$C$56,C155,'2.생활용수(광석)'!$Q$5:$Q$56)</f>
        <v>0</v>
      </c>
      <c r="F155" s="81">
        <f>SUMIF('2.생활용수(성동)'!$C$5:$C$60,$C155,'2.생활용수(성동)'!$Q$5:$Q$60)</f>
        <v>0</v>
      </c>
      <c r="G155" s="81">
        <f>SUMIF('2.생활용수(봉화)'!$C$5:$C$18,$C155,'2.생활용수(봉화)'!$Q$5:$Q$18)</f>
        <v>0</v>
      </c>
      <c r="H155" s="81">
        <f>SUMIF('2.생활용수(논산)'!$C$5:$C$28,$C155,'2.생활용수(논산)'!$Q$5:$Q$28)</f>
        <v>0</v>
      </c>
      <c r="I155" s="81">
        <f>SUMIF('2.생활용수(연무)'!$C$5:$C$123,$C155,'2.생활용수(연무)'!$Q$5:$Q$123)</f>
        <v>0</v>
      </c>
      <c r="J155" s="81">
        <f>SUMIF('2.생활용수(마산)'!$C$5:$C$115,$C155,'2.생활용수(마산)'!$Q$5:$Q$115)</f>
        <v>0</v>
      </c>
      <c r="K155" s="81">
        <f>SUMIF('2.생활용수(부적)'!$C$5:$C$75,$C155,'2.생활용수(부적)'!$Q$5:$Q$75)</f>
        <v>0</v>
      </c>
      <c r="L155" s="81">
        <f>SUMIF('2.생활용수(연산)'!$C$5:$C$220,$C155,'2.생활용수(연산)'!$Q$5:$Q$220)</f>
        <v>0</v>
      </c>
      <c r="M155" s="81">
        <f>SUMIF('2.생활용수(채운)'!$C$5:$C$63,$C155,'2.생활용수(채운)'!$Q$5:$Q$63)</f>
        <v>0</v>
      </c>
      <c r="N155" s="81">
        <f>SUMIF('2.생활용수(강경)'!$C$5:$C$60,$C155,'2.생활용수(강경)'!$Q$5:$Q$60)</f>
        <v>0</v>
      </c>
      <c r="O155" s="81"/>
    </row>
    <row r="156" spans="1:15" ht="20.100000000000001" customHeight="1">
      <c r="A156" s="442" t="s">
        <v>703</v>
      </c>
      <c r="B156" s="442" t="s">
        <v>862</v>
      </c>
      <c r="C156" s="443" t="s">
        <v>2037</v>
      </c>
      <c r="D156" s="81">
        <f t="shared" si="3"/>
        <v>0</v>
      </c>
      <c r="E156" s="81">
        <f>SUMIF('2.생활용수(광석)'!$C$5:$C$56,C156,'2.생활용수(광석)'!$Q$5:$Q$56)</f>
        <v>0</v>
      </c>
      <c r="F156" s="81">
        <f>SUMIF('2.생활용수(성동)'!$C$5:$C$60,$C156,'2.생활용수(성동)'!$Q$5:$Q$60)</f>
        <v>0</v>
      </c>
      <c r="G156" s="81">
        <f>SUMIF('2.생활용수(봉화)'!$C$5:$C$18,$C156,'2.생활용수(봉화)'!$Q$5:$Q$18)</f>
        <v>0</v>
      </c>
      <c r="H156" s="81">
        <f>SUMIF('2.생활용수(논산)'!$C$5:$C$28,$C156,'2.생활용수(논산)'!$Q$5:$Q$28)</f>
        <v>0</v>
      </c>
      <c r="I156" s="81">
        <f>SUMIF('2.생활용수(연무)'!$C$5:$C$123,$C156,'2.생활용수(연무)'!$Q$5:$Q$123)</f>
        <v>0</v>
      </c>
      <c r="J156" s="81">
        <f>SUMIF('2.생활용수(마산)'!$C$5:$C$115,$C156,'2.생활용수(마산)'!$Q$5:$Q$115)</f>
        <v>0</v>
      </c>
      <c r="K156" s="81">
        <f>SUMIF('2.생활용수(부적)'!$C$5:$C$75,$C156,'2.생활용수(부적)'!$Q$5:$Q$75)</f>
        <v>0</v>
      </c>
      <c r="L156" s="81">
        <f>SUMIF('2.생활용수(연산)'!$C$5:$C$220,$C156,'2.생활용수(연산)'!$Q$5:$Q$220)</f>
        <v>0</v>
      </c>
      <c r="M156" s="81">
        <f>SUMIF('2.생활용수(채운)'!$C$5:$C$63,$C156,'2.생활용수(채운)'!$Q$5:$Q$63)</f>
        <v>0</v>
      </c>
      <c r="N156" s="81">
        <f>SUMIF('2.생활용수(강경)'!$C$5:$C$60,$C156,'2.생활용수(강경)'!$Q$5:$Q$60)</f>
        <v>0</v>
      </c>
      <c r="O156" s="81"/>
    </row>
    <row r="157" spans="1:15" ht="20.100000000000001" customHeight="1">
      <c r="A157" s="442" t="s">
        <v>703</v>
      </c>
      <c r="B157" s="442" t="s">
        <v>863</v>
      </c>
      <c r="C157" s="443" t="s">
        <v>2038</v>
      </c>
      <c r="D157" s="81">
        <f t="shared" si="3"/>
        <v>0</v>
      </c>
      <c r="E157" s="81">
        <f>SUMIF('2.생활용수(광석)'!$C$5:$C$56,C157,'2.생활용수(광석)'!$Q$5:$Q$56)</f>
        <v>0</v>
      </c>
      <c r="F157" s="81">
        <f>SUMIF('2.생활용수(성동)'!$C$5:$C$60,$C157,'2.생활용수(성동)'!$Q$5:$Q$60)</f>
        <v>0</v>
      </c>
      <c r="G157" s="81">
        <f>SUMIF('2.생활용수(봉화)'!$C$5:$C$18,$C157,'2.생활용수(봉화)'!$Q$5:$Q$18)</f>
        <v>0</v>
      </c>
      <c r="H157" s="81">
        <f>SUMIF('2.생활용수(논산)'!$C$5:$C$28,$C157,'2.생활용수(논산)'!$Q$5:$Q$28)</f>
        <v>0</v>
      </c>
      <c r="I157" s="81">
        <f>SUMIF('2.생활용수(연무)'!$C$5:$C$123,$C157,'2.생활용수(연무)'!$Q$5:$Q$123)</f>
        <v>0</v>
      </c>
      <c r="J157" s="81">
        <f>SUMIF('2.생활용수(마산)'!$C$5:$C$115,$C157,'2.생활용수(마산)'!$Q$5:$Q$115)</f>
        <v>0</v>
      </c>
      <c r="K157" s="81">
        <f>SUMIF('2.생활용수(부적)'!$C$5:$C$75,$C157,'2.생활용수(부적)'!$Q$5:$Q$75)</f>
        <v>0</v>
      </c>
      <c r="L157" s="81">
        <f>SUMIF('2.생활용수(연산)'!$C$5:$C$220,$C157,'2.생활용수(연산)'!$Q$5:$Q$220)</f>
        <v>0</v>
      </c>
      <c r="M157" s="81">
        <f>SUMIF('2.생활용수(채운)'!$C$5:$C$63,$C157,'2.생활용수(채운)'!$Q$5:$Q$63)</f>
        <v>0</v>
      </c>
      <c r="N157" s="81">
        <f>SUMIF('2.생활용수(강경)'!$C$5:$C$60,$C157,'2.생활용수(강경)'!$Q$5:$Q$60)</f>
        <v>0</v>
      </c>
      <c r="O157" s="81"/>
    </row>
    <row r="158" spans="1:15" ht="20.100000000000001" customHeight="1">
      <c r="A158" s="442" t="s">
        <v>703</v>
      </c>
      <c r="B158" s="442" t="s">
        <v>863</v>
      </c>
      <c r="C158" s="443" t="s">
        <v>2039</v>
      </c>
      <c r="D158" s="81">
        <f t="shared" si="3"/>
        <v>0</v>
      </c>
      <c r="E158" s="81">
        <f>SUMIF('2.생활용수(광석)'!$C$5:$C$56,C158,'2.생활용수(광석)'!$Q$5:$Q$56)</f>
        <v>0</v>
      </c>
      <c r="F158" s="81">
        <f>SUMIF('2.생활용수(성동)'!$C$5:$C$60,$C158,'2.생활용수(성동)'!$Q$5:$Q$60)</f>
        <v>0</v>
      </c>
      <c r="G158" s="81">
        <f>SUMIF('2.생활용수(봉화)'!$C$5:$C$18,$C158,'2.생활용수(봉화)'!$Q$5:$Q$18)</f>
        <v>0</v>
      </c>
      <c r="H158" s="81">
        <f>SUMIF('2.생활용수(논산)'!$C$5:$C$28,$C158,'2.생활용수(논산)'!$Q$5:$Q$28)</f>
        <v>0</v>
      </c>
      <c r="I158" s="81">
        <f>SUMIF('2.생활용수(연무)'!$C$5:$C$123,$C158,'2.생활용수(연무)'!$Q$5:$Q$123)</f>
        <v>0</v>
      </c>
      <c r="J158" s="81">
        <f>SUMIF('2.생활용수(마산)'!$C$5:$C$115,$C158,'2.생활용수(마산)'!$Q$5:$Q$115)</f>
        <v>0</v>
      </c>
      <c r="K158" s="81">
        <f>SUMIF('2.생활용수(부적)'!$C$5:$C$75,$C158,'2.생활용수(부적)'!$Q$5:$Q$75)</f>
        <v>0</v>
      </c>
      <c r="L158" s="81">
        <f>SUMIF('2.생활용수(연산)'!$C$5:$C$220,$C158,'2.생활용수(연산)'!$Q$5:$Q$220)</f>
        <v>0</v>
      </c>
      <c r="M158" s="81">
        <f>SUMIF('2.생활용수(채운)'!$C$5:$C$63,$C158,'2.생활용수(채운)'!$Q$5:$Q$63)</f>
        <v>0</v>
      </c>
      <c r="N158" s="81">
        <f>SUMIF('2.생활용수(강경)'!$C$5:$C$60,$C158,'2.생활용수(강경)'!$Q$5:$Q$60)</f>
        <v>0</v>
      </c>
      <c r="O158" s="81"/>
    </row>
    <row r="159" spans="1:15" ht="20.100000000000001" customHeight="1">
      <c r="A159" s="442" t="s">
        <v>703</v>
      </c>
      <c r="B159" s="442" t="s">
        <v>864</v>
      </c>
      <c r="C159" s="443" t="s">
        <v>2040</v>
      </c>
      <c r="D159" s="81">
        <f t="shared" si="3"/>
        <v>0</v>
      </c>
      <c r="E159" s="81">
        <f>SUMIF('2.생활용수(광석)'!$C$5:$C$56,C159,'2.생활용수(광석)'!$Q$5:$Q$56)</f>
        <v>0</v>
      </c>
      <c r="F159" s="81">
        <f>SUMIF('2.생활용수(성동)'!$C$5:$C$60,$C159,'2.생활용수(성동)'!$Q$5:$Q$60)</f>
        <v>0</v>
      </c>
      <c r="G159" s="81">
        <f>SUMIF('2.생활용수(봉화)'!$C$5:$C$18,$C159,'2.생활용수(봉화)'!$Q$5:$Q$18)</f>
        <v>0</v>
      </c>
      <c r="H159" s="81">
        <f>SUMIF('2.생활용수(논산)'!$C$5:$C$28,$C159,'2.생활용수(논산)'!$Q$5:$Q$28)</f>
        <v>0</v>
      </c>
      <c r="I159" s="81">
        <f>SUMIF('2.생활용수(연무)'!$C$5:$C$123,$C159,'2.생활용수(연무)'!$Q$5:$Q$123)</f>
        <v>0</v>
      </c>
      <c r="J159" s="81">
        <f>SUMIF('2.생활용수(마산)'!$C$5:$C$115,$C159,'2.생활용수(마산)'!$Q$5:$Q$115)</f>
        <v>0</v>
      </c>
      <c r="K159" s="81">
        <f>SUMIF('2.생활용수(부적)'!$C$5:$C$75,$C159,'2.생활용수(부적)'!$Q$5:$Q$75)</f>
        <v>0</v>
      </c>
      <c r="L159" s="81">
        <f>SUMIF('2.생활용수(연산)'!$C$5:$C$220,$C159,'2.생활용수(연산)'!$Q$5:$Q$220)</f>
        <v>0</v>
      </c>
      <c r="M159" s="81">
        <f>SUMIF('2.생활용수(채운)'!$C$5:$C$63,$C159,'2.생활용수(채운)'!$Q$5:$Q$63)</f>
        <v>0</v>
      </c>
      <c r="N159" s="81">
        <f>SUMIF('2.생활용수(강경)'!$C$5:$C$60,$C159,'2.생활용수(강경)'!$Q$5:$Q$60)</f>
        <v>0</v>
      </c>
      <c r="O159" s="81"/>
    </row>
    <row r="160" spans="1:15" ht="20.100000000000001" customHeight="1">
      <c r="A160" s="442" t="s">
        <v>703</v>
      </c>
      <c r="B160" s="442" t="s">
        <v>865</v>
      </c>
      <c r="C160" s="443" t="s">
        <v>2041</v>
      </c>
      <c r="D160" s="81">
        <f t="shared" si="3"/>
        <v>0</v>
      </c>
      <c r="E160" s="81">
        <f>SUMIF('2.생활용수(광석)'!$C$5:$C$56,C160,'2.생활용수(광석)'!$Q$5:$Q$56)</f>
        <v>0</v>
      </c>
      <c r="F160" s="81">
        <f>SUMIF('2.생활용수(성동)'!$C$5:$C$60,$C160,'2.생활용수(성동)'!$Q$5:$Q$60)</f>
        <v>0</v>
      </c>
      <c r="G160" s="81">
        <f>SUMIF('2.생활용수(봉화)'!$C$5:$C$18,$C160,'2.생활용수(봉화)'!$Q$5:$Q$18)</f>
        <v>0</v>
      </c>
      <c r="H160" s="81">
        <f>SUMIF('2.생활용수(논산)'!$C$5:$C$28,$C160,'2.생활용수(논산)'!$Q$5:$Q$28)</f>
        <v>0</v>
      </c>
      <c r="I160" s="81">
        <f>SUMIF('2.생활용수(연무)'!$C$5:$C$123,$C160,'2.생활용수(연무)'!$Q$5:$Q$123)</f>
        <v>0</v>
      </c>
      <c r="J160" s="81">
        <f>SUMIF('2.생활용수(마산)'!$C$5:$C$115,$C160,'2.생활용수(마산)'!$Q$5:$Q$115)</f>
        <v>0</v>
      </c>
      <c r="K160" s="81">
        <f>SUMIF('2.생활용수(부적)'!$C$5:$C$75,$C160,'2.생활용수(부적)'!$Q$5:$Q$75)</f>
        <v>0</v>
      </c>
      <c r="L160" s="81">
        <f>SUMIF('2.생활용수(연산)'!$C$5:$C$220,$C160,'2.생활용수(연산)'!$Q$5:$Q$220)</f>
        <v>0</v>
      </c>
      <c r="M160" s="81">
        <f>SUMIF('2.생활용수(채운)'!$C$5:$C$63,$C160,'2.생활용수(채운)'!$Q$5:$Q$63)</f>
        <v>0</v>
      </c>
      <c r="N160" s="81">
        <f>SUMIF('2.생활용수(강경)'!$C$5:$C$60,$C160,'2.생활용수(강경)'!$Q$5:$Q$60)</f>
        <v>0</v>
      </c>
      <c r="O160" s="81"/>
    </row>
    <row r="161" spans="1:15" ht="20.100000000000001" customHeight="1">
      <c r="A161" s="442" t="s">
        <v>703</v>
      </c>
      <c r="B161" s="442" t="s">
        <v>866</v>
      </c>
      <c r="C161" s="443" t="s">
        <v>2042</v>
      </c>
      <c r="D161" s="81">
        <f t="shared" si="3"/>
        <v>0</v>
      </c>
      <c r="E161" s="81">
        <f>SUMIF('2.생활용수(광석)'!$C$5:$C$56,C161,'2.생활용수(광석)'!$Q$5:$Q$56)</f>
        <v>0</v>
      </c>
      <c r="F161" s="81">
        <f>SUMIF('2.생활용수(성동)'!$C$5:$C$60,$C161,'2.생활용수(성동)'!$Q$5:$Q$60)</f>
        <v>0</v>
      </c>
      <c r="G161" s="81">
        <f>SUMIF('2.생활용수(봉화)'!$C$5:$C$18,$C161,'2.생활용수(봉화)'!$Q$5:$Q$18)</f>
        <v>0</v>
      </c>
      <c r="H161" s="81">
        <f>SUMIF('2.생활용수(논산)'!$C$5:$C$28,$C161,'2.생활용수(논산)'!$Q$5:$Q$28)</f>
        <v>0</v>
      </c>
      <c r="I161" s="81">
        <f>SUMIF('2.생활용수(연무)'!$C$5:$C$123,$C161,'2.생활용수(연무)'!$Q$5:$Q$123)</f>
        <v>0</v>
      </c>
      <c r="J161" s="81">
        <f>SUMIF('2.생활용수(마산)'!$C$5:$C$115,$C161,'2.생활용수(마산)'!$Q$5:$Q$115)</f>
        <v>0</v>
      </c>
      <c r="K161" s="81">
        <f>SUMIF('2.생활용수(부적)'!$C$5:$C$75,$C161,'2.생활용수(부적)'!$Q$5:$Q$75)</f>
        <v>0</v>
      </c>
      <c r="L161" s="81">
        <f>SUMIF('2.생활용수(연산)'!$C$5:$C$220,$C161,'2.생활용수(연산)'!$Q$5:$Q$220)</f>
        <v>0</v>
      </c>
      <c r="M161" s="81">
        <f>SUMIF('2.생활용수(채운)'!$C$5:$C$63,$C161,'2.생활용수(채운)'!$Q$5:$Q$63)</f>
        <v>0</v>
      </c>
      <c r="N161" s="81">
        <f>SUMIF('2.생활용수(강경)'!$C$5:$C$60,$C161,'2.생활용수(강경)'!$Q$5:$Q$60)</f>
        <v>0</v>
      </c>
      <c r="O161" s="81"/>
    </row>
    <row r="162" spans="1:15" ht="20.100000000000001" customHeight="1">
      <c r="A162" s="442" t="s">
        <v>703</v>
      </c>
      <c r="B162" s="442" t="s">
        <v>866</v>
      </c>
      <c r="C162" s="443" t="s">
        <v>2043</v>
      </c>
      <c r="D162" s="81">
        <f t="shared" si="3"/>
        <v>0</v>
      </c>
      <c r="E162" s="81">
        <f>SUMIF('2.생활용수(광석)'!$C$5:$C$56,C162,'2.생활용수(광석)'!$Q$5:$Q$56)</f>
        <v>0</v>
      </c>
      <c r="F162" s="81">
        <f>SUMIF('2.생활용수(성동)'!$C$5:$C$60,$C162,'2.생활용수(성동)'!$Q$5:$Q$60)</f>
        <v>0</v>
      </c>
      <c r="G162" s="81">
        <f>SUMIF('2.생활용수(봉화)'!$C$5:$C$18,$C162,'2.생활용수(봉화)'!$Q$5:$Q$18)</f>
        <v>0</v>
      </c>
      <c r="H162" s="81">
        <f>SUMIF('2.생활용수(논산)'!$C$5:$C$28,$C162,'2.생활용수(논산)'!$Q$5:$Q$28)</f>
        <v>0</v>
      </c>
      <c r="I162" s="81">
        <f>SUMIF('2.생활용수(연무)'!$C$5:$C$123,$C162,'2.생활용수(연무)'!$Q$5:$Q$123)</f>
        <v>0</v>
      </c>
      <c r="J162" s="81">
        <f>SUMIF('2.생활용수(마산)'!$C$5:$C$115,$C162,'2.생활용수(마산)'!$Q$5:$Q$115)</f>
        <v>0</v>
      </c>
      <c r="K162" s="81">
        <f>SUMIF('2.생활용수(부적)'!$C$5:$C$75,$C162,'2.생활용수(부적)'!$Q$5:$Q$75)</f>
        <v>0</v>
      </c>
      <c r="L162" s="81">
        <f>SUMIF('2.생활용수(연산)'!$C$5:$C$220,$C162,'2.생활용수(연산)'!$Q$5:$Q$220)</f>
        <v>0</v>
      </c>
      <c r="M162" s="81">
        <f>SUMIF('2.생활용수(채운)'!$C$5:$C$63,$C162,'2.생활용수(채운)'!$Q$5:$Q$63)</f>
        <v>0</v>
      </c>
      <c r="N162" s="81">
        <f>SUMIF('2.생활용수(강경)'!$C$5:$C$60,$C162,'2.생활용수(강경)'!$Q$5:$Q$60)</f>
        <v>0</v>
      </c>
      <c r="O162" s="81"/>
    </row>
    <row r="163" spans="1:15" ht="20.100000000000001" customHeight="1">
      <c r="A163" s="442" t="s">
        <v>703</v>
      </c>
      <c r="B163" s="442" t="s">
        <v>866</v>
      </c>
      <c r="C163" s="443" t="s">
        <v>2044</v>
      </c>
      <c r="D163" s="81">
        <f t="shared" si="3"/>
        <v>0</v>
      </c>
      <c r="E163" s="81">
        <f>SUMIF('2.생활용수(광석)'!$C$5:$C$56,C163,'2.생활용수(광석)'!$Q$5:$Q$56)</f>
        <v>0</v>
      </c>
      <c r="F163" s="81">
        <f>SUMIF('2.생활용수(성동)'!$C$5:$C$60,$C163,'2.생활용수(성동)'!$Q$5:$Q$60)</f>
        <v>0</v>
      </c>
      <c r="G163" s="81">
        <f>SUMIF('2.생활용수(봉화)'!$C$5:$C$18,$C163,'2.생활용수(봉화)'!$Q$5:$Q$18)</f>
        <v>0</v>
      </c>
      <c r="H163" s="81">
        <f>SUMIF('2.생활용수(논산)'!$C$5:$C$28,$C163,'2.생활용수(논산)'!$Q$5:$Q$28)</f>
        <v>0</v>
      </c>
      <c r="I163" s="81">
        <f>SUMIF('2.생활용수(연무)'!$C$5:$C$123,$C163,'2.생활용수(연무)'!$Q$5:$Q$123)</f>
        <v>0</v>
      </c>
      <c r="J163" s="81">
        <f>SUMIF('2.생활용수(마산)'!$C$5:$C$115,$C163,'2.생활용수(마산)'!$Q$5:$Q$115)</f>
        <v>0</v>
      </c>
      <c r="K163" s="81">
        <f>SUMIF('2.생활용수(부적)'!$C$5:$C$75,$C163,'2.생활용수(부적)'!$Q$5:$Q$75)</f>
        <v>0</v>
      </c>
      <c r="L163" s="81">
        <f>SUMIF('2.생활용수(연산)'!$C$5:$C$220,$C163,'2.생활용수(연산)'!$Q$5:$Q$220)</f>
        <v>0</v>
      </c>
      <c r="M163" s="81">
        <f>SUMIF('2.생활용수(채운)'!$C$5:$C$63,$C163,'2.생활용수(채운)'!$Q$5:$Q$63)</f>
        <v>0</v>
      </c>
      <c r="N163" s="81">
        <f>SUMIF('2.생활용수(강경)'!$C$5:$C$60,$C163,'2.생활용수(강경)'!$Q$5:$Q$60)</f>
        <v>0</v>
      </c>
      <c r="O163" s="81"/>
    </row>
    <row r="164" spans="1:15" ht="20.100000000000001" customHeight="1">
      <c r="A164" s="442" t="s">
        <v>703</v>
      </c>
      <c r="B164" s="442" t="s">
        <v>867</v>
      </c>
      <c r="C164" s="443" t="s">
        <v>2045</v>
      </c>
      <c r="D164" s="81">
        <f t="shared" si="3"/>
        <v>0</v>
      </c>
      <c r="E164" s="81">
        <f>SUMIF('2.생활용수(광석)'!$C$5:$C$56,C164,'2.생활용수(광석)'!$Q$5:$Q$56)</f>
        <v>0</v>
      </c>
      <c r="F164" s="81">
        <f>SUMIF('2.생활용수(성동)'!$C$5:$C$60,$C164,'2.생활용수(성동)'!$Q$5:$Q$60)</f>
        <v>0</v>
      </c>
      <c r="G164" s="81">
        <f>SUMIF('2.생활용수(봉화)'!$C$5:$C$18,$C164,'2.생활용수(봉화)'!$Q$5:$Q$18)</f>
        <v>0</v>
      </c>
      <c r="H164" s="81">
        <f>SUMIF('2.생활용수(논산)'!$C$5:$C$28,$C164,'2.생활용수(논산)'!$Q$5:$Q$28)</f>
        <v>0</v>
      </c>
      <c r="I164" s="81">
        <f>SUMIF('2.생활용수(연무)'!$C$5:$C$123,$C164,'2.생활용수(연무)'!$Q$5:$Q$123)</f>
        <v>0</v>
      </c>
      <c r="J164" s="81">
        <f>SUMIF('2.생활용수(마산)'!$C$5:$C$115,$C164,'2.생활용수(마산)'!$Q$5:$Q$115)</f>
        <v>0</v>
      </c>
      <c r="K164" s="81">
        <f>SUMIF('2.생활용수(부적)'!$C$5:$C$75,$C164,'2.생활용수(부적)'!$Q$5:$Q$75)</f>
        <v>0</v>
      </c>
      <c r="L164" s="81">
        <f>SUMIF('2.생활용수(연산)'!$C$5:$C$220,$C164,'2.생활용수(연산)'!$Q$5:$Q$220)</f>
        <v>0</v>
      </c>
      <c r="M164" s="81">
        <f>SUMIF('2.생활용수(채운)'!$C$5:$C$63,$C164,'2.생활용수(채운)'!$Q$5:$Q$63)</f>
        <v>0</v>
      </c>
      <c r="N164" s="81">
        <f>SUMIF('2.생활용수(강경)'!$C$5:$C$60,$C164,'2.생활용수(강경)'!$Q$5:$Q$60)</f>
        <v>0</v>
      </c>
      <c r="O164" s="81"/>
    </row>
    <row r="165" spans="1:15" ht="20.100000000000001" customHeight="1">
      <c r="A165" s="442" t="s">
        <v>703</v>
      </c>
      <c r="B165" s="442" t="s">
        <v>867</v>
      </c>
      <c r="C165" s="443" t="s">
        <v>2046</v>
      </c>
      <c r="D165" s="81">
        <f t="shared" si="3"/>
        <v>0</v>
      </c>
      <c r="E165" s="81">
        <f>SUMIF('2.생활용수(광석)'!$C$5:$C$56,C165,'2.생활용수(광석)'!$Q$5:$Q$56)</f>
        <v>0</v>
      </c>
      <c r="F165" s="81">
        <f>SUMIF('2.생활용수(성동)'!$C$5:$C$60,$C165,'2.생활용수(성동)'!$Q$5:$Q$60)</f>
        <v>0</v>
      </c>
      <c r="G165" s="81">
        <f>SUMIF('2.생활용수(봉화)'!$C$5:$C$18,$C165,'2.생활용수(봉화)'!$Q$5:$Q$18)</f>
        <v>0</v>
      </c>
      <c r="H165" s="81">
        <f>SUMIF('2.생활용수(논산)'!$C$5:$C$28,$C165,'2.생활용수(논산)'!$Q$5:$Q$28)</f>
        <v>0</v>
      </c>
      <c r="I165" s="81">
        <f>SUMIF('2.생활용수(연무)'!$C$5:$C$123,$C165,'2.생활용수(연무)'!$Q$5:$Q$123)</f>
        <v>0</v>
      </c>
      <c r="J165" s="81">
        <f>SUMIF('2.생활용수(마산)'!$C$5:$C$115,$C165,'2.생활용수(마산)'!$Q$5:$Q$115)</f>
        <v>0</v>
      </c>
      <c r="K165" s="81">
        <f>SUMIF('2.생활용수(부적)'!$C$5:$C$75,$C165,'2.생활용수(부적)'!$Q$5:$Q$75)</f>
        <v>0</v>
      </c>
      <c r="L165" s="81">
        <f>SUMIF('2.생활용수(연산)'!$C$5:$C$220,$C165,'2.생활용수(연산)'!$Q$5:$Q$220)</f>
        <v>0</v>
      </c>
      <c r="M165" s="81">
        <f>SUMIF('2.생활용수(채운)'!$C$5:$C$63,$C165,'2.생활용수(채운)'!$Q$5:$Q$63)</f>
        <v>0</v>
      </c>
      <c r="N165" s="81">
        <f>SUMIF('2.생활용수(강경)'!$C$5:$C$60,$C165,'2.생활용수(강경)'!$Q$5:$Q$60)</f>
        <v>0</v>
      </c>
      <c r="O165" s="81"/>
    </row>
    <row r="166" spans="1:15" ht="20.100000000000001" customHeight="1">
      <c r="A166" s="442" t="s">
        <v>703</v>
      </c>
      <c r="B166" s="442" t="s">
        <v>868</v>
      </c>
      <c r="C166" s="443" t="s">
        <v>2047</v>
      </c>
      <c r="D166" s="81">
        <f t="shared" si="3"/>
        <v>0</v>
      </c>
      <c r="E166" s="81">
        <f>SUMIF('2.생활용수(광석)'!$C$5:$C$56,C166,'2.생활용수(광석)'!$Q$5:$Q$56)</f>
        <v>0</v>
      </c>
      <c r="F166" s="81">
        <f>SUMIF('2.생활용수(성동)'!$C$5:$C$60,$C166,'2.생활용수(성동)'!$Q$5:$Q$60)</f>
        <v>0</v>
      </c>
      <c r="G166" s="81">
        <f>SUMIF('2.생활용수(봉화)'!$C$5:$C$18,$C166,'2.생활용수(봉화)'!$Q$5:$Q$18)</f>
        <v>0</v>
      </c>
      <c r="H166" s="81">
        <f>SUMIF('2.생활용수(논산)'!$C$5:$C$28,$C166,'2.생활용수(논산)'!$Q$5:$Q$28)</f>
        <v>0</v>
      </c>
      <c r="I166" s="81">
        <f>SUMIF('2.생활용수(연무)'!$C$5:$C$123,$C166,'2.생활용수(연무)'!$Q$5:$Q$123)</f>
        <v>0</v>
      </c>
      <c r="J166" s="81">
        <f>SUMIF('2.생활용수(마산)'!$C$5:$C$115,$C166,'2.생활용수(마산)'!$Q$5:$Q$115)</f>
        <v>0</v>
      </c>
      <c r="K166" s="81">
        <f>SUMIF('2.생활용수(부적)'!$C$5:$C$75,$C166,'2.생활용수(부적)'!$Q$5:$Q$75)</f>
        <v>0</v>
      </c>
      <c r="L166" s="81">
        <f>SUMIF('2.생활용수(연산)'!$C$5:$C$220,$C166,'2.생활용수(연산)'!$Q$5:$Q$220)</f>
        <v>0</v>
      </c>
      <c r="M166" s="81">
        <f>SUMIF('2.생활용수(채운)'!$C$5:$C$63,$C166,'2.생활용수(채운)'!$Q$5:$Q$63)</f>
        <v>0</v>
      </c>
      <c r="N166" s="81">
        <f>SUMIF('2.생활용수(강경)'!$C$5:$C$60,$C166,'2.생활용수(강경)'!$Q$5:$Q$60)</f>
        <v>0</v>
      </c>
      <c r="O166" s="81"/>
    </row>
    <row r="167" spans="1:15" ht="20.100000000000001" customHeight="1">
      <c r="A167" s="442" t="s">
        <v>703</v>
      </c>
      <c r="B167" s="442" t="s">
        <v>868</v>
      </c>
      <c r="C167" s="443" t="s">
        <v>2048</v>
      </c>
      <c r="D167" s="81">
        <f t="shared" si="3"/>
        <v>0</v>
      </c>
      <c r="E167" s="81">
        <f>SUMIF('2.생활용수(광석)'!$C$5:$C$56,C167,'2.생활용수(광석)'!$Q$5:$Q$56)</f>
        <v>0</v>
      </c>
      <c r="F167" s="81">
        <f>SUMIF('2.생활용수(성동)'!$C$5:$C$60,$C167,'2.생활용수(성동)'!$Q$5:$Q$60)</f>
        <v>0</v>
      </c>
      <c r="G167" s="81">
        <f>SUMIF('2.생활용수(봉화)'!$C$5:$C$18,$C167,'2.생활용수(봉화)'!$Q$5:$Q$18)</f>
        <v>0</v>
      </c>
      <c r="H167" s="81">
        <f>SUMIF('2.생활용수(논산)'!$C$5:$C$28,$C167,'2.생활용수(논산)'!$Q$5:$Q$28)</f>
        <v>0</v>
      </c>
      <c r="I167" s="81">
        <f>SUMIF('2.생활용수(연무)'!$C$5:$C$123,$C167,'2.생활용수(연무)'!$Q$5:$Q$123)</f>
        <v>0</v>
      </c>
      <c r="J167" s="81">
        <f>SUMIF('2.생활용수(마산)'!$C$5:$C$115,$C167,'2.생활용수(마산)'!$Q$5:$Q$115)</f>
        <v>0</v>
      </c>
      <c r="K167" s="81">
        <f>SUMIF('2.생활용수(부적)'!$C$5:$C$75,$C167,'2.생활용수(부적)'!$Q$5:$Q$75)</f>
        <v>0</v>
      </c>
      <c r="L167" s="81">
        <f>SUMIF('2.생활용수(연산)'!$C$5:$C$220,$C167,'2.생활용수(연산)'!$Q$5:$Q$220)</f>
        <v>0</v>
      </c>
      <c r="M167" s="81">
        <f>SUMIF('2.생활용수(채운)'!$C$5:$C$63,$C167,'2.생활용수(채운)'!$Q$5:$Q$63)</f>
        <v>0</v>
      </c>
      <c r="N167" s="81">
        <f>SUMIF('2.생활용수(강경)'!$C$5:$C$60,$C167,'2.생활용수(강경)'!$Q$5:$Q$60)</f>
        <v>0</v>
      </c>
      <c r="O167" s="81"/>
    </row>
    <row r="168" spans="1:15" ht="20.100000000000001" customHeight="1">
      <c r="A168" s="442" t="s">
        <v>703</v>
      </c>
      <c r="B168" s="442" t="s">
        <v>2049</v>
      </c>
      <c r="C168" s="443" t="s">
        <v>2050</v>
      </c>
      <c r="D168" s="81">
        <f t="shared" si="3"/>
        <v>0</v>
      </c>
      <c r="E168" s="81">
        <f>SUMIF('2.생활용수(광석)'!$C$5:$C$56,C168,'2.생활용수(광석)'!$Q$5:$Q$56)</f>
        <v>0</v>
      </c>
      <c r="F168" s="81">
        <f>SUMIF('2.생활용수(성동)'!$C$5:$C$60,$C168,'2.생활용수(성동)'!$Q$5:$Q$60)</f>
        <v>0</v>
      </c>
      <c r="G168" s="81">
        <f>SUMIF('2.생활용수(봉화)'!$C$5:$C$18,$C168,'2.생활용수(봉화)'!$Q$5:$Q$18)</f>
        <v>0</v>
      </c>
      <c r="H168" s="81">
        <f>SUMIF('2.생활용수(논산)'!$C$5:$C$28,$C168,'2.생활용수(논산)'!$Q$5:$Q$28)</f>
        <v>0</v>
      </c>
      <c r="I168" s="81">
        <f>SUMIF('2.생활용수(연무)'!$C$5:$C$123,$C168,'2.생활용수(연무)'!$Q$5:$Q$123)</f>
        <v>0</v>
      </c>
      <c r="J168" s="81">
        <f>SUMIF('2.생활용수(마산)'!$C$5:$C$115,$C168,'2.생활용수(마산)'!$Q$5:$Q$115)</f>
        <v>0</v>
      </c>
      <c r="K168" s="81">
        <f>SUMIF('2.생활용수(부적)'!$C$5:$C$75,$C168,'2.생활용수(부적)'!$Q$5:$Q$75)</f>
        <v>0</v>
      </c>
      <c r="L168" s="81">
        <f>SUMIF('2.생활용수(연산)'!$C$5:$C$220,$C168,'2.생활용수(연산)'!$Q$5:$Q$220)</f>
        <v>0</v>
      </c>
      <c r="M168" s="81">
        <f>SUMIF('2.생활용수(채운)'!$C$5:$C$63,$C168,'2.생활용수(채운)'!$Q$5:$Q$63)</f>
        <v>0</v>
      </c>
      <c r="N168" s="81">
        <f>SUMIF('2.생활용수(강경)'!$C$5:$C$60,$C168,'2.생활용수(강경)'!$Q$5:$Q$60)</f>
        <v>0</v>
      </c>
      <c r="O168" s="81"/>
    </row>
    <row r="169" spans="1:15" ht="20.100000000000001" customHeight="1">
      <c r="A169" s="442" t="s">
        <v>703</v>
      </c>
      <c r="B169" s="442" t="s">
        <v>2049</v>
      </c>
      <c r="C169" s="443" t="s">
        <v>2051</v>
      </c>
      <c r="D169" s="81">
        <f t="shared" si="3"/>
        <v>0</v>
      </c>
      <c r="E169" s="81">
        <f>SUMIF('2.생활용수(광석)'!$C$5:$C$56,C169,'2.생활용수(광석)'!$Q$5:$Q$56)</f>
        <v>0</v>
      </c>
      <c r="F169" s="81">
        <f>SUMIF('2.생활용수(성동)'!$C$5:$C$60,$C169,'2.생활용수(성동)'!$Q$5:$Q$60)</f>
        <v>0</v>
      </c>
      <c r="G169" s="81">
        <f>SUMIF('2.생활용수(봉화)'!$C$5:$C$18,$C169,'2.생활용수(봉화)'!$Q$5:$Q$18)</f>
        <v>0</v>
      </c>
      <c r="H169" s="81">
        <f>SUMIF('2.생활용수(논산)'!$C$5:$C$28,$C169,'2.생활용수(논산)'!$Q$5:$Q$28)</f>
        <v>0</v>
      </c>
      <c r="I169" s="81">
        <f>SUMIF('2.생활용수(연무)'!$C$5:$C$123,$C169,'2.생활용수(연무)'!$Q$5:$Q$123)</f>
        <v>0</v>
      </c>
      <c r="J169" s="81">
        <f>SUMIF('2.생활용수(마산)'!$C$5:$C$115,$C169,'2.생활용수(마산)'!$Q$5:$Q$115)</f>
        <v>0</v>
      </c>
      <c r="K169" s="81">
        <f>SUMIF('2.생활용수(부적)'!$C$5:$C$75,$C169,'2.생활용수(부적)'!$Q$5:$Q$75)</f>
        <v>0</v>
      </c>
      <c r="L169" s="81">
        <f>SUMIF('2.생활용수(연산)'!$C$5:$C$220,$C169,'2.생활용수(연산)'!$Q$5:$Q$220)</f>
        <v>0</v>
      </c>
      <c r="M169" s="81">
        <f>SUMIF('2.생활용수(채운)'!$C$5:$C$63,$C169,'2.생활용수(채운)'!$Q$5:$Q$63)</f>
        <v>0</v>
      </c>
      <c r="N169" s="81">
        <f>SUMIF('2.생활용수(강경)'!$C$5:$C$60,$C169,'2.생활용수(강경)'!$Q$5:$Q$60)</f>
        <v>0</v>
      </c>
      <c r="O169" s="81"/>
    </row>
    <row r="170" spans="1:15" ht="20.100000000000001" customHeight="1">
      <c r="A170" s="442" t="s">
        <v>703</v>
      </c>
      <c r="B170" s="442" t="s">
        <v>870</v>
      </c>
      <c r="C170" s="443" t="s">
        <v>2052</v>
      </c>
      <c r="D170" s="81">
        <f t="shared" si="3"/>
        <v>0</v>
      </c>
      <c r="E170" s="81">
        <f>SUMIF('2.생활용수(광석)'!$C$5:$C$56,C170,'2.생활용수(광석)'!$Q$5:$Q$56)</f>
        <v>0</v>
      </c>
      <c r="F170" s="81">
        <f>SUMIF('2.생활용수(성동)'!$C$5:$C$60,$C170,'2.생활용수(성동)'!$Q$5:$Q$60)</f>
        <v>0</v>
      </c>
      <c r="G170" s="81">
        <f>SUMIF('2.생활용수(봉화)'!$C$5:$C$18,$C170,'2.생활용수(봉화)'!$Q$5:$Q$18)</f>
        <v>0</v>
      </c>
      <c r="H170" s="81">
        <f>SUMIF('2.생활용수(논산)'!$C$5:$C$28,$C170,'2.생활용수(논산)'!$Q$5:$Q$28)</f>
        <v>0</v>
      </c>
      <c r="I170" s="81">
        <f>SUMIF('2.생활용수(연무)'!$C$5:$C$123,$C170,'2.생활용수(연무)'!$Q$5:$Q$123)</f>
        <v>0</v>
      </c>
      <c r="J170" s="81">
        <f>SUMIF('2.생활용수(마산)'!$C$5:$C$115,$C170,'2.생활용수(마산)'!$Q$5:$Q$115)</f>
        <v>0</v>
      </c>
      <c r="K170" s="81">
        <f>SUMIF('2.생활용수(부적)'!$C$5:$C$75,$C170,'2.생활용수(부적)'!$Q$5:$Q$75)</f>
        <v>0</v>
      </c>
      <c r="L170" s="81">
        <f>SUMIF('2.생활용수(연산)'!$C$5:$C$220,$C170,'2.생활용수(연산)'!$Q$5:$Q$220)</f>
        <v>0</v>
      </c>
      <c r="M170" s="81">
        <f>SUMIF('2.생활용수(채운)'!$C$5:$C$63,$C170,'2.생활용수(채운)'!$Q$5:$Q$63)</f>
        <v>0</v>
      </c>
      <c r="N170" s="81">
        <f>SUMIF('2.생활용수(강경)'!$C$5:$C$60,$C170,'2.생활용수(강경)'!$Q$5:$Q$60)</f>
        <v>0</v>
      </c>
      <c r="O170" s="81"/>
    </row>
    <row r="171" spans="1:15" ht="20.100000000000001" customHeight="1">
      <c r="A171" s="442" t="s">
        <v>703</v>
      </c>
      <c r="B171" s="442" t="s">
        <v>871</v>
      </c>
      <c r="C171" s="443" t="s">
        <v>2053</v>
      </c>
      <c r="D171" s="81">
        <f t="shared" si="3"/>
        <v>0</v>
      </c>
      <c r="E171" s="81">
        <f>SUMIF('2.생활용수(광석)'!$C$5:$C$56,C171,'2.생활용수(광석)'!$Q$5:$Q$56)</f>
        <v>0</v>
      </c>
      <c r="F171" s="81">
        <f>SUMIF('2.생활용수(성동)'!$C$5:$C$60,$C171,'2.생활용수(성동)'!$Q$5:$Q$60)</f>
        <v>0</v>
      </c>
      <c r="G171" s="81">
        <f>SUMIF('2.생활용수(봉화)'!$C$5:$C$18,$C171,'2.생활용수(봉화)'!$Q$5:$Q$18)</f>
        <v>0</v>
      </c>
      <c r="H171" s="81">
        <f>SUMIF('2.생활용수(논산)'!$C$5:$C$28,$C171,'2.생활용수(논산)'!$Q$5:$Q$28)</f>
        <v>0</v>
      </c>
      <c r="I171" s="81">
        <f>SUMIF('2.생활용수(연무)'!$C$5:$C$123,$C171,'2.생활용수(연무)'!$Q$5:$Q$123)</f>
        <v>0</v>
      </c>
      <c r="J171" s="81">
        <f>SUMIF('2.생활용수(마산)'!$C$5:$C$115,$C171,'2.생활용수(마산)'!$Q$5:$Q$115)</f>
        <v>0</v>
      </c>
      <c r="K171" s="81">
        <f>SUMIF('2.생활용수(부적)'!$C$5:$C$75,$C171,'2.생활용수(부적)'!$Q$5:$Q$75)</f>
        <v>0</v>
      </c>
      <c r="L171" s="81">
        <f>SUMIF('2.생활용수(연산)'!$C$5:$C$220,$C171,'2.생활용수(연산)'!$Q$5:$Q$220)</f>
        <v>0</v>
      </c>
      <c r="M171" s="81">
        <f>SUMIF('2.생활용수(채운)'!$C$5:$C$63,$C171,'2.생활용수(채운)'!$Q$5:$Q$63)</f>
        <v>0</v>
      </c>
      <c r="N171" s="81">
        <f>SUMIF('2.생활용수(강경)'!$C$5:$C$60,$C171,'2.생활용수(강경)'!$Q$5:$Q$60)</f>
        <v>0</v>
      </c>
      <c r="O171" s="81"/>
    </row>
    <row r="172" spans="1:15" ht="20.100000000000001" customHeight="1">
      <c r="A172" s="442" t="s">
        <v>703</v>
      </c>
      <c r="B172" s="442" t="s">
        <v>871</v>
      </c>
      <c r="C172" s="443" t="s">
        <v>2054</v>
      </c>
      <c r="D172" s="81">
        <f t="shared" si="3"/>
        <v>0</v>
      </c>
      <c r="E172" s="81">
        <f>SUMIF('2.생활용수(광석)'!$C$5:$C$56,C172,'2.생활용수(광석)'!$Q$5:$Q$56)</f>
        <v>0</v>
      </c>
      <c r="F172" s="81">
        <f>SUMIF('2.생활용수(성동)'!$C$5:$C$60,$C172,'2.생활용수(성동)'!$Q$5:$Q$60)</f>
        <v>0</v>
      </c>
      <c r="G172" s="81">
        <f>SUMIF('2.생활용수(봉화)'!$C$5:$C$18,$C172,'2.생활용수(봉화)'!$Q$5:$Q$18)</f>
        <v>0</v>
      </c>
      <c r="H172" s="81">
        <f>SUMIF('2.생활용수(논산)'!$C$5:$C$28,$C172,'2.생활용수(논산)'!$Q$5:$Q$28)</f>
        <v>0</v>
      </c>
      <c r="I172" s="81">
        <f>SUMIF('2.생활용수(연무)'!$C$5:$C$123,$C172,'2.생활용수(연무)'!$Q$5:$Q$123)</f>
        <v>0</v>
      </c>
      <c r="J172" s="81">
        <f>SUMIF('2.생활용수(마산)'!$C$5:$C$115,$C172,'2.생활용수(마산)'!$Q$5:$Q$115)</f>
        <v>0</v>
      </c>
      <c r="K172" s="81">
        <f>SUMIF('2.생활용수(부적)'!$C$5:$C$75,$C172,'2.생활용수(부적)'!$Q$5:$Q$75)</f>
        <v>0</v>
      </c>
      <c r="L172" s="81">
        <f>SUMIF('2.생활용수(연산)'!$C$5:$C$220,$C172,'2.생활용수(연산)'!$Q$5:$Q$220)</f>
        <v>0</v>
      </c>
      <c r="M172" s="81">
        <f>SUMIF('2.생활용수(채운)'!$C$5:$C$63,$C172,'2.생활용수(채운)'!$Q$5:$Q$63)</f>
        <v>0</v>
      </c>
      <c r="N172" s="81">
        <f>SUMIF('2.생활용수(강경)'!$C$5:$C$60,$C172,'2.생활용수(강경)'!$Q$5:$Q$60)</f>
        <v>0</v>
      </c>
      <c r="O172" s="81"/>
    </row>
    <row r="173" spans="1:15" ht="20.100000000000001" customHeight="1">
      <c r="A173" s="442" t="s">
        <v>703</v>
      </c>
      <c r="B173" s="442" t="s">
        <v>871</v>
      </c>
      <c r="C173" s="443" t="s">
        <v>2055</v>
      </c>
      <c r="D173" s="81">
        <f t="shared" si="3"/>
        <v>0</v>
      </c>
      <c r="E173" s="81">
        <f>SUMIF('2.생활용수(광석)'!$C$5:$C$56,C173,'2.생활용수(광석)'!$Q$5:$Q$56)</f>
        <v>0</v>
      </c>
      <c r="F173" s="81">
        <f>SUMIF('2.생활용수(성동)'!$C$5:$C$60,$C173,'2.생활용수(성동)'!$Q$5:$Q$60)</f>
        <v>0</v>
      </c>
      <c r="G173" s="81">
        <f>SUMIF('2.생활용수(봉화)'!$C$5:$C$18,$C173,'2.생활용수(봉화)'!$Q$5:$Q$18)</f>
        <v>0</v>
      </c>
      <c r="H173" s="81">
        <f>SUMIF('2.생활용수(논산)'!$C$5:$C$28,$C173,'2.생활용수(논산)'!$Q$5:$Q$28)</f>
        <v>0</v>
      </c>
      <c r="I173" s="81">
        <f>SUMIF('2.생활용수(연무)'!$C$5:$C$123,$C173,'2.생활용수(연무)'!$Q$5:$Q$123)</f>
        <v>0</v>
      </c>
      <c r="J173" s="81">
        <f>SUMIF('2.생활용수(마산)'!$C$5:$C$115,$C173,'2.생활용수(마산)'!$Q$5:$Q$115)</f>
        <v>0</v>
      </c>
      <c r="K173" s="81">
        <f>SUMIF('2.생활용수(부적)'!$C$5:$C$75,$C173,'2.생활용수(부적)'!$Q$5:$Q$75)</f>
        <v>0</v>
      </c>
      <c r="L173" s="81">
        <f>SUMIF('2.생활용수(연산)'!$C$5:$C$220,$C173,'2.생활용수(연산)'!$Q$5:$Q$220)</f>
        <v>0</v>
      </c>
      <c r="M173" s="81">
        <f>SUMIF('2.생활용수(채운)'!$C$5:$C$63,$C173,'2.생활용수(채운)'!$Q$5:$Q$63)</f>
        <v>0</v>
      </c>
      <c r="N173" s="81">
        <f>SUMIF('2.생활용수(강경)'!$C$5:$C$60,$C173,'2.생활용수(강경)'!$Q$5:$Q$60)</f>
        <v>0</v>
      </c>
      <c r="O173" s="81"/>
    </row>
    <row r="174" spans="1:15" ht="20.100000000000001" customHeight="1">
      <c r="A174" s="442" t="s">
        <v>703</v>
      </c>
      <c r="B174" s="442" t="s">
        <v>872</v>
      </c>
      <c r="C174" s="443" t="s">
        <v>2056</v>
      </c>
      <c r="D174" s="81">
        <f t="shared" si="3"/>
        <v>0</v>
      </c>
      <c r="E174" s="81">
        <f>SUMIF('2.생활용수(광석)'!$C$5:$C$56,C174,'2.생활용수(광석)'!$Q$5:$Q$56)</f>
        <v>0</v>
      </c>
      <c r="F174" s="81">
        <f>SUMIF('2.생활용수(성동)'!$C$5:$C$60,$C174,'2.생활용수(성동)'!$Q$5:$Q$60)</f>
        <v>0</v>
      </c>
      <c r="G174" s="81">
        <f>SUMIF('2.생활용수(봉화)'!$C$5:$C$18,$C174,'2.생활용수(봉화)'!$Q$5:$Q$18)</f>
        <v>0</v>
      </c>
      <c r="H174" s="81">
        <f>SUMIF('2.생활용수(논산)'!$C$5:$C$28,$C174,'2.생활용수(논산)'!$Q$5:$Q$28)</f>
        <v>0</v>
      </c>
      <c r="I174" s="81">
        <f>SUMIF('2.생활용수(연무)'!$C$5:$C$123,$C174,'2.생활용수(연무)'!$Q$5:$Q$123)</f>
        <v>0</v>
      </c>
      <c r="J174" s="81">
        <f>SUMIF('2.생활용수(마산)'!$C$5:$C$115,$C174,'2.생활용수(마산)'!$Q$5:$Q$115)</f>
        <v>0</v>
      </c>
      <c r="K174" s="81">
        <f>SUMIF('2.생활용수(부적)'!$C$5:$C$75,$C174,'2.생활용수(부적)'!$Q$5:$Q$75)</f>
        <v>0</v>
      </c>
      <c r="L174" s="81">
        <f>SUMIF('2.생활용수(연산)'!$C$5:$C$220,$C174,'2.생활용수(연산)'!$Q$5:$Q$220)</f>
        <v>0</v>
      </c>
      <c r="M174" s="81">
        <f>SUMIF('2.생활용수(채운)'!$C$5:$C$63,$C174,'2.생활용수(채운)'!$Q$5:$Q$63)</f>
        <v>0</v>
      </c>
      <c r="N174" s="81">
        <f>SUMIF('2.생활용수(강경)'!$C$5:$C$60,$C174,'2.생활용수(강경)'!$Q$5:$Q$60)</f>
        <v>0</v>
      </c>
      <c r="O174" s="81"/>
    </row>
    <row r="175" spans="1:15" ht="20.100000000000001" customHeight="1">
      <c r="A175" s="442" t="s">
        <v>703</v>
      </c>
      <c r="B175" s="442" t="s">
        <v>872</v>
      </c>
      <c r="C175" s="443" t="s">
        <v>2057</v>
      </c>
      <c r="D175" s="81">
        <f t="shared" si="3"/>
        <v>0</v>
      </c>
      <c r="E175" s="81">
        <f>SUMIF('2.생활용수(광석)'!$C$5:$C$56,C175,'2.생활용수(광석)'!$Q$5:$Q$56)</f>
        <v>0</v>
      </c>
      <c r="F175" s="81">
        <f>SUMIF('2.생활용수(성동)'!$C$5:$C$60,$C175,'2.생활용수(성동)'!$Q$5:$Q$60)</f>
        <v>0</v>
      </c>
      <c r="G175" s="81">
        <f>SUMIF('2.생활용수(봉화)'!$C$5:$C$18,$C175,'2.생활용수(봉화)'!$Q$5:$Q$18)</f>
        <v>0</v>
      </c>
      <c r="H175" s="81">
        <f>SUMIF('2.생활용수(논산)'!$C$5:$C$28,$C175,'2.생활용수(논산)'!$Q$5:$Q$28)</f>
        <v>0</v>
      </c>
      <c r="I175" s="81">
        <f>SUMIF('2.생활용수(연무)'!$C$5:$C$123,$C175,'2.생활용수(연무)'!$Q$5:$Q$123)</f>
        <v>0</v>
      </c>
      <c r="J175" s="81">
        <f>SUMIF('2.생활용수(마산)'!$C$5:$C$115,$C175,'2.생활용수(마산)'!$Q$5:$Q$115)</f>
        <v>0</v>
      </c>
      <c r="K175" s="81">
        <f>SUMIF('2.생활용수(부적)'!$C$5:$C$75,$C175,'2.생활용수(부적)'!$Q$5:$Q$75)</f>
        <v>0</v>
      </c>
      <c r="L175" s="81">
        <f>SUMIF('2.생활용수(연산)'!$C$5:$C$220,$C175,'2.생활용수(연산)'!$Q$5:$Q$220)</f>
        <v>0</v>
      </c>
      <c r="M175" s="81">
        <f>SUMIF('2.생활용수(채운)'!$C$5:$C$63,$C175,'2.생활용수(채운)'!$Q$5:$Q$63)</f>
        <v>0</v>
      </c>
      <c r="N175" s="81">
        <f>SUMIF('2.생활용수(강경)'!$C$5:$C$60,$C175,'2.생활용수(강경)'!$Q$5:$Q$60)</f>
        <v>0</v>
      </c>
      <c r="O175" s="81"/>
    </row>
    <row r="176" spans="1:15" ht="20.100000000000001" customHeight="1">
      <c r="A176" s="442" t="s">
        <v>703</v>
      </c>
      <c r="B176" s="442" t="s">
        <v>2058</v>
      </c>
      <c r="C176" s="443" t="s">
        <v>2059</v>
      </c>
      <c r="D176" s="81">
        <f t="shared" si="3"/>
        <v>0</v>
      </c>
      <c r="E176" s="81">
        <f>SUMIF('2.생활용수(광석)'!$C$5:$C$56,C176,'2.생활용수(광석)'!$Q$5:$Q$56)</f>
        <v>0</v>
      </c>
      <c r="F176" s="81">
        <f>SUMIF('2.생활용수(성동)'!$C$5:$C$60,$C176,'2.생활용수(성동)'!$Q$5:$Q$60)</f>
        <v>0</v>
      </c>
      <c r="G176" s="81">
        <f>SUMIF('2.생활용수(봉화)'!$C$5:$C$18,$C176,'2.생활용수(봉화)'!$Q$5:$Q$18)</f>
        <v>0</v>
      </c>
      <c r="H176" s="81">
        <f>SUMIF('2.생활용수(논산)'!$C$5:$C$28,$C176,'2.생활용수(논산)'!$Q$5:$Q$28)</f>
        <v>0</v>
      </c>
      <c r="I176" s="81">
        <f>SUMIF('2.생활용수(연무)'!$C$5:$C$123,$C176,'2.생활용수(연무)'!$Q$5:$Q$123)</f>
        <v>0</v>
      </c>
      <c r="J176" s="81">
        <f>SUMIF('2.생활용수(마산)'!$C$5:$C$115,$C176,'2.생활용수(마산)'!$Q$5:$Q$115)</f>
        <v>0</v>
      </c>
      <c r="K176" s="81">
        <f>SUMIF('2.생활용수(부적)'!$C$5:$C$75,$C176,'2.생활용수(부적)'!$Q$5:$Q$75)</f>
        <v>0</v>
      </c>
      <c r="L176" s="81">
        <f>SUMIF('2.생활용수(연산)'!$C$5:$C$220,$C176,'2.생활용수(연산)'!$Q$5:$Q$220)</f>
        <v>0</v>
      </c>
      <c r="M176" s="81">
        <f>SUMIF('2.생활용수(채운)'!$C$5:$C$63,$C176,'2.생활용수(채운)'!$Q$5:$Q$63)</f>
        <v>0</v>
      </c>
      <c r="N176" s="81">
        <f>SUMIF('2.생활용수(강경)'!$C$5:$C$60,$C176,'2.생활용수(강경)'!$Q$5:$Q$60)</f>
        <v>0</v>
      </c>
      <c r="O176" s="81"/>
    </row>
    <row r="177" spans="1:15" ht="20.100000000000001" customHeight="1">
      <c r="A177" s="442" t="s">
        <v>703</v>
      </c>
      <c r="B177" s="442" t="s">
        <v>2058</v>
      </c>
      <c r="C177" s="443" t="s">
        <v>2060</v>
      </c>
      <c r="D177" s="81">
        <f t="shared" si="3"/>
        <v>0</v>
      </c>
      <c r="E177" s="81">
        <f>SUMIF('2.생활용수(광석)'!$C$5:$C$56,C177,'2.생활용수(광석)'!$Q$5:$Q$56)</f>
        <v>0</v>
      </c>
      <c r="F177" s="81">
        <f>SUMIF('2.생활용수(성동)'!$C$5:$C$60,$C177,'2.생활용수(성동)'!$Q$5:$Q$60)</f>
        <v>0</v>
      </c>
      <c r="G177" s="81">
        <f>SUMIF('2.생활용수(봉화)'!$C$5:$C$18,$C177,'2.생활용수(봉화)'!$Q$5:$Q$18)</f>
        <v>0</v>
      </c>
      <c r="H177" s="81">
        <f>SUMIF('2.생활용수(논산)'!$C$5:$C$28,$C177,'2.생활용수(논산)'!$Q$5:$Q$28)</f>
        <v>0</v>
      </c>
      <c r="I177" s="81">
        <f>SUMIF('2.생활용수(연무)'!$C$5:$C$123,$C177,'2.생활용수(연무)'!$Q$5:$Q$123)</f>
        <v>0</v>
      </c>
      <c r="J177" s="81">
        <f>SUMIF('2.생활용수(마산)'!$C$5:$C$115,$C177,'2.생활용수(마산)'!$Q$5:$Q$115)</f>
        <v>0</v>
      </c>
      <c r="K177" s="81">
        <f>SUMIF('2.생활용수(부적)'!$C$5:$C$75,$C177,'2.생활용수(부적)'!$Q$5:$Q$75)</f>
        <v>0</v>
      </c>
      <c r="L177" s="81">
        <f>SUMIF('2.생활용수(연산)'!$C$5:$C$220,$C177,'2.생활용수(연산)'!$Q$5:$Q$220)</f>
        <v>0</v>
      </c>
      <c r="M177" s="81">
        <f>SUMIF('2.생활용수(채운)'!$C$5:$C$63,$C177,'2.생활용수(채운)'!$Q$5:$Q$63)</f>
        <v>0</v>
      </c>
      <c r="N177" s="81">
        <f>SUMIF('2.생활용수(강경)'!$C$5:$C$60,$C177,'2.생활용수(강경)'!$Q$5:$Q$60)</f>
        <v>0</v>
      </c>
      <c r="O177" s="81"/>
    </row>
    <row r="178" spans="1:15" ht="20.100000000000001" customHeight="1">
      <c r="A178" s="442" t="s">
        <v>703</v>
      </c>
      <c r="B178" s="442" t="s">
        <v>2061</v>
      </c>
      <c r="C178" s="443" t="s">
        <v>2062</v>
      </c>
      <c r="D178" s="81">
        <f t="shared" si="3"/>
        <v>0</v>
      </c>
      <c r="E178" s="81">
        <f>SUMIF('2.생활용수(광석)'!$C$5:$C$56,C178,'2.생활용수(광석)'!$Q$5:$Q$56)</f>
        <v>0</v>
      </c>
      <c r="F178" s="81">
        <f>SUMIF('2.생활용수(성동)'!$C$5:$C$60,$C178,'2.생활용수(성동)'!$Q$5:$Q$60)</f>
        <v>0</v>
      </c>
      <c r="G178" s="81">
        <f>SUMIF('2.생활용수(봉화)'!$C$5:$C$18,$C178,'2.생활용수(봉화)'!$Q$5:$Q$18)</f>
        <v>0</v>
      </c>
      <c r="H178" s="81">
        <f>SUMIF('2.생활용수(논산)'!$C$5:$C$28,$C178,'2.생활용수(논산)'!$Q$5:$Q$28)</f>
        <v>0</v>
      </c>
      <c r="I178" s="81">
        <f>SUMIF('2.생활용수(연무)'!$C$5:$C$123,$C178,'2.생활용수(연무)'!$Q$5:$Q$123)</f>
        <v>0</v>
      </c>
      <c r="J178" s="81">
        <f>SUMIF('2.생활용수(마산)'!$C$5:$C$115,$C178,'2.생활용수(마산)'!$Q$5:$Q$115)</f>
        <v>0</v>
      </c>
      <c r="K178" s="81">
        <f>SUMIF('2.생활용수(부적)'!$C$5:$C$75,$C178,'2.생활용수(부적)'!$Q$5:$Q$75)</f>
        <v>0</v>
      </c>
      <c r="L178" s="81">
        <f>SUMIF('2.생활용수(연산)'!$C$5:$C$220,$C178,'2.생활용수(연산)'!$Q$5:$Q$220)</f>
        <v>0</v>
      </c>
      <c r="M178" s="81">
        <f>SUMIF('2.생활용수(채운)'!$C$5:$C$63,$C178,'2.생활용수(채운)'!$Q$5:$Q$63)</f>
        <v>0</v>
      </c>
      <c r="N178" s="81">
        <f>SUMIF('2.생활용수(강경)'!$C$5:$C$60,$C178,'2.생활용수(강경)'!$Q$5:$Q$60)</f>
        <v>0</v>
      </c>
      <c r="O178" s="81"/>
    </row>
    <row r="179" spans="1:15" ht="20.100000000000001" customHeight="1">
      <c r="A179" s="442" t="s">
        <v>703</v>
      </c>
      <c r="B179" s="442" t="s">
        <v>875</v>
      </c>
      <c r="C179" s="443" t="s">
        <v>2063</v>
      </c>
      <c r="D179" s="81">
        <f t="shared" si="3"/>
        <v>0</v>
      </c>
      <c r="E179" s="81">
        <f>SUMIF('2.생활용수(광석)'!$C$5:$C$56,C179,'2.생활용수(광석)'!$Q$5:$Q$56)</f>
        <v>0</v>
      </c>
      <c r="F179" s="81">
        <f>SUMIF('2.생활용수(성동)'!$C$5:$C$60,$C179,'2.생활용수(성동)'!$Q$5:$Q$60)</f>
        <v>0</v>
      </c>
      <c r="G179" s="81">
        <f>SUMIF('2.생활용수(봉화)'!$C$5:$C$18,$C179,'2.생활용수(봉화)'!$Q$5:$Q$18)</f>
        <v>0</v>
      </c>
      <c r="H179" s="81">
        <f>SUMIF('2.생활용수(논산)'!$C$5:$C$28,$C179,'2.생활용수(논산)'!$Q$5:$Q$28)</f>
        <v>0</v>
      </c>
      <c r="I179" s="81">
        <f>SUMIF('2.생활용수(연무)'!$C$5:$C$123,$C179,'2.생활용수(연무)'!$Q$5:$Q$123)</f>
        <v>0</v>
      </c>
      <c r="J179" s="81">
        <f>SUMIF('2.생활용수(마산)'!$C$5:$C$115,$C179,'2.생활용수(마산)'!$Q$5:$Q$115)</f>
        <v>0</v>
      </c>
      <c r="K179" s="81">
        <f>SUMIF('2.생활용수(부적)'!$C$5:$C$75,$C179,'2.생활용수(부적)'!$Q$5:$Q$75)</f>
        <v>0</v>
      </c>
      <c r="L179" s="81">
        <f>SUMIF('2.생활용수(연산)'!$C$5:$C$220,$C179,'2.생활용수(연산)'!$Q$5:$Q$220)</f>
        <v>0</v>
      </c>
      <c r="M179" s="81">
        <f>SUMIF('2.생활용수(채운)'!$C$5:$C$63,$C179,'2.생활용수(채운)'!$Q$5:$Q$63)</f>
        <v>0</v>
      </c>
      <c r="N179" s="81">
        <f>SUMIF('2.생활용수(강경)'!$C$5:$C$60,$C179,'2.생활용수(강경)'!$Q$5:$Q$60)</f>
        <v>0</v>
      </c>
      <c r="O179" s="81"/>
    </row>
    <row r="180" spans="1:15" ht="20.100000000000001" customHeight="1">
      <c r="A180" s="442" t="s">
        <v>704</v>
      </c>
      <c r="B180" s="442" t="s">
        <v>877</v>
      </c>
      <c r="C180" s="443" t="s">
        <v>2064</v>
      </c>
      <c r="D180" s="81">
        <f t="shared" si="3"/>
        <v>0</v>
      </c>
      <c r="E180" s="81">
        <f>SUMIF('2.생활용수(광석)'!$C$5:$C$56,C180,'2.생활용수(광석)'!$Q$5:$Q$56)</f>
        <v>0</v>
      </c>
      <c r="F180" s="81">
        <f>SUMIF('2.생활용수(성동)'!$C$5:$C$60,$C180,'2.생활용수(성동)'!$Q$5:$Q$60)</f>
        <v>0</v>
      </c>
      <c r="G180" s="81">
        <f>SUMIF('2.생활용수(봉화)'!$C$5:$C$18,$C180,'2.생활용수(봉화)'!$Q$5:$Q$18)</f>
        <v>0</v>
      </c>
      <c r="H180" s="81">
        <f>SUMIF('2.생활용수(논산)'!$C$5:$C$28,$C180,'2.생활용수(논산)'!$Q$5:$Q$28)</f>
        <v>0</v>
      </c>
      <c r="I180" s="81">
        <f>SUMIF('2.생활용수(연무)'!$C$5:$C$123,$C180,'2.생활용수(연무)'!$Q$5:$Q$123)</f>
        <v>0</v>
      </c>
      <c r="J180" s="81">
        <f>SUMIF('2.생활용수(마산)'!$C$5:$C$115,$C180,'2.생활용수(마산)'!$Q$5:$Q$115)</f>
        <v>0</v>
      </c>
      <c r="K180" s="81">
        <f>SUMIF('2.생활용수(부적)'!$C$5:$C$75,$C180,'2.생활용수(부적)'!$Q$5:$Q$75)</f>
        <v>0</v>
      </c>
      <c r="L180" s="81">
        <f>SUMIF('2.생활용수(연산)'!$C$5:$C$220,$C180,'2.생활용수(연산)'!$Q$5:$Q$220)</f>
        <v>0</v>
      </c>
      <c r="M180" s="81">
        <f>SUMIF('2.생활용수(채운)'!$C$5:$C$63,$C180,'2.생활용수(채운)'!$Q$5:$Q$63)</f>
        <v>0</v>
      </c>
      <c r="N180" s="81">
        <f>SUMIF('2.생활용수(강경)'!$C$5:$C$60,$C180,'2.생활용수(강경)'!$Q$5:$Q$60)</f>
        <v>0</v>
      </c>
      <c r="O180" s="81"/>
    </row>
    <row r="181" spans="1:15" ht="20.100000000000001" customHeight="1">
      <c r="A181" s="442" t="s">
        <v>704</v>
      </c>
      <c r="B181" s="442" t="s">
        <v>877</v>
      </c>
      <c r="C181" s="443" t="s">
        <v>2065</v>
      </c>
      <c r="D181" s="81">
        <f t="shared" si="3"/>
        <v>0</v>
      </c>
      <c r="E181" s="81">
        <f>SUMIF('2.생활용수(광석)'!$C$5:$C$56,C181,'2.생활용수(광석)'!$Q$5:$Q$56)</f>
        <v>0</v>
      </c>
      <c r="F181" s="81">
        <f>SUMIF('2.생활용수(성동)'!$C$5:$C$60,$C181,'2.생활용수(성동)'!$Q$5:$Q$60)</f>
        <v>0</v>
      </c>
      <c r="G181" s="81">
        <f>SUMIF('2.생활용수(봉화)'!$C$5:$C$18,$C181,'2.생활용수(봉화)'!$Q$5:$Q$18)</f>
        <v>0</v>
      </c>
      <c r="H181" s="81">
        <f>SUMIF('2.생활용수(논산)'!$C$5:$C$28,$C181,'2.생활용수(논산)'!$Q$5:$Q$28)</f>
        <v>0</v>
      </c>
      <c r="I181" s="81">
        <f>SUMIF('2.생활용수(연무)'!$C$5:$C$123,$C181,'2.생활용수(연무)'!$Q$5:$Q$123)</f>
        <v>0</v>
      </c>
      <c r="J181" s="81">
        <f>SUMIF('2.생활용수(마산)'!$C$5:$C$115,$C181,'2.생활용수(마산)'!$Q$5:$Q$115)</f>
        <v>0</v>
      </c>
      <c r="K181" s="81">
        <f>SUMIF('2.생활용수(부적)'!$C$5:$C$75,$C181,'2.생활용수(부적)'!$Q$5:$Q$75)</f>
        <v>0</v>
      </c>
      <c r="L181" s="81">
        <f>SUMIF('2.생활용수(연산)'!$C$5:$C$220,$C181,'2.생활용수(연산)'!$Q$5:$Q$220)</f>
        <v>0</v>
      </c>
      <c r="M181" s="81">
        <f>SUMIF('2.생활용수(채운)'!$C$5:$C$63,$C181,'2.생활용수(채운)'!$Q$5:$Q$63)</f>
        <v>0</v>
      </c>
      <c r="N181" s="81">
        <f>SUMIF('2.생활용수(강경)'!$C$5:$C$60,$C181,'2.생활용수(강경)'!$Q$5:$Q$60)</f>
        <v>0</v>
      </c>
      <c r="O181" s="81"/>
    </row>
    <row r="182" spans="1:15" ht="20.100000000000001" customHeight="1">
      <c r="A182" s="442" t="s">
        <v>704</v>
      </c>
      <c r="B182" s="442" t="s">
        <v>877</v>
      </c>
      <c r="C182" s="443" t="s">
        <v>2066</v>
      </c>
      <c r="D182" s="81">
        <f t="shared" si="3"/>
        <v>0</v>
      </c>
      <c r="E182" s="81">
        <f>SUMIF('2.생활용수(광석)'!$C$5:$C$56,C182,'2.생활용수(광석)'!$Q$5:$Q$56)</f>
        <v>0</v>
      </c>
      <c r="F182" s="81">
        <f>SUMIF('2.생활용수(성동)'!$C$5:$C$60,$C182,'2.생활용수(성동)'!$Q$5:$Q$60)</f>
        <v>0</v>
      </c>
      <c r="G182" s="81">
        <f>SUMIF('2.생활용수(봉화)'!$C$5:$C$18,$C182,'2.생활용수(봉화)'!$Q$5:$Q$18)</f>
        <v>0</v>
      </c>
      <c r="H182" s="81">
        <f>SUMIF('2.생활용수(논산)'!$C$5:$C$28,$C182,'2.생활용수(논산)'!$Q$5:$Q$28)</f>
        <v>0</v>
      </c>
      <c r="I182" s="81">
        <f>SUMIF('2.생활용수(연무)'!$C$5:$C$123,$C182,'2.생활용수(연무)'!$Q$5:$Q$123)</f>
        <v>0</v>
      </c>
      <c r="J182" s="81">
        <f>SUMIF('2.생활용수(마산)'!$C$5:$C$115,$C182,'2.생활용수(마산)'!$Q$5:$Q$115)</f>
        <v>0</v>
      </c>
      <c r="K182" s="81">
        <f>SUMIF('2.생활용수(부적)'!$C$5:$C$75,$C182,'2.생활용수(부적)'!$Q$5:$Q$75)</f>
        <v>0</v>
      </c>
      <c r="L182" s="81">
        <f>SUMIF('2.생활용수(연산)'!$C$5:$C$220,$C182,'2.생활용수(연산)'!$Q$5:$Q$220)</f>
        <v>0</v>
      </c>
      <c r="M182" s="81">
        <f>SUMIF('2.생활용수(채운)'!$C$5:$C$63,$C182,'2.생활용수(채운)'!$Q$5:$Q$63)</f>
        <v>0</v>
      </c>
      <c r="N182" s="81">
        <f>SUMIF('2.생활용수(강경)'!$C$5:$C$60,$C182,'2.생활용수(강경)'!$Q$5:$Q$60)</f>
        <v>0</v>
      </c>
      <c r="O182" s="81"/>
    </row>
    <row r="183" spans="1:15" ht="20.100000000000001" customHeight="1">
      <c r="A183" s="442" t="s">
        <v>704</v>
      </c>
      <c r="B183" s="442" t="s">
        <v>878</v>
      </c>
      <c r="C183" s="443" t="s">
        <v>2067</v>
      </c>
      <c r="D183" s="81">
        <f t="shared" si="3"/>
        <v>0</v>
      </c>
      <c r="E183" s="81">
        <f>SUMIF('2.생활용수(광석)'!$C$5:$C$56,C183,'2.생활용수(광석)'!$Q$5:$Q$56)</f>
        <v>0</v>
      </c>
      <c r="F183" s="81">
        <f>SUMIF('2.생활용수(성동)'!$C$5:$C$60,$C183,'2.생활용수(성동)'!$Q$5:$Q$60)</f>
        <v>0</v>
      </c>
      <c r="G183" s="81">
        <f>SUMIF('2.생활용수(봉화)'!$C$5:$C$18,$C183,'2.생활용수(봉화)'!$Q$5:$Q$18)</f>
        <v>0</v>
      </c>
      <c r="H183" s="81">
        <f>SUMIF('2.생활용수(논산)'!$C$5:$C$28,$C183,'2.생활용수(논산)'!$Q$5:$Q$28)</f>
        <v>0</v>
      </c>
      <c r="I183" s="81">
        <f>SUMIF('2.생활용수(연무)'!$C$5:$C$123,$C183,'2.생활용수(연무)'!$Q$5:$Q$123)</f>
        <v>0</v>
      </c>
      <c r="J183" s="81">
        <f>SUMIF('2.생활용수(마산)'!$C$5:$C$115,$C183,'2.생활용수(마산)'!$Q$5:$Q$115)</f>
        <v>0</v>
      </c>
      <c r="K183" s="81">
        <f>SUMIF('2.생활용수(부적)'!$C$5:$C$75,$C183,'2.생활용수(부적)'!$Q$5:$Q$75)</f>
        <v>0</v>
      </c>
      <c r="L183" s="81">
        <f>SUMIF('2.생활용수(연산)'!$C$5:$C$220,$C183,'2.생활용수(연산)'!$Q$5:$Q$220)</f>
        <v>0</v>
      </c>
      <c r="M183" s="81">
        <f>SUMIF('2.생활용수(채운)'!$C$5:$C$63,$C183,'2.생활용수(채운)'!$Q$5:$Q$63)</f>
        <v>0</v>
      </c>
      <c r="N183" s="81">
        <f>SUMIF('2.생활용수(강경)'!$C$5:$C$60,$C183,'2.생활용수(강경)'!$Q$5:$Q$60)</f>
        <v>0</v>
      </c>
      <c r="O183" s="81"/>
    </row>
    <row r="184" spans="1:15" ht="20.100000000000001" customHeight="1">
      <c r="A184" s="442" t="s">
        <v>704</v>
      </c>
      <c r="B184" s="442" t="s">
        <v>2068</v>
      </c>
      <c r="C184" s="443" t="s">
        <v>2069</v>
      </c>
      <c r="D184" s="81">
        <f t="shared" si="3"/>
        <v>0</v>
      </c>
      <c r="E184" s="81">
        <f>SUMIF('2.생활용수(광석)'!$C$5:$C$56,C184,'2.생활용수(광석)'!$Q$5:$Q$56)</f>
        <v>0</v>
      </c>
      <c r="F184" s="81">
        <f>SUMIF('2.생활용수(성동)'!$C$5:$C$60,$C184,'2.생활용수(성동)'!$Q$5:$Q$60)</f>
        <v>0</v>
      </c>
      <c r="G184" s="81">
        <f>SUMIF('2.생활용수(봉화)'!$C$5:$C$18,$C184,'2.생활용수(봉화)'!$Q$5:$Q$18)</f>
        <v>0</v>
      </c>
      <c r="H184" s="81">
        <f>SUMIF('2.생활용수(논산)'!$C$5:$C$28,$C184,'2.생활용수(논산)'!$Q$5:$Q$28)</f>
        <v>0</v>
      </c>
      <c r="I184" s="81">
        <f>SUMIF('2.생활용수(연무)'!$C$5:$C$123,$C184,'2.생활용수(연무)'!$Q$5:$Q$123)</f>
        <v>0</v>
      </c>
      <c r="J184" s="81">
        <f>SUMIF('2.생활용수(마산)'!$C$5:$C$115,$C184,'2.생활용수(마산)'!$Q$5:$Q$115)</f>
        <v>0</v>
      </c>
      <c r="K184" s="81">
        <f>SUMIF('2.생활용수(부적)'!$C$5:$C$75,$C184,'2.생활용수(부적)'!$Q$5:$Q$75)</f>
        <v>0</v>
      </c>
      <c r="L184" s="81">
        <f>SUMIF('2.생활용수(연산)'!$C$5:$C$220,$C184,'2.생활용수(연산)'!$Q$5:$Q$220)</f>
        <v>0</v>
      </c>
      <c r="M184" s="81">
        <f>SUMIF('2.생활용수(채운)'!$C$5:$C$63,$C184,'2.생활용수(채운)'!$Q$5:$Q$63)</f>
        <v>0</v>
      </c>
      <c r="N184" s="81">
        <f>SUMIF('2.생활용수(강경)'!$C$5:$C$60,$C184,'2.생활용수(강경)'!$Q$5:$Q$60)</f>
        <v>0</v>
      </c>
      <c r="O184" s="81"/>
    </row>
    <row r="185" spans="1:15" ht="20.100000000000001" customHeight="1">
      <c r="A185" s="442" t="s">
        <v>704</v>
      </c>
      <c r="B185" s="442" t="s">
        <v>2068</v>
      </c>
      <c r="C185" s="443" t="s">
        <v>2070</v>
      </c>
      <c r="D185" s="81">
        <f t="shared" si="3"/>
        <v>0</v>
      </c>
      <c r="E185" s="81">
        <f>SUMIF('2.생활용수(광석)'!$C$5:$C$56,C185,'2.생활용수(광석)'!$Q$5:$Q$56)</f>
        <v>0</v>
      </c>
      <c r="F185" s="81">
        <f>SUMIF('2.생활용수(성동)'!$C$5:$C$60,$C185,'2.생활용수(성동)'!$Q$5:$Q$60)</f>
        <v>0</v>
      </c>
      <c r="G185" s="81">
        <f>SUMIF('2.생활용수(봉화)'!$C$5:$C$18,$C185,'2.생활용수(봉화)'!$Q$5:$Q$18)</f>
        <v>0</v>
      </c>
      <c r="H185" s="81">
        <f>SUMIF('2.생활용수(논산)'!$C$5:$C$28,$C185,'2.생활용수(논산)'!$Q$5:$Q$28)</f>
        <v>0</v>
      </c>
      <c r="I185" s="81">
        <f>SUMIF('2.생활용수(연무)'!$C$5:$C$123,$C185,'2.생활용수(연무)'!$Q$5:$Q$123)</f>
        <v>0</v>
      </c>
      <c r="J185" s="81">
        <f>SUMIF('2.생활용수(마산)'!$C$5:$C$115,$C185,'2.생활용수(마산)'!$Q$5:$Q$115)</f>
        <v>0</v>
      </c>
      <c r="K185" s="81">
        <f>SUMIF('2.생활용수(부적)'!$C$5:$C$75,$C185,'2.생활용수(부적)'!$Q$5:$Q$75)</f>
        <v>0</v>
      </c>
      <c r="L185" s="81">
        <f>SUMIF('2.생활용수(연산)'!$C$5:$C$220,$C185,'2.생활용수(연산)'!$Q$5:$Q$220)</f>
        <v>0</v>
      </c>
      <c r="M185" s="81">
        <f>SUMIF('2.생활용수(채운)'!$C$5:$C$63,$C185,'2.생활용수(채운)'!$Q$5:$Q$63)</f>
        <v>0</v>
      </c>
      <c r="N185" s="81">
        <f>SUMIF('2.생활용수(강경)'!$C$5:$C$60,$C185,'2.생활용수(강경)'!$Q$5:$Q$60)</f>
        <v>0</v>
      </c>
      <c r="O185" s="81"/>
    </row>
    <row r="186" spans="1:15" ht="20.100000000000001" customHeight="1">
      <c r="A186" s="442" t="s">
        <v>704</v>
      </c>
      <c r="B186" s="442" t="s">
        <v>880</v>
      </c>
      <c r="C186" s="443" t="s">
        <v>2071</v>
      </c>
      <c r="D186" s="81">
        <f t="shared" si="3"/>
        <v>0</v>
      </c>
      <c r="E186" s="81">
        <f>SUMIF('2.생활용수(광석)'!$C$5:$C$56,C186,'2.생활용수(광석)'!$Q$5:$Q$56)</f>
        <v>0</v>
      </c>
      <c r="F186" s="81">
        <f>SUMIF('2.생활용수(성동)'!$C$5:$C$60,$C186,'2.생활용수(성동)'!$Q$5:$Q$60)</f>
        <v>0</v>
      </c>
      <c r="G186" s="81">
        <f>SUMIF('2.생활용수(봉화)'!$C$5:$C$18,$C186,'2.생활용수(봉화)'!$Q$5:$Q$18)</f>
        <v>0</v>
      </c>
      <c r="H186" s="81">
        <f>SUMIF('2.생활용수(논산)'!$C$5:$C$28,$C186,'2.생활용수(논산)'!$Q$5:$Q$28)</f>
        <v>0</v>
      </c>
      <c r="I186" s="81">
        <f>SUMIF('2.생활용수(연무)'!$C$5:$C$123,$C186,'2.생활용수(연무)'!$Q$5:$Q$123)</f>
        <v>0</v>
      </c>
      <c r="J186" s="81">
        <f>SUMIF('2.생활용수(마산)'!$C$5:$C$115,$C186,'2.생활용수(마산)'!$Q$5:$Q$115)</f>
        <v>0</v>
      </c>
      <c r="K186" s="81">
        <f>SUMIF('2.생활용수(부적)'!$C$5:$C$75,$C186,'2.생활용수(부적)'!$Q$5:$Q$75)</f>
        <v>0</v>
      </c>
      <c r="L186" s="81">
        <f>SUMIF('2.생활용수(연산)'!$C$5:$C$220,$C186,'2.생활용수(연산)'!$Q$5:$Q$220)</f>
        <v>0</v>
      </c>
      <c r="M186" s="81">
        <f>SUMIF('2.생활용수(채운)'!$C$5:$C$63,$C186,'2.생활용수(채운)'!$Q$5:$Q$63)</f>
        <v>0</v>
      </c>
      <c r="N186" s="81">
        <f>SUMIF('2.생활용수(강경)'!$C$5:$C$60,$C186,'2.생활용수(강경)'!$Q$5:$Q$60)</f>
        <v>0</v>
      </c>
      <c r="O186" s="81"/>
    </row>
    <row r="187" spans="1:15" ht="20.100000000000001" customHeight="1">
      <c r="A187" s="442" t="s">
        <v>704</v>
      </c>
      <c r="B187" s="442" t="s">
        <v>880</v>
      </c>
      <c r="C187" s="443" t="s">
        <v>2072</v>
      </c>
      <c r="D187" s="81">
        <f t="shared" si="3"/>
        <v>0</v>
      </c>
      <c r="E187" s="81">
        <f>SUMIF('2.생활용수(광석)'!$C$5:$C$56,C187,'2.생활용수(광석)'!$Q$5:$Q$56)</f>
        <v>0</v>
      </c>
      <c r="F187" s="81">
        <f>SUMIF('2.생활용수(성동)'!$C$5:$C$60,$C187,'2.생활용수(성동)'!$Q$5:$Q$60)</f>
        <v>0</v>
      </c>
      <c r="G187" s="81">
        <f>SUMIF('2.생활용수(봉화)'!$C$5:$C$18,$C187,'2.생활용수(봉화)'!$Q$5:$Q$18)</f>
        <v>0</v>
      </c>
      <c r="H187" s="81">
        <f>SUMIF('2.생활용수(논산)'!$C$5:$C$28,$C187,'2.생활용수(논산)'!$Q$5:$Q$28)</f>
        <v>0</v>
      </c>
      <c r="I187" s="81">
        <f>SUMIF('2.생활용수(연무)'!$C$5:$C$123,$C187,'2.생활용수(연무)'!$Q$5:$Q$123)</f>
        <v>0</v>
      </c>
      <c r="J187" s="81">
        <f>SUMIF('2.생활용수(마산)'!$C$5:$C$115,$C187,'2.생활용수(마산)'!$Q$5:$Q$115)</f>
        <v>0</v>
      </c>
      <c r="K187" s="81">
        <f>SUMIF('2.생활용수(부적)'!$C$5:$C$75,$C187,'2.생활용수(부적)'!$Q$5:$Q$75)</f>
        <v>0</v>
      </c>
      <c r="L187" s="81">
        <f>SUMIF('2.생활용수(연산)'!$C$5:$C$220,$C187,'2.생활용수(연산)'!$Q$5:$Q$220)</f>
        <v>0</v>
      </c>
      <c r="M187" s="81">
        <f>SUMIF('2.생활용수(채운)'!$C$5:$C$63,$C187,'2.생활용수(채운)'!$Q$5:$Q$63)</f>
        <v>0</v>
      </c>
      <c r="N187" s="81">
        <f>SUMIF('2.생활용수(강경)'!$C$5:$C$60,$C187,'2.생활용수(강경)'!$Q$5:$Q$60)</f>
        <v>0</v>
      </c>
      <c r="O187" s="81"/>
    </row>
    <row r="188" spans="1:15" ht="20.100000000000001" customHeight="1">
      <c r="A188" s="442" t="s">
        <v>704</v>
      </c>
      <c r="B188" s="442" t="s">
        <v>2073</v>
      </c>
      <c r="C188" s="443" t="s">
        <v>2074</v>
      </c>
      <c r="D188" s="81">
        <f t="shared" si="3"/>
        <v>0</v>
      </c>
      <c r="E188" s="81">
        <f>SUMIF('2.생활용수(광석)'!$C$5:$C$56,C188,'2.생활용수(광석)'!$Q$5:$Q$56)</f>
        <v>0</v>
      </c>
      <c r="F188" s="81">
        <f>SUMIF('2.생활용수(성동)'!$C$5:$C$60,$C188,'2.생활용수(성동)'!$Q$5:$Q$60)</f>
        <v>0</v>
      </c>
      <c r="G188" s="81">
        <f>SUMIF('2.생활용수(봉화)'!$C$5:$C$18,$C188,'2.생활용수(봉화)'!$Q$5:$Q$18)</f>
        <v>0</v>
      </c>
      <c r="H188" s="81">
        <f>SUMIF('2.생활용수(논산)'!$C$5:$C$28,$C188,'2.생활용수(논산)'!$Q$5:$Q$28)</f>
        <v>0</v>
      </c>
      <c r="I188" s="81">
        <f>SUMIF('2.생활용수(연무)'!$C$5:$C$123,$C188,'2.생활용수(연무)'!$Q$5:$Q$123)</f>
        <v>0</v>
      </c>
      <c r="J188" s="81">
        <f>SUMIF('2.생활용수(마산)'!$C$5:$C$115,$C188,'2.생활용수(마산)'!$Q$5:$Q$115)</f>
        <v>0</v>
      </c>
      <c r="K188" s="81">
        <f>SUMIF('2.생활용수(부적)'!$C$5:$C$75,$C188,'2.생활용수(부적)'!$Q$5:$Q$75)</f>
        <v>0</v>
      </c>
      <c r="L188" s="81">
        <f>SUMIF('2.생활용수(연산)'!$C$5:$C$220,$C188,'2.생활용수(연산)'!$Q$5:$Q$220)</f>
        <v>0</v>
      </c>
      <c r="M188" s="81">
        <f>SUMIF('2.생활용수(채운)'!$C$5:$C$63,$C188,'2.생활용수(채운)'!$Q$5:$Q$63)</f>
        <v>0</v>
      </c>
      <c r="N188" s="81">
        <f>SUMIF('2.생활용수(강경)'!$C$5:$C$60,$C188,'2.생활용수(강경)'!$Q$5:$Q$60)</f>
        <v>0</v>
      </c>
      <c r="O188" s="81"/>
    </row>
    <row r="189" spans="1:15" ht="20.100000000000001" customHeight="1">
      <c r="A189" s="442" t="s">
        <v>704</v>
      </c>
      <c r="B189" s="442" t="s">
        <v>2073</v>
      </c>
      <c r="C189" s="443" t="s">
        <v>2075</v>
      </c>
      <c r="D189" s="81">
        <f t="shared" si="3"/>
        <v>0</v>
      </c>
      <c r="E189" s="81">
        <f>SUMIF('2.생활용수(광석)'!$C$5:$C$56,C189,'2.생활용수(광석)'!$Q$5:$Q$56)</f>
        <v>0</v>
      </c>
      <c r="F189" s="81">
        <f>SUMIF('2.생활용수(성동)'!$C$5:$C$60,$C189,'2.생활용수(성동)'!$Q$5:$Q$60)</f>
        <v>0</v>
      </c>
      <c r="G189" s="81">
        <f>SUMIF('2.생활용수(봉화)'!$C$5:$C$18,$C189,'2.생활용수(봉화)'!$Q$5:$Q$18)</f>
        <v>0</v>
      </c>
      <c r="H189" s="81">
        <f>SUMIF('2.생활용수(논산)'!$C$5:$C$28,$C189,'2.생활용수(논산)'!$Q$5:$Q$28)</f>
        <v>0</v>
      </c>
      <c r="I189" s="81">
        <f>SUMIF('2.생활용수(연무)'!$C$5:$C$123,$C189,'2.생활용수(연무)'!$Q$5:$Q$123)</f>
        <v>0</v>
      </c>
      <c r="J189" s="81">
        <f>SUMIF('2.생활용수(마산)'!$C$5:$C$115,$C189,'2.생활용수(마산)'!$Q$5:$Q$115)</f>
        <v>0</v>
      </c>
      <c r="K189" s="81">
        <f>SUMIF('2.생활용수(부적)'!$C$5:$C$75,$C189,'2.생활용수(부적)'!$Q$5:$Q$75)</f>
        <v>0</v>
      </c>
      <c r="L189" s="81">
        <f>SUMIF('2.생활용수(연산)'!$C$5:$C$220,$C189,'2.생활용수(연산)'!$Q$5:$Q$220)</f>
        <v>0</v>
      </c>
      <c r="M189" s="81">
        <f>SUMIF('2.생활용수(채운)'!$C$5:$C$63,$C189,'2.생활용수(채운)'!$Q$5:$Q$63)</f>
        <v>0</v>
      </c>
      <c r="N189" s="81">
        <f>SUMIF('2.생활용수(강경)'!$C$5:$C$60,$C189,'2.생활용수(강경)'!$Q$5:$Q$60)</f>
        <v>0</v>
      </c>
      <c r="O189" s="81"/>
    </row>
    <row r="190" spans="1:15" ht="20.100000000000001" customHeight="1">
      <c r="A190" s="442" t="s">
        <v>704</v>
      </c>
      <c r="B190" s="442" t="s">
        <v>2073</v>
      </c>
      <c r="C190" s="443" t="s">
        <v>2076</v>
      </c>
      <c r="D190" s="81">
        <f t="shared" si="3"/>
        <v>0</v>
      </c>
      <c r="E190" s="81">
        <f>SUMIF('2.생활용수(광석)'!$C$5:$C$56,C190,'2.생활용수(광석)'!$Q$5:$Q$56)</f>
        <v>0</v>
      </c>
      <c r="F190" s="81">
        <f>SUMIF('2.생활용수(성동)'!$C$5:$C$60,$C190,'2.생활용수(성동)'!$Q$5:$Q$60)</f>
        <v>0</v>
      </c>
      <c r="G190" s="81">
        <f>SUMIF('2.생활용수(봉화)'!$C$5:$C$18,$C190,'2.생활용수(봉화)'!$Q$5:$Q$18)</f>
        <v>0</v>
      </c>
      <c r="H190" s="81">
        <f>SUMIF('2.생활용수(논산)'!$C$5:$C$28,$C190,'2.생활용수(논산)'!$Q$5:$Q$28)</f>
        <v>0</v>
      </c>
      <c r="I190" s="81">
        <f>SUMIF('2.생활용수(연무)'!$C$5:$C$123,$C190,'2.생활용수(연무)'!$Q$5:$Q$123)</f>
        <v>0</v>
      </c>
      <c r="J190" s="81">
        <f>SUMIF('2.생활용수(마산)'!$C$5:$C$115,$C190,'2.생활용수(마산)'!$Q$5:$Q$115)</f>
        <v>0</v>
      </c>
      <c r="K190" s="81">
        <f>SUMIF('2.생활용수(부적)'!$C$5:$C$75,$C190,'2.생활용수(부적)'!$Q$5:$Q$75)</f>
        <v>0</v>
      </c>
      <c r="L190" s="81">
        <f>SUMIF('2.생활용수(연산)'!$C$5:$C$220,$C190,'2.생활용수(연산)'!$Q$5:$Q$220)</f>
        <v>0</v>
      </c>
      <c r="M190" s="81">
        <f>SUMIF('2.생활용수(채운)'!$C$5:$C$63,$C190,'2.생활용수(채운)'!$Q$5:$Q$63)</f>
        <v>0</v>
      </c>
      <c r="N190" s="81">
        <f>SUMIF('2.생활용수(강경)'!$C$5:$C$60,$C190,'2.생활용수(강경)'!$Q$5:$Q$60)</f>
        <v>0</v>
      </c>
      <c r="O190" s="81"/>
    </row>
    <row r="191" spans="1:15" ht="20.100000000000001" customHeight="1">
      <c r="A191" s="442" t="s">
        <v>704</v>
      </c>
      <c r="B191" s="442" t="s">
        <v>882</v>
      </c>
      <c r="C191" s="443" t="s">
        <v>2077</v>
      </c>
      <c r="D191" s="81">
        <f t="shared" si="3"/>
        <v>0</v>
      </c>
      <c r="E191" s="81">
        <f>SUMIF('2.생활용수(광석)'!$C$5:$C$56,C191,'2.생활용수(광석)'!$Q$5:$Q$56)</f>
        <v>0</v>
      </c>
      <c r="F191" s="81">
        <f>SUMIF('2.생활용수(성동)'!$C$5:$C$60,$C191,'2.생활용수(성동)'!$Q$5:$Q$60)</f>
        <v>0</v>
      </c>
      <c r="G191" s="81">
        <f>SUMIF('2.생활용수(봉화)'!$C$5:$C$18,$C191,'2.생활용수(봉화)'!$Q$5:$Q$18)</f>
        <v>0</v>
      </c>
      <c r="H191" s="81">
        <f>SUMIF('2.생활용수(논산)'!$C$5:$C$28,$C191,'2.생활용수(논산)'!$Q$5:$Q$28)</f>
        <v>0</v>
      </c>
      <c r="I191" s="81">
        <f>SUMIF('2.생활용수(연무)'!$C$5:$C$123,$C191,'2.생활용수(연무)'!$Q$5:$Q$123)</f>
        <v>0</v>
      </c>
      <c r="J191" s="81">
        <f>SUMIF('2.생활용수(마산)'!$C$5:$C$115,$C191,'2.생활용수(마산)'!$Q$5:$Q$115)</f>
        <v>0</v>
      </c>
      <c r="K191" s="81">
        <f>SUMIF('2.생활용수(부적)'!$C$5:$C$75,$C191,'2.생활용수(부적)'!$Q$5:$Q$75)</f>
        <v>0</v>
      </c>
      <c r="L191" s="81">
        <f>SUMIF('2.생활용수(연산)'!$C$5:$C$220,$C191,'2.생활용수(연산)'!$Q$5:$Q$220)</f>
        <v>0</v>
      </c>
      <c r="M191" s="81">
        <f>SUMIF('2.생활용수(채운)'!$C$5:$C$63,$C191,'2.생활용수(채운)'!$Q$5:$Q$63)</f>
        <v>0</v>
      </c>
      <c r="N191" s="81">
        <f>SUMIF('2.생활용수(강경)'!$C$5:$C$60,$C191,'2.생활용수(강경)'!$Q$5:$Q$60)</f>
        <v>0</v>
      </c>
      <c r="O191" s="81"/>
    </row>
    <row r="192" spans="1:15" ht="20.100000000000001" customHeight="1">
      <c r="A192" s="442" t="s">
        <v>704</v>
      </c>
      <c r="B192" s="442" t="s">
        <v>882</v>
      </c>
      <c r="C192" s="443" t="s">
        <v>2078</v>
      </c>
      <c r="D192" s="81">
        <f t="shared" si="3"/>
        <v>0</v>
      </c>
      <c r="E192" s="81">
        <f>SUMIF('2.생활용수(광석)'!$C$5:$C$56,C192,'2.생활용수(광석)'!$Q$5:$Q$56)</f>
        <v>0</v>
      </c>
      <c r="F192" s="81">
        <f>SUMIF('2.생활용수(성동)'!$C$5:$C$60,$C192,'2.생활용수(성동)'!$Q$5:$Q$60)</f>
        <v>0</v>
      </c>
      <c r="G192" s="81">
        <f>SUMIF('2.생활용수(봉화)'!$C$5:$C$18,$C192,'2.생활용수(봉화)'!$Q$5:$Q$18)</f>
        <v>0</v>
      </c>
      <c r="H192" s="81">
        <f>SUMIF('2.생활용수(논산)'!$C$5:$C$28,$C192,'2.생활용수(논산)'!$Q$5:$Q$28)</f>
        <v>0</v>
      </c>
      <c r="I192" s="81">
        <f>SUMIF('2.생활용수(연무)'!$C$5:$C$123,$C192,'2.생활용수(연무)'!$Q$5:$Q$123)</f>
        <v>0</v>
      </c>
      <c r="J192" s="81">
        <f>SUMIF('2.생활용수(마산)'!$C$5:$C$115,$C192,'2.생활용수(마산)'!$Q$5:$Q$115)</f>
        <v>0</v>
      </c>
      <c r="K192" s="81">
        <f>SUMIF('2.생활용수(부적)'!$C$5:$C$75,$C192,'2.생활용수(부적)'!$Q$5:$Q$75)</f>
        <v>0</v>
      </c>
      <c r="L192" s="81">
        <f>SUMIF('2.생활용수(연산)'!$C$5:$C$220,$C192,'2.생활용수(연산)'!$Q$5:$Q$220)</f>
        <v>0</v>
      </c>
      <c r="M192" s="81">
        <f>SUMIF('2.생활용수(채운)'!$C$5:$C$63,$C192,'2.생활용수(채운)'!$Q$5:$Q$63)</f>
        <v>0</v>
      </c>
      <c r="N192" s="81">
        <f>SUMIF('2.생활용수(강경)'!$C$5:$C$60,$C192,'2.생활용수(강경)'!$Q$5:$Q$60)</f>
        <v>0</v>
      </c>
      <c r="O192" s="81"/>
    </row>
    <row r="193" spans="1:15" ht="20.100000000000001" customHeight="1">
      <c r="A193" s="442" t="s">
        <v>704</v>
      </c>
      <c r="B193" s="442" t="s">
        <v>882</v>
      </c>
      <c r="C193" s="443" t="s">
        <v>2079</v>
      </c>
      <c r="D193" s="81">
        <f t="shared" si="3"/>
        <v>0</v>
      </c>
      <c r="E193" s="81">
        <f>SUMIF('2.생활용수(광석)'!$C$5:$C$56,C193,'2.생활용수(광석)'!$Q$5:$Q$56)</f>
        <v>0</v>
      </c>
      <c r="F193" s="81">
        <f>SUMIF('2.생활용수(성동)'!$C$5:$C$60,$C193,'2.생활용수(성동)'!$Q$5:$Q$60)</f>
        <v>0</v>
      </c>
      <c r="G193" s="81">
        <f>SUMIF('2.생활용수(봉화)'!$C$5:$C$18,$C193,'2.생활용수(봉화)'!$Q$5:$Q$18)</f>
        <v>0</v>
      </c>
      <c r="H193" s="81">
        <f>SUMIF('2.생활용수(논산)'!$C$5:$C$28,$C193,'2.생활용수(논산)'!$Q$5:$Q$28)</f>
        <v>0</v>
      </c>
      <c r="I193" s="81">
        <f>SUMIF('2.생활용수(연무)'!$C$5:$C$123,$C193,'2.생활용수(연무)'!$Q$5:$Q$123)</f>
        <v>0</v>
      </c>
      <c r="J193" s="81">
        <f>SUMIF('2.생활용수(마산)'!$C$5:$C$115,$C193,'2.생활용수(마산)'!$Q$5:$Q$115)</f>
        <v>0</v>
      </c>
      <c r="K193" s="81">
        <f>SUMIF('2.생활용수(부적)'!$C$5:$C$75,$C193,'2.생활용수(부적)'!$Q$5:$Q$75)</f>
        <v>0</v>
      </c>
      <c r="L193" s="81">
        <f>SUMIF('2.생활용수(연산)'!$C$5:$C$220,$C193,'2.생활용수(연산)'!$Q$5:$Q$220)</f>
        <v>0</v>
      </c>
      <c r="M193" s="81">
        <f>SUMIF('2.생활용수(채운)'!$C$5:$C$63,$C193,'2.생활용수(채운)'!$Q$5:$Q$63)</f>
        <v>0</v>
      </c>
      <c r="N193" s="81">
        <f>SUMIF('2.생활용수(강경)'!$C$5:$C$60,$C193,'2.생활용수(강경)'!$Q$5:$Q$60)</f>
        <v>0</v>
      </c>
      <c r="O193" s="81"/>
    </row>
    <row r="194" spans="1:15" ht="20.100000000000001" customHeight="1">
      <c r="A194" s="442" t="s">
        <v>704</v>
      </c>
      <c r="B194" s="442" t="s">
        <v>883</v>
      </c>
      <c r="C194" s="443" t="s">
        <v>2080</v>
      </c>
      <c r="D194" s="81">
        <f t="shared" si="3"/>
        <v>0</v>
      </c>
      <c r="E194" s="81">
        <f>SUMIF('2.생활용수(광석)'!$C$5:$C$56,C194,'2.생활용수(광석)'!$Q$5:$Q$56)</f>
        <v>0</v>
      </c>
      <c r="F194" s="81">
        <f>SUMIF('2.생활용수(성동)'!$C$5:$C$60,$C194,'2.생활용수(성동)'!$Q$5:$Q$60)</f>
        <v>0</v>
      </c>
      <c r="G194" s="81">
        <f>SUMIF('2.생활용수(봉화)'!$C$5:$C$18,$C194,'2.생활용수(봉화)'!$Q$5:$Q$18)</f>
        <v>0</v>
      </c>
      <c r="H194" s="81">
        <f>SUMIF('2.생활용수(논산)'!$C$5:$C$28,$C194,'2.생활용수(논산)'!$Q$5:$Q$28)</f>
        <v>0</v>
      </c>
      <c r="I194" s="81">
        <f>SUMIF('2.생활용수(연무)'!$C$5:$C$123,$C194,'2.생활용수(연무)'!$Q$5:$Q$123)</f>
        <v>0</v>
      </c>
      <c r="J194" s="81">
        <f>SUMIF('2.생활용수(마산)'!$C$5:$C$115,$C194,'2.생활용수(마산)'!$Q$5:$Q$115)</f>
        <v>0</v>
      </c>
      <c r="K194" s="81">
        <f>SUMIF('2.생활용수(부적)'!$C$5:$C$75,$C194,'2.생활용수(부적)'!$Q$5:$Q$75)</f>
        <v>0</v>
      </c>
      <c r="L194" s="81">
        <f>SUMIF('2.생활용수(연산)'!$C$5:$C$220,$C194,'2.생활용수(연산)'!$Q$5:$Q$220)</f>
        <v>0</v>
      </c>
      <c r="M194" s="81">
        <f>SUMIF('2.생활용수(채운)'!$C$5:$C$63,$C194,'2.생활용수(채운)'!$Q$5:$Q$63)</f>
        <v>0</v>
      </c>
      <c r="N194" s="81">
        <f>SUMIF('2.생활용수(강경)'!$C$5:$C$60,$C194,'2.생활용수(강경)'!$Q$5:$Q$60)</f>
        <v>0</v>
      </c>
      <c r="O194" s="81"/>
    </row>
    <row r="195" spans="1:15" ht="20.100000000000001" customHeight="1">
      <c r="A195" s="442" t="s">
        <v>704</v>
      </c>
      <c r="B195" s="442" t="s">
        <v>883</v>
      </c>
      <c r="C195" s="443" t="s">
        <v>2081</v>
      </c>
      <c r="D195" s="81">
        <f t="shared" si="3"/>
        <v>0</v>
      </c>
      <c r="E195" s="81">
        <f>SUMIF('2.생활용수(광석)'!$C$5:$C$56,C195,'2.생활용수(광석)'!$Q$5:$Q$56)</f>
        <v>0</v>
      </c>
      <c r="F195" s="81">
        <f>SUMIF('2.생활용수(성동)'!$C$5:$C$60,$C195,'2.생활용수(성동)'!$Q$5:$Q$60)</f>
        <v>0</v>
      </c>
      <c r="G195" s="81">
        <f>SUMIF('2.생활용수(봉화)'!$C$5:$C$18,$C195,'2.생활용수(봉화)'!$Q$5:$Q$18)</f>
        <v>0</v>
      </c>
      <c r="H195" s="81">
        <f>SUMIF('2.생활용수(논산)'!$C$5:$C$28,$C195,'2.생활용수(논산)'!$Q$5:$Q$28)</f>
        <v>0</v>
      </c>
      <c r="I195" s="81">
        <f>SUMIF('2.생활용수(연무)'!$C$5:$C$123,$C195,'2.생활용수(연무)'!$Q$5:$Q$123)</f>
        <v>0</v>
      </c>
      <c r="J195" s="81">
        <f>SUMIF('2.생활용수(마산)'!$C$5:$C$115,$C195,'2.생활용수(마산)'!$Q$5:$Q$115)</f>
        <v>0</v>
      </c>
      <c r="K195" s="81">
        <f>SUMIF('2.생활용수(부적)'!$C$5:$C$75,$C195,'2.생활용수(부적)'!$Q$5:$Q$75)</f>
        <v>0</v>
      </c>
      <c r="L195" s="81">
        <f>SUMIF('2.생활용수(연산)'!$C$5:$C$220,$C195,'2.생활용수(연산)'!$Q$5:$Q$220)</f>
        <v>0</v>
      </c>
      <c r="M195" s="81">
        <f>SUMIF('2.생활용수(채운)'!$C$5:$C$63,$C195,'2.생활용수(채운)'!$Q$5:$Q$63)</f>
        <v>0</v>
      </c>
      <c r="N195" s="81">
        <f>SUMIF('2.생활용수(강경)'!$C$5:$C$60,$C195,'2.생활용수(강경)'!$Q$5:$Q$60)</f>
        <v>0</v>
      </c>
      <c r="O195" s="81"/>
    </row>
    <row r="196" spans="1:15" ht="20.100000000000001" customHeight="1">
      <c r="A196" s="442" t="s">
        <v>704</v>
      </c>
      <c r="B196" s="442" t="s">
        <v>884</v>
      </c>
      <c r="C196" s="443" t="s">
        <v>2082</v>
      </c>
      <c r="D196" s="81">
        <f t="shared" si="3"/>
        <v>0</v>
      </c>
      <c r="E196" s="81">
        <f>SUMIF('2.생활용수(광석)'!$C$5:$C$56,C196,'2.생활용수(광석)'!$Q$5:$Q$56)</f>
        <v>0</v>
      </c>
      <c r="F196" s="81">
        <f>SUMIF('2.생활용수(성동)'!$C$5:$C$60,$C196,'2.생활용수(성동)'!$Q$5:$Q$60)</f>
        <v>0</v>
      </c>
      <c r="G196" s="81">
        <f>SUMIF('2.생활용수(봉화)'!$C$5:$C$18,$C196,'2.생활용수(봉화)'!$Q$5:$Q$18)</f>
        <v>0</v>
      </c>
      <c r="H196" s="81">
        <f>SUMIF('2.생활용수(논산)'!$C$5:$C$28,$C196,'2.생활용수(논산)'!$Q$5:$Q$28)</f>
        <v>0</v>
      </c>
      <c r="I196" s="81">
        <f>SUMIF('2.생활용수(연무)'!$C$5:$C$123,$C196,'2.생활용수(연무)'!$Q$5:$Q$123)</f>
        <v>0</v>
      </c>
      <c r="J196" s="81">
        <f>SUMIF('2.생활용수(마산)'!$C$5:$C$115,$C196,'2.생활용수(마산)'!$Q$5:$Q$115)</f>
        <v>0</v>
      </c>
      <c r="K196" s="81">
        <f>SUMIF('2.생활용수(부적)'!$C$5:$C$75,$C196,'2.생활용수(부적)'!$Q$5:$Q$75)</f>
        <v>0</v>
      </c>
      <c r="L196" s="81">
        <f>SUMIF('2.생활용수(연산)'!$C$5:$C$220,$C196,'2.생활용수(연산)'!$Q$5:$Q$220)</f>
        <v>0</v>
      </c>
      <c r="M196" s="81">
        <f>SUMIF('2.생활용수(채운)'!$C$5:$C$63,$C196,'2.생활용수(채운)'!$Q$5:$Q$63)</f>
        <v>0</v>
      </c>
      <c r="N196" s="81">
        <f>SUMIF('2.생활용수(강경)'!$C$5:$C$60,$C196,'2.생활용수(강경)'!$Q$5:$Q$60)</f>
        <v>0</v>
      </c>
      <c r="O196" s="81"/>
    </row>
    <row r="197" spans="1:15" ht="20.100000000000001" customHeight="1">
      <c r="A197" s="442" t="s">
        <v>704</v>
      </c>
      <c r="B197" s="442" t="s">
        <v>885</v>
      </c>
      <c r="C197" s="443" t="s">
        <v>2083</v>
      </c>
      <c r="D197" s="81">
        <f t="shared" ref="D197:D260" si="4">SUM(E197:O197)</f>
        <v>0</v>
      </c>
      <c r="E197" s="81">
        <f>SUMIF('2.생활용수(광석)'!$C$5:$C$56,C197,'2.생활용수(광석)'!$Q$5:$Q$56)</f>
        <v>0</v>
      </c>
      <c r="F197" s="81">
        <f>SUMIF('2.생활용수(성동)'!$C$5:$C$60,$C197,'2.생활용수(성동)'!$Q$5:$Q$60)</f>
        <v>0</v>
      </c>
      <c r="G197" s="81">
        <f>SUMIF('2.생활용수(봉화)'!$C$5:$C$18,$C197,'2.생활용수(봉화)'!$Q$5:$Q$18)</f>
        <v>0</v>
      </c>
      <c r="H197" s="81">
        <f>SUMIF('2.생활용수(논산)'!$C$5:$C$28,$C197,'2.생활용수(논산)'!$Q$5:$Q$28)</f>
        <v>0</v>
      </c>
      <c r="I197" s="81">
        <f>SUMIF('2.생활용수(연무)'!$C$5:$C$123,$C197,'2.생활용수(연무)'!$Q$5:$Q$123)</f>
        <v>0</v>
      </c>
      <c r="J197" s="81">
        <f>SUMIF('2.생활용수(마산)'!$C$5:$C$115,$C197,'2.생활용수(마산)'!$Q$5:$Q$115)</f>
        <v>0</v>
      </c>
      <c r="K197" s="81">
        <f>SUMIF('2.생활용수(부적)'!$C$5:$C$75,$C197,'2.생활용수(부적)'!$Q$5:$Q$75)</f>
        <v>0</v>
      </c>
      <c r="L197" s="81">
        <f>SUMIF('2.생활용수(연산)'!$C$5:$C$220,$C197,'2.생활용수(연산)'!$Q$5:$Q$220)</f>
        <v>0</v>
      </c>
      <c r="M197" s="81">
        <f>SUMIF('2.생활용수(채운)'!$C$5:$C$63,$C197,'2.생활용수(채운)'!$Q$5:$Q$63)</f>
        <v>0</v>
      </c>
      <c r="N197" s="81">
        <f>SUMIF('2.생활용수(강경)'!$C$5:$C$60,$C197,'2.생활용수(강경)'!$Q$5:$Q$60)</f>
        <v>0</v>
      </c>
      <c r="O197" s="81"/>
    </row>
    <row r="198" spans="1:15" ht="20.100000000000001" customHeight="1">
      <c r="A198" s="442" t="s">
        <v>704</v>
      </c>
      <c r="B198" s="442" t="s">
        <v>885</v>
      </c>
      <c r="C198" s="443" t="s">
        <v>2084</v>
      </c>
      <c r="D198" s="81">
        <f t="shared" si="4"/>
        <v>0</v>
      </c>
      <c r="E198" s="81">
        <f>SUMIF('2.생활용수(광석)'!$C$5:$C$56,C198,'2.생활용수(광석)'!$Q$5:$Q$56)</f>
        <v>0</v>
      </c>
      <c r="F198" s="81">
        <f>SUMIF('2.생활용수(성동)'!$C$5:$C$60,$C198,'2.생활용수(성동)'!$Q$5:$Q$60)</f>
        <v>0</v>
      </c>
      <c r="G198" s="81">
        <f>SUMIF('2.생활용수(봉화)'!$C$5:$C$18,$C198,'2.생활용수(봉화)'!$Q$5:$Q$18)</f>
        <v>0</v>
      </c>
      <c r="H198" s="81">
        <f>SUMIF('2.생활용수(논산)'!$C$5:$C$28,$C198,'2.생활용수(논산)'!$Q$5:$Q$28)</f>
        <v>0</v>
      </c>
      <c r="I198" s="81">
        <f>SUMIF('2.생활용수(연무)'!$C$5:$C$123,$C198,'2.생활용수(연무)'!$Q$5:$Q$123)</f>
        <v>0</v>
      </c>
      <c r="J198" s="81">
        <f>SUMIF('2.생활용수(마산)'!$C$5:$C$115,$C198,'2.생활용수(마산)'!$Q$5:$Q$115)</f>
        <v>0</v>
      </c>
      <c r="K198" s="81">
        <f>SUMIF('2.생활용수(부적)'!$C$5:$C$75,$C198,'2.생활용수(부적)'!$Q$5:$Q$75)</f>
        <v>0</v>
      </c>
      <c r="L198" s="81">
        <f>SUMIF('2.생활용수(연산)'!$C$5:$C$220,$C198,'2.생활용수(연산)'!$Q$5:$Q$220)</f>
        <v>0</v>
      </c>
      <c r="M198" s="81">
        <f>SUMIF('2.생활용수(채운)'!$C$5:$C$63,$C198,'2.생활용수(채운)'!$Q$5:$Q$63)</f>
        <v>0</v>
      </c>
      <c r="N198" s="81">
        <f>SUMIF('2.생활용수(강경)'!$C$5:$C$60,$C198,'2.생활용수(강경)'!$Q$5:$Q$60)</f>
        <v>0</v>
      </c>
      <c r="O198" s="81"/>
    </row>
    <row r="199" spans="1:15" ht="20.100000000000001" customHeight="1">
      <c r="A199" s="442" t="s">
        <v>704</v>
      </c>
      <c r="B199" s="442" t="s">
        <v>886</v>
      </c>
      <c r="C199" s="443" t="s">
        <v>1715</v>
      </c>
      <c r="D199" s="81">
        <f t="shared" si="4"/>
        <v>0</v>
      </c>
      <c r="E199" s="81">
        <f>SUMIF('2.생활용수(광석)'!$C$5:$C$56,C199,'2.생활용수(광석)'!$Q$5:$Q$56)</f>
        <v>0</v>
      </c>
      <c r="F199" s="81">
        <f>SUMIF('2.생활용수(성동)'!$C$5:$C$60,$C199,'2.생활용수(성동)'!$Q$5:$Q$60)</f>
        <v>0</v>
      </c>
      <c r="G199" s="81">
        <f>SUMIF('2.생활용수(봉화)'!$C$5:$C$18,$C199,'2.생활용수(봉화)'!$Q$5:$Q$18)</f>
        <v>0</v>
      </c>
      <c r="H199" s="81">
        <f>SUMIF('2.생활용수(논산)'!$C$5:$C$28,$C199,'2.생활용수(논산)'!$Q$5:$Q$28)</f>
        <v>0</v>
      </c>
      <c r="I199" s="81">
        <f>SUMIF('2.생활용수(연무)'!$C$5:$C$123,$C199,'2.생활용수(연무)'!$Q$5:$Q$123)</f>
        <v>0</v>
      </c>
      <c r="J199" s="81">
        <f>SUMIF('2.생활용수(마산)'!$C$5:$C$115,$C199,'2.생활용수(마산)'!$Q$5:$Q$115)</f>
        <v>0</v>
      </c>
      <c r="K199" s="81">
        <f>SUMIF('2.생활용수(부적)'!$C$5:$C$75,$C199,'2.생활용수(부적)'!$Q$5:$Q$75)</f>
        <v>0</v>
      </c>
      <c r="L199" s="81">
        <f>SUMIF('2.생활용수(연산)'!$C$5:$C$220,$C199,'2.생활용수(연산)'!$Q$5:$Q$220)</f>
        <v>0</v>
      </c>
      <c r="M199" s="81">
        <f>SUMIF('2.생활용수(채운)'!$C$5:$C$63,$C199,'2.생활용수(채운)'!$Q$5:$Q$63)</f>
        <v>0</v>
      </c>
      <c r="N199" s="81">
        <f>SUMIF('2.생활용수(강경)'!$C$5:$C$60,$C199,'2.생활용수(강경)'!$Q$5:$Q$60)</f>
        <v>0</v>
      </c>
      <c r="O199" s="81"/>
    </row>
    <row r="200" spans="1:15" ht="20.100000000000001" customHeight="1">
      <c r="A200" s="442" t="s">
        <v>704</v>
      </c>
      <c r="B200" s="442" t="s">
        <v>2085</v>
      </c>
      <c r="C200" s="443" t="s">
        <v>2086</v>
      </c>
      <c r="D200" s="81">
        <f t="shared" si="4"/>
        <v>0</v>
      </c>
      <c r="E200" s="81">
        <f>SUMIF('2.생활용수(광석)'!$C$5:$C$56,C200,'2.생활용수(광석)'!$Q$5:$Q$56)</f>
        <v>0</v>
      </c>
      <c r="F200" s="81">
        <f>SUMIF('2.생활용수(성동)'!$C$5:$C$60,$C200,'2.생활용수(성동)'!$Q$5:$Q$60)</f>
        <v>0</v>
      </c>
      <c r="G200" s="81">
        <f>SUMIF('2.생활용수(봉화)'!$C$5:$C$18,$C200,'2.생활용수(봉화)'!$Q$5:$Q$18)</f>
        <v>0</v>
      </c>
      <c r="H200" s="81">
        <f>SUMIF('2.생활용수(논산)'!$C$5:$C$28,$C200,'2.생활용수(논산)'!$Q$5:$Q$28)</f>
        <v>0</v>
      </c>
      <c r="I200" s="81">
        <f>SUMIF('2.생활용수(연무)'!$C$5:$C$123,$C200,'2.생활용수(연무)'!$Q$5:$Q$123)</f>
        <v>0</v>
      </c>
      <c r="J200" s="81">
        <f>SUMIF('2.생활용수(마산)'!$C$5:$C$115,$C200,'2.생활용수(마산)'!$Q$5:$Q$115)</f>
        <v>0</v>
      </c>
      <c r="K200" s="81">
        <f>SUMIF('2.생활용수(부적)'!$C$5:$C$75,$C200,'2.생활용수(부적)'!$Q$5:$Q$75)</f>
        <v>0</v>
      </c>
      <c r="L200" s="81">
        <f>SUMIF('2.생활용수(연산)'!$C$5:$C$220,$C200,'2.생활용수(연산)'!$Q$5:$Q$220)</f>
        <v>0</v>
      </c>
      <c r="M200" s="81">
        <f>SUMIF('2.생활용수(채운)'!$C$5:$C$63,$C200,'2.생활용수(채운)'!$Q$5:$Q$63)</f>
        <v>0</v>
      </c>
      <c r="N200" s="81">
        <f>SUMIF('2.생활용수(강경)'!$C$5:$C$60,$C200,'2.생활용수(강경)'!$Q$5:$Q$60)</f>
        <v>0</v>
      </c>
      <c r="O200" s="81"/>
    </row>
    <row r="201" spans="1:15" ht="20.100000000000001" customHeight="1">
      <c r="A201" s="442" t="s">
        <v>704</v>
      </c>
      <c r="B201" s="442" t="s">
        <v>888</v>
      </c>
      <c r="C201" s="443" t="s">
        <v>2087</v>
      </c>
      <c r="D201" s="81">
        <f t="shared" si="4"/>
        <v>0</v>
      </c>
      <c r="E201" s="81">
        <f>SUMIF('2.생활용수(광석)'!$C$5:$C$56,C201,'2.생활용수(광석)'!$Q$5:$Q$56)</f>
        <v>0</v>
      </c>
      <c r="F201" s="81">
        <f>SUMIF('2.생활용수(성동)'!$C$5:$C$60,$C201,'2.생활용수(성동)'!$Q$5:$Q$60)</f>
        <v>0</v>
      </c>
      <c r="G201" s="81">
        <f>SUMIF('2.생활용수(봉화)'!$C$5:$C$18,$C201,'2.생활용수(봉화)'!$Q$5:$Q$18)</f>
        <v>0</v>
      </c>
      <c r="H201" s="81">
        <f>SUMIF('2.생활용수(논산)'!$C$5:$C$28,$C201,'2.생활용수(논산)'!$Q$5:$Q$28)</f>
        <v>0</v>
      </c>
      <c r="I201" s="81">
        <f>SUMIF('2.생활용수(연무)'!$C$5:$C$123,$C201,'2.생활용수(연무)'!$Q$5:$Q$123)</f>
        <v>0</v>
      </c>
      <c r="J201" s="81">
        <f>SUMIF('2.생활용수(마산)'!$C$5:$C$115,$C201,'2.생활용수(마산)'!$Q$5:$Q$115)</f>
        <v>0</v>
      </c>
      <c r="K201" s="81">
        <f>SUMIF('2.생활용수(부적)'!$C$5:$C$75,$C201,'2.생활용수(부적)'!$Q$5:$Q$75)</f>
        <v>0</v>
      </c>
      <c r="L201" s="81">
        <f>SUMIF('2.생활용수(연산)'!$C$5:$C$220,$C201,'2.생활용수(연산)'!$Q$5:$Q$220)</f>
        <v>0</v>
      </c>
      <c r="M201" s="81">
        <f>SUMIF('2.생활용수(채운)'!$C$5:$C$63,$C201,'2.생활용수(채운)'!$Q$5:$Q$63)</f>
        <v>0</v>
      </c>
      <c r="N201" s="81">
        <f>SUMIF('2.생활용수(강경)'!$C$5:$C$60,$C201,'2.생활용수(강경)'!$Q$5:$Q$60)</f>
        <v>0</v>
      </c>
      <c r="O201" s="81"/>
    </row>
    <row r="202" spans="1:15" ht="20.100000000000001" customHeight="1">
      <c r="A202" s="442" t="s">
        <v>704</v>
      </c>
      <c r="B202" s="442" t="s">
        <v>888</v>
      </c>
      <c r="C202" s="443" t="s">
        <v>2088</v>
      </c>
      <c r="D202" s="81">
        <f t="shared" si="4"/>
        <v>0</v>
      </c>
      <c r="E202" s="81">
        <f>SUMIF('2.생활용수(광석)'!$C$5:$C$56,C202,'2.생활용수(광석)'!$Q$5:$Q$56)</f>
        <v>0</v>
      </c>
      <c r="F202" s="81">
        <f>SUMIF('2.생활용수(성동)'!$C$5:$C$60,$C202,'2.생활용수(성동)'!$Q$5:$Q$60)</f>
        <v>0</v>
      </c>
      <c r="G202" s="81">
        <f>SUMIF('2.생활용수(봉화)'!$C$5:$C$18,$C202,'2.생활용수(봉화)'!$Q$5:$Q$18)</f>
        <v>0</v>
      </c>
      <c r="H202" s="81">
        <f>SUMIF('2.생활용수(논산)'!$C$5:$C$28,$C202,'2.생활용수(논산)'!$Q$5:$Q$28)</f>
        <v>0</v>
      </c>
      <c r="I202" s="81">
        <f>SUMIF('2.생활용수(연무)'!$C$5:$C$123,$C202,'2.생활용수(연무)'!$Q$5:$Q$123)</f>
        <v>0</v>
      </c>
      <c r="J202" s="81">
        <f>SUMIF('2.생활용수(마산)'!$C$5:$C$115,$C202,'2.생활용수(마산)'!$Q$5:$Q$115)</f>
        <v>0</v>
      </c>
      <c r="K202" s="81">
        <f>SUMIF('2.생활용수(부적)'!$C$5:$C$75,$C202,'2.생활용수(부적)'!$Q$5:$Q$75)</f>
        <v>0</v>
      </c>
      <c r="L202" s="81">
        <f>SUMIF('2.생활용수(연산)'!$C$5:$C$220,$C202,'2.생활용수(연산)'!$Q$5:$Q$220)</f>
        <v>0</v>
      </c>
      <c r="M202" s="81">
        <f>SUMIF('2.생활용수(채운)'!$C$5:$C$63,$C202,'2.생활용수(채운)'!$Q$5:$Q$63)</f>
        <v>0</v>
      </c>
      <c r="N202" s="81">
        <f>SUMIF('2.생활용수(강경)'!$C$5:$C$60,$C202,'2.생활용수(강경)'!$Q$5:$Q$60)</f>
        <v>0</v>
      </c>
      <c r="O202" s="81"/>
    </row>
    <row r="203" spans="1:15" ht="20.100000000000001" customHeight="1">
      <c r="A203" s="442" t="s">
        <v>704</v>
      </c>
      <c r="B203" s="442" t="s">
        <v>888</v>
      </c>
      <c r="C203" s="443" t="s">
        <v>2089</v>
      </c>
      <c r="D203" s="81">
        <f t="shared" si="4"/>
        <v>0</v>
      </c>
      <c r="E203" s="81">
        <f>SUMIF('2.생활용수(광석)'!$C$5:$C$56,C203,'2.생활용수(광석)'!$Q$5:$Q$56)</f>
        <v>0</v>
      </c>
      <c r="F203" s="81">
        <f>SUMIF('2.생활용수(성동)'!$C$5:$C$60,$C203,'2.생활용수(성동)'!$Q$5:$Q$60)</f>
        <v>0</v>
      </c>
      <c r="G203" s="81">
        <f>SUMIF('2.생활용수(봉화)'!$C$5:$C$18,$C203,'2.생활용수(봉화)'!$Q$5:$Q$18)</f>
        <v>0</v>
      </c>
      <c r="H203" s="81">
        <f>SUMIF('2.생활용수(논산)'!$C$5:$C$28,$C203,'2.생활용수(논산)'!$Q$5:$Q$28)</f>
        <v>0</v>
      </c>
      <c r="I203" s="81">
        <f>SUMIF('2.생활용수(연무)'!$C$5:$C$123,$C203,'2.생활용수(연무)'!$Q$5:$Q$123)</f>
        <v>0</v>
      </c>
      <c r="J203" s="81">
        <f>SUMIF('2.생활용수(마산)'!$C$5:$C$115,$C203,'2.생활용수(마산)'!$Q$5:$Q$115)</f>
        <v>0</v>
      </c>
      <c r="K203" s="81">
        <f>SUMIF('2.생활용수(부적)'!$C$5:$C$75,$C203,'2.생활용수(부적)'!$Q$5:$Q$75)</f>
        <v>0</v>
      </c>
      <c r="L203" s="81">
        <f>SUMIF('2.생활용수(연산)'!$C$5:$C$220,$C203,'2.생활용수(연산)'!$Q$5:$Q$220)</f>
        <v>0</v>
      </c>
      <c r="M203" s="81">
        <f>SUMIF('2.생활용수(채운)'!$C$5:$C$63,$C203,'2.생활용수(채운)'!$Q$5:$Q$63)</f>
        <v>0</v>
      </c>
      <c r="N203" s="81">
        <f>SUMIF('2.생활용수(강경)'!$C$5:$C$60,$C203,'2.생활용수(강경)'!$Q$5:$Q$60)</f>
        <v>0</v>
      </c>
      <c r="O203" s="81"/>
    </row>
    <row r="204" spans="1:15" ht="20.100000000000001" customHeight="1">
      <c r="A204" s="442" t="s">
        <v>704</v>
      </c>
      <c r="B204" s="442" t="s">
        <v>2090</v>
      </c>
      <c r="C204" s="443" t="s">
        <v>2091</v>
      </c>
      <c r="D204" s="81">
        <f t="shared" si="4"/>
        <v>0</v>
      </c>
      <c r="E204" s="81">
        <f>SUMIF('2.생활용수(광석)'!$C$5:$C$56,C204,'2.생활용수(광석)'!$Q$5:$Q$56)</f>
        <v>0</v>
      </c>
      <c r="F204" s="81">
        <f>SUMIF('2.생활용수(성동)'!$C$5:$C$60,$C204,'2.생활용수(성동)'!$Q$5:$Q$60)</f>
        <v>0</v>
      </c>
      <c r="G204" s="81">
        <f>SUMIF('2.생활용수(봉화)'!$C$5:$C$18,$C204,'2.생활용수(봉화)'!$Q$5:$Q$18)</f>
        <v>0</v>
      </c>
      <c r="H204" s="81">
        <f>SUMIF('2.생활용수(논산)'!$C$5:$C$28,$C204,'2.생활용수(논산)'!$Q$5:$Q$28)</f>
        <v>0</v>
      </c>
      <c r="I204" s="81">
        <f>SUMIF('2.생활용수(연무)'!$C$5:$C$123,$C204,'2.생활용수(연무)'!$Q$5:$Q$123)</f>
        <v>0</v>
      </c>
      <c r="J204" s="81">
        <f>SUMIF('2.생활용수(마산)'!$C$5:$C$115,$C204,'2.생활용수(마산)'!$Q$5:$Q$115)</f>
        <v>0</v>
      </c>
      <c r="K204" s="81">
        <f>SUMIF('2.생활용수(부적)'!$C$5:$C$75,$C204,'2.생활용수(부적)'!$Q$5:$Q$75)</f>
        <v>0</v>
      </c>
      <c r="L204" s="81">
        <f>SUMIF('2.생활용수(연산)'!$C$5:$C$220,$C204,'2.생활용수(연산)'!$Q$5:$Q$220)</f>
        <v>0</v>
      </c>
      <c r="M204" s="81">
        <f>SUMIF('2.생활용수(채운)'!$C$5:$C$63,$C204,'2.생활용수(채운)'!$Q$5:$Q$63)</f>
        <v>0</v>
      </c>
      <c r="N204" s="81">
        <f>SUMIF('2.생활용수(강경)'!$C$5:$C$60,$C204,'2.생활용수(강경)'!$Q$5:$Q$60)</f>
        <v>0</v>
      </c>
      <c r="O204" s="81"/>
    </row>
    <row r="205" spans="1:15" ht="20.100000000000001" customHeight="1">
      <c r="A205" s="442" t="s">
        <v>704</v>
      </c>
      <c r="B205" s="442" t="s">
        <v>2090</v>
      </c>
      <c r="C205" s="443" t="s">
        <v>2092</v>
      </c>
      <c r="D205" s="81">
        <f t="shared" si="4"/>
        <v>0</v>
      </c>
      <c r="E205" s="81">
        <f>SUMIF('2.생활용수(광석)'!$C$5:$C$56,C205,'2.생활용수(광석)'!$Q$5:$Q$56)</f>
        <v>0</v>
      </c>
      <c r="F205" s="81">
        <f>SUMIF('2.생활용수(성동)'!$C$5:$C$60,$C205,'2.생활용수(성동)'!$Q$5:$Q$60)</f>
        <v>0</v>
      </c>
      <c r="G205" s="81">
        <f>SUMIF('2.생활용수(봉화)'!$C$5:$C$18,$C205,'2.생활용수(봉화)'!$Q$5:$Q$18)</f>
        <v>0</v>
      </c>
      <c r="H205" s="81">
        <f>SUMIF('2.생활용수(논산)'!$C$5:$C$28,$C205,'2.생활용수(논산)'!$Q$5:$Q$28)</f>
        <v>0</v>
      </c>
      <c r="I205" s="81">
        <f>SUMIF('2.생활용수(연무)'!$C$5:$C$123,$C205,'2.생활용수(연무)'!$Q$5:$Q$123)</f>
        <v>0</v>
      </c>
      <c r="J205" s="81">
        <f>SUMIF('2.생활용수(마산)'!$C$5:$C$115,$C205,'2.생활용수(마산)'!$Q$5:$Q$115)</f>
        <v>0</v>
      </c>
      <c r="K205" s="81">
        <f>SUMIF('2.생활용수(부적)'!$C$5:$C$75,$C205,'2.생활용수(부적)'!$Q$5:$Q$75)</f>
        <v>0</v>
      </c>
      <c r="L205" s="81">
        <f>SUMIF('2.생활용수(연산)'!$C$5:$C$220,$C205,'2.생활용수(연산)'!$Q$5:$Q$220)</f>
        <v>0</v>
      </c>
      <c r="M205" s="81">
        <f>SUMIF('2.생활용수(채운)'!$C$5:$C$63,$C205,'2.생활용수(채운)'!$Q$5:$Q$63)</f>
        <v>0</v>
      </c>
      <c r="N205" s="81">
        <f>SUMIF('2.생활용수(강경)'!$C$5:$C$60,$C205,'2.생활용수(강경)'!$Q$5:$Q$60)</f>
        <v>0</v>
      </c>
      <c r="O205" s="81"/>
    </row>
    <row r="206" spans="1:15" ht="20.100000000000001" customHeight="1">
      <c r="A206" s="442" t="s">
        <v>705</v>
      </c>
      <c r="B206" s="442" t="s">
        <v>891</v>
      </c>
      <c r="C206" s="443" t="s">
        <v>2093</v>
      </c>
      <c r="D206" s="81">
        <f t="shared" si="4"/>
        <v>25</v>
      </c>
      <c r="E206" s="81">
        <f>SUMIF('2.생활용수(광석)'!$C$5:$C$56,C206,'2.생활용수(광석)'!$Q$5:$Q$56)</f>
        <v>0</v>
      </c>
      <c r="F206" s="81">
        <f>SUMIF('2.생활용수(성동)'!$C$5:$C$60,$C206,'2.생활용수(성동)'!$Q$5:$Q$60)</f>
        <v>0</v>
      </c>
      <c r="G206" s="81">
        <f>SUMIF('2.생활용수(봉화)'!$C$5:$C$18,$C206,'2.생활용수(봉화)'!$Q$5:$Q$18)</f>
        <v>0</v>
      </c>
      <c r="H206" s="81">
        <f>SUMIF('2.생활용수(논산)'!$C$5:$C$28,$C206,'2.생활용수(논산)'!$Q$5:$Q$28)</f>
        <v>0</v>
      </c>
      <c r="I206" s="81">
        <f>SUMIF('2.생활용수(연무)'!$C$5:$C$123,$C206,'2.생활용수(연무)'!$Q$5:$Q$123)</f>
        <v>0</v>
      </c>
      <c r="J206" s="81">
        <f>SUMIF('2.생활용수(마산)'!$C$5:$C$115,$C206,'2.생활용수(마산)'!$Q$5:$Q$115)</f>
        <v>0</v>
      </c>
      <c r="K206" s="81">
        <f>SUMIF('2.생활용수(부적)'!$C$5:$C$75,$C206,'2.생활용수(부적)'!$Q$5:$Q$75)</f>
        <v>25</v>
      </c>
      <c r="L206" s="81">
        <f>SUMIF('2.생활용수(연산)'!$C$5:$C$220,$C206,'2.생활용수(연산)'!$Q$5:$Q$220)</f>
        <v>0</v>
      </c>
      <c r="M206" s="81">
        <f>SUMIF('2.생활용수(채운)'!$C$5:$C$63,$C206,'2.생활용수(채운)'!$Q$5:$Q$63)</f>
        <v>0</v>
      </c>
      <c r="N206" s="81">
        <f>SUMIF('2.생활용수(강경)'!$C$5:$C$60,$C206,'2.생활용수(강경)'!$Q$5:$Q$60)</f>
        <v>0</v>
      </c>
      <c r="O206" s="81"/>
    </row>
    <row r="207" spans="1:15" ht="20.100000000000001" customHeight="1">
      <c r="A207" s="442" t="s">
        <v>705</v>
      </c>
      <c r="B207" s="442" t="s">
        <v>891</v>
      </c>
      <c r="C207" s="443" t="s">
        <v>2094</v>
      </c>
      <c r="D207" s="81">
        <f t="shared" si="4"/>
        <v>21</v>
      </c>
      <c r="E207" s="81">
        <f>SUMIF('2.생활용수(광석)'!$C$5:$C$56,C207,'2.생활용수(광석)'!$Q$5:$Q$56)</f>
        <v>0</v>
      </c>
      <c r="F207" s="81">
        <f>SUMIF('2.생활용수(성동)'!$C$5:$C$60,$C207,'2.생활용수(성동)'!$Q$5:$Q$60)</f>
        <v>0</v>
      </c>
      <c r="G207" s="81">
        <f>SUMIF('2.생활용수(봉화)'!$C$5:$C$18,$C207,'2.생활용수(봉화)'!$Q$5:$Q$18)</f>
        <v>0</v>
      </c>
      <c r="H207" s="81">
        <f>SUMIF('2.생활용수(논산)'!$C$5:$C$28,$C207,'2.생활용수(논산)'!$Q$5:$Q$28)</f>
        <v>0</v>
      </c>
      <c r="I207" s="81">
        <f>SUMIF('2.생활용수(연무)'!$C$5:$C$123,$C207,'2.생활용수(연무)'!$Q$5:$Q$123)</f>
        <v>0</v>
      </c>
      <c r="J207" s="81">
        <f>SUMIF('2.생활용수(마산)'!$C$5:$C$115,$C207,'2.생활용수(마산)'!$Q$5:$Q$115)</f>
        <v>0</v>
      </c>
      <c r="K207" s="81">
        <f>SUMIF('2.생활용수(부적)'!$C$5:$C$75,$C207,'2.생활용수(부적)'!$Q$5:$Q$75)</f>
        <v>21</v>
      </c>
      <c r="L207" s="81">
        <f>SUMIF('2.생활용수(연산)'!$C$5:$C$220,$C207,'2.생활용수(연산)'!$Q$5:$Q$220)</f>
        <v>0</v>
      </c>
      <c r="M207" s="81">
        <f>SUMIF('2.생활용수(채운)'!$C$5:$C$63,$C207,'2.생활용수(채운)'!$Q$5:$Q$63)</f>
        <v>0</v>
      </c>
      <c r="N207" s="81">
        <f>SUMIF('2.생활용수(강경)'!$C$5:$C$60,$C207,'2.생활용수(강경)'!$Q$5:$Q$60)</f>
        <v>0</v>
      </c>
      <c r="O207" s="81"/>
    </row>
    <row r="208" spans="1:15" ht="20.100000000000001" customHeight="1">
      <c r="A208" s="442" t="s">
        <v>705</v>
      </c>
      <c r="B208" s="442" t="s">
        <v>891</v>
      </c>
      <c r="C208" s="443" t="s">
        <v>2095</v>
      </c>
      <c r="D208" s="81">
        <f t="shared" si="4"/>
        <v>125</v>
      </c>
      <c r="E208" s="81">
        <f>SUMIF('2.생활용수(광석)'!$C$5:$C$56,C208,'2.생활용수(광석)'!$Q$5:$Q$56)</f>
        <v>0</v>
      </c>
      <c r="F208" s="81">
        <f>SUMIF('2.생활용수(성동)'!$C$5:$C$60,$C208,'2.생활용수(성동)'!$Q$5:$Q$60)</f>
        <v>0</v>
      </c>
      <c r="G208" s="81">
        <f>SUMIF('2.생활용수(봉화)'!$C$5:$C$18,$C208,'2.생활용수(봉화)'!$Q$5:$Q$18)</f>
        <v>0</v>
      </c>
      <c r="H208" s="81">
        <f>SUMIF('2.생활용수(논산)'!$C$5:$C$28,$C208,'2.생활용수(논산)'!$Q$5:$Q$28)</f>
        <v>0</v>
      </c>
      <c r="I208" s="81">
        <f>SUMIF('2.생활용수(연무)'!$C$5:$C$123,$C208,'2.생활용수(연무)'!$Q$5:$Q$123)</f>
        <v>0</v>
      </c>
      <c r="J208" s="81">
        <f>SUMIF('2.생활용수(마산)'!$C$5:$C$115,$C208,'2.생활용수(마산)'!$Q$5:$Q$115)</f>
        <v>0</v>
      </c>
      <c r="K208" s="81">
        <f>SUMIF('2.생활용수(부적)'!$C$5:$C$75,$C208,'2.생활용수(부적)'!$Q$5:$Q$75)</f>
        <v>125</v>
      </c>
      <c r="L208" s="81">
        <f>SUMIF('2.생활용수(연산)'!$C$5:$C$220,$C208,'2.생활용수(연산)'!$Q$5:$Q$220)</f>
        <v>0</v>
      </c>
      <c r="M208" s="81">
        <f>SUMIF('2.생활용수(채운)'!$C$5:$C$63,$C208,'2.생활용수(채운)'!$Q$5:$Q$63)</f>
        <v>0</v>
      </c>
      <c r="N208" s="81">
        <f>SUMIF('2.생활용수(강경)'!$C$5:$C$60,$C208,'2.생활용수(강경)'!$Q$5:$Q$60)</f>
        <v>0</v>
      </c>
      <c r="O208" s="81"/>
    </row>
    <row r="209" spans="1:15" ht="20.100000000000001" customHeight="1">
      <c r="A209" s="442" t="s">
        <v>705</v>
      </c>
      <c r="B209" s="442" t="s">
        <v>891</v>
      </c>
      <c r="C209" s="443" t="s">
        <v>2096</v>
      </c>
      <c r="D209" s="81">
        <f t="shared" si="4"/>
        <v>25</v>
      </c>
      <c r="E209" s="81">
        <f>SUMIF('2.생활용수(광석)'!$C$5:$C$56,C209,'2.생활용수(광석)'!$Q$5:$Q$56)</f>
        <v>0</v>
      </c>
      <c r="F209" s="81">
        <f>SUMIF('2.생활용수(성동)'!$C$5:$C$60,$C209,'2.생활용수(성동)'!$Q$5:$Q$60)</f>
        <v>0</v>
      </c>
      <c r="G209" s="81">
        <f>SUMIF('2.생활용수(봉화)'!$C$5:$C$18,$C209,'2.생활용수(봉화)'!$Q$5:$Q$18)</f>
        <v>0</v>
      </c>
      <c r="H209" s="81">
        <f>SUMIF('2.생활용수(논산)'!$C$5:$C$28,$C209,'2.생활용수(논산)'!$Q$5:$Q$28)</f>
        <v>0</v>
      </c>
      <c r="I209" s="81">
        <f>SUMIF('2.생활용수(연무)'!$C$5:$C$123,$C209,'2.생활용수(연무)'!$Q$5:$Q$123)</f>
        <v>0</v>
      </c>
      <c r="J209" s="81">
        <f>SUMIF('2.생활용수(마산)'!$C$5:$C$115,$C209,'2.생활용수(마산)'!$Q$5:$Q$115)</f>
        <v>0</v>
      </c>
      <c r="K209" s="81">
        <f>SUMIF('2.생활용수(부적)'!$C$5:$C$75,$C209,'2.생활용수(부적)'!$Q$5:$Q$75)</f>
        <v>25</v>
      </c>
      <c r="L209" s="81">
        <f>SUMIF('2.생활용수(연산)'!$C$5:$C$220,$C209,'2.생활용수(연산)'!$Q$5:$Q$220)</f>
        <v>0</v>
      </c>
      <c r="M209" s="81">
        <f>SUMIF('2.생활용수(채운)'!$C$5:$C$63,$C209,'2.생활용수(채운)'!$Q$5:$Q$63)</f>
        <v>0</v>
      </c>
      <c r="N209" s="81">
        <f>SUMIF('2.생활용수(강경)'!$C$5:$C$60,$C209,'2.생활용수(강경)'!$Q$5:$Q$60)</f>
        <v>0</v>
      </c>
      <c r="O209" s="81"/>
    </row>
    <row r="210" spans="1:15" ht="20.100000000000001" customHeight="1">
      <c r="A210" s="442" t="s">
        <v>705</v>
      </c>
      <c r="B210" s="442" t="s">
        <v>891</v>
      </c>
      <c r="C210" s="443" t="s">
        <v>2097</v>
      </c>
      <c r="D210" s="81">
        <f t="shared" si="4"/>
        <v>29</v>
      </c>
      <c r="E210" s="81">
        <f>SUMIF('2.생활용수(광석)'!$C$5:$C$56,C210,'2.생활용수(광석)'!$Q$5:$Q$56)</f>
        <v>0</v>
      </c>
      <c r="F210" s="81">
        <f>SUMIF('2.생활용수(성동)'!$C$5:$C$60,$C210,'2.생활용수(성동)'!$Q$5:$Q$60)</f>
        <v>0</v>
      </c>
      <c r="G210" s="81">
        <f>SUMIF('2.생활용수(봉화)'!$C$5:$C$18,$C210,'2.생활용수(봉화)'!$Q$5:$Q$18)</f>
        <v>0</v>
      </c>
      <c r="H210" s="81">
        <f>SUMIF('2.생활용수(논산)'!$C$5:$C$28,$C210,'2.생활용수(논산)'!$Q$5:$Q$28)</f>
        <v>0</v>
      </c>
      <c r="I210" s="81">
        <f>SUMIF('2.생활용수(연무)'!$C$5:$C$123,$C210,'2.생활용수(연무)'!$Q$5:$Q$123)</f>
        <v>0</v>
      </c>
      <c r="J210" s="81">
        <f>SUMIF('2.생활용수(마산)'!$C$5:$C$115,$C210,'2.생활용수(마산)'!$Q$5:$Q$115)</f>
        <v>0</v>
      </c>
      <c r="K210" s="81">
        <f>SUMIF('2.생활용수(부적)'!$C$5:$C$75,$C210,'2.생활용수(부적)'!$Q$5:$Q$75)</f>
        <v>29</v>
      </c>
      <c r="L210" s="81">
        <f>SUMIF('2.생활용수(연산)'!$C$5:$C$220,$C210,'2.생활용수(연산)'!$Q$5:$Q$220)</f>
        <v>0</v>
      </c>
      <c r="M210" s="81">
        <f>SUMIF('2.생활용수(채운)'!$C$5:$C$63,$C210,'2.생활용수(채운)'!$Q$5:$Q$63)</f>
        <v>0</v>
      </c>
      <c r="N210" s="81">
        <f>SUMIF('2.생활용수(강경)'!$C$5:$C$60,$C210,'2.생활용수(강경)'!$Q$5:$Q$60)</f>
        <v>0</v>
      </c>
      <c r="O210" s="81"/>
    </row>
    <row r="211" spans="1:15" ht="20.100000000000001" customHeight="1">
      <c r="A211" s="442" t="s">
        <v>705</v>
      </c>
      <c r="B211" s="442" t="s">
        <v>2098</v>
      </c>
      <c r="C211" s="443" t="s">
        <v>2099</v>
      </c>
      <c r="D211" s="81">
        <f t="shared" si="4"/>
        <v>37</v>
      </c>
      <c r="E211" s="81">
        <f>SUMIF('2.생활용수(광석)'!$C$5:$C$56,C211,'2.생활용수(광석)'!$Q$5:$Q$56)</f>
        <v>0</v>
      </c>
      <c r="F211" s="81">
        <f>SUMIF('2.생활용수(성동)'!$C$5:$C$60,$C211,'2.생활용수(성동)'!$Q$5:$Q$60)</f>
        <v>0</v>
      </c>
      <c r="G211" s="81">
        <f>SUMIF('2.생활용수(봉화)'!$C$5:$C$18,$C211,'2.생활용수(봉화)'!$Q$5:$Q$18)</f>
        <v>0</v>
      </c>
      <c r="H211" s="81">
        <f>SUMIF('2.생활용수(논산)'!$C$5:$C$28,$C211,'2.생활용수(논산)'!$Q$5:$Q$28)</f>
        <v>0</v>
      </c>
      <c r="I211" s="81">
        <f>SUMIF('2.생활용수(연무)'!$C$5:$C$123,$C211,'2.생활용수(연무)'!$Q$5:$Q$123)</f>
        <v>0</v>
      </c>
      <c r="J211" s="81">
        <f>SUMIF('2.생활용수(마산)'!$C$5:$C$115,$C211,'2.생활용수(마산)'!$Q$5:$Q$115)</f>
        <v>0</v>
      </c>
      <c r="K211" s="81">
        <f>SUMIF('2.생활용수(부적)'!$C$5:$C$75,$C211,'2.생활용수(부적)'!$Q$5:$Q$75)</f>
        <v>37</v>
      </c>
      <c r="L211" s="81">
        <f>SUMIF('2.생활용수(연산)'!$C$5:$C$220,$C211,'2.생활용수(연산)'!$Q$5:$Q$220)</f>
        <v>0</v>
      </c>
      <c r="M211" s="81">
        <f>SUMIF('2.생활용수(채운)'!$C$5:$C$63,$C211,'2.생활용수(채운)'!$Q$5:$Q$63)</f>
        <v>0</v>
      </c>
      <c r="N211" s="81">
        <f>SUMIF('2.생활용수(강경)'!$C$5:$C$60,$C211,'2.생활용수(강경)'!$Q$5:$Q$60)</f>
        <v>0</v>
      </c>
      <c r="O211" s="81"/>
    </row>
    <row r="212" spans="1:15" ht="20.100000000000001" customHeight="1">
      <c r="A212" s="442" t="s">
        <v>705</v>
      </c>
      <c r="B212" s="442" t="s">
        <v>2098</v>
      </c>
      <c r="C212" s="443" t="s">
        <v>2100</v>
      </c>
      <c r="D212" s="81">
        <f t="shared" si="4"/>
        <v>38</v>
      </c>
      <c r="E212" s="81">
        <f>SUMIF('2.생활용수(광석)'!$C$5:$C$56,C212,'2.생활용수(광석)'!$Q$5:$Q$56)</f>
        <v>0</v>
      </c>
      <c r="F212" s="81">
        <f>SUMIF('2.생활용수(성동)'!$C$5:$C$60,$C212,'2.생활용수(성동)'!$Q$5:$Q$60)</f>
        <v>0</v>
      </c>
      <c r="G212" s="81">
        <f>SUMIF('2.생활용수(봉화)'!$C$5:$C$18,$C212,'2.생활용수(봉화)'!$Q$5:$Q$18)</f>
        <v>0</v>
      </c>
      <c r="H212" s="81">
        <f>SUMIF('2.생활용수(논산)'!$C$5:$C$28,$C212,'2.생활용수(논산)'!$Q$5:$Q$28)</f>
        <v>0</v>
      </c>
      <c r="I212" s="81">
        <f>SUMIF('2.생활용수(연무)'!$C$5:$C$123,$C212,'2.생활용수(연무)'!$Q$5:$Q$123)</f>
        <v>0</v>
      </c>
      <c r="J212" s="81">
        <f>SUMIF('2.생활용수(마산)'!$C$5:$C$115,$C212,'2.생활용수(마산)'!$Q$5:$Q$115)</f>
        <v>0</v>
      </c>
      <c r="K212" s="81">
        <f>SUMIF('2.생활용수(부적)'!$C$5:$C$75,$C212,'2.생활용수(부적)'!$Q$5:$Q$75)</f>
        <v>38</v>
      </c>
      <c r="L212" s="81">
        <f>SUMIF('2.생활용수(연산)'!$C$5:$C$220,$C212,'2.생활용수(연산)'!$Q$5:$Q$220)</f>
        <v>0</v>
      </c>
      <c r="M212" s="81">
        <f>SUMIF('2.생활용수(채운)'!$C$5:$C$63,$C212,'2.생활용수(채운)'!$Q$5:$Q$63)</f>
        <v>0</v>
      </c>
      <c r="N212" s="81">
        <f>SUMIF('2.생활용수(강경)'!$C$5:$C$60,$C212,'2.생활용수(강경)'!$Q$5:$Q$60)</f>
        <v>0</v>
      </c>
      <c r="O212" s="81"/>
    </row>
    <row r="213" spans="1:15" ht="20.100000000000001" customHeight="1">
      <c r="A213" s="442" t="s">
        <v>705</v>
      </c>
      <c r="B213" s="442" t="s">
        <v>2098</v>
      </c>
      <c r="C213" s="443" t="s">
        <v>2101</v>
      </c>
      <c r="D213" s="81">
        <f t="shared" si="4"/>
        <v>11</v>
      </c>
      <c r="E213" s="81">
        <f>SUMIF('2.생활용수(광석)'!$C$5:$C$56,C213,'2.생활용수(광석)'!$Q$5:$Q$56)</f>
        <v>0</v>
      </c>
      <c r="F213" s="81">
        <f>SUMIF('2.생활용수(성동)'!$C$5:$C$60,$C213,'2.생활용수(성동)'!$Q$5:$Q$60)</f>
        <v>0</v>
      </c>
      <c r="G213" s="81">
        <f>SUMIF('2.생활용수(봉화)'!$C$5:$C$18,$C213,'2.생활용수(봉화)'!$Q$5:$Q$18)</f>
        <v>0</v>
      </c>
      <c r="H213" s="81">
        <f>SUMIF('2.생활용수(논산)'!$C$5:$C$28,$C213,'2.생활용수(논산)'!$Q$5:$Q$28)</f>
        <v>0</v>
      </c>
      <c r="I213" s="81">
        <f>SUMIF('2.생활용수(연무)'!$C$5:$C$123,$C213,'2.생활용수(연무)'!$Q$5:$Q$123)</f>
        <v>0</v>
      </c>
      <c r="J213" s="81">
        <f>SUMIF('2.생활용수(마산)'!$C$5:$C$115,$C213,'2.생활용수(마산)'!$Q$5:$Q$115)</f>
        <v>0</v>
      </c>
      <c r="K213" s="81">
        <f>SUMIF('2.생활용수(부적)'!$C$5:$C$75,$C213,'2.생활용수(부적)'!$Q$5:$Q$75)</f>
        <v>11</v>
      </c>
      <c r="L213" s="81">
        <f>SUMIF('2.생활용수(연산)'!$C$5:$C$220,$C213,'2.생활용수(연산)'!$Q$5:$Q$220)</f>
        <v>0</v>
      </c>
      <c r="M213" s="81">
        <f>SUMIF('2.생활용수(채운)'!$C$5:$C$63,$C213,'2.생활용수(채운)'!$Q$5:$Q$63)</f>
        <v>0</v>
      </c>
      <c r="N213" s="81">
        <f>SUMIF('2.생활용수(강경)'!$C$5:$C$60,$C213,'2.생활용수(강경)'!$Q$5:$Q$60)</f>
        <v>0</v>
      </c>
      <c r="O213" s="81"/>
    </row>
    <row r="214" spans="1:15" ht="20.100000000000001" customHeight="1">
      <c r="A214" s="442" t="s">
        <v>705</v>
      </c>
      <c r="B214" s="442" t="s">
        <v>893</v>
      </c>
      <c r="C214" s="443" t="s">
        <v>2102</v>
      </c>
      <c r="D214" s="81">
        <f t="shared" si="4"/>
        <v>22</v>
      </c>
      <c r="E214" s="81">
        <f>SUMIF('2.생활용수(광석)'!$C$5:$C$56,C214,'2.생활용수(광석)'!$Q$5:$Q$56)</f>
        <v>0</v>
      </c>
      <c r="F214" s="81">
        <f>SUMIF('2.생활용수(성동)'!$C$5:$C$60,$C214,'2.생활용수(성동)'!$Q$5:$Q$60)</f>
        <v>0</v>
      </c>
      <c r="G214" s="81">
        <f>SUMIF('2.생활용수(봉화)'!$C$5:$C$18,$C214,'2.생활용수(봉화)'!$Q$5:$Q$18)</f>
        <v>0</v>
      </c>
      <c r="H214" s="81">
        <f>SUMIF('2.생활용수(논산)'!$C$5:$C$28,$C214,'2.생활용수(논산)'!$Q$5:$Q$28)</f>
        <v>0</v>
      </c>
      <c r="I214" s="81">
        <f>SUMIF('2.생활용수(연무)'!$C$5:$C$123,$C214,'2.생활용수(연무)'!$Q$5:$Q$123)</f>
        <v>0</v>
      </c>
      <c r="J214" s="81">
        <f>SUMIF('2.생활용수(마산)'!$C$5:$C$115,$C214,'2.생활용수(마산)'!$Q$5:$Q$115)</f>
        <v>0</v>
      </c>
      <c r="K214" s="81">
        <f>SUMIF('2.생활용수(부적)'!$C$5:$C$75,$C214,'2.생활용수(부적)'!$Q$5:$Q$75)</f>
        <v>22</v>
      </c>
      <c r="L214" s="81">
        <f>SUMIF('2.생활용수(연산)'!$C$5:$C$220,$C214,'2.생활용수(연산)'!$Q$5:$Q$220)</f>
        <v>0</v>
      </c>
      <c r="M214" s="81">
        <f>SUMIF('2.생활용수(채운)'!$C$5:$C$63,$C214,'2.생활용수(채운)'!$Q$5:$Q$63)</f>
        <v>0</v>
      </c>
      <c r="N214" s="81">
        <f>SUMIF('2.생활용수(강경)'!$C$5:$C$60,$C214,'2.생활용수(강경)'!$Q$5:$Q$60)</f>
        <v>0</v>
      </c>
      <c r="O214" s="81"/>
    </row>
    <row r="215" spans="1:15" ht="20.100000000000001" customHeight="1">
      <c r="A215" s="442" t="s">
        <v>705</v>
      </c>
      <c r="B215" s="442" t="s">
        <v>893</v>
      </c>
      <c r="C215" s="443" t="s">
        <v>2103</v>
      </c>
      <c r="D215" s="81">
        <f t="shared" si="4"/>
        <v>21</v>
      </c>
      <c r="E215" s="81">
        <f>SUMIF('2.생활용수(광석)'!$C$5:$C$56,C215,'2.생활용수(광석)'!$Q$5:$Q$56)</f>
        <v>0</v>
      </c>
      <c r="F215" s="81">
        <f>SUMIF('2.생활용수(성동)'!$C$5:$C$60,$C215,'2.생활용수(성동)'!$Q$5:$Q$60)</f>
        <v>0</v>
      </c>
      <c r="G215" s="81">
        <f>SUMIF('2.생활용수(봉화)'!$C$5:$C$18,$C215,'2.생활용수(봉화)'!$Q$5:$Q$18)</f>
        <v>0</v>
      </c>
      <c r="H215" s="81">
        <f>SUMIF('2.생활용수(논산)'!$C$5:$C$28,$C215,'2.생활용수(논산)'!$Q$5:$Q$28)</f>
        <v>0</v>
      </c>
      <c r="I215" s="81">
        <f>SUMIF('2.생활용수(연무)'!$C$5:$C$123,$C215,'2.생활용수(연무)'!$Q$5:$Q$123)</f>
        <v>0</v>
      </c>
      <c r="J215" s="81">
        <f>SUMIF('2.생활용수(마산)'!$C$5:$C$115,$C215,'2.생활용수(마산)'!$Q$5:$Q$115)</f>
        <v>0</v>
      </c>
      <c r="K215" s="81">
        <f>SUMIF('2.생활용수(부적)'!$C$5:$C$75,$C215,'2.생활용수(부적)'!$Q$5:$Q$75)</f>
        <v>21</v>
      </c>
      <c r="L215" s="81">
        <f>SUMIF('2.생활용수(연산)'!$C$5:$C$220,$C215,'2.생활용수(연산)'!$Q$5:$Q$220)</f>
        <v>0</v>
      </c>
      <c r="M215" s="81">
        <f>SUMIF('2.생활용수(채운)'!$C$5:$C$63,$C215,'2.생활용수(채운)'!$Q$5:$Q$63)</f>
        <v>0</v>
      </c>
      <c r="N215" s="81">
        <f>SUMIF('2.생활용수(강경)'!$C$5:$C$60,$C215,'2.생활용수(강경)'!$Q$5:$Q$60)</f>
        <v>0</v>
      </c>
      <c r="O215" s="81"/>
    </row>
    <row r="216" spans="1:15" ht="20.100000000000001" customHeight="1">
      <c r="A216" s="442" t="s">
        <v>705</v>
      </c>
      <c r="B216" s="442" t="s">
        <v>893</v>
      </c>
      <c r="C216" s="443" t="s">
        <v>2104</v>
      </c>
      <c r="D216" s="81">
        <f t="shared" si="4"/>
        <v>20</v>
      </c>
      <c r="E216" s="81">
        <f>SUMIF('2.생활용수(광석)'!$C$5:$C$56,C216,'2.생활용수(광석)'!$Q$5:$Q$56)</f>
        <v>0</v>
      </c>
      <c r="F216" s="81">
        <f>SUMIF('2.생활용수(성동)'!$C$5:$C$60,$C216,'2.생활용수(성동)'!$Q$5:$Q$60)</f>
        <v>0</v>
      </c>
      <c r="G216" s="81">
        <f>SUMIF('2.생활용수(봉화)'!$C$5:$C$18,$C216,'2.생활용수(봉화)'!$Q$5:$Q$18)</f>
        <v>0</v>
      </c>
      <c r="H216" s="81">
        <f>SUMIF('2.생활용수(논산)'!$C$5:$C$28,$C216,'2.생활용수(논산)'!$Q$5:$Q$28)</f>
        <v>0</v>
      </c>
      <c r="I216" s="81">
        <f>SUMIF('2.생활용수(연무)'!$C$5:$C$123,$C216,'2.생활용수(연무)'!$Q$5:$Q$123)</f>
        <v>0</v>
      </c>
      <c r="J216" s="81">
        <f>SUMIF('2.생활용수(마산)'!$C$5:$C$115,$C216,'2.생활용수(마산)'!$Q$5:$Q$115)</f>
        <v>0</v>
      </c>
      <c r="K216" s="81">
        <f>SUMIF('2.생활용수(부적)'!$C$5:$C$75,$C216,'2.생활용수(부적)'!$Q$5:$Q$75)</f>
        <v>20</v>
      </c>
      <c r="L216" s="81">
        <f>SUMIF('2.생활용수(연산)'!$C$5:$C$220,$C216,'2.생활용수(연산)'!$Q$5:$Q$220)</f>
        <v>0</v>
      </c>
      <c r="M216" s="81">
        <f>SUMIF('2.생활용수(채운)'!$C$5:$C$63,$C216,'2.생활용수(채운)'!$Q$5:$Q$63)</f>
        <v>0</v>
      </c>
      <c r="N216" s="81">
        <f>SUMIF('2.생활용수(강경)'!$C$5:$C$60,$C216,'2.생활용수(강경)'!$Q$5:$Q$60)</f>
        <v>0</v>
      </c>
      <c r="O216" s="81"/>
    </row>
    <row r="217" spans="1:15" ht="20.100000000000001" customHeight="1">
      <c r="A217" s="442" t="s">
        <v>705</v>
      </c>
      <c r="B217" s="442" t="s">
        <v>2105</v>
      </c>
      <c r="C217" s="443" t="s">
        <v>2106</v>
      </c>
      <c r="D217" s="81">
        <f t="shared" si="4"/>
        <v>33</v>
      </c>
      <c r="E217" s="81">
        <f>SUMIF('2.생활용수(광석)'!$C$5:$C$56,C217,'2.생활용수(광석)'!$Q$5:$Q$56)</f>
        <v>0</v>
      </c>
      <c r="F217" s="81">
        <f>SUMIF('2.생활용수(성동)'!$C$5:$C$60,$C217,'2.생활용수(성동)'!$Q$5:$Q$60)</f>
        <v>0</v>
      </c>
      <c r="G217" s="81">
        <f>SUMIF('2.생활용수(봉화)'!$C$5:$C$18,$C217,'2.생활용수(봉화)'!$Q$5:$Q$18)</f>
        <v>0</v>
      </c>
      <c r="H217" s="81">
        <f>SUMIF('2.생활용수(논산)'!$C$5:$C$28,$C217,'2.생활용수(논산)'!$Q$5:$Q$28)</f>
        <v>0</v>
      </c>
      <c r="I217" s="81">
        <f>SUMIF('2.생활용수(연무)'!$C$5:$C$123,$C217,'2.생활용수(연무)'!$Q$5:$Q$123)</f>
        <v>0</v>
      </c>
      <c r="J217" s="81">
        <f>SUMIF('2.생활용수(마산)'!$C$5:$C$115,$C217,'2.생활용수(마산)'!$Q$5:$Q$115)</f>
        <v>0</v>
      </c>
      <c r="K217" s="81">
        <f>SUMIF('2.생활용수(부적)'!$C$5:$C$75,$C217,'2.생활용수(부적)'!$Q$5:$Q$75)</f>
        <v>33</v>
      </c>
      <c r="L217" s="81">
        <f>SUMIF('2.생활용수(연산)'!$C$5:$C$220,$C217,'2.생활용수(연산)'!$Q$5:$Q$220)</f>
        <v>0</v>
      </c>
      <c r="M217" s="81">
        <f>SUMIF('2.생활용수(채운)'!$C$5:$C$63,$C217,'2.생활용수(채운)'!$Q$5:$Q$63)</f>
        <v>0</v>
      </c>
      <c r="N217" s="81">
        <f>SUMIF('2.생활용수(강경)'!$C$5:$C$60,$C217,'2.생활용수(강경)'!$Q$5:$Q$60)</f>
        <v>0</v>
      </c>
      <c r="O217" s="81"/>
    </row>
    <row r="218" spans="1:15" ht="20.100000000000001" customHeight="1">
      <c r="A218" s="442" t="s">
        <v>705</v>
      </c>
      <c r="B218" s="442" t="s">
        <v>2105</v>
      </c>
      <c r="C218" s="443" t="s">
        <v>2107</v>
      </c>
      <c r="D218" s="81">
        <f t="shared" si="4"/>
        <v>32</v>
      </c>
      <c r="E218" s="81">
        <f>SUMIF('2.생활용수(광석)'!$C$5:$C$56,C218,'2.생활용수(광석)'!$Q$5:$Q$56)</f>
        <v>0</v>
      </c>
      <c r="F218" s="81">
        <f>SUMIF('2.생활용수(성동)'!$C$5:$C$60,$C218,'2.생활용수(성동)'!$Q$5:$Q$60)</f>
        <v>0</v>
      </c>
      <c r="G218" s="81">
        <f>SUMIF('2.생활용수(봉화)'!$C$5:$C$18,$C218,'2.생활용수(봉화)'!$Q$5:$Q$18)</f>
        <v>0</v>
      </c>
      <c r="H218" s="81">
        <f>SUMIF('2.생활용수(논산)'!$C$5:$C$28,$C218,'2.생활용수(논산)'!$Q$5:$Q$28)</f>
        <v>0</v>
      </c>
      <c r="I218" s="81">
        <f>SUMIF('2.생활용수(연무)'!$C$5:$C$123,$C218,'2.생활용수(연무)'!$Q$5:$Q$123)</f>
        <v>0</v>
      </c>
      <c r="J218" s="81">
        <f>SUMIF('2.생활용수(마산)'!$C$5:$C$115,$C218,'2.생활용수(마산)'!$Q$5:$Q$115)</f>
        <v>0</v>
      </c>
      <c r="K218" s="81">
        <f>SUMIF('2.생활용수(부적)'!$C$5:$C$75,$C218,'2.생활용수(부적)'!$Q$5:$Q$75)</f>
        <v>32</v>
      </c>
      <c r="L218" s="81">
        <f>SUMIF('2.생활용수(연산)'!$C$5:$C$220,$C218,'2.생활용수(연산)'!$Q$5:$Q$220)</f>
        <v>0</v>
      </c>
      <c r="M218" s="81">
        <f>SUMIF('2.생활용수(채운)'!$C$5:$C$63,$C218,'2.생활용수(채운)'!$Q$5:$Q$63)</f>
        <v>0</v>
      </c>
      <c r="N218" s="81">
        <f>SUMIF('2.생활용수(강경)'!$C$5:$C$60,$C218,'2.생활용수(강경)'!$Q$5:$Q$60)</f>
        <v>0</v>
      </c>
      <c r="O218" s="81"/>
    </row>
    <row r="219" spans="1:15" ht="20.100000000000001" customHeight="1">
      <c r="A219" s="442" t="s">
        <v>705</v>
      </c>
      <c r="B219" s="442" t="s">
        <v>2105</v>
      </c>
      <c r="C219" s="443" t="s">
        <v>2108</v>
      </c>
      <c r="D219" s="81">
        <f t="shared" si="4"/>
        <v>25</v>
      </c>
      <c r="E219" s="81">
        <f>SUMIF('2.생활용수(광석)'!$C$5:$C$56,C219,'2.생활용수(광석)'!$Q$5:$Q$56)</f>
        <v>0</v>
      </c>
      <c r="F219" s="81">
        <f>SUMIF('2.생활용수(성동)'!$C$5:$C$60,$C219,'2.생활용수(성동)'!$Q$5:$Q$60)</f>
        <v>0</v>
      </c>
      <c r="G219" s="81">
        <f>SUMIF('2.생활용수(봉화)'!$C$5:$C$18,$C219,'2.생활용수(봉화)'!$Q$5:$Q$18)</f>
        <v>0</v>
      </c>
      <c r="H219" s="81">
        <f>SUMIF('2.생활용수(논산)'!$C$5:$C$28,$C219,'2.생활용수(논산)'!$Q$5:$Q$28)</f>
        <v>0</v>
      </c>
      <c r="I219" s="81">
        <f>SUMIF('2.생활용수(연무)'!$C$5:$C$123,$C219,'2.생활용수(연무)'!$Q$5:$Q$123)</f>
        <v>0</v>
      </c>
      <c r="J219" s="81">
        <f>SUMIF('2.생활용수(마산)'!$C$5:$C$115,$C219,'2.생활용수(마산)'!$Q$5:$Q$115)</f>
        <v>0</v>
      </c>
      <c r="K219" s="81">
        <f>SUMIF('2.생활용수(부적)'!$C$5:$C$75,$C219,'2.생활용수(부적)'!$Q$5:$Q$75)</f>
        <v>25</v>
      </c>
      <c r="L219" s="81">
        <f>SUMIF('2.생활용수(연산)'!$C$5:$C$220,$C219,'2.생활용수(연산)'!$Q$5:$Q$220)</f>
        <v>0</v>
      </c>
      <c r="M219" s="81">
        <f>SUMIF('2.생활용수(채운)'!$C$5:$C$63,$C219,'2.생활용수(채운)'!$Q$5:$Q$63)</f>
        <v>0</v>
      </c>
      <c r="N219" s="81">
        <f>SUMIF('2.생활용수(강경)'!$C$5:$C$60,$C219,'2.생활용수(강경)'!$Q$5:$Q$60)</f>
        <v>0</v>
      </c>
      <c r="O219" s="81"/>
    </row>
    <row r="220" spans="1:15" ht="20.100000000000001" customHeight="1">
      <c r="A220" s="442" t="s">
        <v>705</v>
      </c>
      <c r="B220" s="442" t="s">
        <v>2109</v>
      </c>
      <c r="C220" s="443" t="s">
        <v>2110</v>
      </c>
      <c r="D220" s="81">
        <f t="shared" si="4"/>
        <v>27</v>
      </c>
      <c r="E220" s="81">
        <f>SUMIF('2.생활용수(광석)'!$C$5:$C$56,C220,'2.생활용수(광석)'!$Q$5:$Q$56)</f>
        <v>0</v>
      </c>
      <c r="F220" s="81">
        <f>SUMIF('2.생활용수(성동)'!$C$5:$C$60,$C220,'2.생활용수(성동)'!$Q$5:$Q$60)</f>
        <v>0</v>
      </c>
      <c r="G220" s="81">
        <f>SUMIF('2.생활용수(봉화)'!$C$5:$C$18,$C220,'2.생활용수(봉화)'!$Q$5:$Q$18)</f>
        <v>0</v>
      </c>
      <c r="H220" s="81">
        <f>SUMIF('2.생활용수(논산)'!$C$5:$C$28,$C220,'2.생활용수(논산)'!$Q$5:$Q$28)</f>
        <v>0</v>
      </c>
      <c r="I220" s="81">
        <f>SUMIF('2.생활용수(연무)'!$C$5:$C$123,$C220,'2.생활용수(연무)'!$Q$5:$Q$123)</f>
        <v>0</v>
      </c>
      <c r="J220" s="81">
        <f>SUMIF('2.생활용수(마산)'!$C$5:$C$115,$C220,'2.생활용수(마산)'!$Q$5:$Q$115)</f>
        <v>0</v>
      </c>
      <c r="K220" s="81">
        <f>SUMIF('2.생활용수(부적)'!$C$5:$C$75,$C220,'2.생활용수(부적)'!$Q$5:$Q$75)</f>
        <v>27</v>
      </c>
      <c r="L220" s="81">
        <f>SUMIF('2.생활용수(연산)'!$C$5:$C$220,$C220,'2.생활용수(연산)'!$Q$5:$Q$220)</f>
        <v>0</v>
      </c>
      <c r="M220" s="81">
        <f>SUMIF('2.생활용수(채운)'!$C$5:$C$63,$C220,'2.생활용수(채운)'!$Q$5:$Q$63)</f>
        <v>0</v>
      </c>
      <c r="N220" s="81">
        <f>SUMIF('2.생활용수(강경)'!$C$5:$C$60,$C220,'2.생활용수(강경)'!$Q$5:$Q$60)</f>
        <v>0</v>
      </c>
      <c r="O220" s="81"/>
    </row>
    <row r="221" spans="1:15" ht="20.100000000000001" customHeight="1">
      <c r="A221" s="442" t="s">
        <v>705</v>
      </c>
      <c r="B221" s="442" t="s">
        <v>2109</v>
      </c>
      <c r="C221" s="443" t="s">
        <v>2111</v>
      </c>
      <c r="D221" s="81">
        <f t="shared" si="4"/>
        <v>52</v>
      </c>
      <c r="E221" s="81">
        <f>SUMIF('2.생활용수(광석)'!$C$5:$C$56,C221,'2.생활용수(광석)'!$Q$5:$Q$56)</f>
        <v>0</v>
      </c>
      <c r="F221" s="81">
        <f>SUMIF('2.생활용수(성동)'!$C$5:$C$60,$C221,'2.생활용수(성동)'!$Q$5:$Q$60)</f>
        <v>0</v>
      </c>
      <c r="G221" s="81">
        <f>SUMIF('2.생활용수(봉화)'!$C$5:$C$18,$C221,'2.생활용수(봉화)'!$Q$5:$Q$18)</f>
        <v>0</v>
      </c>
      <c r="H221" s="81">
        <f>SUMIF('2.생활용수(논산)'!$C$5:$C$28,$C221,'2.생활용수(논산)'!$Q$5:$Q$28)</f>
        <v>0</v>
      </c>
      <c r="I221" s="81">
        <f>SUMIF('2.생활용수(연무)'!$C$5:$C$123,$C221,'2.생활용수(연무)'!$Q$5:$Q$123)</f>
        <v>0</v>
      </c>
      <c r="J221" s="81">
        <f>SUMIF('2.생활용수(마산)'!$C$5:$C$115,$C221,'2.생활용수(마산)'!$Q$5:$Q$115)</f>
        <v>0</v>
      </c>
      <c r="K221" s="81">
        <f>SUMIF('2.생활용수(부적)'!$C$5:$C$75,$C221,'2.생활용수(부적)'!$Q$5:$Q$75)</f>
        <v>52</v>
      </c>
      <c r="L221" s="81">
        <f>SUMIF('2.생활용수(연산)'!$C$5:$C$220,$C221,'2.생활용수(연산)'!$Q$5:$Q$220)</f>
        <v>0</v>
      </c>
      <c r="M221" s="81">
        <f>SUMIF('2.생활용수(채운)'!$C$5:$C$63,$C221,'2.생활용수(채운)'!$Q$5:$Q$63)</f>
        <v>0</v>
      </c>
      <c r="N221" s="81">
        <f>SUMIF('2.생활용수(강경)'!$C$5:$C$60,$C221,'2.생활용수(강경)'!$Q$5:$Q$60)</f>
        <v>0</v>
      </c>
      <c r="O221" s="81"/>
    </row>
    <row r="222" spans="1:15" ht="20.100000000000001" customHeight="1">
      <c r="A222" s="442" t="s">
        <v>705</v>
      </c>
      <c r="B222" s="442" t="s">
        <v>896</v>
      </c>
      <c r="C222" s="443" t="s">
        <v>2112</v>
      </c>
      <c r="D222" s="81">
        <f t="shared" si="4"/>
        <v>27</v>
      </c>
      <c r="E222" s="81">
        <f>SUMIF('2.생활용수(광석)'!$C$5:$C$56,C222,'2.생활용수(광석)'!$Q$5:$Q$56)</f>
        <v>0</v>
      </c>
      <c r="F222" s="81">
        <f>SUMIF('2.생활용수(성동)'!$C$5:$C$60,$C222,'2.생활용수(성동)'!$Q$5:$Q$60)</f>
        <v>0</v>
      </c>
      <c r="G222" s="81">
        <f>SUMIF('2.생활용수(봉화)'!$C$5:$C$18,$C222,'2.생활용수(봉화)'!$Q$5:$Q$18)</f>
        <v>0</v>
      </c>
      <c r="H222" s="81">
        <f>SUMIF('2.생활용수(논산)'!$C$5:$C$28,$C222,'2.생활용수(논산)'!$Q$5:$Q$28)</f>
        <v>0</v>
      </c>
      <c r="I222" s="81">
        <f>SUMIF('2.생활용수(연무)'!$C$5:$C$123,$C222,'2.생활용수(연무)'!$Q$5:$Q$123)</f>
        <v>0</v>
      </c>
      <c r="J222" s="81">
        <f>SUMIF('2.생활용수(마산)'!$C$5:$C$115,$C222,'2.생활용수(마산)'!$Q$5:$Q$115)</f>
        <v>0</v>
      </c>
      <c r="K222" s="81">
        <f>SUMIF('2.생활용수(부적)'!$C$5:$C$75,$C222,'2.생활용수(부적)'!$Q$5:$Q$75)</f>
        <v>27</v>
      </c>
      <c r="L222" s="81">
        <f>SUMIF('2.생활용수(연산)'!$C$5:$C$220,$C222,'2.생활용수(연산)'!$Q$5:$Q$220)</f>
        <v>0</v>
      </c>
      <c r="M222" s="81">
        <f>SUMIF('2.생활용수(채운)'!$C$5:$C$63,$C222,'2.생활용수(채운)'!$Q$5:$Q$63)</f>
        <v>0</v>
      </c>
      <c r="N222" s="81">
        <f>SUMIF('2.생활용수(강경)'!$C$5:$C$60,$C222,'2.생활용수(강경)'!$Q$5:$Q$60)</f>
        <v>0</v>
      </c>
      <c r="O222" s="81"/>
    </row>
    <row r="223" spans="1:15" ht="20.100000000000001" customHeight="1">
      <c r="A223" s="442" t="s">
        <v>705</v>
      </c>
      <c r="B223" s="442" t="s">
        <v>896</v>
      </c>
      <c r="C223" s="443" t="s">
        <v>2113</v>
      </c>
      <c r="D223" s="81">
        <f t="shared" si="4"/>
        <v>42</v>
      </c>
      <c r="E223" s="81">
        <f>SUMIF('2.생활용수(광석)'!$C$5:$C$56,C223,'2.생활용수(광석)'!$Q$5:$Q$56)</f>
        <v>0</v>
      </c>
      <c r="F223" s="81">
        <f>SUMIF('2.생활용수(성동)'!$C$5:$C$60,$C223,'2.생활용수(성동)'!$Q$5:$Q$60)</f>
        <v>0</v>
      </c>
      <c r="G223" s="81">
        <f>SUMIF('2.생활용수(봉화)'!$C$5:$C$18,$C223,'2.생활용수(봉화)'!$Q$5:$Q$18)</f>
        <v>0</v>
      </c>
      <c r="H223" s="81">
        <f>SUMIF('2.생활용수(논산)'!$C$5:$C$28,$C223,'2.생활용수(논산)'!$Q$5:$Q$28)</f>
        <v>0</v>
      </c>
      <c r="I223" s="81">
        <f>SUMIF('2.생활용수(연무)'!$C$5:$C$123,$C223,'2.생활용수(연무)'!$Q$5:$Q$123)</f>
        <v>0</v>
      </c>
      <c r="J223" s="81">
        <f>SUMIF('2.생활용수(마산)'!$C$5:$C$115,$C223,'2.생활용수(마산)'!$Q$5:$Q$115)</f>
        <v>0</v>
      </c>
      <c r="K223" s="81">
        <f>SUMIF('2.생활용수(부적)'!$C$5:$C$75,$C223,'2.생활용수(부적)'!$Q$5:$Q$75)</f>
        <v>42</v>
      </c>
      <c r="L223" s="81">
        <f>SUMIF('2.생활용수(연산)'!$C$5:$C$220,$C223,'2.생활용수(연산)'!$Q$5:$Q$220)</f>
        <v>0</v>
      </c>
      <c r="M223" s="81">
        <f>SUMIF('2.생활용수(채운)'!$C$5:$C$63,$C223,'2.생활용수(채운)'!$Q$5:$Q$63)</f>
        <v>0</v>
      </c>
      <c r="N223" s="81">
        <f>SUMIF('2.생활용수(강경)'!$C$5:$C$60,$C223,'2.생활용수(강경)'!$Q$5:$Q$60)</f>
        <v>0</v>
      </c>
      <c r="O223" s="81"/>
    </row>
    <row r="224" spans="1:15" ht="20.100000000000001" customHeight="1">
      <c r="A224" s="442" t="s">
        <v>705</v>
      </c>
      <c r="B224" s="442" t="s">
        <v>897</v>
      </c>
      <c r="C224" s="443" t="s">
        <v>2114</v>
      </c>
      <c r="D224" s="81">
        <f t="shared" si="4"/>
        <v>0</v>
      </c>
      <c r="E224" s="81">
        <f>SUMIF('2.생활용수(광석)'!$C$5:$C$56,C224,'2.생활용수(광석)'!$Q$5:$Q$56)</f>
        <v>0</v>
      </c>
      <c r="F224" s="81">
        <f>SUMIF('2.생활용수(성동)'!$C$5:$C$60,$C224,'2.생활용수(성동)'!$Q$5:$Q$60)</f>
        <v>0</v>
      </c>
      <c r="G224" s="81">
        <f>SUMIF('2.생활용수(봉화)'!$C$5:$C$18,$C224,'2.생활용수(봉화)'!$Q$5:$Q$18)</f>
        <v>0</v>
      </c>
      <c r="H224" s="81">
        <f>SUMIF('2.생활용수(논산)'!$C$5:$C$28,$C224,'2.생활용수(논산)'!$Q$5:$Q$28)</f>
        <v>0</v>
      </c>
      <c r="I224" s="81">
        <f>SUMIF('2.생활용수(연무)'!$C$5:$C$123,$C224,'2.생활용수(연무)'!$Q$5:$Q$123)</f>
        <v>0</v>
      </c>
      <c r="J224" s="81">
        <f>SUMIF('2.생활용수(마산)'!$C$5:$C$115,$C224,'2.생활용수(마산)'!$Q$5:$Q$115)</f>
        <v>0</v>
      </c>
      <c r="K224" s="81">
        <f>SUMIF('2.생활용수(부적)'!$C$5:$C$75,$C224,'2.생활용수(부적)'!$Q$5:$Q$75)</f>
        <v>0</v>
      </c>
      <c r="L224" s="81">
        <f>SUMIF('2.생활용수(연산)'!$C$5:$C$220,$C224,'2.생활용수(연산)'!$Q$5:$Q$220)</f>
        <v>0</v>
      </c>
      <c r="M224" s="81">
        <f>SUMIF('2.생활용수(채운)'!$C$5:$C$63,$C224,'2.생활용수(채운)'!$Q$5:$Q$63)</f>
        <v>0</v>
      </c>
      <c r="N224" s="81">
        <f>SUMIF('2.생활용수(강경)'!$C$5:$C$60,$C224,'2.생활용수(강경)'!$Q$5:$Q$60)</f>
        <v>0</v>
      </c>
      <c r="O224" s="81"/>
    </row>
    <row r="225" spans="1:15" ht="20.100000000000001" customHeight="1">
      <c r="A225" s="442" t="s">
        <v>705</v>
      </c>
      <c r="B225" s="442" t="s">
        <v>898</v>
      </c>
      <c r="C225" s="443" t="s">
        <v>2115</v>
      </c>
      <c r="D225" s="81">
        <f t="shared" si="4"/>
        <v>16</v>
      </c>
      <c r="E225" s="81">
        <f>SUMIF('2.생활용수(광석)'!$C$5:$C$56,C225,'2.생활용수(광석)'!$Q$5:$Q$56)</f>
        <v>0</v>
      </c>
      <c r="F225" s="81">
        <f>SUMIF('2.생활용수(성동)'!$C$5:$C$60,$C225,'2.생활용수(성동)'!$Q$5:$Q$60)</f>
        <v>0</v>
      </c>
      <c r="G225" s="81">
        <f>SUMIF('2.생활용수(봉화)'!$C$5:$C$18,$C225,'2.생활용수(봉화)'!$Q$5:$Q$18)</f>
        <v>0</v>
      </c>
      <c r="H225" s="81">
        <f>SUMIF('2.생활용수(논산)'!$C$5:$C$28,$C225,'2.생활용수(논산)'!$Q$5:$Q$28)</f>
        <v>0</v>
      </c>
      <c r="I225" s="81">
        <f>SUMIF('2.생활용수(연무)'!$C$5:$C$123,$C225,'2.생활용수(연무)'!$Q$5:$Q$123)</f>
        <v>0</v>
      </c>
      <c r="J225" s="81">
        <f>SUMIF('2.생활용수(마산)'!$C$5:$C$115,$C225,'2.생활용수(마산)'!$Q$5:$Q$115)</f>
        <v>0</v>
      </c>
      <c r="K225" s="81">
        <f>SUMIF('2.생활용수(부적)'!$C$5:$C$75,$C225,'2.생활용수(부적)'!$Q$5:$Q$75)</f>
        <v>16</v>
      </c>
      <c r="L225" s="81">
        <f>SUMIF('2.생활용수(연산)'!$C$5:$C$220,$C225,'2.생활용수(연산)'!$Q$5:$Q$220)</f>
        <v>0</v>
      </c>
      <c r="M225" s="81">
        <f>SUMIF('2.생활용수(채운)'!$C$5:$C$63,$C225,'2.생활용수(채운)'!$Q$5:$Q$63)</f>
        <v>0</v>
      </c>
      <c r="N225" s="81">
        <f>SUMIF('2.생활용수(강경)'!$C$5:$C$60,$C225,'2.생활용수(강경)'!$Q$5:$Q$60)</f>
        <v>0</v>
      </c>
      <c r="O225" s="81"/>
    </row>
    <row r="226" spans="1:15" ht="20.100000000000001" customHeight="1">
      <c r="A226" s="442" t="s">
        <v>705</v>
      </c>
      <c r="B226" s="442" t="s">
        <v>898</v>
      </c>
      <c r="C226" s="443" t="s">
        <v>2116</v>
      </c>
      <c r="D226" s="81">
        <f t="shared" si="4"/>
        <v>23</v>
      </c>
      <c r="E226" s="81">
        <f>SUMIF('2.생활용수(광석)'!$C$5:$C$56,C226,'2.생활용수(광석)'!$Q$5:$Q$56)</f>
        <v>0</v>
      </c>
      <c r="F226" s="81">
        <f>SUMIF('2.생활용수(성동)'!$C$5:$C$60,$C226,'2.생활용수(성동)'!$Q$5:$Q$60)</f>
        <v>0</v>
      </c>
      <c r="G226" s="81">
        <f>SUMIF('2.생활용수(봉화)'!$C$5:$C$18,$C226,'2.생활용수(봉화)'!$Q$5:$Q$18)</f>
        <v>0</v>
      </c>
      <c r="H226" s="81">
        <f>SUMIF('2.생활용수(논산)'!$C$5:$C$28,$C226,'2.생활용수(논산)'!$Q$5:$Q$28)</f>
        <v>0</v>
      </c>
      <c r="I226" s="81">
        <f>SUMIF('2.생활용수(연무)'!$C$5:$C$123,$C226,'2.생활용수(연무)'!$Q$5:$Q$123)</f>
        <v>0</v>
      </c>
      <c r="J226" s="81">
        <f>SUMIF('2.생활용수(마산)'!$C$5:$C$115,$C226,'2.생활용수(마산)'!$Q$5:$Q$115)</f>
        <v>0</v>
      </c>
      <c r="K226" s="81">
        <f>SUMIF('2.생활용수(부적)'!$C$5:$C$75,$C226,'2.생활용수(부적)'!$Q$5:$Q$75)</f>
        <v>23</v>
      </c>
      <c r="L226" s="81">
        <f>SUMIF('2.생활용수(연산)'!$C$5:$C$220,$C226,'2.생활용수(연산)'!$Q$5:$Q$220)</f>
        <v>0</v>
      </c>
      <c r="M226" s="81">
        <f>SUMIF('2.생활용수(채운)'!$C$5:$C$63,$C226,'2.생활용수(채운)'!$Q$5:$Q$63)</f>
        <v>0</v>
      </c>
      <c r="N226" s="81">
        <f>SUMIF('2.생활용수(강경)'!$C$5:$C$60,$C226,'2.생활용수(강경)'!$Q$5:$Q$60)</f>
        <v>0</v>
      </c>
      <c r="O226" s="81"/>
    </row>
    <row r="227" spans="1:15" ht="20.100000000000001" customHeight="1">
      <c r="A227" s="442" t="s">
        <v>705</v>
      </c>
      <c r="B227" s="442" t="s">
        <v>898</v>
      </c>
      <c r="C227" s="443" t="s">
        <v>2117</v>
      </c>
      <c r="D227" s="81">
        <f t="shared" si="4"/>
        <v>16</v>
      </c>
      <c r="E227" s="81">
        <f>SUMIF('2.생활용수(광석)'!$C$5:$C$56,C227,'2.생활용수(광석)'!$Q$5:$Q$56)</f>
        <v>0</v>
      </c>
      <c r="F227" s="81">
        <f>SUMIF('2.생활용수(성동)'!$C$5:$C$60,$C227,'2.생활용수(성동)'!$Q$5:$Q$60)</f>
        <v>0</v>
      </c>
      <c r="G227" s="81">
        <f>SUMIF('2.생활용수(봉화)'!$C$5:$C$18,$C227,'2.생활용수(봉화)'!$Q$5:$Q$18)</f>
        <v>0</v>
      </c>
      <c r="H227" s="81">
        <f>SUMIF('2.생활용수(논산)'!$C$5:$C$28,$C227,'2.생활용수(논산)'!$Q$5:$Q$28)</f>
        <v>0</v>
      </c>
      <c r="I227" s="81">
        <f>SUMIF('2.생활용수(연무)'!$C$5:$C$123,$C227,'2.생활용수(연무)'!$Q$5:$Q$123)</f>
        <v>0</v>
      </c>
      <c r="J227" s="81">
        <f>SUMIF('2.생활용수(마산)'!$C$5:$C$115,$C227,'2.생활용수(마산)'!$Q$5:$Q$115)</f>
        <v>0</v>
      </c>
      <c r="K227" s="81">
        <f>SUMIF('2.생활용수(부적)'!$C$5:$C$75,$C227,'2.생활용수(부적)'!$Q$5:$Q$75)</f>
        <v>16</v>
      </c>
      <c r="L227" s="81">
        <f>SUMIF('2.생활용수(연산)'!$C$5:$C$220,$C227,'2.생활용수(연산)'!$Q$5:$Q$220)</f>
        <v>0</v>
      </c>
      <c r="M227" s="81">
        <f>SUMIF('2.생활용수(채운)'!$C$5:$C$63,$C227,'2.생활용수(채운)'!$Q$5:$Q$63)</f>
        <v>0</v>
      </c>
      <c r="N227" s="81">
        <f>SUMIF('2.생활용수(강경)'!$C$5:$C$60,$C227,'2.생활용수(강경)'!$Q$5:$Q$60)</f>
        <v>0</v>
      </c>
      <c r="O227" s="81"/>
    </row>
    <row r="228" spans="1:15" ht="20.100000000000001" customHeight="1">
      <c r="A228" s="442" t="s">
        <v>705</v>
      </c>
      <c r="B228" s="442" t="s">
        <v>899</v>
      </c>
      <c r="C228" s="443" t="s">
        <v>2118</v>
      </c>
      <c r="D228" s="81">
        <f t="shared" si="4"/>
        <v>28</v>
      </c>
      <c r="E228" s="81">
        <f>SUMIF('2.생활용수(광석)'!$C$5:$C$56,C228,'2.생활용수(광석)'!$Q$5:$Q$56)</f>
        <v>0</v>
      </c>
      <c r="F228" s="81">
        <f>SUMIF('2.생활용수(성동)'!$C$5:$C$60,$C228,'2.생활용수(성동)'!$Q$5:$Q$60)</f>
        <v>0</v>
      </c>
      <c r="G228" s="81">
        <f>SUMIF('2.생활용수(봉화)'!$C$5:$C$18,$C228,'2.생활용수(봉화)'!$Q$5:$Q$18)</f>
        <v>0</v>
      </c>
      <c r="H228" s="81">
        <f>SUMIF('2.생활용수(논산)'!$C$5:$C$28,$C228,'2.생활용수(논산)'!$Q$5:$Q$28)</f>
        <v>0</v>
      </c>
      <c r="I228" s="81">
        <f>SUMIF('2.생활용수(연무)'!$C$5:$C$123,$C228,'2.생활용수(연무)'!$Q$5:$Q$123)</f>
        <v>0</v>
      </c>
      <c r="J228" s="81">
        <f>SUMIF('2.생활용수(마산)'!$C$5:$C$115,$C228,'2.생활용수(마산)'!$Q$5:$Q$115)</f>
        <v>0</v>
      </c>
      <c r="K228" s="81">
        <f>SUMIF('2.생활용수(부적)'!$C$5:$C$75,$C228,'2.생활용수(부적)'!$Q$5:$Q$75)</f>
        <v>28</v>
      </c>
      <c r="L228" s="81">
        <f>SUMIF('2.생활용수(연산)'!$C$5:$C$220,$C228,'2.생활용수(연산)'!$Q$5:$Q$220)</f>
        <v>0</v>
      </c>
      <c r="M228" s="81">
        <f>SUMIF('2.생활용수(채운)'!$C$5:$C$63,$C228,'2.생활용수(채운)'!$Q$5:$Q$63)</f>
        <v>0</v>
      </c>
      <c r="N228" s="81">
        <f>SUMIF('2.생활용수(강경)'!$C$5:$C$60,$C228,'2.생활용수(강경)'!$Q$5:$Q$60)</f>
        <v>0</v>
      </c>
      <c r="O228" s="81"/>
    </row>
    <row r="229" spans="1:15" ht="20.100000000000001" customHeight="1">
      <c r="A229" s="442" t="s">
        <v>705</v>
      </c>
      <c r="B229" s="442" t="s">
        <v>899</v>
      </c>
      <c r="C229" s="443" t="s">
        <v>2119</v>
      </c>
      <c r="D229" s="81">
        <f t="shared" si="4"/>
        <v>33</v>
      </c>
      <c r="E229" s="81">
        <f>SUMIF('2.생활용수(광석)'!$C$5:$C$56,C229,'2.생활용수(광석)'!$Q$5:$Q$56)</f>
        <v>0</v>
      </c>
      <c r="F229" s="81">
        <f>SUMIF('2.생활용수(성동)'!$C$5:$C$60,$C229,'2.생활용수(성동)'!$Q$5:$Q$60)</f>
        <v>0</v>
      </c>
      <c r="G229" s="81">
        <f>SUMIF('2.생활용수(봉화)'!$C$5:$C$18,$C229,'2.생활용수(봉화)'!$Q$5:$Q$18)</f>
        <v>0</v>
      </c>
      <c r="H229" s="81">
        <f>SUMIF('2.생활용수(논산)'!$C$5:$C$28,$C229,'2.생활용수(논산)'!$Q$5:$Q$28)</f>
        <v>0</v>
      </c>
      <c r="I229" s="81">
        <f>SUMIF('2.생활용수(연무)'!$C$5:$C$123,$C229,'2.생활용수(연무)'!$Q$5:$Q$123)</f>
        <v>0</v>
      </c>
      <c r="J229" s="81">
        <f>SUMIF('2.생활용수(마산)'!$C$5:$C$115,$C229,'2.생활용수(마산)'!$Q$5:$Q$115)</f>
        <v>0</v>
      </c>
      <c r="K229" s="81">
        <f>SUMIF('2.생활용수(부적)'!$C$5:$C$75,$C229,'2.생활용수(부적)'!$Q$5:$Q$75)</f>
        <v>33</v>
      </c>
      <c r="L229" s="81">
        <f>SUMIF('2.생활용수(연산)'!$C$5:$C$220,$C229,'2.생활용수(연산)'!$Q$5:$Q$220)</f>
        <v>0</v>
      </c>
      <c r="M229" s="81">
        <f>SUMIF('2.생활용수(채운)'!$C$5:$C$63,$C229,'2.생활용수(채운)'!$Q$5:$Q$63)</f>
        <v>0</v>
      </c>
      <c r="N229" s="81">
        <f>SUMIF('2.생활용수(강경)'!$C$5:$C$60,$C229,'2.생활용수(강경)'!$Q$5:$Q$60)</f>
        <v>0</v>
      </c>
      <c r="O229" s="81"/>
    </row>
    <row r="230" spans="1:15" ht="20.100000000000001" customHeight="1">
      <c r="A230" s="442" t="s">
        <v>705</v>
      </c>
      <c r="B230" s="442" t="s">
        <v>899</v>
      </c>
      <c r="C230" s="443" t="s">
        <v>2120</v>
      </c>
      <c r="D230" s="81">
        <f t="shared" si="4"/>
        <v>20</v>
      </c>
      <c r="E230" s="81">
        <f>SUMIF('2.생활용수(광석)'!$C$5:$C$56,C230,'2.생활용수(광석)'!$Q$5:$Q$56)</f>
        <v>0</v>
      </c>
      <c r="F230" s="81">
        <f>SUMIF('2.생활용수(성동)'!$C$5:$C$60,$C230,'2.생활용수(성동)'!$Q$5:$Q$60)</f>
        <v>0</v>
      </c>
      <c r="G230" s="81">
        <f>SUMIF('2.생활용수(봉화)'!$C$5:$C$18,$C230,'2.생활용수(봉화)'!$Q$5:$Q$18)</f>
        <v>0</v>
      </c>
      <c r="H230" s="81">
        <f>SUMIF('2.생활용수(논산)'!$C$5:$C$28,$C230,'2.생활용수(논산)'!$Q$5:$Q$28)</f>
        <v>0</v>
      </c>
      <c r="I230" s="81">
        <f>SUMIF('2.생활용수(연무)'!$C$5:$C$123,$C230,'2.생활용수(연무)'!$Q$5:$Q$123)</f>
        <v>0</v>
      </c>
      <c r="J230" s="81">
        <f>SUMIF('2.생활용수(마산)'!$C$5:$C$115,$C230,'2.생활용수(마산)'!$Q$5:$Q$115)</f>
        <v>0</v>
      </c>
      <c r="K230" s="81">
        <f>SUMIF('2.생활용수(부적)'!$C$5:$C$75,$C230,'2.생활용수(부적)'!$Q$5:$Q$75)</f>
        <v>20</v>
      </c>
      <c r="L230" s="81">
        <f>SUMIF('2.생활용수(연산)'!$C$5:$C$220,$C230,'2.생활용수(연산)'!$Q$5:$Q$220)</f>
        <v>0</v>
      </c>
      <c r="M230" s="81">
        <f>SUMIF('2.생활용수(채운)'!$C$5:$C$63,$C230,'2.생활용수(채운)'!$Q$5:$Q$63)</f>
        <v>0</v>
      </c>
      <c r="N230" s="81">
        <f>SUMIF('2.생활용수(강경)'!$C$5:$C$60,$C230,'2.생활용수(강경)'!$Q$5:$Q$60)</f>
        <v>0</v>
      </c>
      <c r="O230" s="81"/>
    </row>
    <row r="231" spans="1:15" ht="20.100000000000001" customHeight="1">
      <c r="A231" s="442" t="s">
        <v>705</v>
      </c>
      <c r="B231" s="442" t="s">
        <v>900</v>
      </c>
      <c r="C231" s="443" t="s">
        <v>2121</v>
      </c>
      <c r="D231" s="81">
        <f t="shared" si="4"/>
        <v>34</v>
      </c>
      <c r="E231" s="81">
        <f>SUMIF('2.생활용수(광석)'!$C$5:$C$56,C231,'2.생활용수(광석)'!$Q$5:$Q$56)</f>
        <v>0</v>
      </c>
      <c r="F231" s="81">
        <f>SUMIF('2.생활용수(성동)'!$C$5:$C$60,$C231,'2.생활용수(성동)'!$Q$5:$Q$60)</f>
        <v>0</v>
      </c>
      <c r="G231" s="81">
        <f>SUMIF('2.생활용수(봉화)'!$C$5:$C$18,$C231,'2.생활용수(봉화)'!$Q$5:$Q$18)</f>
        <v>0</v>
      </c>
      <c r="H231" s="81">
        <f>SUMIF('2.생활용수(논산)'!$C$5:$C$28,$C231,'2.생활용수(논산)'!$Q$5:$Q$28)</f>
        <v>0</v>
      </c>
      <c r="I231" s="81">
        <f>SUMIF('2.생활용수(연무)'!$C$5:$C$123,$C231,'2.생활용수(연무)'!$Q$5:$Q$123)</f>
        <v>0</v>
      </c>
      <c r="J231" s="81">
        <f>SUMIF('2.생활용수(마산)'!$C$5:$C$115,$C231,'2.생활용수(마산)'!$Q$5:$Q$115)</f>
        <v>0</v>
      </c>
      <c r="K231" s="81">
        <f>SUMIF('2.생활용수(부적)'!$C$5:$C$75,$C231,'2.생활용수(부적)'!$Q$5:$Q$75)</f>
        <v>34</v>
      </c>
      <c r="L231" s="81">
        <f>SUMIF('2.생활용수(연산)'!$C$5:$C$220,$C231,'2.생활용수(연산)'!$Q$5:$Q$220)</f>
        <v>0</v>
      </c>
      <c r="M231" s="81">
        <f>SUMIF('2.생활용수(채운)'!$C$5:$C$63,$C231,'2.생활용수(채운)'!$Q$5:$Q$63)</f>
        <v>0</v>
      </c>
      <c r="N231" s="81">
        <f>SUMIF('2.생활용수(강경)'!$C$5:$C$60,$C231,'2.생활용수(강경)'!$Q$5:$Q$60)</f>
        <v>0</v>
      </c>
      <c r="O231" s="81"/>
    </row>
    <row r="232" spans="1:15" ht="20.100000000000001" customHeight="1">
      <c r="A232" s="442" t="s">
        <v>705</v>
      </c>
      <c r="B232" s="442" t="s">
        <v>900</v>
      </c>
      <c r="C232" s="443" t="s">
        <v>2122</v>
      </c>
      <c r="D232" s="81">
        <f t="shared" si="4"/>
        <v>64</v>
      </c>
      <c r="E232" s="81">
        <f>SUMIF('2.생활용수(광석)'!$C$5:$C$56,C232,'2.생활용수(광석)'!$Q$5:$Q$56)</f>
        <v>0</v>
      </c>
      <c r="F232" s="81">
        <f>SUMIF('2.생활용수(성동)'!$C$5:$C$60,$C232,'2.생활용수(성동)'!$Q$5:$Q$60)</f>
        <v>0</v>
      </c>
      <c r="G232" s="81">
        <f>SUMIF('2.생활용수(봉화)'!$C$5:$C$18,$C232,'2.생활용수(봉화)'!$Q$5:$Q$18)</f>
        <v>0</v>
      </c>
      <c r="H232" s="81">
        <f>SUMIF('2.생활용수(논산)'!$C$5:$C$28,$C232,'2.생활용수(논산)'!$Q$5:$Q$28)</f>
        <v>0</v>
      </c>
      <c r="I232" s="81">
        <f>SUMIF('2.생활용수(연무)'!$C$5:$C$123,$C232,'2.생활용수(연무)'!$Q$5:$Q$123)</f>
        <v>0</v>
      </c>
      <c r="J232" s="81">
        <f>SUMIF('2.생활용수(마산)'!$C$5:$C$115,$C232,'2.생활용수(마산)'!$Q$5:$Q$115)</f>
        <v>0</v>
      </c>
      <c r="K232" s="81">
        <f>SUMIF('2.생활용수(부적)'!$C$5:$C$75,$C232,'2.생활용수(부적)'!$Q$5:$Q$75)</f>
        <v>64</v>
      </c>
      <c r="L232" s="81">
        <f>SUMIF('2.생활용수(연산)'!$C$5:$C$220,$C232,'2.생활용수(연산)'!$Q$5:$Q$220)</f>
        <v>0</v>
      </c>
      <c r="M232" s="81">
        <f>SUMIF('2.생활용수(채운)'!$C$5:$C$63,$C232,'2.생활용수(채운)'!$Q$5:$Q$63)</f>
        <v>0</v>
      </c>
      <c r="N232" s="81">
        <f>SUMIF('2.생활용수(강경)'!$C$5:$C$60,$C232,'2.생활용수(강경)'!$Q$5:$Q$60)</f>
        <v>0</v>
      </c>
      <c r="O232" s="81"/>
    </row>
    <row r="233" spans="1:15" ht="20.100000000000001" customHeight="1">
      <c r="A233" s="442" t="s">
        <v>705</v>
      </c>
      <c r="B233" s="442" t="s">
        <v>900</v>
      </c>
      <c r="C233" s="443" t="s">
        <v>2123</v>
      </c>
      <c r="D233" s="81">
        <f t="shared" si="4"/>
        <v>25</v>
      </c>
      <c r="E233" s="81">
        <f>SUMIF('2.생활용수(광석)'!$C$5:$C$56,C233,'2.생활용수(광석)'!$Q$5:$Q$56)</f>
        <v>0</v>
      </c>
      <c r="F233" s="81">
        <f>SUMIF('2.생활용수(성동)'!$C$5:$C$60,$C233,'2.생활용수(성동)'!$Q$5:$Q$60)</f>
        <v>0</v>
      </c>
      <c r="G233" s="81">
        <f>SUMIF('2.생활용수(봉화)'!$C$5:$C$18,$C233,'2.생활용수(봉화)'!$Q$5:$Q$18)</f>
        <v>0</v>
      </c>
      <c r="H233" s="81">
        <f>SUMIF('2.생활용수(논산)'!$C$5:$C$28,$C233,'2.생활용수(논산)'!$Q$5:$Q$28)</f>
        <v>0</v>
      </c>
      <c r="I233" s="81">
        <f>SUMIF('2.생활용수(연무)'!$C$5:$C$123,$C233,'2.생활용수(연무)'!$Q$5:$Q$123)</f>
        <v>0</v>
      </c>
      <c r="J233" s="81">
        <f>SUMIF('2.생활용수(마산)'!$C$5:$C$115,$C233,'2.생활용수(마산)'!$Q$5:$Q$115)</f>
        <v>0</v>
      </c>
      <c r="K233" s="81">
        <f>SUMIF('2.생활용수(부적)'!$C$5:$C$75,$C233,'2.생활용수(부적)'!$Q$5:$Q$75)</f>
        <v>25</v>
      </c>
      <c r="L233" s="81">
        <f>SUMIF('2.생활용수(연산)'!$C$5:$C$220,$C233,'2.생활용수(연산)'!$Q$5:$Q$220)</f>
        <v>0</v>
      </c>
      <c r="M233" s="81">
        <f>SUMIF('2.생활용수(채운)'!$C$5:$C$63,$C233,'2.생활용수(채운)'!$Q$5:$Q$63)</f>
        <v>0</v>
      </c>
      <c r="N233" s="81">
        <f>SUMIF('2.생활용수(강경)'!$C$5:$C$60,$C233,'2.생활용수(강경)'!$Q$5:$Q$60)</f>
        <v>0</v>
      </c>
      <c r="O233" s="81"/>
    </row>
    <row r="234" spans="1:15" ht="20.100000000000001" customHeight="1">
      <c r="A234" s="442" t="s">
        <v>705</v>
      </c>
      <c r="B234" s="442" t="s">
        <v>901</v>
      </c>
      <c r="C234" s="443" t="s">
        <v>2124</v>
      </c>
      <c r="D234" s="81">
        <f t="shared" si="4"/>
        <v>33</v>
      </c>
      <c r="E234" s="81">
        <f>SUMIF('2.생활용수(광석)'!$C$5:$C$56,C234,'2.생활용수(광석)'!$Q$5:$Q$56)</f>
        <v>0</v>
      </c>
      <c r="F234" s="81">
        <f>SUMIF('2.생활용수(성동)'!$C$5:$C$60,$C234,'2.생활용수(성동)'!$Q$5:$Q$60)</f>
        <v>0</v>
      </c>
      <c r="G234" s="81">
        <f>SUMIF('2.생활용수(봉화)'!$C$5:$C$18,$C234,'2.생활용수(봉화)'!$Q$5:$Q$18)</f>
        <v>0</v>
      </c>
      <c r="H234" s="81">
        <f>SUMIF('2.생활용수(논산)'!$C$5:$C$28,$C234,'2.생활용수(논산)'!$Q$5:$Q$28)</f>
        <v>0</v>
      </c>
      <c r="I234" s="81">
        <f>SUMIF('2.생활용수(연무)'!$C$5:$C$123,$C234,'2.생활용수(연무)'!$Q$5:$Q$123)</f>
        <v>0</v>
      </c>
      <c r="J234" s="81">
        <f>SUMIF('2.생활용수(마산)'!$C$5:$C$115,$C234,'2.생활용수(마산)'!$Q$5:$Q$115)</f>
        <v>0</v>
      </c>
      <c r="K234" s="81">
        <f>SUMIF('2.생활용수(부적)'!$C$5:$C$75,$C234,'2.생활용수(부적)'!$Q$5:$Q$75)</f>
        <v>33</v>
      </c>
      <c r="L234" s="81">
        <f>SUMIF('2.생활용수(연산)'!$C$5:$C$220,$C234,'2.생활용수(연산)'!$Q$5:$Q$220)</f>
        <v>0</v>
      </c>
      <c r="M234" s="81">
        <f>SUMIF('2.생활용수(채운)'!$C$5:$C$63,$C234,'2.생활용수(채운)'!$Q$5:$Q$63)</f>
        <v>0</v>
      </c>
      <c r="N234" s="81">
        <f>SUMIF('2.생활용수(강경)'!$C$5:$C$60,$C234,'2.생활용수(강경)'!$Q$5:$Q$60)</f>
        <v>0</v>
      </c>
      <c r="O234" s="81"/>
    </row>
    <row r="235" spans="1:15" ht="20.100000000000001" customHeight="1">
      <c r="A235" s="442" t="s">
        <v>705</v>
      </c>
      <c r="B235" s="442" t="s">
        <v>901</v>
      </c>
      <c r="C235" s="443" t="s">
        <v>2125</v>
      </c>
      <c r="D235" s="81">
        <f t="shared" si="4"/>
        <v>17</v>
      </c>
      <c r="E235" s="81">
        <f>SUMIF('2.생활용수(광석)'!$C$5:$C$56,C235,'2.생활용수(광석)'!$Q$5:$Q$56)</f>
        <v>0</v>
      </c>
      <c r="F235" s="81">
        <f>SUMIF('2.생활용수(성동)'!$C$5:$C$60,$C235,'2.생활용수(성동)'!$Q$5:$Q$60)</f>
        <v>0</v>
      </c>
      <c r="G235" s="81">
        <f>SUMIF('2.생활용수(봉화)'!$C$5:$C$18,$C235,'2.생활용수(봉화)'!$Q$5:$Q$18)</f>
        <v>0</v>
      </c>
      <c r="H235" s="81">
        <f>SUMIF('2.생활용수(논산)'!$C$5:$C$28,$C235,'2.생활용수(논산)'!$Q$5:$Q$28)</f>
        <v>0</v>
      </c>
      <c r="I235" s="81">
        <f>SUMIF('2.생활용수(연무)'!$C$5:$C$123,$C235,'2.생활용수(연무)'!$Q$5:$Q$123)</f>
        <v>0</v>
      </c>
      <c r="J235" s="81">
        <f>SUMIF('2.생활용수(마산)'!$C$5:$C$115,$C235,'2.생활용수(마산)'!$Q$5:$Q$115)</f>
        <v>0</v>
      </c>
      <c r="K235" s="81">
        <f>SUMIF('2.생활용수(부적)'!$C$5:$C$75,$C235,'2.생활용수(부적)'!$Q$5:$Q$75)</f>
        <v>17</v>
      </c>
      <c r="L235" s="81">
        <f>SUMIF('2.생활용수(연산)'!$C$5:$C$220,$C235,'2.생활용수(연산)'!$Q$5:$Q$220)</f>
        <v>0</v>
      </c>
      <c r="M235" s="81">
        <f>SUMIF('2.생활용수(채운)'!$C$5:$C$63,$C235,'2.생활용수(채운)'!$Q$5:$Q$63)</f>
        <v>0</v>
      </c>
      <c r="N235" s="81">
        <f>SUMIF('2.생활용수(강경)'!$C$5:$C$60,$C235,'2.생활용수(강경)'!$Q$5:$Q$60)</f>
        <v>0</v>
      </c>
      <c r="O235" s="81"/>
    </row>
    <row r="236" spans="1:15" ht="20.100000000000001" customHeight="1">
      <c r="A236" s="442" t="s">
        <v>705</v>
      </c>
      <c r="B236" s="442" t="s">
        <v>902</v>
      </c>
      <c r="C236" s="443" t="s">
        <v>2126</v>
      </c>
      <c r="D236" s="81">
        <f t="shared" si="4"/>
        <v>20</v>
      </c>
      <c r="E236" s="81">
        <f>SUMIF('2.생활용수(광석)'!$C$5:$C$56,C236,'2.생활용수(광석)'!$Q$5:$Q$56)</f>
        <v>0</v>
      </c>
      <c r="F236" s="81">
        <f>SUMIF('2.생활용수(성동)'!$C$5:$C$60,$C236,'2.생활용수(성동)'!$Q$5:$Q$60)</f>
        <v>0</v>
      </c>
      <c r="G236" s="81">
        <f>SUMIF('2.생활용수(봉화)'!$C$5:$C$18,$C236,'2.생활용수(봉화)'!$Q$5:$Q$18)</f>
        <v>0</v>
      </c>
      <c r="H236" s="81">
        <f>SUMIF('2.생활용수(논산)'!$C$5:$C$28,$C236,'2.생활용수(논산)'!$Q$5:$Q$28)</f>
        <v>0</v>
      </c>
      <c r="I236" s="81">
        <f>SUMIF('2.생활용수(연무)'!$C$5:$C$123,$C236,'2.생활용수(연무)'!$Q$5:$Q$123)</f>
        <v>0</v>
      </c>
      <c r="J236" s="81">
        <f>SUMIF('2.생활용수(마산)'!$C$5:$C$115,$C236,'2.생활용수(마산)'!$Q$5:$Q$115)</f>
        <v>0</v>
      </c>
      <c r="K236" s="81">
        <f>SUMIF('2.생활용수(부적)'!$C$5:$C$75,$C236,'2.생활용수(부적)'!$Q$5:$Q$75)</f>
        <v>20</v>
      </c>
      <c r="L236" s="81">
        <f>SUMIF('2.생활용수(연산)'!$C$5:$C$220,$C236,'2.생활용수(연산)'!$Q$5:$Q$220)</f>
        <v>0</v>
      </c>
      <c r="M236" s="81">
        <f>SUMIF('2.생활용수(채운)'!$C$5:$C$63,$C236,'2.생활용수(채운)'!$Q$5:$Q$63)</f>
        <v>0</v>
      </c>
      <c r="N236" s="81">
        <f>SUMIF('2.생활용수(강경)'!$C$5:$C$60,$C236,'2.생활용수(강경)'!$Q$5:$Q$60)</f>
        <v>0</v>
      </c>
      <c r="O236" s="81"/>
    </row>
    <row r="237" spans="1:15" ht="20.100000000000001" customHeight="1">
      <c r="A237" s="442" t="s">
        <v>705</v>
      </c>
      <c r="B237" s="442" t="s">
        <v>902</v>
      </c>
      <c r="C237" s="443" t="s">
        <v>2127</v>
      </c>
      <c r="D237" s="81">
        <f t="shared" si="4"/>
        <v>0</v>
      </c>
      <c r="E237" s="81">
        <f>SUMIF('2.생활용수(광석)'!$C$5:$C$56,C237,'2.생활용수(광석)'!$Q$5:$Q$56)</f>
        <v>0</v>
      </c>
      <c r="F237" s="81">
        <f>SUMIF('2.생활용수(성동)'!$C$5:$C$60,$C237,'2.생활용수(성동)'!$Q$5:$Q$60)</f>
        <v>0</v>
      </c>
      <c r="G237" s="81">
        <f>SUMIF('2.생활용수(봉화)'!$C$5:$C$18,$C237,'2.생활용수(봉화)'!$Q$5:$Q$18)</f>
        <v>0</v>
      </c>
      <c r="H237" s="81">
        <f>SUMIF('2.생활용수(논산)'!$C$5:$C$28,$C237,'2.생활용수(논산)'!$Q$5:$Q$28)</f>
        <v>0</v>
      </c>
      <c r="I237" s="81">
        <f>SUMIF('2.생활용수(연무)'!$C$5:$C$123,$C237,'2.생활용수(연무)'!$Q$5:$Q$123)</f>
        <v>0</v>
      </c>
      <c r="J237" s="81">
        <f>SUMIF('2.생활용수(마산)'!$C$5:$C$115,$C237,'2.생활용수(마산)'!$Q$5:$Q$115)</f>
        <v>0</v>
      </c>
      <c r="K237" s="81">
        <f>SUMIF('2.생활용수(부적)'!$C$5:$C$75,$C237,'2.생활용수(부적)'!$Q$5:$Q$75)</f>
        <v>0</v>
      </c>
      <c r="L237" s="81">
        <f>SUMIF('2.생활용수(연산)'!$C$5:$C$220,$C237,'2.생활용수(연산)'!$Q$5:$Q$220)</f>
        <v>0</v>
      </c>
      <c r="M237" s="81">
        <f>SUMIF('2.생활용수(채운)'!$C$5:$C$63,$C237,'2.생활용수(채운)'!$Q$5:$Q$63)</f>
        <v>0</v>
      </c>
      <c r="N237" s="81">
        <f>SUMIF('2.생활용수(강경)'!$C$5:$C$60,$C237,'2.생활용수(강경)'!$Q$5:$Q$60)</f>
        <v>0</v>
      </c>
      <c r="O237" s="81"/>
    </row>
    <row r="238" spans="1:15" ht="20.100000000000001" customHeight="1">
      <c r="A238" s="442" t="s">
        <v>705</v>
      </c>
      <c r="B238" s="442" t="s">
        <v>902</v>
      </c>
      <c r="C238" s="443" t="s">
        <v>2128</v>
      </c>
      <c r="D238" s="81">
        <f t="shared" si="4"/>
        <v>0</v>
      </c>
      <c r="E238" s="81">
        <f>SUMIF('2.생활용수(광석)'!$C$5:$C$56,C238,'2.생활용수(광석)'!$Q$5:$Q$56)</f>
        <v>0</v>
      </c>
      <c r="F238" s="81">
        <f>SUMIF('2.생활용수(성동)'!$C$5:$C$60,$C238,'2.생활용수(성동)'!$Q$5:$Q$60)</f>
        <v>0</v>
      </c>
      <c r="G238" s="81">
        <f>SUMIF('2.생활용수(봉화)'!$C$5:$C$18,$C238,'2.생활용수(봉화)'!$Q$5:$Q$18)</f>
        <v>0</v>
      </c>
      <c r="H238" s="81">
        <f>SUMIF('2.생활용수(논산)'!$C$5:$C$28,$C238,'2.생활용수(논산)'!$Q$5:$Q$28)</f>
        <v>0</v>
      </c>
      <c r="I238" s="81">
        <f>SUMIF('2.생활용수(연무)'!$C$5:$C$123,$C238,'2.생활용수(연무)'!$Q$5:$Q$123)</f>
        <v>0</v>
      </c>
      <c r="J238" s="81">
        <f>SUMIF('2.생활용수(마산)'!$C$5:$C$115,$C238,'2.생활용수(마산)'!$Q$5:$Q$115)</f>
        <v>0</v>
      </c>
      <c r="K238" s="81">
        <f>SUMIF('2.생활용수(부적)'!$C$5:$C$75,$C238,'2.생활용수(부적)'!$Q$5:$Q$75)</f>
        <v>0</v>
      </c>
      <c r="L238" s="81">
        <f>SUMIF('2.생활용수(연산)'!$C$5:$C$220,$C238,'2.생활용수(연산)'!$Q$5:$Q$220)</f>
        <v>0</v>
      </c>
      <c r="M238" s="81">
        <f>SUMIF('2.생활용수(채운)'!$C$5:$C$63,$C238,'2.생활용수(채운)'!$Q$5:$Q$63)</f>
        <v>0</v>
      </c>
      <c r="N238" s="81">
        <f>SUMIF('2.생활용수(강경)'!$C$5:$C$60,$C238,'2.생활용수(강경)'!$Q$5:$Q$60)</f>
        <v>0</v>
      </c>
      <c r="O238" s="81"/>
    </row>
    <row r="239" spans="1:15" ht="20.100000000000001" customHeight="1">
      <c r="A239" s="442" t="s">
        <v>706</v>
      </c>
      <c r="B239" s="444" t="s">
        <v>2129</v>
      </c>
      <c r="C239" s="443" t="s">
        <v>2129</v>
      </c>
      <c r="D239" s="81">
        <f t="shared" si="4"/>
        <v>0</v>
      </c>
      <c r="E239" s="81">
        <f>SUMIF('2.생활용수(광석)'!$C$5:$C$56,C239,'2.생활용수(광석)'!$Q$5:$Q$56)</f>
        <v>0</v>
      </c>
      <c r="F239" s="81">
        <f>SUMIF('2.생활용수(성동)'!$C$5:$C$60,$C239,'2.생활용수(성동)'!$Q$5:$Q$60)</f>
        <v>0</v>
      </c>
      <c r="G239" s="81">
        <f>SUMIF('2.생활용수(봉화)'!$C$5:$C$18,$C239,'2.생활용수(봉화)'!$Q$5:$Q$18)</f>
        <v>0</v>
      </c>
      <c r="H239" s="81">
        <f>SUMIF('2.생활용수(논산)'!$C$5:$C$28,$C239,'2.생활용수(논산)'!$Q$5:$Q$28)</f>
        <v>0</v>
      </c>
      <c r="I239" s="81">
        <f>SUMIF('2.생활용수(연무)'!$C$5:$C$123,$C239,'2.생활용수(연무)'!$Q$5:$Q$123)</f>
        <v>0</v>
      </c>
      <c r="J239" s="81">
        <f>SUMIF('2.생활용수(마산)'!$C$5:$C$115,$C239,'2.생활용수(마산)'!$Q$5:$Q$115)</f>
        <v>0</v>
      </c>
      <c r="K239" s="81">
        <f>SUMIF('2.생활용수(부적)'!$C$5:$C$75,$C239,'2.생활용수(부적)'!$Q$5:$Q$75)</f>
        <v>0</v>
      </c>
      <c r="L239" s="81">
        <f>SUMIF('2.생활용수(연산)'!$C$5:$C$220,$C239,'2.생활용수(연산)'!$Q$5:$Q$220)</f>
        <v>0</v>
      </c>
      <c r="M239" s="81">
        <f>SUMIF('2.생활용수(채운)'!$C$5:$C$63,$C239,'2.생활용수(채운)'!$Q$5:$Q$63)</f>
        <v>0</v>
      </c>
      <c r="N239" s="81">
        <f>SUMIF('2.생활용수(강경)'!$C$5:$C$60,$C239,'2.생활용수(강경)'!$Q$5:$Q$60)</f>
        <v>0</v>
      </c>
      <c r="O239" s="81"/>
    </row>
    <row r="240" spans="1:15" ht="20.100000000000001" customHeight="1">
      <c r="A240" s="442" t="s">
        <v>706</v>
      </c>
      <c r="B240" s="444" t="s">
        <v>2130</v>
      </c>
      <c r="C240" s="443" t="s">
        <v>2130</v>
      </c>
      <c r="D240" s="81">
        <f t="shared" si="4"/>
        <v>0</v>
      </c>
      <c r="E240" s="81">
        <f>SUMIF('2.생활용수(광석)'!$C$5:$C$56,C240,'2.생활용수(광석)'!$Q$5:$Q$56)</f>
        <v>0</v>
      </c>
      <c r="F240" s="81">
        <f>SUMIF('2.생활용수(성동)'!$C$5:$C$60,$C240,'2.생활용수(성동)'!$Q$5:$Q$60)</f>
        <v>0</v>
      </c>
      <c r="G240" s="81">
        <f>SUMIF('2.생활용수(봉화)'!$C$5:$C$18,$C240,'2.생활용수(봉화)'!$Q$5:$Q$18)</f>
        <v>0</v>
      </c>
      <c r="H240" s="81">
        <f>SUMIF('2.생활용수(논산)'!$C$5:$C$28,$C240,'2.생활용수(논산)'!$Q$5:$Q$28)</f>
        <v>0</v>
      </c>
      <c r="I240" s="81">
        <f>SUMIF('2.생활용수(연무)'!$C$5:$C$123,$C240,'2.생활용수(연무)'!$Q$5:$Q$123)</f>
        <v>0</v>
      </c>
      <c r="J240" s="81">
        <f>SUMIF('2.생활용수(마산)'!$C$5:$C$115,$C240,'2.생활용수(마산)'!$Q$5:$Q$115)</f>
        <v>0</v>
      </c>
      <c r="K240" s="81">
        <f>SUMIF('2.생활용수(부적)'!$C$5:$C$75,$C240,'2.생활용수(부적)'!$Q$5:$Q$75)</f>
        <v>0</v>
      </c>
      <c r="L240" s="81">
        <f>SUMIF('2.생활용수(연산)'!$C$5:$C$220,$C240,'2.생활용수(연산)'!$Q$5:$Q$220)</f>
        <v>0</v>
      </c>
      <c r="M240" s="81">
        <f>SUMIF('2.생활용수(채운)'!$C$5:$C$63,$C240,'2.생활용수(채운)'!$Q$5:$Q$63)</f>
        <v>0</v>
      </c>
      <c r="N240" s="81">
        <f>SUMIF('2.생활용수(강경)'!$C$5:$C$60,$C240,'2.생활용수(강경)'!$Q$5:$Q$60)</f>
        <v>0</v>
      </c>
      <c r="O240" s="81"/>
    </row>
    <row r="241" spans="1:15" ht="20.100000000000001" customHeight="1">
      <c r="A241" s="442" t="s">
        <v>706</v>
      </c>
      <c r="B241" s="442" t="s">
        <v>2131</v>
      </c>
      <c r="C241" s="443" t="s">
        <v>2132</v>
      </c>
      <c r="D241" s="81">
        <f t="shared" si="4"/>
        <v>0</v>
      </c>
      <c r="E241" s="81">
        <f>SUMIF('2.생활용수(광석)'!$C$5:$C$56,C241,'2.생활용수(광석)'!$Q$5:$Q$56)</f>
        <v>0</v>
      </c>
      <c r="F241" s="81">
        <f>SUMIF('2.생활용수(성동)'!$C$5:$C$60,$C241,'2.생활용수(성동)'!$Q$5:$Q$60)</f>
        <v>0</v>
      </c>
      <c r="G241" s="81">
        <f>SUMIF('2.생활용수(봉화)'!$C$5:$C$18,$C241,'2.생활용수(봉화)'!$Q$5:$Q$18)</f>
        <v>0</v>
      </c>
      <c r="H241" s="81">
        <f>SUMIF('2.생활용수(논산)'!$C$5:$C$28,$C241,'2.생활용수(논산)'!$Q$5:$Q$28)</f>
        <v>0</v>
      </c>
      <c r="I241" s="81">
        <f>SUMIF('2.생활용수(연무)'!$C$5:$C$123,$C241,'2.생활용수(연무)'!$Q$5:$Q$123)</f>
        <v>0</v>
      </c>
      <c r="J241" s="81">
        <f>SUMIF('2.생활용수(마산)'!$C$5:$C$115,$C241,'2.생활용수(마산)'!$Q$5:$Q$115)</f>
        <v>0</v>
      </c>
      <c r="K241" s="81">
        <f>SUMIF('2.생활용수(부적)'!$C$5:$C$75,$C241,'2.생활용수(부적)'!$Q$5:$Q$75)</f>
        <v>0</v>
      </c>
      <c r="L241" s="81">
        <f>SUMIF('2.생활용수(연산)'!$C$5:$C$220,$C241,'2.생활용수(연산)'!$Q$5:$Q$220)</f>
        <v>0</v>
      </c>
      <c r="M241" s="81">
        <f>SUMIF('2.생활용수(채운)'!$C$5:$C$63,$C241,'2.생활용수(채운)'!$Q$5:$Q$63)</f>
        <v>0</v>
      </c>
      <c r="N241" s="81">
        <f>SUMIF('2.생활용수(강경)'!$C$5:$C$60,$C241,'2.생활용수(강경)'!$Q$5:$Q$60)</f>
        <v>0</v>
      </c>
      <c r="O241" s="81"/>
    </row>
    <row r="242" spans="1:15" ht="20.100000000000001" customHeight="1">
      <c r="A242" s="442" t="s">
        <v>706</v>
      </c>
      <c r="B242" s="442" t="s">
        <v>2131</v>
      </c>
      <c r="C242" s="443" t="s">
        <v>2133</v>
      </c>
      <c r="D242" s="81">
        <f t="shared" si="4"/>
        <v>0</v>
      </c>
      <c r="E242" s="81">
        <f>SUMIF('2.생활용수(광석)'!$C$5:$C$56,C242,'2.생활용수(광석)'!$Q$5:$Q$56)</f>
        <v>0</v>
      </c>
      <c r="F242" s="81">
        <f>SUMIF('2.생활용수(성동)'!$C$5:$C$60,$C242,'2.생활용수(성동)'!$Q$5:$Q$60)</f>
        <v>0</v>
      </c>
      <c r="G242" s="81">
        <f>SUMIF('2.생활용수(봉화)'!$C$5:$C$18,$C242,'2.생활용수(봉화)'!$Q$5:$Q$18)</f>
        <v>0</v>
      </c>
      <c r="H242" s="81">
        <f>SUMIF('2.생활용수(논산)'!$C$5:$C$28,$C242,'2.생활용수(논산)'!$Q$5:$Q$28)</f>
        <v>0</v>
      </c>
      <c r="I242" s="81">
        <f>SUMIF('2.생활용수(연무)'!$C$5:$C$123,$C242,'2.생활용수(연무)'!$Q$5:$Q$123)</f>
        <v>0</v>
      </c>
      <c r="J242" s="81">
        <f>SUMIF('2.생활용수(마산)'!$C$5:$C$115,$C242,'2.생활용수(마산)'!$Q$5:$Q$115)</f>
        <v>0</v>
      </c>
      <c r="K242" s="81">
        <f>SUMIF('2.생활용수(부적)'!$C$5:$C$75,$C242,'2.생활용수(부적)'!$Q$5:$Q$75)</f>
        <v>0</v>
      </c>
      <c r="L242" s="81">
        <f>SUMIF('2.생활용수(연산)'!$C$5:$C$220,$C242,'2.생활용수(연산)'!$Q$5:$Q$220)</f>
        <v>0</v>
      </c>
      <c r="M242" s="81">
        <f>SUMIF('2.생활용수(채운)'!$C$5:$C$63,$C242,'2.생활용수(채운)'!$Q$5:$Q$63)</f>
        <v>0</v>
      </c>
      <c r="N242" s="81">
        <f>SUMIF('2.생활용수(강경)'!$C$5:$C$60,$C242,'2.생활용수(강경)'!$Q$5:$Q$60)</f>
        <v>0</v>
      </c>
      <c r="O242" s="81"/>
    </row>
    <row r="243" spans="1:15" ht="20.100000000000001" customHeight="1">
      <c r="A243" s="442" t="s">
        <v>706</v>
      </c>
      <c r="B243" s="442" t="s">
        <v>907</v>
      </c>
      <c r="C243" s="443" t="s">
        <v>2134</v>
      </c>
      <c r="D243" s="81">
        <f t="shared" si="4"/>
        <v>0</v>
      </c>
      <c r="E243" s="81">
        <f>SUMIF('2.생활용수(광석)'!$C$5:$C$56,C243,'2.생활용수(광석)'!$Q$5:$Q$56)</f>
        <v>0</v>
      </c>
      <c r="F243" s="81">
        <f>SUMIF('2.생활용수(성동)'!$C$5:$C$60,$C243,'2.생활용수(성동)'!$Q$5:$Q$60)</f>
        <v>0</v>
      </c>
      <c r="G243" s="81">
        <f>SUMIF('2.생활용수(봉화)'!$C$5:$C$18,$C243,'2.생활용수(봉화)'!$Q$5:$Q$18)</f>
        <v>0</v>
      </c>
      <c r="H243" s="81">
        <f>SUMIF('2.생활용수(논산)'!$C$5:$C$28,$C243,'2.생활용수(논산)'!$Q$5:$Q$28)</f>
        <v>0</v>
      </c>
      <c r="I243" s="81">
        <f>SUMIF('2.생활용수(연무)'!$C$5:$C$123,$C243,'2.생활용수(연무)'!$Q$5:$Q$123)</f>
        <v>0</v>
      </c>
      <c r="J243" s="81">
        <f>SUMIF('2.생활용수(마산)'!$C$5:$C$115,$C243,'2.생활용수(마산)'!$Q$5:$Q$115)</f>
        <v>0</v>
      </c>
      <c r="K243" s="81">
        <f>SUMIF('2.생활용수(부적)'!$C$5:$C$75,$C243,'2.생활용수(부적)'!$Q$5:$Q$75)</f>
        <v>0</v>
      </c>
      <c r="L243" s="81">
        <f>SUMIF('2.생활용수(연산)'!$C$5:$C$220,$C243,'2.생활용수(연산)'!$Q$5:$Q$220)</f>
        <v>0</v>
      </c>
      <c r="M243" s="81">
        <f>SUMIF('2.생활용수(채운)'!$C$5:$C$63,$C243,'2.생활용수(채운)'!$Q$5:$Q$63)</f>
        <v>0</v>
      </c>
      <c r="N243" s="81">
        <f>SUMIF('2.생활용수(강경)'!$C$5:$C$60,$C243,'2.생활용수(강경)'!$Q$5:$Q$60)</f>
        <v>0</v>
      </c>
      <c r="O243" s="81"/>
    </row>
    <row r="244" spans="1:15" ht="20.100000000000001" customHeight="1">
      <c r="A244" s="442" t="s">
        <v>706</v>
      </c>
      <c r="B244" s="442" t="s">
        <v>2135</v>
      </c>
      <c r="C244" s="443" t="s">
        <v>2136</v>
      </c>
      <c r="D244" s="81">
        <f t="shared" si="4"/>
        <v>67</v>
      </c>
      <c r="E244" s="81">
        <f>SUMIF('2.생활용수(광석)'!$C$5:$C$56,C244,'2.생활용수(광석)'!$Q$5:$Q$56)</f>
        <v>0</v>
      </c>
      <c r="F244" s="81">
        <f>SUMIF('2.생활용수(성동)'!$C$5:$C$60,$C244,'2.생활용수(성동)'!$Q$5:$Q$60)</f>
        <v>0</v>
      </c>
      <c r="G244" s="81">
        <f>SUMIF('2.생활용수(봉화)'!$C$5:$C$18,$C244,'2.생활용수(봉화)'!$Q$5:$Q$18)</f>
        <v>0</v>
      </c>
      <c r="H244" s="81">
        <f>SUMIF('2.생활용수(논산)'!$C$5:$C$28,$C244,'2.생활용수(논산)'!$Q$5:$Q$28)</f>
        <v>0</v>
      </c>
      <c r="I244" s="81">
        <f>SUMIF('2.생활용수(연무)'!$C$5:$C$123,$C244,'2.생활용수(연무)'!$Q$5:$Q$123)</f>
        <v>0</v>
      </c>
      <c r="J244" s="81">
        <f>SUMIF('2.생활용수(마산)'!$C$5:$C$115,$C244,'2.생활용수(마산)'!$Q$5:$Q$115)</f>
        <v>0</v>
      </c>
      <c r="K244" s="81">
        <f>SUMIF('2.생활용수(부적)'!$C$5:$C$75,$C244,'2.생활용수(부적)'!$Q$5:$Q$75)</f>
        <v>0</v>
      </c>
      <c r="L244" s="81">
        <f>SUMIF('2.생활용수(연산)'!$C$5:$C$220,$C244,'2.생활용수(연산)'!$Q$5:$Q$220)</f>
        <v>67</v>
      </c>
      <c r="M244" s="81">
        <f>SUMIF('2.생활용수(채운)'!$C$5:$C$63,$C244,'2.생활용수(채운)'!$Q$5:$Q$63)</f>
        <v>0</v>
      </c>
      <c r="N244" s="81">
        <f>SUMIF('2.생활용수(강경)'!$C$5:$C$60,$C244,'2.생활용수(강경)'!$Q$5:$Q$60)</f>
        <v>0</v>
      </c>
      <c r="O244" s="81"/>
    </row>
    <row r="245" spans="1:15" ht="20.100000000000001" customHeight="1">
      <c r="A245" s="442" t="s">
        <v>706</v>
      </c>
      <c r="B245" s="442" t="s">
        <v>2135</v>
      </c>
      <c r="C245" s="443" t="s">
        <v>2137</v>
      </c>
      <c r="D245" s="81">
        <f t="shared" si="4"/>
        <v>179</v>
      </c>
      <c r="E245" s="81">
        <f>SUMIF('2.생활용수(광석)'!$C$5:$C$56,C245,'2.생활용수(광석)'!$Q$5:$Q$56)</f>
        <v>0</v>
      </c>
      <c r="F245" s="81">
        <f>SUMIF('2.생활용수(성동)'!$C$5:$C$60,$C245,'2.생활용수(성동)'!$Q$5:$Q$60)</f>
        <v>0</v>
      </c>
      <c r="G245" s="81">
        <f>SUMIF('2.생활용수(봉화)'!$C$5:$C$18,$C245,'2.생활용수(봉화)'!$Q$5:$Q$18)</f>
        <v>0</v>
      </c>
      <c r="H245" s="81">
        <f>SUMIF('2.생활용수(논산)'!$C$5:$C$28,$C245,'2.생활용수(논산)'!$Q$5:$Q$28)</f>
        <v>0</v>
      </c>
      <c r="I245" s="81">
        <f>SUMIF('2.생활용수(연무)'!$C$5:$C$123,$C245,'2.생활용수(연무)'!$Q$5:$Q$123)</f>
        <v>0</v>
      </c>
      <c r="J245" s="81">
        <f>SUMIF('2.생활용수(마산)'!$C$5:$C$115,$C245,'2.생활용수(마산)'!$Q$5:$Q$115)</f>
        <v>0</v>
      </c>
      <c r="K245" s="81">
        <f>SUMIF('2.생활용수(부적)'!$C$5:$C$75,$C245,'2.생활용수(부적)'!$Q$5:$Q$75)</f>
        <v>0</v>
      </c>
      <c r="L245" s="81">
        <f>SUMIF('2.생활용수(연산)'!$C$5:$C$220,$C245,'2.생활용수(연산)'!$Q$5:$Q$220)</f>
        <v>179</v>
      </c>
      <c r="M245" s="81">
        <f>SUMIF('2.생활용수(채운)'!$C$5:$C$63,$C245,'2.생활용수(채운)'!$Q$5:$Q$63)</f>
        <v>0</v>
      </c>
      <c r="N245" s="81">
        <f>SUMIF('2.생활용수(강경)'!$C$5:$C$60,$C245,'2.생활용수(강경)'!$Q$5:$Q$60)</f>
        <v>0</v>
      </c>
      <c r="O245" s="81"/>
    </row>
    <row r="246" spans="1:15" ht="20.100000000000001" customHeight="1">
      <c r="A246" s="442" t="s">
        <v>706</v>
      </c>
      <c r="B246" s="442" t="s">
        <v>2135</v>
      </c>
      <c r="C246" s="443" t="s">
        <v>2138</v>
      </c>
      <c r="D246" s="81">
        <f t="shared" si="4"/>
        <v>165</v>
      </c>
      <c r="E246" s="81">
        <f>SUMIF('2.생활용수(광석)'!$C$5:$C$56,C246,'2.생활용수(광석)'!$Q$5:$Q$56)</f>
        <v>0</v>
      </c>
      <c r="F246" s="81">
        <f>SUMIF('2.생활용수(성동)'!$C$5:$C$60,$C246,'2.생활용수(성동)'!$Q$5:$Q$60)</f>
        <v>0</v>
      </c>
      <c r="G246" s="81">
        <f>SUMIF('2.생활용수(봉화)'!$C$5:$C$18,$C246,'2.생활용수(봉화)'!$Q$5:$Q$18)</f>
        <v>0</v>
      </c>
      <c r="H246" s="81">
        <f>SUMIF('2.생활용수(논산)'!$C$5:$C$28,$C246,'2.생활용수(논산)'!$Q$5:$Q$28)</f>
        <v>0</v>
      </c>
      <c r="I246" s="81">
        <f>SUMIF('2.생활용수(연무)'!$C$5:$C$123,$C246,'2.생활용수(연무)'!$Q$5:$Q$123)</f>
        <v>0</v>
      </c>
      <c r="J246" s="81">
        <f>SUMIF('2.생활용수(마산)'!$C$5:$C$115,$C246,'2.생활용수(마산)'!$Q$5:$Q$115)</f>
        <v>0</v>
      </c>
      <c r="K246" s="81">
        <f>SUMIF('2.생활용수(부적)'!$C$5:$C$75,$C246,'2.생활용수(부적)'!$Q$5:$Q$75)</f>
        <v>0</v>
      </c>
      <c r="L246" s="81">
        <f>SUMIF('2.생활용수(연산)'!$C$5:$C$220,$C246,'2.생활용수(연산)'!$Q$5:$Q$220)</f>
        <v>165</v>
      </c>
      <c r="M246" s="81">
        <f>SUMIF('2.생활용수(채운)'!$C$5:$C$63,$C246,'2.생활용수(채운)'!$Q$5:$Q$63)</f>
        <v>0</v>
      </c>
      <c r="N246" s="81">
        <f>SUMIF('2.생활용수(강경)'!$C$5:$C$60,$C246,'2.생활용수(강경)'!$Q$5:$Q$60)</f>
        <v>0</v>
      </c>
      <c r="O246" s="81"/>
    </row>
    <row r="247" spans="1:15" ht="20.100000000000001" customHeight="1">
      <c r="A247" s="442" t="s">
        <v>706</v>
      </c>
      <c r="B247" s="442" t="s">
        <v>2135</v>
      </c>
      <c r="C247" s="443" t="s">
        <v>2139</v>
      </c>
      <c r="D247" s="81">
        <f t="shared" si="4"/>
        <v>87</v>
      </c>
      <c r="E247" s="81">
        <f>SUMIF('2.생활용수(광석)'!$C$5:$C$56,C247,'2.생활용수(광석)'!$Q$5:$Q$56)</f>
        <v>0</v>
      </c>
      <c r="F247" s="81">
        <f>SUMIF('2.생활용수(성동)'!$C$5:$C$60,$C247,'2.생활용수(성동)'!$Q$5:$Q$60)</f>
        <v>0</v>
      </c>
      <c r="G247" s="81">
        <f>SUMIF('2.생활용수(봉화)'!$C$5:$C$18,$C247,'2.생활용수(봉화)'!$Q$5:$Q$18)</f>
        <v>0</v>
      </c>
      <c r="H247" s="81">
        <f>SUMIF('2.생활용수(논산)'!$C$5:$C$28,$C247,'2.생활용수(논산)'!$Q$5:$Q$28)</f>
        <v>0</v>
      </c>
      <c r="I247" s="81">
        <f>SUMIF('2.생활용수(연무)'!$C$5:$C$123,$C247,'2.생활용수(연무)'!$Q$5:$Q$123)</f>
        <v>0</v>
      </c>
      <c r="J247" s="81">
        <f>SUMIF('2.생활용수(마산)'!$C$5:$C$115,$C247,'2.생활용수(마산)'!$Q$5:$Q$115)</f>
        <v>0</v>
      </c>
      <c r="K247" s="81">
        <f>SUMIF('2.생활용수(부적)'!$C$5:$C$75,$C247,'2.생활용수(부적)'!$Q$5:$Q$75)</f>
        <v>0</v>
      </c>
      <c r="L247" s="81">
        <f>SUMIF('2.생활용수(연산)'!$C$5:$C$220,$C247,'2.생활용수(연산)'!$Q$5:$Q$220)</f>
        <v>87</v>
      </c>
      <c r="M247" s="81">
        <f>SUMIF('2.생활용수(채운)'!$C$5:$C$63,$C247,'2.생활용수(채운)'!$Q$5:$Q$63)</f>
        <v>0</v>
      </c>
      <c r="N247" s="81">
        <f>SUMIF('2.생활용수(강경)'!$C$5:$C$60,$C247,'2.생활용수(강경)'!$Q$5:$Q$60)</f>
        <v>0</v>
      </c>
      <c r="O247" s="81"/>
    </row>
    <row r="248" spans="1:15" ht="20.100000000000001" customHeight="1">
      <c r="A248" s="442" t="s">
        <v>706</v>
      </c>
      <c r="B248" s="442" t="s">
        <v>909</v>
      </c>
      <c r="C248" s="443" t="s">
        <v>2140</v>
      </c>
      <c r="D248" s="81">
        <f t="shared" si="4"/>
        <v>48</v>
      </c>
      <c r="E248" s="81">
        <f>SUMIF('2.생활용수(광석)'!$C$5:$C$56,C248,'2.생활용수(광석)'!$Q$5:$Q$56)</f>
        <v>0</v>
      </c>
      <c r="F248" s="81">
        <f>SUMIF('2.생활용수(성동)'!$C$5:$C$60,$C248,'2.생활용수(성동)'!$Q$5:$Q$60)</f>
        <v>0</v>
      </c>
      <c r="G248" s="81">
        <f>SUMIF('2.생활용수(봉화)'!$C$5:$C$18,$C248,'2.생활용수(봉화)'!$Q$5:$Q$18)</f>
        <v>0</v>
      </c>
      <c r="H248" s="81">
        <f>SUMIF('2.생활용수(논산)'!$C$5:$C$28,$C248,'2.생활용수(논산)'!$Q$5:$Q$28)</f>
        <v>0</v>
      </c>
      <c r="I248" s="81">
        <f>SUMIF('2.생활용수(연무)'!$C$5:$C$123,$C248,'2.생활용수(연무)'!$Q$5:$Q$123)</f>
        <v>0</v>
      </c>
      <c r="J248" s="81">
        <f>SUMIF('2.생활용수(마산)'!$C$5:$C$115,$C248,'2.생활용수(마산)'!$Q$5:$Q$115)</f>
        <v>0</v>
      </c>
      <c r="K248" s="81">
        <f>SUMIF('2.생활용수(부적)'!$C$5:$C$75,$C248,'2.생활용수(부적)'!$Q$5:$Q$75)</f>
        <v>0</v>
      </c>
      <c r="L248" s="81">
        <f>SUMIF('2.생활용수(연산)'!$C$5:$C$220,$C248,'2.생활용수(연산)'!$Q$5:$Q$220)</f>
        <v>48</v>
      </c>
      <c r="M248" s="81">
        <f>SUMIF('2.생활용수(채운)'!$C$5:$C$63,$C248,'2.생활용수(채운)'!$Q$5:$Q$63)</f>
        <v>0</v>
      </c>
      <c r="N248" s="81">
        <f>SUMIF('2.생활용수(강경)'!$C$5:$C$60,$C248,'2.생활용수(강경)'!$Q$5:$Q$60)</f>
        <v>0</v>
      </c>
      <c r="O248" s="81"/>
    </row>
    <row r="249" spans="1:15" ht="20.100000000000001" customHeight="1">
      <c r="A249" s="442" t="s">
        <v>706</v>
      </c>
      <c r="B249" s="442" t="s">
        <v>909</v>
      </c>
      <c r="C249" s="443" t="s">
        <v>2141</v>
      </c>
      <c r="D249" s="81">
        <f t="shared" si="4"/>
        <v>125</v>
      </c>
      <c r="E249" s="81">
        <f>SUMIF('2.생활용수(광석)'!$C$5:$C$56,C249,'2.생활용수(광석)'!$Q$5:$Q$56)</f>
        <v>0</v>
      </c>
      <c r="F249" s="81">
        <f>SUMIF('2.생활용수(성동)'!$C$5:$C$60,$C249,'2.생활용수(성동)'!$Q$5:$Q$60)</f>
        <v>0</v>
      </c>
      <c r="G249" s="81">
        <f>SUMIF('2.생활용수(봉화)'!$C$5:$C$18,$C249,'2.생활용수(봉화)'!$Q$5:$Q$18)</f>
        <v>0</v>
      </c>
      <c r="H249" s="81">
        <f>SUMIF('2.생활용수(논산)'!$C$5:$C$28,$C249,'2.생활용수(논산)'!$Q$5:$Q$28)</f>
        <v>0</v>
      </c>
      <c r="I249" s="81">
        <f>SUMIF('2.생활용수(연무)'!$C$5:$C$123,$C249,'2.생활용수(연무)'!$Q$5:$Q$123)</f>
        <v>0</v>
      </c>
      <c r="J249" s="81">
        <f>SUMIF('2.생활용수(마산)'!$C$5:$C$115,$C249,'2.생활용수(마산)'!$Q$5:$Q$115)</f>
        <v>0</v>
      </c>
      <c r="K249" s="81">
        <f>SUMIF('2.생활용수(부적)'!$C$5:$C$75,$C249,'2.생활용수(부적)'!$Q$5:$Q$75)</f>
        <v>0</v>
      </c>
      <c r="L249" s="81">
        <f>SUMIF('2.생활용수(연산)'!$C$5:$C$220,$C249,'2.생활용수(연산)'!$Q$5:$Q$220)</f>
        <v>125</v>
      </c>
      <c r="M249" s="81">
        <f>SUMIF('2.생활용수(채운)'!$C$5:$C$63,$C249,'2.생활용수(채운)'!$Q$5:$Q$63)</f>
        <v>0</v>
      </c>
      <c r="N249" s="81">
        <f>SUMIF('2.생활용수(강경)'!$C$5:$C$60,$C249,'2.생활용수(강경)'!$Q$5:$Q$60)</f>
        <v>0</v>
      </c>
      <c r="O249" s="81"/>
    </row>
    <row r="250" spans="1:15" ht="20.100000000000001" customHeight="1">
      <c r="A250" s="442" t="s">
        <v>706</v>
      </c>
      <c r="B250" s="442" t="s">
        <v>909</v>
      </c>
      <c r="C250" s="443" t="s">
        <v>2142</v>
      </c>
      <c r="D250" s="81">
        <f t="shared" si="4"/>
        <v>47</v>
      </c>
      <c r="E250" s="81">
        <f>SUMIF('2.생활용수(광석)'!$C$5:$C$56,C250,'2.생활용수(광석)'!$Q$5:$Q$56)</f>
        <v>0</v>
      </c>
      <c r="F250" s="81">
        <f>SUMIF('2.생활용수(성동)'!$C$5:$C$60,$C250,'2.생활용수(성동)'!$Q$5:$Q$60)</f>
        <v>0</v>
      </c>
      <c r="G250" s="81">
        <f>SUMIF('2.생활용수(봉화)'!$C$5:$C$18,$C250,'2.생활용수(봉화)'!$Q$5:$Q$18)</f>
        <v>0</v>
      </c>
      <c r="H250" s="81">
        <f>SUMIF('2.생활용수(논산)'!$C$5:$C$28,$C250,'2.생활용수(논산)'!$Q$5:$Q$28)</f>
        <v>0</v>
      </c>
      <c r="I250" s="81">
        <f>SUMIF('2.생활용수(연무)'!$C$5:$C$123,$C250,'2.생활용수(연무)'!$Q$5:$Q$123)</f>
        <v>0</v>
      </c>
      <c r="J250" s="81">
        <f>SUMIF('2.생활용수(마산)'!$C$5:$C$115,$C250,'2.생활용수(마산)'!$Q$5:$Q$115)</f>
        <v>0</v>
      </c>
      <c r="K250" s="81">
        <f>SUMIF('2.생활용수(부적)'!$C$5:$C$75,$C250,'2.생활용수(부적)'!$Q$5:$Q$75)</f>
        <v>0</v>
      </c>
      <c r="L250" s="81">
        <f>SUMIF('2.생활용수(연산)'!$C$5:$C$220,$C250,'2.생활용수(연산)'!$Q$5:$Q$220)</f>
        <v>47</v>
      </c>
      <c r="M250" s="81">
        <f>SUMIF('2.생활용수(채운)'!$C$5:$C$63,$C250,'2.생활용수(채운)'!$Q$5:$Q$63)</f>
        <v>0</v>
      </c>
      <c r="N250" s="81">
        <f>SUMIF('2.생활용수(강경)'!$C$5:$C$60,$C250,'2.생활용수(강경)'!$Q$5:$Q$60)</f>
        <v>0</v>
      </c>
      <c r="O250" s="81"/>
    </row>
    <row r="251" spans="1:15" ht="20.100000000000001" customHeight="1">
      <c r="A251" s="442" t="s">
        <v>706</v>
      </c>
      <c r="B251" s="442" t="s">
        <v>909</v>
      </c>
      <c r="C251" s="443" t="s">
        <v>2143</v>
      </c>
      <c r="D251" s="81">
        <f t="shared" si="4"/>
        <v>77</v>
      </c>
      <c r="E251" s="81">
        <f>SUMIF('2.생활용수(광석)'!$C$5:$C$56,C251,'2.생활용수(광석)'!$Q$5:$Q$56)</f>
        <v>0</v>
      </c>
      <c r="F251" s="81">
        <f>SUMIF('2.생활용수(성동)'!$C$5:$C$60,$C251,'2.생활용수(성동)'!$Q$5:$Q$60)</f>
        <v>0</v>
      </c>
      <c r="G251" s="81">
        <f>SUMIF('2.생활용수(봉화)'!$C$5:$C$18,$C251,'2.생활용수(봉화)'!$Q$5:$Q$18)</f>
        <v>0</v>
      </c>
      <c r="H251" s="81">
        <f>SUMIF('2.생활용수(논산)'!$C$5:$C$28,$C251,'2.생활용수(논산)'!$Q$5:$Q$28)</f>
        <v>0</v>
      </c>
      <c r="I251" s="81">
        <f>SUMIF('2.생활용수(연무)'!$C$5:$C$123,$C251,'2.생활용수(연무)'!$Q$5:$Q$123)</f>
        <v>0</v>
      </c>
      <c r="J251" s="81">
        <f>SUMIF('2.생활용수(마산)'!$C$5:$C$115,$C251,'2.생활용수(마산)'!$Q$5:$Q$115)</f>
        <v>0</v>
      </c>
      <c r="K251" s="81">
        <f>SUMIF('2.생활용수(부적)'!$C$5:$C$75,$C251,'2.생활용수(부적)'!$Q$5:$Q$75)</f>
        <v>0</v>
      </c>
      <c r="L251" s="81">
        <f>SUMIF('2.생활용수(연산)'!$C$5:$C$220,$C251,'2.생활용수(연산)'!$Q$5:$Q$220)</f>
        <v>77</v>
      </c>
      <c r="M251" s="81">
        <f>SUMIF('2.생활용수(채운)'!$C$5:$C$63,$C251,'2.생활용수(채운)'!$Q$5:$Q$63)</f>
        <v>0</v>
      </c>
      <c r="N251" s="81">
        <f>SUMIF('2.생활용수(강경)'!$C$5:$C$60,$C251,'2.생활용수(강경)'!$Q$5:$Q$60)</f>
        <v>0</v>
      </c>
      <c r="O251" s="81"/>
    </row>
    <row r="252" spans="1:15" ht="20.100000000000001" customHeight="1">
      <c r="A252" s="442" t="s">
        <v>706</v>
      </c>
      <c r="B252" s="442" t="s">
        <v>2144</v>
      </c>
      <c r="C252" s="443" t="s">
        <v>2145</v>
      </c>
      <c r="D252" s="81">
        <f t="shared" si="4"/>
        <v>0</v>
      </c>
      <c r="E252" s="81">
        <f>SUMIF('2.생활용수(광석)'!$C$5:$C$56,C252,'2.생활용수(광석)'!$Q$5:$Q$56)</f>
        <v>0</v>
      </c>
      <c r="F252" s="81">
        <f>SUMIF('2.생활용수(성동)'!$C$5:$C$60,$C252,'2.생활용수(성동)'!$Q$5:$Q$60)</f>
        <v>0</v>
      </c>
      <c r="G252" s="81">
        <f>SUMIF('2.생활용수(봉화)'!$C$5:$C$18,$C252,'2.생활용수(봉화)'!$Q$5:$Q$18)</f>
        <v>0</v>
      </c>
      <c r="H252" s="81">
        <f>SUMIF('2.생활용수(논산)'!$C$5:$C$28,$C252,'2.생활용수(논산)'!$Q$5:$Q$28)</f>
        <v>0</v>
      </c>
      <c r="I252" s="81">
        <f>SUMIF('2.생활용수(연무)'!$C$5:$C$123,$C252,'2.생활용수(연무)'!$Q$5:$Q$123)</f>
        <v>0</v>
      </c>
      <c r="J252" s="81">
        <f>SUMIF('2.생활용수(마산)'!$C$5:$C$115,$C252,'2.생활용수(마산)'!$Q$5:$Q$115)</f>
        <v>0</v>
      </c>
      <c r="K252" s="81">
        <f>SUMIF('2.생활용수(부적)'!$C$5:$C$75,$C252,'2.생활용수(부적)'!$Q$5:$Q$75)</f>
        <v>0</v>
      </c>
      <c r="L252" s="81">
        <f>SUMIF('2.생활용수(연산)'!$C$5:$C$220,$C252,'2.생활용수(연산)'!$Q$5:$Q$220)</f>
        <v>0</v>
      </c>
      <c r="M252" s="81">
        <f>SUMIF('2.생활용수(채운)'!$C$5:$C$63,$C252,'2.생활용수(채운)'!$Q$5:$Q$63)</f>
        <v>0</v>
      </c>
      <c r="N252" s="81">
        <f>SUMIF('2.생활용수(강경)'!$C$5:$C$60,$C252,'2.생활용수(강경)'!$Q$5:$Q$60)</f>
        <v>0</v>
      </c>
      <c r="O252" s="81"/>
    </row>
    <row r="253" spans="1:15" ht="20.100000000000001" customHeight="1">
      <c r="A253" s="442" t="s">
        <v>706</v>
      </c>
      <c r="B253" s="442" t="s">
        <v>2146</v>
      </c>
      <c r="C253" s="443" t="s">
        <v>2147</v>
      </c>
      <c r="D253" s="81">
        <f t="shared" si="4"/>
        <v>10</v>
      </c>
      <c r="E253" s="81">
        <f>SUMIF('2.생활용수(광석)'!$C$5:$C$56,C253,'2.생활용수(광석)'!$Q$5:$Q$56)</f>
        <v>0</v>
      </c>
      <c r="F253" s="81">
        <f>SUMIF('2.생활용수(성동)'!$C$5:$C$60,$C253,'2.생활용수(성동)'!$Q$5:$Q$60)</f>
        <v>0</v>
      </c>
      <c r="G253" s="81">
        <f>SUMIF('2.생활용수(봉화)'!$C$5:$C$18,$C253,'2.생활용수(봉화)'!$Q$5:$Q$18)</f>
        <v>0</v>
      </c>
      <c r="H253" s="81">
        <f>SUMIF('2.생활용수(논산)'!$C$5:$C$28,$C253,'2.생활용수(논산)'!$Q$5:$Q$28)</f>
        <v>0</v>
      </c>
      <c r="I253" s="81">
        <f>SUMIF('2.생활용수(연무)'!$C$5:$C$123,$C253,'2.생활용수(연무)'!$Q$5:$Q$123)</f>
        <v>0</v>
      </c>
      <c r="J253" s="81">
        <f>SUMIF('2.생활용수(마산)'!$C$5:$C$115,$C253,'2.생활용수(마산)'!$Q$5:$Q$115)</f>
        <v>0</v>
      </c>
      <c r="K253" s="81">
        <f>SUMIF('2.생활용수(부적)'!$C$5:$C$75,$C253,'2.생활용수(부적)'!$Q$5:$Q$75)</f>
        <v>0</v>
      </c>
      <c r="L253" s="81">
        <f>SUMIF('2.생활용수(연산)'!$C$5:$C$220,$C253,'2.생활용수(연산)'!$Q$5:$Q$220)</f>
        <v>10</v>
      </c>
      <c r="M253" s="81">
        <f>SUMIF('2.생활용수(채운)'!$C$5:$C$63,$C253,'2.생활용수(채운)'!$Q$5:$Q$63)</f>
        <v>0</v>
      </c>
      <c r="N253" s="81">
        <f>SUMIF('2.생활용수(강경)'!$C$5:$C$60,$C253,'2.생활용수(강경)'!$Q$5:$Q$60)</f>
        <v>0</v>
      </c>
      <c r="O253" s="81"/>
    </row>
    <row r="254" spans="1:15" ht="20.100000000000001" customHeight="1">
      <c r="A254" s="442" t="s">
        <v>2148</v>
      </c>
      <c r="B254" s="442" t="s">
        <v>2146</v>
      </c>
      <c r="C254" s="443" t="s">
        <v>2149</v>
      </c>
      <c r="D254" s="81">
        <f t="shared" si="4"/>
        <v>42</v>
      </c>
      <c r="E254" s="81">
        <f>SUMIF('2.생활용수(광석)'!$C$5:$C$56,C254,'2.생활용수(광석)'!$Q$5:$Q$56)</f>
        <v>0</v>
      </c>
      <c r="F254" s="81">
        <f>SUMIF('2.생활용수(성동)'!$C$5:$C$60,$C254,'2.생활용수(성동)'!$Q$5:$Q$60)</f>
        <v>0</v>
      </c>
      <c r="G254" s="81">
        <f>SUMIF('2.생활용수(봉화)'!$C$5:$C$18,$C254,'2.생활용수(봉화)'!$Q$5:$Q$18)</f>
        <v>0</v>
      </c>
      <c r="H254" s="81">
        <f>SUMIF('2.생활용수(논산)'!$C$5:$C$28,$C254,'2.생활용수(논산)'!$Q$5:$Q$28)</f>
        <v>0</v>
      </c>
      <c r="I254" s="81">
        <f>SUMIF('2.생활용수(연무)'!$C$5:$C$123,$C254,'2.생활용수(연무)'!$Q$5:$Q$123)</f>
        <v>0</v>
      </c>
      <c r="J254" s="81">
        <f>SUMIF('2.생활용수(마산)'!$C$5:$C$115,$C254,'2.생활용수(마산)'!$Q$5:$Q$115)</f>
        <v>0</v>
      </c>
      <c r="K254" s="81">
        <f>SUMIF('2.생활용수(부적)'!$C$5:$C$75,$C254,'2.생활용수(부적)'!$Q$5:$Q$75)</f>
        <v>0</v>
      </c>
      <c r="L254" s="81">
        <f>SUMIF('2.생활용수(연산)'!$C$5:$C$220,$C254,'2.생활용수(연산)'!$Q$5:$Q$220)</f>
        <v>42</v>
      </c>
      <c r="M254" s="81">
        <f>SUMIF('2.생활용수(채운)'!$C$5:$C$63,$C254,'2.생활용수(채운)'!$Q$5:$Q$63)</f>
        <v>0</v>
      </c>
      <c r="N254" s="81">
        <f>SUMIF('2.생활용수(강경)'!$C$5:$C$60,$C254,'2.생활용수(강경)'!$Q$5:$Q$60)</f>
        <v>0</v>
      </c>
      <c r="O254" s="81"/>
    </row>
    <row r="255" spans="1:15" ht="20.100000000000001" customHeight="1">
      <c r="A255" s="442" t="s">
        <v>2148</v>
      </c>
      <c r="B255" s="442" t="s">
        <v>2150</v>
      </c>
      <c r="C255" s="443" t="s">
        <v>2151</v>
      </c>
      <c r="D255" s="81">
        <f t="shared" si="4"/>
        <v>0</v>
      </c>
      <c r="E255" s="81">
        <f>SUMIF('2.생활용수(광석)'!$C$5:$C$56,C255,'2.생활용수(광석)'!$Q$5:$Q$56)</f>
        <v>0</v>
      </c>
      <c r="F255" s="81">
        <f>SUMIF('2.생활용수(성동)'!$C$5:$C$60,$C255,'2.생활용수(성동)'!$Q$5:$Q$60)</f>
        <v>0</v>
      </c>
      <c r="G255" s="81">
        <f>SUMIF('2.생활용수(봉화)'!$C$5:$C$18,$C255,'2.생활용수(봉화)'!$Q$5:$Q$18)</f>
        <v>0</v>
      </c>
      <c r="H255" s="81">
        <f>SUMIF('2.생활용수(논산)'!$C$5:$C$28,$C255,'2.생활용수(논산)'!$Q$5:$Q$28)</f>
        <v>0</v>
      </c>
      <c r="I255" s="81">
        <f>SUMIF('2.생활용수(연무)'!$C$5:$C$123,$C255,'2.생활용수(연무)'!$Q$5:$Q$123)</f>
        <v>0</v>
      </c>
      <c r="J255" s="81">
        <f>SUMIF('2.생활용수(마산)'!$C$5:$C$115,$C255,'2.생활용수(마산)'!$Q$5:$Q$115)</f>
        <v>0</v>
      </c>
      <c r="K255" s="81">
        <f>SUMIF('2.생활용수(부적)'!$C$5:$C$75,$C255,'2.생활용수(부적)'!$Q$5:$Q$75)</f>
        <v>0</v>
      </c>
      <c r="L255" s="81">
        <f>SUMIF('2.생활용수(연산)'!$C$5:$C$220,$C255,'2.생활용수(연산)'!$Q$5:$Q$220)</f>
        <v>0</v>
      </c>
      <c r="M255" s="81">
        <f>SUMIF('2.생활용수(채운)'!$C$5:$C$63,$C255,'2.생활용수(채운)'!$Q$5:$Q$63)</f>
        <v>0</v>
      </c>
      <c r="N255" s="81">
        <f>SUMIF('2.생활용수(강경)'!$C$5:$C$60,$C255,'2.생활용수(강경)'!$Q$5:$Q$60)</f>
        <v>0</v>
      </c>
      <c r="O255" s="81"/>
    </row>
    <row r="256" spans="1:15" ht="20.100000000000001" customHeight="1">
      <c r="A256" s="442" t="s">
        <v>2148</v>
      </c>
      <c r="B256" s="442" t="s">
        <v>2150</v>
      </c>
      <c r="C256" s="443" t="s">
        <v>2152</v>
      </c>
      <c r="D256" s="81">
        <f t="shared" si="4"/>
        <v>0</v>
      </c>
      <c r="E256" s="81">
        <f>SUMIF('2.생활용수(광석)'!$C$5:$C$56,C256,'2.생활용수(광석)'!$Q$5:$Q$56)</f>
        <v>0</v>
      </c>
      <c r="F256" s="81">
        <f>SUMIF('2.생활용수(성동)'!$C$5:$C$60,$C256,'2.생활용수(성동)'!$Q$5:$Q$60)</f>
        <v>0</v>
      </c>
      <c r="G256" s="81">
        <f>SUMIF('2.생활용수(봉화)'!$C$5:$C$18,$C256,'2.생활용수(봉화)'!$Q$5:$Q$18)</f>
        <v>0</v>
      </c>
      <c r="H256" s="81">
        <f>SUMIF('2.생활용수(논산)'!$C$5:$C$28,$C256,'2.생활용수(논산)'!$Q$5:$Q$28)</f>
        <v>0</v>
      </c>
      <c r="I256" s="81">
        <f>SUMIF('2.생활용수(연무)'!$C$5:$C$123,$C256,'2.생활용수(연무)'!$Q$5:$Q$123)</f>
        <v>0</v>
      </c>
      <c r="J256" s="81">
        <f>SUMIF('2.생활용수(마산)'!$C$5:$C$115,$C256,'2.생활용수(마산)'!$Q$5:$Q$115)</f>
        <v>0</v>
      </c>
      <c r="K256" s="81">
        <f>SUMIF('2.생활용수(부적)'!$C$5:$C$75,$C256,'2.생활용수(부적)'!$Q$5:$Q$75)</f>
        <v>0</v>
      </c>
      <c r="L256" s="81">
        <f>SUMIF('2.생활용수(연산)'!$C$5:$C$220,$C256,'2.생활용수(연산)'!$Q$5:$Q$220)</f>
        <v>0</v>
      </c>
      <c r="M256" s="81">
        <f>SUMIF('2.생활용수(채운)'!$C$5:$C$63,$C256,'2.생활용수(채운)'!$Q$5:$Q$63)</f>
        <v>0</v>
      </c>
      <c r="N256" s="81">
        <f>SUMIF('2.생활용수(강경)'!$C$5:$C$60,$C256,'2.생활용수(강경)'!$Q$5:$Q$60)</f>
        <v>0</v>
      </c>
      <c r="O256" s="81"/>
    </row>
    <row r="257" spans="1:15" ht="20.100000000000001" customHeight="1">
      <c r="A257" s="442" t="s">
        <v>2148</v>
      </c>
      <c r="B257" s="442" t="s">
        <v>2153</v>
      </c>
      <c r="C257" s="443" t="s">
        <v>2154</v>
      </c>
      <c r="D257" s="81">
        <f t="shared" si="4"/>
        <v>0</v>
      </c>
      <c r="E257" s="81">
        <f>SUMIF('2.생활용수(광석)'!$C$5:$C$56,C257,'2.생활용수(광석)'!$Q$5:$Q$56)</f>
        <v>0</v>
      </c>
      <c r="F257" s="81">
        <f>SUMIF('2.생활용수(성동)'!$C$5:$C$60,$C257,'2.생활용수(성동)'!$Q$5:$Q$60)</f>
        <v>0</v>
      </c>
      <c r="G257" s="81">
        <f>SUMIF('2.생활용수(봉화)'!$C$5:$C$18,$C257,'2.생활용수(봉화)'!$Q$5:$Q$18)</f>
        <v>0</v>
      </c>
      <c r="H257" s="81">
        <f>SUMIF('2.생활용수(논산)'!$C$5:$C$28,$C257,'2.생활용수(논산)'!$Q$5:$Q$28)</f>
        <v>0</v>
      </c>
      <c r="I257" s="81">
        <f>SUMIF('2.생활용수(연무)'!$C$5:$C$123,$C257,'2.생활용수(연무)'!$Q$5:$Q$123)</f>
        <v>0</v>
      </c>
      <c r="J257" s="81">
        <f>SUMIF('2.생활용수(마산)'!$C$5:$C$115,$C257,'2.생활용수(마산)'!$Q$5:$Q$115)</f>
        <v>0</v>
      </c>
      <c r="K257" s="81">
        <f>SUMIF('2.생활용수(부적)'!$C$5:$C$75,$C257,'2.생활용수(부적)'!$Q$5:$Q$75)</f>
        <v>0</v>
      </c>
      <c r="L257" s="81">
        <f>SUMIF('2.생활용수(연산)'!$C$5:$C$220,$C257,'2.생활용수(연산)'!$Q$5:$Q$220)</f>
        <v>0</v>
      </c>
      <c r="M257" s="81">
        <f>SUMIF('2.생활용수(채운)'!$C$5:$C$63,$C257,'2.생활용수(채운)'!$Q$5:$Q$63)</f>
        <v>0</v>
      </c>
      <c r="N257" s="81">
        <f>SUMIF('2.생활용수(강경)'!$C$5:$C$60,$C257,'2.생활용수(강경)'!$Q$5:$Q$60)</f>
        <v>0</v>
      </c>
      <c r="O257" s="81"/>
    </row>
    <row r="258" spans="1:15" ht="20.100000000000001" customHeight="1">
      <c r="A258" s="442" t="s">
        <v>2148</v>
      </c>
      <c r="B258" s="442" t="s">
        <v>2153</v>
      </c>
      <c r="C258" s="443" t="s">
        <v>2155</v>
      </c>
      <c r="D258" s="81">
        <f t="shared" si="4"/>
        <v>0</v>
      </c>
      <c r="E258" s="81">
        <f>SUMIF('2.생활용수(광석)'!$C$5:$C$56,C258,'2.생활용수(광석)'!$Q$5:$Q$56)</f>
        <v>0</v>
      </c>
      <c r="F258" s="81">
        <f>SUMIF('2.생활용수(성동)'!$C$5:$C$60,$C258,'2.생활용수(성동)'!$Q$5:$Q$60)</f>
        <v>0</v>
      </c>
      <c r="G258" s="81">
        <f>SUMIF('2.생활용수(봉화)'!$C$5:$C$18,$C258,'2.생활용수(봉화)'!$Q$5:$Q$18)</f>
        <v>0</v>
      </c>
      <c r="H258" s="81">
        <f>SUMIF('2.생활용수(논산)'!$C$5:$C$28,$C258,'2.생활용수(논산)'!$Q$5:$Q$28)</f>
        <v>0</v>
      </c>
      <c r="I258" s="81">
        <f>SUMIF('2.생활용수(연무)'!$C$5:$C$123,$C258,'2.생활용수(연무)'!$Q$5:$Q$123)</f>
        <v>0</v>
      </c>
      <c r="J258" s="81">
        <f>SUMIF('2.생활용수(마산)'!$C$5:$C$115,$C258,'2.생활용수(마산)'!$Q$5:$Q$115)</f>
        <v>0</v>
      </c>
      <c r="K258" s="81">
        <f>SUMIF('2.생활용수(부적)'!$C$5:$C$75,$C258,'2.생활용수(부적)'!$Q$5:$Q$75)</f>
        <v>0</v>
      </c>
      <c r="L258" s="81">
        <f>SUMIF('2.생활용수(연산)'!$C$5:$C$220,$C258,'2.생활용수(연산)'!$Q$5:$Q$220)</f>
        <v>0</v>
      </c>
      <c r="M258" s="81">
        <f>SUMIF('2.생활용수(채운)'!$C$5:$C$63,$C258,'2.생활용수(채운)'!$Q$5:$Q$63)</f>
        <v>0</v>
      </c>
      <c r="N258" s="81">
        <f>SUMIF('2.생활용수(강경)'!$C$5:$C$60,$C258,'2.생활용수(강경)'!$Q$5:$Q$60)</f>
        <v>0</v>
      </c>
      <c r="O258" s="81"/>
    </row>
    <row r="259" spans="1:15" ht="20.100000000000001" customHeight="1">
      <c r="A259" s="442" t="s">
        <v>2148</v>
      </c>
      <c r="B259" s="444" t="s">
        <v>2156</v>
      </c>
      <c r="C259" s="443" t="s">
        <v>2157</v>
      </c>
      <c r="D259" s="81">
        <f t="shared" si="4"/>
        <v>31</v>
      </c>
      <c r="E259" s="81">
        <f>SUMIF('2.생활용수(광석)'!$C$5:$C$56,C259,'2.생활용수(광석)'!$Q$5:$Q$56)</f>
        <v>0</v>
      </c>
      <c r="F259" s="81">
        <f>SUMIF('2.생활용수(성동)'!$C$5:$C$60,$C259,'2.생활용수(성동)'!$Q$5:$Q$60)</f>
        <v>0</v>
      </c>
      <c r="G259" s="81">
        <f>SUMIF('2.생활용수(봉화)'!$C$5:$C$18,$C259,'2.생활용수(봉화)'!$Q$5:$Q$18)</f>
        <v>0</v>
      </c>
      <c r="H259" s="81">
        <f>SUMIF('2.생활용수(논산)'!$C$5:$C$28,$C259,'2.생활용수(논산)'!$Q$5:$Q$28)</f>
        <v>0</v>
      </c>
      <c r="I259" s="81">
        <f>SUMIF('2.생활용수(연무)'!$C$5:$C$123,$C259,'2.생활용수(연무)'!$Q$5:$Q$123)</f>
        <v>0</v>
      </c>
      <c r="J259" s="81">
        <f>SUMIF('2.생활용수(마산)'!$C$5:$C$115,$C259,'2.생활용수(마산)'!$Q$5:$Q$115)</f>
        <v>0</v>
      </c>
      <c r="K259" s="81">
        <f>SUMIF('2.생활용수(부적)'!$C$5:$C$75,$C259,'2.생활용수(부적)'!$Q$5:$Q$75)</f>
        <v>0</v>
      </c>
      <c r="L259" s="81">
        <f>SUMIF('2.생활용수(연산)'!$C$5:$C$220,$C259,'2.생활용수(연산)'!$Q$5:$Q$220)</f>
        <v>31</v>
      </c>
      <c r="M259" s="81">
        <f>SUMIF('2.생활용수(채운)'!$C$5:$C$63,$C259,'2.생활용수(채운)'!$Q$5:$Q$63)</f>
        <v>0</v>
      </c>
      <c r="N259" s="81">
        <f>SUMIF('2.생활용수(강경)'!$C$5:$C$60,$C259,'2.생활용수(강경)'!$Q$5:$Q$60)</f>
        <v>0</v>
      </c>
      <c r="O259" s="81"/>
    </row>
    <row r="260" spans="1:15" ht="20.100000000000001" customHeight="1">
      <c r="A260" s="442" t="s">
        <v>2148</v>
      </c>
      <c r="B260" s="442" t="s">
        <v>2158</v>
      </c>
      <c r="C260" s="443" t="s">
        <v>2159</v>
      </c>
      <c r="D260" s="81">
        <f t="shared" si="4"/>
        <v>0</v>
      </c>
      <c r="E260" s="81">
        <f>SUMIF('2.생활용수(광석)'!$C$5:$C$56,C260,'2.생활용수(광석)'!$Q$5:$Q$56)</f>
        <v>0</v>
      </c>
      <c r="F260" s="81">
        <f>SUMIF('2.생활용수(성동)'!$C$5:$C$60,$C260,'2.생활용수(성동)'!$Q$5:$Q$60)</f>
        <v>0</v>
      </c>
      <c r="G260" s="81">
        <f>SUMIF('2.생활용수(봉화)'!$C$5:$C$18,$C260,'2.생활용수(봉화)'!$Q$5:$Q$18)</f>
        <v>0</v>
      </c>
      <c r="H260" s="81">
        <f>SUMIF('2.생활용수(논산)'!$C$5:$C$28,$C260,'2.생활용수(논산)'!$Q$5:$Q$28)</f>
        <v>0</v>
      </c>
      <c r="I260" s="81">
        <f>SUMIF('2.생활용수(연무)'!$C$5:$C$123,$C260,'2.생활용수(연무)'!$Q$5:$Q$123)</f>
        <v>0</v>
      </c>
      <c r="J260" s="81">
        <f>SUMIF('2.생활용수(마산)'!$C$5:$C$115,$C260,'2.생활용수(마산)'!$Q$5:$Q$115)</f>
        <v>0</v>
      </c>
      <c r="K260" s="81">
        <f>SUMIF('2.생활용수(부적)'!$C$5:$C$75,$C260,'2.생활용수(부적)'!$Q$5:$Q$75)</f>
        <v>0</v>
      </c>
      <c r="L260" s="81">
        <f>SUMIF('2.생활용수(연산)'!$C$5:$C$220,$C260,'2.생활용수(연산)'!$Q$5:$Q$220)</f>
        <v>0</v>
      </c>
      <c r="M260" s="81">
        <f>SUMIF('2.생활용수(채운)'!$C$5:$C$63,$C260,'2.생활용수(채운)'!$Q$5:$Q$63)</f>
        <v>0</v>
      </c>
      <c r="N260" s="81">
        <f>SUMIF('2.생활용수(강경)'!$C$5:$C$60,$C260,'2.생활용수(강경)'!$Q$5:$Q$60)</f>
        <v>0</v>
      </c>
      <c r="O260" s="81"/>
    </row>
    <row r="261" spans="1:15" ht="20.100000000000001" customHeight="1">
      <c r="A261" s="442" t="s">
        <v>2148</v>
      </c>
      <c r="B261" s="442" t="s">
        <v>2158</v>
      </c>
      <c r="C261" s="443" t="s">
        <v>2160</v>
      </c>
      <c r="D261" s="81">
        <f t="shared" ref="D261:D324" si="5">SUM(E261:O261)</f>
        <v>0</v>
      </c>
      <c r="E261" s="81">
        <f>SUMIF('2.생활용수(광석)'!$C$5:$C$56,C261,'2.생활용수(광석)'!$Q$5:$Q$56)</f>
        <v>0</v>
      </c>
      <c r="F261" s="81">
        <f>SUMIF('2.생활용수(성동)'!$C$5:$C$60,$C261,'2.생활용수(성동)'!$Q$5:$Q$60)</f>
        <v>0</v>
      </c>
      <c r="G261" s="81">
        <f>SUMIF('2.생활용수(봉화)'!$C$5:$C$18,$C261,'2.생활용수(봉화)'!$Q$5:$Q$18)</f>
        <v>0</v>
      </c>
      <c r="H261" s="81">
        <f>SUMIF('2.생활용수(논산)'!$C$5:$C$28,$C261,'2.생활용수(논산)'!$Q$5:$Q$28)</f>
        <v>0</v>
      </c>
      <c r="I261" s="81">
        <f>SUMIF('2.생활용수(연무)'!$C$5:$C$123,$C261,'2.생활용수(연무)'!$Q$5:$Q$123)</f>
        <v>0</v>
      </c>
      <c r="J261" s="81">
        <f>SUMIF('2.생활용수(마산)'!$C$5:$C$115,$C261,'2.생활용수(마산)'!$Q$5:$Q$115)</f>
        <v>0</v>
      </c>
      <c r="K261" s="81">
        <f>SUMIF('2.생활용수(부적)'!$C$5:$C$75,$C261,'2.생활용수(부적)'!$Q$5:$Q$75)</f>
        <v>0</v>
      </c>
      <c r="L261" s="81">
        <f>SUMIF('2.생활용수(연산)'!$C$5:$C$220,$C261,'2.생활용수(연산)'!$Q$5:$Q$220)</f>
        <v>0</v>
      </c>
      <c r="M261" s="81">
        <f>SUMIF('2.생활용수(채운)'!$C$5:$C$63,$C261,'2.생활용수(채운)'!$Q$5:$Q$63)</f>
        <v>0</v>
      </c>
      <c r="N261" s="81">
        <f>SUMIF('2.생활용수(강경)'!$C$5:$C$60,$C261,'2.생활용수(강경)'!$Q$5:$Q$60)</f>
        <v>0</v>
      </c>
      <c r="O261" s="81"/>
    </row>
    <row r="262" spans="1:15" ht="20.100000000000001" customHeight="1">
      <c r="A262" s="442" t="s">
        <v>2148</v>
      </c>
      <c r="B262" s="442" t="s">
        <v>2161</v>
      </c>
      <c r="C262" s="443" t="s">
        <v>2162</v>
      </c>
      <c r="D262" s="81">
        <f t="shared" si="5"/>
        <v>0</v>
      </c>
      <c r="E262" s="81">
        <f>SUMIF('2.생활용수(광석)'!$C$5:$C$56,C262,'2.생활용수(광석)'!$Q$5:$Q$56)</f>
        <v>0</v>
      </c>
      <c r="F262" s="81">
        <f>SUMIF('2.생활용수(성동)'!$C$5:$C$60,$C262,'2.생활용수(성동)'!$Q$5:$Q$60)</f>
        <v>0</v>
      </c>
      <c r="G262" s="81">
        <f>SUMIF('2.생활용수(봉화)'!$C$5:$C$18,$C262,'2.생활용수(봉화)'!$Q$5:$Q$18)</f>
        <v>0</v>
      </c>
      <c r="H262" s="81">
        <f>SUMIF('2.생활용수(논산)'!$C$5:$C$28,$C262,'2.생활용수(논산)'!$Q$5:$Q$28)</f>
        <v>0</v>
      </c>
      <c r="I262" s="81">
        <f>SUMIF('2.생활용수(연무)'!$C$5:$C$123,$C262,'2.생활용수(연무)'!$Q$5:$Q$123)</f>
        <v>0</v>
      </c>
      <c r="J262" s="81">
        <f>SUMIF('2.생활용수(마산)'!$C$5:$C$115,$C262,'2.생활용수(마산)'!$Q$5:$Q$115)</f>
        <v>0</v>
      </c>
      <c r="K262" s="81">
        <f>SUMIF('2.생활용수(부적)'!$C$5:$C$75,$C262,'2.생활용수(부적)'!$Q$5:$Q$75)</f>
        <v>0</v>
      </c>
      <c r="L262" s="81">
        <f>SUMIF('2.생활용수(연산)'!$C$5:$C$220,$C262,'2.생활용수(연산)'!$Q$5:$Q$220)</f>
        <v>0</v>
      </c>
      <c r="M262" s="81">
        <f>SUMIF('2.생활용수(채운)'!$C$5:$C$63,$C262,'2.생활용수(채운)'!$Q$5:$Q$63)</f>
        <v>0</v>
      </c>
      <c r="N262" s="81">
        <f>SUMIF('2.생활용수(강경)'!$C$5:$C$60,$C262,'2.생활용수(강경)'!$Q$5:$Q$60)</f>
        <v>0</v>
      </c>
      <c r="O262" s="81"/>
    </row>
    <row r="263" spans="1:15" ht="20.100000000000001" customHeight="1">
      <c r="A263" s="442" t="s">
        <v>2148</v>
      </c>
      <c r="B263" s="442" t="s">
        <v>2161</v>
      </c>
      <c r="C263" s="443" t="s">
        <v>2163</v>
      </c>
      <c r="D263" s="81">
        <f t="shared" si="5"/>
        <v>0</v>
      </c>
      <c r="E263" s="81">
        <f>SUMIF('2.생활용수(광석)'!$C$5:$C$56,C263,'2.생활용수(광석)'!$Q$5:$Q$56)</f>
        <v>0</v>
      </c>
      <c r="F263" s="81">
        <f>SUMIF('2.생활용수(성동)'!$C$5:$C$60,$C263,'2.생활용수(성동)'!$Q$5:$Q$60)</f>
        <v>0</v>
      </c>
      <c r="G263" s="81">
        <f>SUMIF('2.생활용수(봉화)'!$C$5:$C$18,$C263,'2.생활용수(봉화)'!$Q$5:$Q$18)</f>
        <v>0</v>
      </c>
      <c r="H263" s="81">
        <f>SUMIF('2.생활용수(논산)'!$C$5:$C$28,$C263,'2.생활용수(논산)'!$Q$5:$Q$28)</f>
        <v>0</v>
      </c>
      <c r="I263" s="81">
        <f>SUMIF('2.생활용수(연무)'!$C$5:$C$123,$C263,'2.생활용수(연무)'!$Q$5:$Q$123)</f>
        <v>0</v>
      </c>
      <c r="J263" s="81">
        <f>SUMIF('2.생활용수(마산)'!$C$5:$C$115,$C263,'2.생활용수(마산)'!$Q$5:$Q$115)</f>
        <v>0</v>
      </c>
      <c r="K263" s="81">
        <f>SUMIF('2.생활용수(부적)'!$C$5:$C$75,$C263,'2.생활용수(부적)'!$Q$5:$Q$75)</f>
        <v>0</v>
      </c>
      <c r="L263" s="81">
        <f>SUMIF('2.생활용수(연산)'!$C$5:$C$220,$C263,'2.생활용수(연산)'!$Q$5:$Q$220)</f>
        <v>0</v>
      </c>
      <c r="M263" s="81">
        <f>SUMIF('2.생활용수(채운)'!$C$5:$C$63,$C263,'2.생활용수(채운)'!$Q$5:$Q$63)</f>
        <v>0</v>
      </c>
      <c r="N263" s="81">
        <f>SUMIF('2.생활용수(강경)'!$C$5:$C$60,$C263,'2.생활용수(강경)'!$Q$5:$Q$60)</f>
        <v>0</v>
      </c>
      <c r="O263" s="81"/>
    </row>
    <row r="264" spans="1:15" ht="20.100000000000001" customHeight="1">
      <c r="A264" s="442" t="s">
        <v>2148</v>
      </c>
      <c r="B264" s="442" t="s">
        <v>2164</v>
      </c>
      <c r="C264" s="443" t="s">
        <v>2165</v>
      </c>
      <c r="D264" s="81">
        <f t="shared" si="5"/>
        <v>84</v>
      </c>
      <c r="E264" s="81">
        <f>SUMIF('2.생활용수(광석)'!$C$5:$C$56,C264,'2.생활용수(광석)'!$Q$5:$Q$56)</f>
        <v>0</v>
      </c>
      <c r="F264" s="81">
        <f>SUMIF('2.생활용수(성동)'!$C$5:$C$60,$C264,'2.생활용수(성동)'!$Q$5:$Q$60)</f>
        <v>0</v>
      </c>
      <c r="G264" s="81">
        <f>SUMIF('2.생활용수(봉화)'!$C$5:$C$18,$C264,'2.생활용수(봉화)'!$Q$5:$Q$18)</f>
        <v>0</v>
      </c>
      <c r="H264" s="81">
        <f>SUMIF('2.생활용수(논산)'!$C$5:$C$28,$C264,'2.생활용수(논산)'!$Q$5:$Q$28)</f>
        <v>0</v>
      </c>
      <c r="I264" s="81">
        <f>SUMIF('2.생활용수(연무)'!$C$5:$C$123,$C264,'2.생활용수(연무)'!$Q$5:$Q$123)</f>
        <v>0</v>
      </c>
      <c r="J264" s="81">
        <f>SUMIF('2.생활용수(마산)'!$C$5:$C$115,$C264,'2.생활용수(마산)'!$Q$5:$Q$115)</f>
        <v>0</v>
      </c>
      <c r="K264" s="81">
        <f>SUMIF('2.생활용수(부적)'!$C$5:$C$75,$C264,'2.생활용수(부적)'!$Q$5:$Q$75)</f>
        <v>0</v>
      </c>
      <c r="L264" s="81">
        <f>SUMIF('2.생활용수(연산)'!$C$5:$C$220,$C264,'2.생활용수(연산)'!$Q$5:$Q$220)</f>
        <v>84</v>
      </c>
      <c r="M264" s="81">
        <f>SUMIF('2.생활용수(채운)'!$C$5:$C$63,$C264,'2.생활용수(채운)'!$Q$5:$Q$63)</f>
        <v>0</v>
      </c>
      <c r="N264" s="81">
        <f>SUMIF('2.생활용수(강경)'!$C$5:$C$60,$C264,'2.생활용수(강경)'!$Q$5:$Q$60)</f>
        <v>0</v>
      </c>
      <c r="O264" s="81"/>
    </row>
    <row r="265" spans="1:15" ht="20.100000000000001" customHeight="1">
      <c r="A265" s="442" t="s">
        <v>2148</v>
      </c>
      <c r="B265" s="442" t="s">
        <v>2164</v>
      </c>
      <c r="C265" s="443" t="s">
        <v>2166</v>
      </c>
      <c r="D265" s="81">
        <f t="shared" si="5"/>
        <v>0</v>
      </c>
      <c r="E265" s="81">
        <f>SUMIF('2.생활용수(광석)'!$C$5:$C$56,C265,'2.생활용수(광석)'!$Q$5:$Q$56)</f>
        <v>0</v>
      </c>
      <c r="F265" s="81">
        <f>SUMIF('2.생활용수(성동)'!$C$5:$C$60,$C265,'2.생활용수(성동)'!$Q$5:$Q$60)</f>
        <v>0</v>
      </c>
      <c r="G265" s="81">
        <f>SUMIF('2.생활용수(봉화)'!$C$5:$C$18,$C265,'2.생활용수(봉화)'!$Q$5:$Q$18)</f>
        <v>0</v>
      </c>
      <c r="H265" s="81">
        <f>SUMIF('2.생활용수(논산)'!$C$5:$C$28,$C265,'2.생활용수(논산)'!$Q$5:$Q$28)</f>
        <v>0</v>
      </c>
      <c r="I265" s="81">
        <f>SUMIF('2.생활용수(연무)'!$C$5:$C$123,$C265,'2.생활용수(연무)'!$Q$5:$Q$123)</f>
        <v>0</v>
      </c>
      <c r="J265" s="81">
        <f>SUMIF('2.생활용수(마산)'!$C$5:$C$115,$C265,'2.생활용수(마산)'!$Q$5:$Q$115)</f>
        <v>0</v>
      </c>
      <c r="K265" s="81">
        <f>SUMIF('2.생활용수(부적)'!$C$5:$C$75,$C265,'2.생활용수(부적)'!$Q$5:$Q$75)</f>
        <v>0</v>
      </c>
      <c r="L265" s="81">
        <f>SUMIF('2.생활용수(연산)'!$C$5:$C$220,$C265,'2.생활용수(연산)'!$Q$5:$Q$220)</f>
        <v>0</v>
      </c>
      <c r="M265" s="81">
        <f>SUMIF('2.생활용수(채운)'!$C$5:$C$63,$C265,'2.생활용수(채운)'!$Q$5:$Q$63)</f>
        <v>0</v>
      </c>
      <c r="N265" s="81">
        <f>SUMIF('2.생활용수(강경)'!$C$5:$C$60,$C265,'2.생활용수(강경)'!$Q$5:$Q$60)</f>
        <v>0</v>
      </c>
      <c r="O265" s="81"/>
    </row>
    <row r="266" spans="1:15" ht="20.100000000000001" customHeight="1">
      <c r="A266" s="442" t="s">
        <v>2148</v>
      </c>
      <c r="B266" s="442" t="s">
        <v>2164</v>
      </c>
      <c r="C266" s="443" t="s">
        <v>2167</v>
      </c>
      <c r="D266" s="81">
        <f t="shared" si="5"/>
        <v>0</v>
      </c>
      <c r="E266" s="81">
        <f>SUMIF('2.생활용수(광석)'!$C$5:$C$56,C266,'2.생활용수(광석)'!$Q$5:$Q$56)</f>
        <v>0</v>
      </c>
      <c r="F266" s="81">
        <f>SUMIF('2.생활용수(성동)'!$C$5:$C$60,$C266,'2.생활용수(성동)'!$Q$5:$Q$60)</f>
        <v>0</v>
      </c>
      <c r="G266" s="81">
        <f>SUMIF('2.생활용수(봉화)'!$C$5:$C$18,$C266,'2.생활용수(봉화)'!$Q$5:$Q$18)</f>
        <v>0</v>
      </c>
      <c r="H266" s="81">
        <f>SUMIF('2.생활용수(논산)'!$C$5:$C$28,$C266,'2.생활용수(논산)'!$Q$5:$Q$28)</f>
        <v>0</v>
      </c>
      <c r="I266" s="81">
        <f>SUMIF('2.생활용수(연무)'!$C$5:$C$123,$C266,'2.생활용수(연무)'!$Q$5:$Q$123)</f>
        <v>0</v>
      </c>
      <c r="J266" s="81">
        <f>SUMIF('2.생활용수(마산)'!$C$5:$C$115,$C266,'2.생활용수(마산)'!$Q$5:$Q$115)</f>
        <v>0</v>
      </c>
      <c r="K266" s="81">
        <f>SUMIF('2.생활용수(부적)'!$C$5:$C$75,$C266,'2.생활용수(부적)'!$Q$5:$Q$75)</f>
        <v>0</v>
      </c>
      <c r="L266" s="81">
        <f>SUMIF('2.생활용수(연산)'!$C$5:$C$220,$C266,'2.생활용수(연산)'!$Q$5:$Q$220)</f>
        <v>0</v>
      </c>
      <c r="M266" s="81">
        <f>SUMIF('2.생활용수(채운)'!$C$5:$C$63,$C266,'2.생활용수(채운)'!$Q$5:$Q$63)</f>
        <v>0</v>
      </c>
      <c r="N266" s="81">
        <f>SUMIF('2.생활용수(강경)'!$C$5:$C$60,$C266,'2.생활용수(강경)'!$Q$5:$Q$60)</f>
        <v>0</v>
      </c>
      <c r="O266" s="81"/>
    </row>
    <row r="267" spans="1:15" ht="20.100000000000001" customHeight="1">
      <c r="A267" s="442" t="s">
        <v>2148</v>
      </c>
      <c r="B267" s="442" t="s">
        <v>2168</v>
      </c>
      <c r="C267" s="443" t="s">
        <v>2169</v>
      </c>
      <c r="D267" s="81">
        <f t="shared" si="5"/>
        <v>0</v>
      </c>
      <c r="E267" s="81">
        <f>SUMIF('2.생활용수(광석)'!$C$5:$C$56,C267,'2.생활용수(광석)'!$Q$5:$Q$56)</f>
        <v>0</v>
      </c>
      <c r="F267" s="81">
        <f>SUMIF('2.생활용수(성동)'!$C$5:$C$60,$C267,'2.생활용수(성동)'!$Q$5:$Q$60)</f>
        <v>0</v>
      </c>
      <c r="G267" s="81">
        <f>SUMIF('2.생활용수(봉화)'!$C$5:$C$18,$C267,'2.생활용수(봉화)'!$Q$5:$Q$18)</f>
        <v>0</v>
      </c>
      <c r="H267" s="81">
        <f>SUMIF('2.생활용수(논산)'!$C$5:$C$28,$C267,'2.생활용수(논산)'!$Q$5:$Q$28)</f>
        <v>0</v>
      </c>
      <c r="I267" s="81">
        <f>SUMIF('2.생활용수(연무)'!$C$5:$C$123,$C267,'2.생활용수(연무)'!$Q$5:$Q$123)</f>
        <v>0</v>
      </c>
      <c r="J267" s="81">
        <f>SUMIF('2.생활용수(마산)'!$C$5:$C$115,$C267,'2.생활용수(마산)'!$Q$5:$Q$115)</f>
        <v>0</v>
      </c>
      <c r="K267" s="81">
        <f>SUMIF('2.생활용수(부적)'!$C$5:$C$75,$C267,'2.생활용수(부적)'!$Q$5:$Q$75)</f>
        <v>0</v>
      </c>
      <c r="L267" s="81">
        <f>SUMIF('2.생활용수(연산)'!$C$5:$C$220,$C267,'2.생활용수(연산)'!$Q$5:$Q$220)</f>
        <v>0</v>
      </c>
      <c r="M267" s="81">
        <f>SUMIF('2.생활용수(채운)'!$C$5:$C$63,$C267,'2.생활용수(채운)'!$Q$5:$Q$63)</f>
        <v>0</v>
      </c>
      <c r="N267" s="81">
        <f>SUMIF('2.생활용수(강경)'!$C$5:$C$60,$C267,'2.생활용수(강경)'!$Q$5:$Q$60)</f>
        <v>0</v>
      </c>
      <c r="O267" s="81"/>
    </row>
    <row r="268" spans="1:15" ht="20.100000000000001" customHeight="1">
      <c r="A268" s="442" t="s">
        <v>2148</v>
      </c>
      <c r="B268" s="442" t="s">
        <v>2168</v>
      </c>
      <c r="C268" s="443" t="s">
        <v>2170</v>
      </c>
      <c r="D268" s="81">
        <f t="shared" si="5"/>
        <v>0</v>
      </c>
      <c r="E268" s="81">
        <f>SUMIF('2.생활용수(광석)'!$C$5:$C$56,C268,'2.생활용수(광석)'!$Q$5:$Q$56)</f>
        <v>0</v>
      </c>
      <c r="F268" s="81">
        <f>SUMIF('2.생활용수(성동)'!$C$5:$C$60,$C268,'2.생활용수(성동)'!$Q$5:$Q$60)</f>
        <v>0</v>
      </c>
      <c r="G268" s="81">
        <f>SUMIF('2.생활용수(봉화)'!$C$5:$C$18,$C268,'2.생활용수(봉화)'!$Q$5:$Q$18)</f>
        <v>0</v>
      </c>
      <c r="H268" s="81">
        <f>SUMIF('2.생활용수(논산)'!$C$5:$C$28,$C268,'2.생활용수(논산)'!$Q$5:$Q$28)</f>
        <v>0</v>
      </c>
      <c r="I268" s="81">
        <f>SUMIF('2.생활용수(연무)'!$C$5:$C$123,$C268,'2.생활용수(연무)'!$Q$5:$Q$123)</f>
        <v>0</v>
      </c>
      <c r="J268" s="81">
        <f>SUMIF('2.생활용수(마산)'!$C$5:$C$115,$C268,'2.생활용수(마산)'!$Q$5:$Q$115)</f>
        <v>0</v>
      </c>
      <c r="K268" s="81">
        <f>SUMIF('2.생활용수(부적)'!$C$5:$C$75,$C268,'2.생활용수(부적)'!$Q$5:$Q$75)</f>
        <v>0</v>
      </c>
      <c r="L268" s="81">
        <f>SUMIF('2.생활용수(연산)'!$C$5:$C$220,$C268,'2.생활용수(연산)'!$Q$5:$Q$220)</f>
        <v>0</v>
      </c>
      <c r="M268" s="81">
        <f>SUMIF('2.생활용수(채운)'!$C$5:$C$63,$C268,'2.생활용수(채운)'!$Q$5:$Q$63)</f>
        <v>0</v>
      </c>
      <c r="N268" s="81">
        <f>SUMIF('2.생활용수(강경)'!$C$5:$C$60,$C268,'2.생활용수(강경)'!$Q$5:$Q$60)</f>
        <v>0</v>
      </c>
      <c r="O268" s="81"/>
    </row>
    <row r="269" spans="1:15" ht="20.100000000000001" customHeight="1">
      <c r="A269" s="442" t="s">
        <v>2148</v>
      </c>
      <c r="B269" s="442" t="s">
        <v>918</v>
      </c>
      <c r="C269" s="443" t="s">
        <v>2171</v>
      </c>
      <c r="D269" s="81">
        <f t="shared" si="5"/>
        <v>0</v>
      </c>
      <c r="E269" s="81">
        <f>SUMIF('2.생활용수(광석)'!$C$5:$C$56,C269,'2.생활용수(광석)'!$Q$5:$Q$56)</f>
        <v>0</v>
      </c>
      <c r="F269" s="81">
        <f>SUMIF('2.생활용수(성동)'!$C$5:$C$60,$C269,'2.생활용수(성동)'!$Q$5:$Q$60)</f>
        <v>0</v>
      </c>
      <c r="G269" s="81">
        <f>SUMIF('2.생활용수(봉화)'!$C$5:$C$18,$C269,'2.생활용수(봉화)'!$Q$5:$Q$18)</f>
        <v>0</v>
      </c>
      <c r="H269" s="81">
        <f>SUMIF('2.생활용수(논산)'!$C$5:$C$28,$C269,'2.생활용수(논산)'!$Q$5:$Q$28)</f>
        <v>0</v>
      </c>
      <c r="I269" s="81">
        <f>SUMIF('2.생활용수(연무)'!$C$5:$C$123,$C269,'2.생활용수(연무)'!$Q$5:$Q$123)</f>
        <v>0</v>
      </c>
      <c r="J269" s="81">
        <f>SUMIF('2.생활용수(마산)'!$C$5:$C$115,$C269,'2.생활용수(마산)'!$Q$5:$Q$115)</f>
        <v>0</v>
      </c>
      <c r="K269" s="81">
        <f>SUMIF('2.생활용수(부적)'!$C$5:$C$75,$C269,'2.생활용수(부적)'!$Q$5:$Q$75)</f>
        <v>0</v>
      </c>
      <c r="L269" s="81">
        <f>SUMIF('2.생활용수(연산)'!$C$5:$C$220,$C269,'2.생활용수(연산)'!$Q$5:$Q$220)</f>
        <v>0</v>
      </c>
      <c r="M269" s="81">
        <f>SUMIF('2.생활용수(채운)'!$C$5:$C$63,$C269,'2.생활용수(채운)'!$Q$5:$Q$63)</f>
        <v>0</v>
      </c>
      <c r="N269" s="81">
        <f>SUMIF('2.생활용수(강경)'!$C$5:$C$60,$C269,'2.생활용수(강경)'!$Q$5:$Q$60)</f>
        <v>0</v>
      </c>
      <c r="O269" s="81"/>
    </row>
    <row r="270" spans="1:15" ht="20.100000000000001" customHeight="1">
      <c r="A270" s="442" t="s">
        <v>2148</v>
      </c>
      <c r="B270" s="442" t="s">
        <v>2168</v>
      </c>
      <c r="C270" s="443" t="s">
        <v>2172</v>
      </c>
      <c r="D270" s="81">
        <f t="shared" si="5"/>
        <v>0</v>
      </c>
      <c r="E270" s="81">
        <f>SUMIF('2.생활용수(광석)'!$C$5:$C$56,C270,'2.생활용수(광석)'!$Q$5:$Q$56)</f>
        <v>0</v>
      </c>
      <c r="F270" s="81">
        <f>SUMIF('2.생활용수(성동)'!$C$5:$C$60,$C270,'2.생활용수(성동)'!$Q$5:$Q$60)</f>
        <v>0</v>
      </c>
      <c r="G270" s="81">
        <f>SUMIF('2.생활용수(봉화)'!$C$5:$C$18,$C270,'2.생활용수(봉화)'!$Q$5:$Q$18)</f>
        <v>0</v>
      </c>
      <c r="H270" s="81">
        <f>SUMIF('2.생활용수(논산)'!$C$5:$C$28,$C270,'2.생활용수(논산)'!$Q$5:$Q$28)</f>
        <v>0</v>
      </c>
      <c r="I270" s="81">
        <f>SUMIF('2.생활용수(연무)'!$C$5:$C$123,$C270,'2.생활용수(연무)'!$Q$5:$Q$123)</f>
        <v>0</v>
      </c>
      <c r="J270" s="81">
        <f>SUMIF('2.생활용수(마산)'!$C$5:$C$115,$C270,'2.생활용수(마산)'!$Q$5:$Q$115)</f>
        <v>0</v>
      </c>
      <c r="K270" s="81">
        <f>SUMIF('2.생활용수(부적)'!$C$5:$C$75,$C270,'2.생활용수(부적)'!$Q$5:$Q$75)</f>
        <v>0</v>
      </c>
      <c r="L270" s="81">
        <f>SUMIF('2.생활용수(연산)'!$C$5:$C$220,$C270,'2.생활용수(연산)'!$Q$5:$Q$220)</f>
        <v>0</v>
      </c>
      <c r="M270" s="81">
        <f>SUMIF('2.생활용수(채운)'!$C$5:$C$63,$C270,'2.생활용수(채운)'!$Q$5:$Q$63)</f>
        <v>0</v>
      </c>
      <c r="N270" s="81">
        <f>SUMIF('2.생활용수(강경)'!$C$5:$C$60,$C270,'2.생활용수(강경)'!$Q$5:$Q$60)</f>
        <v>0</v>
      </c>
      <c r="O270" s="81"/>
    </row>
    <row r="271" spans="1:15" ht="20.100000000000001" customHeight="1">
      <c r="A271" s="442" t="s">
        <v>2148</v>
      </c>
      <c r="B271" s="442" t="s">
        <v>2173</v>
      </c>
      <c r="C271" s="443" t="s">
        <v>2174</v>
      </c>
      <c r="D271" s="81">
        <f t="shared" si="5"/>
        <v>0</v>
      </c>
      <c r="E271" s="81">
        <f>SUMIF('2.생활용수(광석)'!$C$5:$C$56,C271,'2.생활용수(광석)'!$Q$5:$Q$56)</f>
        <v>0</v>
      </c>
      <c r="F271" s="81">
        <f>SUMIF('2.생활용수(성동)'!$C$5:$C$60,$C271,'2.생활용수(성동)'!$Q$5:$Q$60)</f>
        <v>0</v>
      </c>
      <c r="G271" s="81">
        <f>SUMIF('2.생활용수(봉화)'!$C$5:$C$18,$C271,'2.생활용수(봉화)'!$Q$5:$Q$18)</f>
        <v>0</v>
      </c>
      <c r="H271" s="81">
        <f>SUMIF('2.생활용수(논산)'!$C$5:$C$28,$C271,'2.생활용수(논산)'!$Q$5:$Q$28)</f>
        <v>0</v>
      </c>
      <c r="I271" s="81">
        <f>SUMIF('2.생활용수(연무)'!$C$5:$C$123,$C271,'2.생활용수(연무)'!$Q$5:$Q$123)</f>
        <v>0</v>
      </c>
      <c r="J271" s="81">
        <f>SUMIF('2.생활용수(마산)'!$C$5:$C$115,$C271,'2.생활용수(마산)'!$Q$5:$Q$115)</f>
        <v>0</v>
      </c>
      <c r="K271" s="81">
        <f>SUMIF('2.생활용수(부적)'!$C$5:$C$75,$C271,'2.생활용수(부적)'!$Q$5:$Q$75)</f>
        <v>0</v>
      </c>
      <c r="L271" s="81">
        <f>SUMIF('2.생활용수(연산)'!$C$5:$C$220,$C271,'2.생활용수(연산)'!$Q$5:$Q$220)</f>
        <v>0</v>
      </c>
      <c r="M271" s="81">
        <f>SUMIF('2.생활용수(채운)'!$C$5:$C$63,$C271,'2.생활용수(채운)'!$Q$5:$Q$63)</f>
        <v>0</v>
      </c>
      <c r="N271" s="81">
        <f>SUMIF('2.생활용수(강경)'!$C$5:$C$60,$C271,'2.생활용수(강경)'!$Q$5:$Q$60)</f>
        <v>0</v>
      </c>
      <c r="O271" s="81"/>
    </row>
    <row r="272" spans="1:15" ht="20.100000000000001" customHeight="1">
      <c r="A272" s="442" t="s">
        <v>2148</v>
      </c>
      <c r="B272" s="442" t="s">
        <v>2173</v>
      </c>
      <c r="C272" s="443" t="s">
        <v>2175</v>
      </c>
      <c r="D272" s="81">
        <f t="shared" si="5"/>
        <v>0</v>
      </c>
      <c r="E272" s="81">
        <f>SUMIF('2.생활용수(광석)'!$C$5:$C$56,C272,'2.생활용수(광석)'!$Q$5:$Q$56)</f>
        <v>0</v>
      </c>
      <c r="F272" s="81">
        <f>SUMIF('2.생활용수(성동)'!$C$5:$C$60,$C272,'2.생활용수(성동)'!$Q$5:$Q$60)</f>
        <v>0</v>
      </c>
      <c r="G272" s="81">
        <f>SUMIF('2.생활용수(봉화)'!$C$5:$C$18,$C272,'2.생활용수(봉화)'!$Q$5:$Q$18)</f>
        <v>0</v>
      </c>
      <c r="H272" s="81">
        <f>SUMIF('2.생활용수(논산)'!$C$5:$C$28,$C272,'2.생활용수(논산)'!$Q$5:$Q$28)</f>
        <v>0</v>
      </c>
      <c r="I272" s="81">
        <f>SUMIF('2.생활용수(연무)'!$C$5:$C$123,$C272,'2.생활용수(연무)'!$Q$5:$Q$123)</f>
        <v>0</v>
      </c>
      <c r="J272" s="81">
        <f>SUMIF('2.생활용수(마산)'!$C$5:$C$115,$C272,'2.생활용수(마산)'!$Q$5:$Q$115)</f>
        <v>0</v>
      </c>
      <c r="K272" s="81">
        <f>SUMIF('2.생활용수(부적)'!$C$5:$C$75,$C272,'2.생활용수(부적)'!$Q$5:$Q$75)</f>
        <v>0</v>
      </c>
      <c r="L272" s="81">
        <f>SUMIF('2.생활용수(연산)'!$C$5:$C$220,$C272,'2.생활용수(연산)'!$Q$5:$Q$220)</f>
        <v>0</v>
      </c>
      <c r="M272" s="81">
        <f>SUMIF('2.생활용수(채운)'!$C$5:$C$63,$C272,'2.생활용수(채운)'!$Q$5:$Q$63)</f>
        <v>0</v>
      </c>
      <c r="N272" s="81">
        <f>SUMIF('2.생활용수(강경)'!$C$5:$C$60,$C272,'2.생활용수(강경)'!$Q$5:$Q$60)</f>
        <v>0</v>
      </c>
      <c r="O272" s="81"/>
    </row>
    <row r="273" spans="1:15" ht="20.100000000000001" customHeight="1">
      <c r="A273" s="442" t="s">
        <v>2148</v>
      </c>
      <c r="B273" s="442" t="s">
        <v>2176</v>
      </c>
      <c r="C273" s="443" t="s">
        <v>2177</v>
      </c>
      <c r="D273" s="81">
        <f t="shared" si="5"/>
        <v>0</v>
      </c>
      <c r="E273" s="81">
        <f>SUMIF('2.생활용수(광석)'!$C$5:$C$56,C273,'2.생활용수(광석)'!$Q$5:$Q$56)</f>
        <v>0</v>
      </c>
      <c r="F273" s="81">
        <f>SUMIF('2.생활용수(성동)'!$C$5:$C$60,$C273,'2.생활용수(성동)'!$Q$5:$Q$60)</f>
        <v>0</v>
      </c>
      <c r="G273" s="81">
        <f>SUMIF('2.생활용수(봉화)'!$C$5:$C$18,$C273,'2.생활용수(봉화)'!$Q$5:$Q$18)</f>
        <v>0</v>
      </c>
      <c r="H273" s="81">
        <f>SUMIF('2.생활용수(논산)'!$C$5:$C$28,$C273,'2.생활용수(논산)'!$Q$5:$Q$28)</f>
        <v>0</v>
      </c>
      <c r="I273" s="81">
        <f>SUMIF('2.생활용수(연무)'!$C$5:$C$123,$C273,'2.생활용수(연무)'!$Q$5:$Q$123)</f>
        <v>0</v>
      </c>
      <c r="J273" s="81">
        <f>SUMIF('2.생활용수(마산)'!$C$5:$C$115,$C273,'2.생활용수(마산)'!$Q$5:$Q$115)</f>
        <v>0</v>
      </c>
      <c r="K273" s="81">
        <f>SUMIF('2.생활용수(부적)'!$C$5:$C$75,$C273,'2.생활용수(부적)'!$Q$5:$Q$75)</f>
        <v>0</v>
      </c>
      <c r="L273" s="81">
        <f>SUMIF('2.생활용수(연산)'!$C$5:$C$220,$C273,'2.생활용수(연산)'!$Q$5:$Q$220)</f>
        <v>0</v>
      </c>
      <c r="M273" s="81">
        <f>SUMIF('2.생활용수(채운)'!$C$5:$C$63,$C273,'2.생활용수(채운)'!$Q$5:$Q$63)</f>
        <v>0</v>
      </c>
      <c r="N273" s="81">
        <f>SUMIF('2.생활용수(강경)'!$C$5:$C$60,$C273,'2.생활용수(강경)'!$Q$5:$Q$60)</f>
        <v>0</v>
      </c>
      <c r="O273" s="81"/>
    </row>
    <row r="274" spans="1:15" ht="20.100000000000001" customHeight="1">
      <c r="A274" s="442" t="s">
        <v>2148</v>
      </c>
      <c r="B274" s="442" t="s">
        <v>2178</v>
      </c>
      <c r="C274" s="443" t="s">
        <v>2179</v>
      </c>
      <c r="D274" s="81">
        <f t="shared" si="5"/>
        <v>80</v>
      </c>
      <c r="E274" s="81">
        <f>SUMIF('2.생활용수(광석)'!$C$5:$C$56,C274,'2.생활용수(광석)'!$Q$5:$Q$56)</f>
        <v>0</v>
      </c>
      <c r="F274" s="81">
        <f>SUMIF('2.생활용수(성동)'!$C$5:$C$60,$C274,'2.생활용수(성동)'!$Q$5:$Q$60)</f>
        <v>0</v>
      </c>
      <c r="G274" s="81">
        <f>SUMIF('2.생활용수(봉화)'!$C$5:$C$18,$C274,'2.생활용수(봉화)'!$Q$5:$Q$18)</f>
        <v>0</v>
      </c>
      <c r="H274" s="81">
        <f>SUMIF('2.생활용수(논산)'!$C$5:$C$28,$C274,'2.생활용수(논산)'!$Q$5:$Q$28)</f>
        <v>0</v>
      </c>
      <c r="I274" s="81">
        <f>SUMIF('2.생활용수(연무)'!$C$5:$C$123,$C274,'2.생활용수(연무)'!$Q$5:$Q$123)</f>
        <v>0</v>
      </c>
      <c r="J274" s="81">
        <f>SUMIF('2.생활용수(마산)'!$C$5:$C$115,$C274,'2.생활용수(마산)'!$Q$5:$Q$115)</f>
        <v>0</v>
      </c>
      <c r="K274" s="81">
        <f>SUMIF('2.생활용수(부적)'!$C$5:$C$75,$C274,'2.생활용수(부적)'!$Q$5:$Q$75)</f>
        <v>0</v>
      </c>
      <c r="L274" s="81">
        <f>SUMIF('2.생활용수(연산)'!$C$5:$C$220,$C274,'2.생활용수(연산)'!$Q$5:$Q$220)</f>
        <v>80</v>
      </c>
      <c r="M274" s="81">
        <f>SUMIF('2.생활용수(채운)'!$C$5:$C$63,$C274,'2.생활용수(채운)'!$Q$5:$Q$63)</f>
        <v>0</v>
      </c>
      <c r="N274" s="81">
        <f>SUMIF('2.생활용수(강경)'!$C$5:$C$60,$C274,'2.생활용수(강경)'!$Q$5:$Q$60)</f>
        <v>0</v>
      </c>
      <c r="O274" s="81"/>
    </row>
    <row r="275" spans="1:15" ht="20.100000000000001" customHeight="1">
      <c r="A275" s="442" t="s">
        <v>2148</v>
      </c>
      <c r="B275" s="442" t="s">
        <v>2178</v>
      </c>
      <c r="C275" s="443" t="s">
        <v>2180</v>
      </c>
      <c r="D275" s="81">
        <f t="shared" si="5"/>
        <v>41</v>
      </c>
      <c r="E275" s="81">
        <f>SUMIF('2.생활용수(광석)'!$C$5:$C$56,C275,'2.생활용수(광석)'!$Q$5:$Q$56)</f>
        <v>0</v>
      </c>
      <c r="F275" s="81">
        <f>SUMIF('2.생활용수(성동)'!$C$5:$C$60,$C275,'2.생활용수(성동)'!$Q$5:$Q$60)</f>
        <v>0</v>
      </c>
      <c r="G275" s="81">
        <f>SUMIF('2.생활용수(봉화)'!$C$5:$C$18,$C275,'2.생활용수(봉화)'!$Q$5:$Q$18)</f>
        <v>0</v>
      </c>
      <c r="H275" s="81">
        <f>SUMIF('2.생활용수(논산)'!$C$5:$C$28,$C275,'2.생활용수(논산)'!$Q$5:$Q$28)</f>
        <v>0</v>
      </c>
      <c r="I275" s="81">
        <f>SUMIF('2.생활용수(연무)'!$C$5:$C$123,$C275,'2.생활용수(연무)'!$Q$5:$Q$123)</f>
        <v>0</v>
      </c>
      <c r="J275" s="81">
        <f>SUMIF('2.생활용수(마산)'!$C$5:$C$115,$C275,'2.생활용수(마산)'!$Q$5:$Q$115)</f>
        <v>0</v>
      </c>
      <c r="K275" s="81">
        <f>SUMIF('2.생활용수(부적)'!$C$5:$C$75,$C275,'2.생활용수(부적)'!$Q$5:$Q$75)</f>
        <v>0</v>
      </c>
      <c r="L275" s="81">
        <f>SUMIF('2.생활용수(연산)'!$C$5:$C$220,$C275,'2.생활용수(연산)'!$Q$5:$Q$220)</f>
        <v>41</v>
      </c>
      <c r="M275" s="81">
        <f>SUMIF('2.생활용수(채운)'!$C$5:$C$63,$C275,'2.생활용수(채운)'!$Q$5:$Q$63)</f>
        <v>0</v>
      </c>
      <c r="N275" s="81">
        <f>SUMIF('2.생활용수(강경)'!$C$5:$C$60,$C275,'2.생활용수(강경)'!$Q$5:$Q$60)</f>
        <v>0</v>
      </c>
      <c r="O275" s="81"/>
    </row>
    <row r="276" spans="1:15" ht="20.100000000000001" customHeight="1">
      <c r="A276" s="442" t="s">
        <v>2148</v>
      </c>
      <c r="B276" s="442" t="s">
        <v>2181</v>
      </c>
      <c r="C276" s="443" t="s">
        <v>2182</v>
      </c>
      <c r="D276" s="81">
        <f t="shared" si="5"/>
        <v>75</v>
      </c>
      <c r="E276" s="81">
        <f>SUMIF('2.생활용수(광석)'!$C$5:$C$56,C276,'2.생활용수(광석)'!$Q$5:$Q$56)</f>
        <v>0</v>
      </c>
      <c r="F276" s="81">
        <f>SUMIF('2.생활용수(성동)'!$C$5:$C$60,$C276,'2.생활용수(성동)'!$Q$5:$Q$60)</f>
        <v>0</v>
      </c>
      <c r="G276" s="81">
        <f>SUMIF('2.생활용수(봉화)'!$C$5:$C$18,$C276,'2.생활용수(봉화)'!$Q$5:$Q$18)</f>
        <v>0</v>
      </c>
      <c r="H276" s="81">
        <f>SUMIF('2.생활용수(논산)'!$C$5:$C$28,$C276,'2.생활용수(논산)'!$Q$5:$Q$28)</f>
        <v>0</v>
      </c>
      <c r="I276" s="81">
        <f>SUMIF('2.생활용수(연무)'!$C$5:$C$123,$C276,'2.생활용수(연무)'!$Q$5:$Q$123)</f>
        <v>0</v>
      </c>
      <c r="J276" s="81">
        <f>SUMIF('2.생활용수(마산)'!$C$5:$C$115,$C276,'2.생활용수(마산)'!$Q$5:$Q$115)</f>
        <v>0</v>
      </c>
      <c r="K276" s="81">
        <f>SUMIF('2.생활용수(부적)'!$C$5:$C$75,$C276,'2.생활용수(부적)'!$Q$5:$Q$75)</f>
        <v>0</v>
      </c>
      <c r="L276" s="81">
        <f>SUMIF('2.생활용수(연산)'!$C$5:$C$220,$C276,'2.생활용수(연산)'!$Q$5:$Q$220)</f>
        <v>75</v>
      </c>
      <c r="M276" s="81">
        <f>SUMIF('2.생활용수(채운)'!$C$5:$C$63,$C276,'2.생활용수(채운)'!$Q$5:$Q$63)</f>
        <v>0</v>
      </c>
      <c r="N276" s="81">
        <f>SUMIF('2.생활용수(강경)'!$C$5:$C$60,$C276,'2.생활용수(강경)'!$Q$5:$Q$60)</f>
        <v>0</v>
      </c>
      <c r="O276" s="81"/>
    </row>
    <row r="277" spans="1:15" ht="20.100000000000001" customHeight="1">
      <c r="A277" s="442" t="s">
        <v>2148</v>
      </c>
      <c r="B277" s="442" t="s">
        <v>2183</v>
      </c>
      <c r="C277" s="443" t="s">
        <v>2184</v>
      </c>
      <c r="D277" s="81">
        <f t="shared" si="5"/>
        <v>0</v>
      </c>
      <c r="E277" s="81">
        <f>SUMIF('2.생활용수(광석)'!$C$5:$C$56,C277,'2.생활용수(광석)'!$Q$5:$Q$56)</f>
        <v>0</v>
      </c>
      <c r="F277" s="81">
        <f>SUMIF('2.생활용수(성동)'!$C$5:$C$60,$C277,'2.생활용수(성동)'!$Q$5:$Q$60)</f>
        <v>0</v>
      </c>
      <c r="G277" s="81">
        <f>SUMIF('2.생활용수(봉화)'!$C$5:$C$18,$C277,'2.생활용수(봉화)'!$Q$5:$Q$18)</f>
        <v>0</v>
      </c>
      <c r="H277" s="81">
        <f>SUMIF('2.생활용수(논산)'!$C$5:$C$28,$C277,'2.생활용수(논산)'!$Q$5:$Q$28)</f>
        <v>0</v>
      </c>
      <c r="I277" s="81">
        <f>SUMIF('2.생활용수(연무)'!$C$5:$C$123,$C277,'2.생활용수(연무)'!$Q$5:$Q$123)</f>
        <v>0</v>
      </c>
      <c r="J277" s="81">
        <f>SUMIF('2.생활용수(마산)'!$C$5:$C$115,$C277,'2.생활용수(마산)'!$Q$5:$Q$115)</f>
        <v>0</v>
      </c>
      <c r="K277" s="81">
        <f>SUMIF('2.생활용수(부적)'!$C$5:$C$75,$C277,'2.생활용수(부적)'!$Q$5:$Q$75)</f>
        <v>0</v>
      </c>
      <c r="L277" s="81">
        <f>SUMIF('2.생활용수(연산)'!$C$5:$C$220,$C277,'2.생활용수(연산)'!$Q$5:$Q$220)</f>
        <v>0</v>
      </c>
      <c r="M277" s="81">
        <f>SUMIF('2.생활용수(채운)'!$C$5:$C$63,$C277,'2.생활용수(채운)'!$Q$5:$Q$63)</f>
        <v>0</v>
      </c>
      <c r="N277" s="81">
        <f>SUMIF('2.생활용수(강경)'!$C$5:$C$60,$C277,'2.생활용수(강경)'!$Q$5:$Q$60)</f>
        <v>0</v>
      </c>
      <c r="O277" s="81"/>
    </row>
    <row r="278" spans="1:15" ht="20.100000000000001" customHeight="1">
      <c r="A278" s="442" t="s">
        <v>2148</v>
      </c>
      <c r="B278" s="442" t="s">
        <v>2183</v>
      </c>
      <c r="C278" s="443" t="s">
        <v>2185</v>
      </c>
      <c r="D278" s="81">
        <f t="shared" si="5"/>
        <v>0</v>
      </c>
      <c r="E278" s="81">
        <f>SUMIF('2.생활용수(광석)'!$C$5:$C$56,C278,'2.생활용수(광석)'!$Q$5:$Q$56)</f>
        <v>0</v>
      </c>
      <c r="F278" s="81">
        <f>SUMIF('2.생활용수(성동)'!$C$5:$C$60,$C278,'2.생활용수(성동)'!$Q$5:$Q$60)</f>
        <v>0</v>
      </c>
      <c r="G278" s="81">
        <f>SUMIF('2.생활용수(봉화)'!$C$5:$C$18,$C278,'2.생활용수(봉화)'!$Q$5:$Q$18)</f>
        <v>0</v>
      </c>
      <c r="H278" s="81">
        <f>SUMIF('2.생활용수(논산)'!$C$5:$C$28,$C278,'2.생활용수(논산)'!$Q$5:$Q$28)</f>
        <v>0</v>
      </c>
      <c r="I278" s="81">
        <f>SUMIF('2.생활용수(연무)'!$C$5:$C$123,$C278,'2.생활용수(연무)'!$Q$5:$Q$123)</f>
        <v>0</v>
      </c>
      <c r="J278" s="81">
        <f>SUMIF('2.생활용수(마산)'!$C$5:$C$115,$C278,'2.생활용수(마산)'!$Q$5:$Q$115)</f>
        <v>0</v>
      </c>
      <c r="K278" s="81">
        <f>SUMIF('2.생활용수(부적)'!$C$5:$C$75,$C278,'2.생활용수(부적)'!$Q$5:$Q$75)</f>
        <v>0</v>
      </c>
      <c r="L278" s="81">
        <f>SUMIF('2.생활용수(연산)'!$C$5:$C$220,$C278,'2.생활용수(연산)'!$Q$5:$Q$220)</f>
        <v>0</v>
      </c>
      <c r="M278" s="81">
        <f>SUMIF('2.생활용수(채운)'!$C$5:$C$63,$C278,'2.생활용수(채운)'!$Q$5:$Q$63)</f>
        <v>0</v>
      </c>
      <c r="N278" s="81">
        <f>SUMIF('2.생활용수(강경)'!$C$5:$C$60,$C278,'2.생활용수(강경)'!$Q$5:$Q$60)</f>
        <v>0</v>
      </c>
      <c r="O278" s="81"/>
    </row>
    <row r="279" spans="1:15" ht="20.100000000000001" customHeight="1">
      <c r="A279" s="442" t="s">
        <v>2186</v>
      </c>
      <c r="B279" s="442" t="s">
        <v>2187</v>
      </c>
      <c r="C279" s="443" t="s">
        <v>2188</v>
      </c>
      <c r="D279" s="81">
        <f t="shared" si="5"/>
        <v>0</v>
      </c>
      <c r="E279" s="81">
        <f>SUMIF('2.생활용수(광석)'!$C$5:$C$56,C279,'2.생활용수(광석)'!$Q$5:$Q$56)</f>
        <v>0</v>
      </c>
      <c r="F279" s="81">
        <f>SUMIF('2.생활용수(성동)'!$C$5:$C$60,$C279,'2.생활용수(성동)'!$Q$5:$Q$60)</f>
        <v>0</v>
      </c>
      <c r="G279" s="81">
        <f>SUMIF('2.생활용수(봉화)'!$C$5:$C$18,$C279,'2.생활용수(봉화)'!$Q$5:$Q$18)</f>
        <v>0</v>
      </c>
      <c r="H279" s="81">
        <f>SUMIF('2.생활용수(논산)'!$C$5:$C$28,$C279,'2.생활용수(논산)'!$Q$5:$Q$28)</f>
        <v>0</v>
      </c>
      <c r="I279" s="81">
        <f>SUMIF('2.생활용수(연무)'!$C$5:$C$123,$C279,'2.생활용수(연무)'!$Q$5:$Q$123)</f>
        <v>0</v>
      </c>
      <c r="J279" s="81">
        <f>SUMIF('2.생활용수(마산)'!$C$5:$C$115,$C279,'2.생활용수(마산)'!$Q$5:$Q$115)</f>
        <v>0</v>
      </c>
      <c r="K279" s="81">
        <f>SUMIF('2.생활용수(부적)'!$C$5:$C$75,$C279,'2.생활용수(부적)'!$Q$5:$Q$75)</f>
        <v>0</v>
      </c>
      <c r="L279" s="81">
        <f>SUMIF('2.생활용수(연산)'!$C$5:$C$220,$C279,'2.생활용수(연산)'!$Q$5:$Q$220)</f>
        <v>0</v>
      </c>
      <c r="M279" s="81">
        <f>SUMIF('2.생활용수(채운)'!$C$5:$C$63,$C279,'2.생활용수(채운)'!$Q$5:$Q$63)</f>
        <v>0</v>
      </c>
      <c r="N279" s="81">
        <f>SUMIF('2.생활용수(강경)'!$C$5:$C$60,$C279,'2.생활용수(강경)'!$Q$5:$Q$60)</f>
        <v>0</v>
      </c>
      <c r="O279" s="81"/>
    </row>
    <row r="280" spans="1:15" ht="20.100000000000001" customHeight="1">
      <c r="A280" s="442" t="s">
        <v>2186</v>
      </c>
      <c r="B280" s="442" t="s">
        <v>2187</v>
      </c>
      <c r="C280" s="443" t="s">
        <v>2189</v>
      </c>
      <c r="D280" s="81">
        <f t="shared" si="5"/>
        <v>0</v>
      </c>
      <c r="E280" s="81">
        <f>SUMIF('2.생활용수(광석)'!$C$5:$C$56,C280,'2.생활용수(광석)'!$Q$5:$Q$56)</f>
        <v>0</v>
      </c>
      <c r="F280" s="81">
        <f>SUMIF('2.생활용수(성동)'!$C$5:$C$60,$C280,'2.생활용수(성동)'!$Q$5:$Q$60)</f>
        <v>0</v>
      </c>
      <c r="G280" s="81">
        <f>SUMIF('2.생활용수(봉화)'!$C$5:$C$18,$C280,'2.생활용수(봉화)'!$Q$5:$Q$18)</f>
        <v>0</v>
      </c>
      <c r="H280" s="81">
        <f>SUMIF('2.생활용수(논산)'!$C$5:$C$28,$C280,'2.생활용수(논산)'!$Q$5:$Q$28)</f>
        <v>0</v>
      </c>
      <c r="I280" s="81">
        <f>SUMIF('2.생활용수(연무)'!$C$5:$C$123,$C280,'2.생활용수(연무)'!$Q$5:$Q$123)</f>
        <v>0</v>
      </c>
      <c r="J280" s="81">
        <f>SUMIF('2.생활용수(마산)'!$C$5:$C$115,$C280,'2.생활용수(마산)'!$Q$5:$Q$115)</f>
        <v>0</v>
      </c>
      <c r="K280" s="81">
        <f>SUMIF('2.생활용수(부적)'!$C$5:$C$75,$C280,'2.생활용수(부적)'!$Q$5:$Q$75)</f>
        <v>0</v>
      </c>
      <c r="L280" s="81">
        <f>SUMIF('2.생활용수(연산)'!$C$5:$C$220,$C280,'2.생활용수(연산)'!$Q$5:$Q$220)</f>
        <v>0</v>
      </c>
      <c r="M280" s="81">
        <f>SUMIF('2.생활용수(채운)'!$C$5:$C$63,$C280,'2.생활용수(채운)'!$Q$5:$Q$63)</f>
        <v>0</v>
      </c>
      <c r="N280" s="81">
        <f>SUMIF('2.생활용수(강경)'!$C$5:$C$60,$C280,'2.생활용수(강경)'!$Q$5:$Q$60)</f>
        <v>0</v>
      </c>
      <c r="O280" s="81"/>
    </row>
    <row r="281" spans="1:15" ht="20.100000000000001" customHeight="1">
      <c r="A281" s="442" t="s">
        <v>2186</v>
      </c>
      <c r="B281" s="442" t="s">
        <v>2187</v>
      </c>
      <c r="C281" s="443" t="s">
        <v>2190</v>
      </c>
      <c r="D281" s="81">
        <f t="shared" si="5"/>
        <v>0</v>
      </c>
      <c r="E281" s="81">
        <f>SUMIF('2.생활용수(광석)'!$C$5:$C$56,C281,'2.생활용수(광석)'!$Q$5:$Q$56)</f>
        <v>0</v>
      </c>
      <c r="F281" s="81">
        <f>SUMIF('2.생활용수(성동)'!$C$5:$C$60,$C281,'2.생활용수(성동)'!$Q$5:$Q$60)</f>
        <v>0</v>
      </c>
      <c r="G281" s="81">
        <f>SUMIF('2.생활용수(봉화)'!$C$5:$C$18,$C281,'2.생활용수(봉화)'!$Q$5:$Q$18)</f>
        <v>0</v>
      </c>
      <c r="H281" s="81">
        <f>SUMIF('2.생활용수(논산)'!$C$5:$C$28,$C281,'2.생활용수(논산)'!$Q$5:$Q$28)</f>
        <v>0</v>
      </c>
      <c r="I281" s="81">
        <f>SUMIF('2.생활용수(연무)'!$C$5:$C$123,$C281,'2.생활용수(연무)'!$Q$5:$Q$123)</f>
        <v>0</v>
      </c>
      <c r="J281" s="81">
        <f>SUMIF('2.생활용수(마산)'!$C$5:$C$115,$C281,'2.생활용수(마산)'!$Q$5:$Q$115)</f>
        <v>0</v>
      </c>
      <c r="K281" s="81">
        <f>SUMIF('2.생활용수(부적)'!$C$5:$C$75,$C281,'2.생활용수(부적)'!$Q$5:$Q$75)</f>
        <v>0</v>
      </c>
      <c r="L281" s="81">
        <f>SUMIF('2.생활용수(연산)'!$C$5:$C$220,$C281,'2.생활용수(연산)'!$Q$5:$Q$220)</f>
        <v>0</v>
      </c>
      <c r="M281" s="81">
        <f>SUMIF('2.생활용수(채운)'!$C$5:$C$63,$C281,'2.생활용수(채운)'!$Q$5:$Q$63)</f>
        <v>0</v>
      </c>
      <c r="N281" s="81">
        <f>SUMIF('2.생활용수(강경)'!$C$5:$C$60,$C281,'2.생활용수(강경)'!$Q$5:$Q$60)</f>
        <v>0</v>
      </c>
      <c r="O281" s="81"/>
    </row>
    <row r="282" spans="1:15" ht="20.100000000000001" customHeight="1">
      <c r="A282" s="442" t="s">
        <v>2186</v>
      </c>
      <c r="B282" s="442" t="s">
        <v>2191</v>
      </c>
      <c r="C282" s="443" t="s">
        <v>2192</v>
      </c>
      <c r="D282" s="81">
        <f t="shared" si="5"/>
        <v>0</v>
      </c>
      <c r="E282" s="81">
        <f>SUMIF('2.생활용수(광석)'!$C$5:$C$56,C282,'2.생활용수(광석)'!$Q$5:$Q$56)</f>
        <v>0</v>
      </c>
      <c r="F282" s="81">
        <f>SUMIF('2.생활용수(성동)'!$C$5:$C$60,$C282,'2.생활용수(성동)'!$Q$5:$Q$60)</f>
        <v>0</v>
      </c>
      <c r="G282" s="81">
        <f>SUMIF('2.생활용수(봉화)'!$C$5:$C$18,$C282,'2.생활용수(봉화)'!$Q$5:$Q$18)</f>
        <v>0</v>
      </c>
      <c r="H282" s="81">
        <f>SUMIF('2.생활용수(논산)'!$C$5:$C$28,$C282,'2.생활용수(논산)'!$Q$5:$Q$28)</f>
        <v>0</v>
      </c>
      <c r="I282" s="81">
        <f>SUMIF('2.생활용수(연무)'!$C$5:$C$123,$C282,'2.생활용수(연무)'!$Q$5:$Q$123)</f>
        <v>0</v>
      </c>
      <c r="J282" s="81">
        <f>SUMIF('2.생활용수(마산)'!$C$5:$C$115,$C282,'2.생활용수(마산)'!$Q$5:$Q$115)</f>
        <v>0</v>
      </c>
      <c r="K282" s="81">
        <f>SUMIF('2.생활용수(부적)'!$C$5:$C$75,$C282,'2.생활용수(부적)'!$Q$5:$Q$75)</f>
        <v>0</v>
      </c>
      <c r="L282" s="81">
        <f>SUMIF('2.생활용수(연산)'!$C$5:$C$220,$C282,'2.생활용수(연산)'!$Q$5:$Q$220)</f>
        <v>0</v>
      </c>
      <c r="M282" s="81">
        <f>SUMIF('2.생활용수(채운)'!$C$5:$C$63,$C282,'2.생활용수(채운)'!$Q$5:$Q$63)</f>
        <v>0</v>
      </c>
      <c r="N282" s="81">
        <f>SUMIF('2.생활용수(강경)'!$C$5:$C$60,$C282,'2.생활용수(강경)'!$Q$5:$Q$60)</f>
        <v>0</v>
      </c>
      <c r="O282" s="81"/>
    </row>
    <row r="283" spans="1:15" ht="20.100000000000001" customHeight="1">
      <c r="A283" s="442" t="s">
        <v>2186</v>
      </c>
      <c r="B283" s="442" t="s">
        <v>2193</v>
      </c>
      <c r="C283" s="443" t="s">
        <v>2194</v>
      </c>
      <c r="D283" s="81">
        <f t="shared" si="5"/>
        <v>0</v>
      </c>
      <c r="E283" s="81">
        <f>SUMIF('2.생활용수(광석)'!$C$5:$C$56,C283,'2.생활용수(광석)'!$Q$5:$Q$56)</f>
        <v>0</v>
      </c>
      <c r="F283" s="81">
        <f>SUMIF('2.생활용수(성동)'!$C$5:$C$60,$C283,'2.생활용수(성동)'!$Q$5:$Q$60)</f>
        <v>0</v>
      </c>
      <c r="G283" s="81">
        <f>SUMIF('2.생활용수(봉화)'!$C$5:$C$18,$C283,'2.생활용수(봉화)'!$Q$5:$Q$18)</f>
        <v>0</v>
      </c>
      <c r="H283" s="81">
        <f>SUMIF('2.생활용수(논산)'!$C$5:$C$28,$C283,'2.생활용수(논산)'!$Q$5:$Q$28)</f>
        <v>0</v>
      </c>
      <c r="I283" s="81">
        <f>SUMIF('2.생활용수(연무)'!$C$5:$C$123,$C283,'2.생활용수(연무)'!$Q$5:$Q$123)</f>
        <v>0</v>
      </c>
      <c r="J283" s="81">
        <f>SUMIF('2.생활용수(마산)'!$C$5:$C$115,$C283,'2.생활용수(마산)'!$Q$5:$Q$115)</f>
        <v>0</v>
      </c>
      <c r="K283" s="81">
        <f>SUMIF('2.생활용수(부적)'!$C$5:$C$75,$C283,'2.생활용수(부적)'!$Q$5:$Q$75)</f>
        <v>0</v>
      </c>
      <c r="L283" s="81">
        <f>SUMIF('2.생활용수(연산)'!$C$5:$C$220,$C283,'2.생활용수(연산)'!$Q$5:$Q$220)</f>
        <v>0</v>
      </c>
      <c r="M283" s="81">
        <f>SUMIF('2.생활용수(채운)'!$C$5:$C$63,$C283,'2.생활용수(채운)'!$Q$5:$Q$63)</f>
        <v>0</v>
      </c>
      <c r="N283" s="81">
        <f>SUMIF('2.생활용수(강경)'!$C$5:$C$60,$C283,'2.생활용수(강경)'!$Q$5:$Q$60)</f>
        <v>0</v>
      </c>
      <c r="O283" s="81"/>
    </row>
    <row r="284" spans="1:15" ht="20.100000000000001" customHeight="1">
      <c r="A284" s="442" t="s">
        <v>2186</v>
      </c>
      <c r="B284" s="442" t="s">
        <v>2193</v>
      </c>
      <c r="C284" s="443" t="s">
        <v>2195</v>
      </c>
      <c r="D284" s="81">
        <f t="shared" si="5"/>
        <v>0</v>
      </c>
      <c r="E284" s="81">
        <f>SUMIF('2.생활용수(광석)'!$C$5:$C$56,C284,'2.생활용수(광석)'!$Q$5:$Q$56)</f>
        <v>0</v>
      </c>
      <c r="F284" s="81">
        <f>SUMIF('2.생활용수(성동)'!$C$5:$C$60,$C284,'2.생활용수(성동)'!$Q$5:$Q$60)</f>
        <v>0</v>
      </c>
      <c r="G284" s="81">
        <f>SUMIF('2.생활용수(봉화)'!$C$5:$C$18,$C284,'2.생활용수(봉화)'!$Q$5:$Q$18)</f>
        <v>0</v>
      </c>
      <c r="H284" s="81">
        <f>SUMIF('2.생활용수(논산)'!$C$5:$C$28,$C284,'2.생활용수(논산)'!$Q$5:$Q$28)</f>
        <v>0</v>
      </c>
      <c r="I284" s="81">
        <f>SUMIF('2.생활용수(연무)'!$C$5:$C$123,$C284,'2.생활용수(연무)'!$Q$5:$Q$123)</f>
        <v>0</v>
      </c>
      <c r="J284" s="81">
        <f>SUMIF('2.생활용수(마산)'!$C$5:$C$115,$C284,'2.생활용수(마산)'!$Q$5:$Q$115)</f>
        <v>0</v>
      </c>
      <c r="K284" s="81">
        <f>SUMIF('2.생활용수(부적)'!$C$5:$C$75,$C284,'2.생활용수(부적)'!$Q$5:$Q$75)</f>
        <v>0</v>
      </c>
      <c r="L284" s="81">
        <f>SUMIF('2.생활용수(연산)'!$C$5:$C$220,$C284,'2.생활용수(연산)'!$Q$5:$Q$220)</f>
        <v>0</v>
      </c>
      <c r="M284" s="81">
        <f>SUMIF('2.생활용수(채운)'!$C$5:$C$63,$C284,'2.생활용수(채운)'!$Q$5:$Q$63)</f>
        <v>0</v>
      </c>
      <c r="N284" s="81">
        <f>SUMIF('2.생활용수(강경)'!$C$5:$C$60,$C284,'2.생활용수(강경)'!$Q$5:$Q$60)</f>
        <v>0</v>
      </c>
      <c r="O284" s="81"/>
    </row>
    <row r="285" spans="1:15" ht="20.100000000000001" customHeight="1">
      <c r="A285" s="442" t="s">
        <v>2186</v>
      </c>
      <c r="B285" s="442" t="s">
        <v>2196</v>
      </c>
      <c r="C285" s="443" t="s">
        <v>2197</v>
      </c>
      <c r="D285" s="81">
        <f t="shared" si="5"/>
        <v>0</v>
      </c>
      <c r="E285" s="81">
        <f>SUMIF('2.생활용수(광석)'!$C$5:$C$56,C285,'2.생활용수(광석)'!$Q$5:$Q$56)</f>
        <v>0</v>
      </c>
      <c r="F285" s="81">
        <f>SUMIF('2.생활용수(성동)'!$C$5:$C$60,$C285,'2.생활용수(성동)'!$Q$5:$Q$60)</f>
        <v>0</v>
      </c>
      <c r="G285" s="81">
        <f>SUMIF('2.생활용수(봉화)'!$C$5:$C$18,$C285,'2.생활용수(봉화)'!$Q$5:$Q$18)</f>
        <v>0</v>
      </c>
      <c r="H285" s="81">
        <f>SUMIF('2.생활용수(논산)'!$C$5:$C$28,$C285,'2.생활용수(논산)'!$Q$5:$Q$28)</f>
        <v>0</v>
      </c>
      <c r="I285" s="81">
        <f>SUMIF('2.생활용수(연무)'!$C$5:$C$123,$C285,'2.생활용수(연무)'!$Q$5:$Q$123)</f>
        <v>0</v>
      </c>
      <c r="J285" s="81">
        <f>SUMIF('2.생활용수(마산)'!$C$5:$C$115,$C285,'2.생활용수(마산)'!$Q$5:$Q$115)</f>
        <v>0</v>
      </c>
      <c r="K285" s="81">
        <f>SUMIF('2.생활용수(부적)'!$C$5:$C$75,$C285,'2.생활용수(부적)'!$Q$5:$Q$75)</f>
        <v>0</v>
      </c>
      <c r="L285" s="81">
        <f>SUMIF('2.생활용수(연산)'!$C$5:$C$220,$C285,'2.생활용수(연산)'!$Q$5:$Q$220)</f>
        <v>0</v>
      </c>
      <c r="M285" s="81">
        <f>SUMIF('2.생활용수(채운)'!$C$5:$C$63,$C285,'2.생활용수(채운)'!$Q$5:$Q$63)</f>
        <v>0</v>
      </c>
      <c r="N285" s="81">
        <f>SUMIF('2.생활용수(강경)'!$C$5:$C$60,$C285,'2.생활용수(강경)'!$Q$5:$Q$60)</f>
        <v>0</v>
      </c>
      <c r="O285" s="81"/>
    </row>
    <row r="286" spans="1:15" ht="20.100000000000001" customHeight="1">
      <c r="A286" s="442" t="s">
        <v>2198</v>
      </c>
      <c r="B286" s="442" t="s">
        <v>2199</v>
      </c>
      <c r="C286" s="443" t="s">
        <v>2200</v>
      </c>
      <c r="D286" s="81">
        <f t="shared" si="5"/>
        <v>0</v>
      </c>
      <c r="E286" s="81">
        <f>SUMIF('2.생활용수(광석)'!$C$5:$C$56,C286,'2.생활용수(광석)'!$Q$5:$Q$56)</f>
        <v>0</v>
      </c>
      <c r="F286" s="81">
        <f>SUMIF('2.생활용수(성동)'!$C$5:$C$60,$C286,'2.생활용수(성동)'!$Q$5:$Q$60)</f>
        <v>0</v>
      </c>
      <c r="G286" s="81">
        <f>SUMIF('2.생활용수(봉화)'!$C$5:$C$18,$C286,'2.생활용수(봉화)'!$Q$5:$Q$18)</f>
        <v>0</v>
      </c>
      <c r="H286" s="81">
        <f>SUMIF('2.생활용수(논산)'!$C$5:$C$28,$C286,'2.생활용수(논산)'!$Q$5:$Q$28)</f>
        <v>0</v>
      </c>
      <c r="I286" s="81">
        <f>SUMIF('2.생활용수(연무)'!$C$5:$C$123,$C286,'2.생활용수(연무)'!$Q$5:$Q$123)</f>
        <v>0</v>
      </c>
      <c r="J286" s="81">
        <f>SUMIF('2.생활용수(마산)'!$C$5:$C$115,$C286,'2.생활용수(마산)'!$Q$5:$Q$115)</f>
        <v>0</v>
      </c>
      <c r="K286" s="81">
        <f>SUMIF('2.생활용수(부적)'!$C$5:$C$75,$C286,'2.생활용수(부적)'!$Q$5:$Q$75)</f>
        <v>0</v>
      </c>
      <c r="L286" s="81">
        <f>SUMIF('2.생활용수(연산)'!$C$5:$C$220,$C286,'2.생활용수(연산)'!$Q$5:$Q$220)</f>
        <v>0</v>
      </c>
      <c r="M286" s="81">
        <f>SUMIF('2.생활용수(채운)'!$C$5:$C$63,$C286,'2.생활용수(채운)'!$Q$5:$Q$63)</f>
        <v>0</v>
      </c>
      <c r="N286" s="81">
        <f>SUMIF('2.생활용수(강경)'!$C$5:$C$60,$C286,'2.생활용수(강경)'!$Q$5:$Q$60)</f>
        <v>0</v>
      </c>
      <c r="O286" s="81"/>
    </row>
    <row r="287" spans="1:15" ht="20.100000000000001" customHeight="1">
      <c r="A287" s="442" t="s">
        <v>2198</v>
      </c>
      <c r="B287" s="442" t="s">
        <v>2201</v>
      </c>
      <c r="C287" s="443" t="s">
        <v>2202</v>
      </c>
      <c r="D287" s="81">
        <f t="shared" si="5"/>
        <v>0</v>
      </c>
      <c r="E287" s="81">
        <f>SUMIF('2.생활용수(광석)'!$C$5:$C$56,C287,'2.생활용수(광석)'!$Q$5:$Q$56)</f>
        <v>0</v>
      </c>
      <c r="F287" s="81">
        <f>SUMIF('2.생활용수(성동)'!$C$5:$C$60,$C287,'2.생활용수(성동)'!$Q$5:$Q$60)</f>
        <v>0</v>
      </c>
      <c r="G287" s="81">
        <f>SUMIF('2.생활용수(봉화)'!$C$5:$C$18,$C287,'2.생활용수(봉화)'!$Q$5:$Q$18)</f>
        <v>0</v>
      </c>
      <c r="H287" s="81">
        <f>SUMIF('2.생활용수(논산)'!$C$5:$C$28,$C287,'2.생활용수(논산)'!$Q$5:$Q$28)</f>
        <v>0</v>
      </c>
      <c r="I287" s="81">
        <f>SUMIF('2.생활용수(연무)'!$C$5:$C$123,$C287,'2.생활용수(연무)'!$Q$5:$Q$123)</f>
        <v>0</v>
      </c>
      <c r="J287" s="81">
        <f>SUMIF('2.생활용수(마산)'!$C$5:$C$115,$C287,'2.생활용수(마산)'!$Q$5:$Q$115)</f>
        <v>0</v>
      </c>
      <c r="K287" s="81">
        <f>SUMIF('2.생활용수(부적)'!$C$5:$C$75,$C287,'2.생활용수(부적)'!$Q$5:$Q$75)</f>
        <v>0</v>
      </c>
      <c r="L287" s="81">
        <f>SUMIF('2.생활용수(연산)'!$C$5:$C$220,$C287,'2.생활용수(연산)'!$Q$5:$Q$220)</f>
        <v>0</v>
      </c>
      <c r="M287" s="81">
        <f>SUMIF('2.생활용수(채운)'!$C$5:$C$63,$C287,'2.생활용수(채운)'!$Q$5:$Q$63)</f>
        <v>0</v>
      </c>
      <c r="N287" s="81">
        <f>SUMIF('2.생활용수(강경)'!$C$5:$C$60,$C287,'2.생활용수(강경)'!$Q$5:$Q$60)</f>
        <v>0</v>
      </c>
      <c r="O287" s="81"/>
    </row>
    <row r="288" spans="1:15" ht="20.100000000000001" customHeight="1">
      <c r="A288" s="442" t="s">
        <v>2198</v>
      </c>
      <c r="B288" s="442" t="s">
        <v>2203</v>
      </c>
      <c r="C288" s="443" t="s">
        <v>2204</v>
      </c>
      <c r="D288" s="81">
        <f t="shared" si="5"/>
        <v>0</v>
      </c>
      <c r="E288" s="81">
        <f>SUMIF('2.생활용수(광석)'!$C$5:$C$56,C288,'2.생활용수(광석)'!$Q$5:$Q$56)</f>
        <v>0</v>
      </c>
      <c r="F288" s="81">
        <f>SUMIF('2.생활용수(성동)'!$C$5:$C$60,$C288,'2.생활용수(성동)'!$Q$5:$Q$60)</f>
        <v>0</v>
      </c>
      <c r="G288" s="81">
        <f>SUMIF('2.생활용수(봉화)'!$C$5:$C$18,$C288,'2.생활용수(봉화)'!$Q$5:$Q$18)</f>
        <v>0</v>
      </c>
      <c r="H288" s="81">
        <f>SUMIF('2.생활용수(논산)'!$C$5:$C$28,$C288,'2.생활용수(논산)'!$Q$5:$Q$28)</f>
        <v>0</v>
      </c>
      <c r="I288" s="81">
        <f>SUMIF('2.생활용수(연무)'!$C$5:$C$123,$C288,'2.생활용수(연무)'!$Q$5:$Q$123)</f>
        <v>0</v>
      </c>
      <c r="J288" s="81">
        <f>SUMIF('2.생활용수(마산)'!$C$5:$C$115,$C288,'2.생활용수(마산)'!$Q$5:$Q$115)</f>
        <v>0</v>
      </c>
      <c r="K288" s="81">
        <f>SUMIF('2.생활용수(부적)'!$C$5:$C$75,$C288,'2.생활용수(부적)'!$Q$5:$Q$75)</f>
        <v>0</v>
      </c>
      <c r="L288" s="81">
        <f>SUMIF('2.생활용수(연산)'!$C$5:$C$220,$C288,'2.생활용수(연산)'!$Q$5:$Q$220)</f>
        <v>0</v>
      </c>
      <c r="M288" s="81">
        <f>SUMIF('2.생활용수(채운)'!$C$5:$C$63,$C288,'2.생활용수(채운)'!$Q$5:$Q$63)</f>
        <v>0</v>
      </c>
      <c r="N288" s="81">
        <f>SUMIF('2.생활용수(강경)'!$C$5:$C$60,$C288,'2.생활용수(강경)'!$Q$5:$Q$60)</f>
        <v>0</v>
      </c>
      <c r="O288" s="81"/>
    </row>
    <row r="289" spans="1:15" ht="20.100000000000001" customHeight="1">
      <c r="A289" s="442" t="s">
        <v>2198</v>
      </c>
      <c r="B289" s="442" t="s">
        <v>2203</v>
      </c>
      <c r="C289" s="443" t="s">
        <v>2205</v>
      </c>
      <c r="D289" s="81">
        <f t="shared" si="5"/>
        <v>0</v>
      </c>
      <c r="E289" s="81">
        <f>SUMIF('2.생활용수(광석)'!$C$5:$C$56,C289,'2.생활용수(광석)'!$Q$5:$Q$56)</f>
        <v>0</v>
      </c>
      <c r="F289" s="81">
        <f>SUMIF('2.생활용수(성동)'!$C$5:$C$60,$C289,'2.생활용수(성동)'!$Q$5:$Q$60)</f>
        <v>0</v>
      </c>
      <c r="G289" s="81">
        <f>SUMIF('2.생활용수(봉화)'!$C$5:$C$18,$C289,'2.생활용수(봉화)'!$Q$5:$Q$18)</f>
        <v>0</v>
      </c>
      <c r="H289" s="81">
        <f>SUMIF('2.생활용수(논산)'!$C$5:$C$28,$C289,'2.생활용수(논산)'!$Q$5:$Q$28)</f>
        <v>0</v>
      </c>
      <c r="I289" s="81">
        <f>SUMIF('2.생활용수(연무)'!$C$5:$C$123,$C289,'2.생활용수(연무)'!$Q$5:$Q$123)</f>
        <v>0</v>
      </c>
      <c r="J289" s="81">
        <f>SUMIF('2.생활용수(마산)'!$C$5:$C$115,$C289,'2.생활용수(마산)'!$Q$5:$Q$115)</f>
        <v>0</v>
      </c>
      <c r="K289" s="81">
        <f>SUMIF('2.생활용수(부적)'!$C$5:$C$75,$C289,'2.생활용수(부적)'!$Q$5:$Q$75)</f>
        <v>0</v>
      </c>
      <c r="L289" s="81">
        <f>SUMIF('2.생활용수(연산)'!$C$5:$C$220,$C289,'2.생활용수(연산)'!$Q$5:$Q$220)</f>
        <v>0</v>
      </c>
      <c r="M289" s="81">
        <f>SUMIF('2.생활용수(채운)'!$C$5:$C$63,$C289,'2.생활용수(채운)'!$Q$5:$Q$63)</f>
        <v>0</v>
      </c>
      <c r="N289" s="81">
        <f>SUMIF('2.생활용수(강경)'!$C$5:$C$60,$C289,'2.생활용수(강경)'!$Q$5:$Q$60)</f>
        <v>0</v>
      </c>
      <c r="O289" s="81"/>
    </row>
    <row r="290" spans="1:15" ht="20.100000000000001" customHeight="1">
      <c r="A290" s="442" t="s">
        <v>2198</v>
      </c>
      <c r="B290" s="442" t="s">
        <v>2206</v>
      </c>
      <c r="C290" s="443" t="s">
        <v>2207</v>
      </c>
      <c r="D290" s="81">
        <f t="shared" si="5"/>
        <v>0</v>
      </c>
      <c r="E290" s="81">
        <f>SUMIF('2.생활용수(광석)'!$C$5:$C$56,C290,'2.생활용수(광석)'!$Q$5:$Q$56)</f>
        <v>0</v>
      </c>
      <c r="F290" s="81">
        <f>SUMIF('2.생활용수(성동)'!$C$5:$C$60,$C290,'2.생활용수(성동)'!$Q$5:$Q$60)</f>
        <v>0</v>
      </c>
      <c r="G290" s="81">
        <f>SUMIF('2.생활용수(봉화)'!$C$5:$C$18,$C290,'2.생활용수(봉화)'!$Q$5:$Q$18)</f>
        <v>0</v>
      </c>
      <c r="H290" s="81">
        <f>SUMIF('2.생활용수(논산)'!$C$5:$C$28,$C290,'2.생활용수(논산)'!$Q$5:$Q$28)</f>
        <v>0</v>
      </c>
      <c r="I290" s="81">
        <f>SUMIF('2.생활용수(연무)'!$C$5:$C$123,$C290,'2.생활용수(연무)'!$Q$5:$Q$123)</f>
        <v>0</v>
      </c>
      <c r="J290" s="81">
        <f>SUMIF('2.생활용수(마산)'!$C$5:$C$115,$C290,'2.생활용수(마산)'!$Q$5:$Q$115)</f>
        <v>0</v>
      </c>
      <c r="K290" s="81">
        <f>SUMIF('2.생활용수(부적)'!$C$5:$C$75,$C290,'2.생활용수(부적)'!$Q$5:$Q$75)</f>
        <v>0</v>
      </c>
      <c r="L290" s="81">
        <f>SUMIF('2.생활용수(연산)'!$C$5:$C$220,$C290,'2.생활용수(연산)'!$Q$5:$Q$220)</f>
        <v>0</v>
      </c>
      <c r="M290" s="81">
        <f>SUMIF('2.생활용수(채운)'!$C$5:$C$63,$C290,'2.생활용수(채운)'!$Q$5:$Q$63)</f>
        <v>0</v>
      </c>
      <c r="N290" s="81">
        <f>SUMIF('2.생활용수(강경)'!$C$5:$C$60,$C290,'2.생활용수(강경)'!$Q$5:$Q$60)</f>
        <v>0</v>
      </c>
      <c r="O290" s="81"/>
    </row>
    <row r="291" spans="1:15" ht="20.100000000000001" customHeight="1">
      <c r="A291" s="442" t="s">
        <v>2198</v>
      </c>
      <c r="B291" s="442" t="s">
        <v>2206</v>
      </c>
      <c r="C291" s="443" t="s">
        <v>2208</v>
      </c>
      <c r="D291" s="81">
        <f t="shared" si="5"/>
        <v>0</v>
      </c>
      <c r="E291" s="81">
        <f>SUMIF('2.생활용수(광석)'!$C$5:$C$56,C291,'2.생활용수(광석)'!$Q$5:$Q$56)</f>
        <v>0</v>
      </c>
      <c r="F291" s="81">
        <f>SUMIF('2.생활용수(성동)'!$C$5:$C$60,$C291,'2.생활용수(성동)'!$Q$5:$Q$60)</f>
        <v>0</v>
      </c>
      <c r="G291" s="81">
        <f>SUMIF('2.생활용수(봉화)'!$C$5:$C$18,$C291,'2.생활용수(봉화)'!$Q$5:$Q$18)</f>
        <v>0</v>
      </c>
      <c r="H291" s="81">
        <f>SUMIF('2.생활용수(논산)'!$C$5:$C$28,$C291,'2.생활용수(논산)'!$Q$5:$Q$28)</f>
        <v>0</v>
      </c>
      <c r="I291" s="81">
        <f>SUMIF('2.생활용수(연무)'!$C$5:$C$123,$C291,'2.생활용수(연무)'!$Q$5:$Q$123)</f>
        <v>0</v>
      </c>
      <c r="J291" s="81">
        <f>SUMIF('2.생활용수(마산)'!$C$5:$C$115,$C291,'2.생활용수(마산)'!$Q$5:$Q$115)</f>
        <v>0</v>
      </c>
      <c r="K291" s="81">
        <f>SUMIF('2.생활용수(부적)'!$C$5:$C$75,$C291,'2.생활용수(부적)'!$Q$5:$Q$75)</f>
        <v>0</v>
      </c>
      <c r="L291" s="81">
        <f>SUMIF('2.생활용수(연산)'!$C$5:$C$220,$C291,'2.생활용수(연산)'!$Q$5:$Q$220)</f>
        <v>0</v>
      </c>
      <c r="M291" s="81">
        <f>SUMIF('2.생활용수(채운)'!$C$5:$C$63,$C291,'2.생활용수(채운)'!$Q$5:$Q$63)</f>
        <v>0</v>
      </c>
      <c r="N291" s="81">
        <f>SUMIF('2.생활용수(강경)'!$C$5:$C$60,$C291,'2.생활용수(강경)'!$Q$5:$Q$60)</f>
        <v>0</v>
      </c>
      <c r="O291" s="81"/>
    </row>
    <row r="292" spans="1:15" ht="20.100000000000001" customHeight="1">
      <c r="A292" s="442" t="s">
        <v>2198</v>
      </c>
      <c r="B292" s="442" t="s">
        <v>2209</v>
      </c>
      <c r="C292" s="443" t="s">
        <v>2210</v>
      </c>
      <c r="D292" s="81">
        <f t="shared" si="5"/>
        <v>0</v>
      </c>
      <c r="E292" s="81">
        <f>SUMIF('2.생활용수(광석)'!$C$5:$C$56,C292,'2.생활용수(광석)'!$Q$5:$Q$56)</f>
        <v>0</v>
      </c>
      <c r="F292" s="81">
        <f>SUMIF('2.생활용수(성동)'!$C$5:$C$60,$C292,'2.생활용수(성동)'!$Q$5:$Q$60)</f>
        <v>0</v>
      </c>
      <c r="G292" s="81">
        <f>SUMIF('2.생활용수(봉화)'!$C$5:$C$18,$C292,'2.생활용수(봉화)'!$Q$5:$Q$18)</f>
        <v>0</v>
      </c>
      <c r="H292" s="81">
        <f>SUMIF('2.생활용수(논산)'!$C$5:$C$28,$C292,'2.생활용수(논산)'!$Q$5:$Q$28)</f>
        <v>0</v>
      </c>
      <c r="I292" s="81">
        <f>SUMIF('2.생활용수(연무)'!$C$5:$C$123,$C292,'2.생활용수(연무)'!$Q$5:$Q$123)</f>
        <v>0</v>
      </c>
      <c r="J292" s="81">
        <f>SUMIF('2.생활용수(마산)'!$C$5:$C$115,$C292,'2.생활용수(마산)'!$Q$5:$Q$115)</f>
        <v>0</v>
      </c>
      <c r="K292" s="81">
        <f>SUMIF('2.생활용수(부적)'!$C$5:$C$75,$C292,'2.생활용수(부적)'!$Q$5:$Q$75)</f>
        <v>0</v>
      </c>
      <c r="L292" s="81">
        <f>SUMIF('2.생활용수(연산)'!$C$5:$C$220,$C292,'2.생활용수(연산)'!$Q$5:$Q$220)</f>
        <v>0</v>
      </c>
      <c r="M292" s="81">
        <f>SUMIF('2.생활용수(채운)'!$C$5:$C$63,$C292,'2.생활용수(채운)'!$Q$5:$Q$63)</f>
        <v>0</v>
      </c>
      <c r="N292" s="81">
        <f>SUMIF('2.생활용수(강경)'!$C$5:$C$60,$C292,'2.생활용수(강경)'!$Q$5:$Q$60)</f>
        <v>0</v>
      </c>
      <c r="O292" s="81"/>
    </row>
    <row r="293" spans="1:15" ht="20.100000000000001" customHeight="1">
      <c r="A293" s="442" t="s">
        <v>2198</v>
      </c>
      <c r="B293" s="442" t="s">
        <v>2211</v>
      </c>
      <c r="C293" s="443" t="s">
        <v>2212</v>
      </c>
      <c r="D293" s="81">
        <f t="shared" si="5"/>
        <v>0</v>
      </c>
      <c r="E293" s="81">
        <f>SUMIF('2.생활용수(광석)'!$C$5:$C$56,C293,'2.생활용수(광석)'!$Q$5:$Q$56)</f>
        <v>0</v>
      </c>
      <c r="F293" s="81">
        <f>SUMIF('2.생활용수(성동)'!$C$5:$C$60,$C293,'2.생활용수(성동)'!$Q$5:$Q$60)</f>
        <v>0</v>
      </c>
      <c r="G293" s="81">
        <f>SUMIF('2.생활용수(봉화)'!$C$5:$C$18,$C293,'2.생활용수(봉화)'!$Q$5:$Q$18)</f>
        <v>0</v>
      </c>
      <c r="H293" s="81">
        <f>SUMIF('2.생활용수(논산)'!$C$5:$C$28,$C293,'2.생활용수(논산)'!$Q$5:$Q$28)</f>
        <v>0</v>
      </c>
      <c r="I293" s="81">
        <f>SUMIF('2.생활용수(연무)'!$C$5:$C$123,$C293,'2.생활용수(연무)'!$Q$5:$Q$123)</f>
        <v>0</v>
      </c>
      <c r="J293" s="81">
        <f>SUMIF('2.생활용수(마산)'!$C$5:$C$115,$C293,'2.생활용수(마산)'!$Q$5:$Q$115)</f>
        <v>0</v>
      </c>
      <c r="K293" s="81">
        <f>SUMIF('2.생활용수(부적)'!$C$5:$C$75,$C293,'2.생활용수(부적)'!$Q$5:$Q$75)</f>
        <v>0</v>
      </c>
      <c r="L293" s="81">
        <f>SUMIF('2.생활용수(연산)'!$C$5:$C$220,$C293,'2.생활용수(연산)'!$Q$5:$Q$220)</f>
        <v>0</v>
      </c>
      <c r="M293" s="81">
        <f>SUMIF('2.생활용수(채운)'!$C$5:$C$63,$C293,'2.생활용수(채운)'!$Q$5:$Q$63)</f>
        <v>0</v>
      </c>
      <c r="N293" s="81">
        <f>SUMIF('2.생활용수(강경)'!$C$5:$C$60,$C293,'2.생활용수(강경)'!$Q$5:$Q$60)</f>
        <v>0</v>
      </c>
      <c r="O293" s="81"/>
    </row>
    <row r="294" spans="1:15" ht="20.100000000000001" customHeight="1">
      <c r="A294" s="442" t="s">
        <v>2198</v>
      </c>
      <c r="B294" s="442" t="s">
        <v>2213</v>
      </c>
      <c r="C294" s="443" t="s">
        <v>2214</v>
      </c>
      <c r="D294" s="81">
        <f t="shared" si="5"/>
        <v>0</v>
      </c>
      <c r="E294" s="81">
        <f>SUMIF('2.생활용수(광석)'!$C$5:$C$56,C294,'2.생활용수(광석)'!$Q$5:$Q$56)</f>
        <v>0</v>
      </c>
      <c r="F294" s="81">
        <f>SUMIF('2.생활용수(성동)'!$C$5:$C$60,$C294,'2.생활용수(성동)'!$Q$5:$Q$60)</f>
        <v>0</v>
      </c>
      <c r="G294" s="81">
        <f>SUMIF('2.생활용수(봉화)'!$C$5:$C$18,$C294,'2.생활용수(봉화)'!$Q$5:$Q$18)</f>
        <v>0</v>
      </c>
      <c r="H294" s="81">
        <f>SUMIF('2.생활용수(논산)'!$C$5:$C$28,$C294,'2.생활용수(논산)'!$Q$5:$Q$28)</f>
        <v>0</v>
      </c>
      <c r="I294" s="81">
        <f>SUMIF('2.생활용수(연무)'!$C$5:$C$123,$C294,'2.생활용수(연무)'!$Q$5:$Q$123)</f>
        <v>0</v>
      </c>
      <c r="J294" s="81">
        <f>SUMIF('2.생활용수(마산)'!$C$5:$C$115,$C294,'2.생활용수(마산)'!$Q$5:$Q$115)</f>
        <v>0</v>
      </c>
      <c r="K294" s="81">
        <f>SUMIF('2.생활용수(부적)'!$C$5:$C$75,$C294,'2.생활용수(부적)'!$Q$5:$Q$75)</f>
        <v>0</v>
      </c>
      <c r="L294" s="81">
        <f>SUMIF('2.생활용수(연산)'!$C$5:$C$220,$C294,'2.생활용수(연산)'!$Q$5:$Q$220)</f>
        <v>0</v>
      </c>
      <c r="M294" s="81">
        <f>SUMIF('2.생활용수(채운)'!$C$5:$C$63,$C294,'2.생활용수(채운)'!$Q$5:$Q$63)</f>
        <v>0</v>
      </c>
      <c r="N294" s="81">
        <f>SUMIF('2.생활용수(강경)'!$C$5:$C$60,$C294,'2.생활용수(강경)'!$Q$5:$Q$60)</f>
        <v>0</v>
      </c>
      <c r="O294" s="81"/>
    </row>
    <row r="295" spans="1:15" ht="20.100000000000001" customHeight="1">
      <c r="A295" s="442" t="s">
        <v>2198</v>
      </c>
      <c r="B295" s="442" t="s">
        <v>2213</v>
      </c>
      <c r="C295" s="443" t="s">
        <v>2215</v>
      </c>
      <c r="D295" s="81">
        <f t="shared" si="5"/>
        <v>0</v>
      </c>
      <c r="E295" s="81">
        <f>SUMIF('2.생활용수(광석)'!$C$5:$C$56,C295,'2.생활용수(광석)'!$Q$5:$Q$56)</f>
        <v>0</v>
      </c>
      <c r="F295" s="81">
        <f>SUMIF('2.생활용수(성동)'!$C$5:$C$60,$C295,'2.생활용수(성동)'!$Q$5:$Q$60)</f>
        <v>0</v>
      </c>
      <c r="G295" s="81">
        <f>SUMIF('2.생활용수(봉화)'!$C$5:$C$18,$C295,'2.생활용수(봉화)'!$Q$5:$Q$18)</f>
        <v>0</v>
      </c>
      <c r="H295" s="81">
        <f>SUMIF('2.생활용수(논산)'!$C$5:$C$28,$C295,'2.생활용수(논산)'!$Q$5:$Q$28)</f>
        <v>0</v>
      </c>
      <c r="I295" s="81">
        <f>SUMIF('2.생활용수(연무)'!$C$5:$C$123,$C295,'2.생활용수(연무)'!$Q$5:$Q$123)</f>
        <v>0</v>
      </c>
      <c r="J295" s="81">
        <f>SUMIF('2.생활용수(마산)'!$C$5:$C$115,$C295,'2.생활용수(마산)'!$Q$5:$Q$115)</f>
        <v>0</v>
      </c>
      <c r="K295" s="81">
        <f>SUMIF('2.생활용수(부적)'!$C$5:$C$75,$C295,'2.생활용수(부적)'!$Q$5:$Q$75)</f>
        <v>0</v>
      </c>
      <c r="L295" s="81">
        <f>SUMIF('2.생활용수(연산)'!$C$5:$C$220,$C295,'2.생활용수(연산)'!$Q$5:$Q$220)</f>
        <v>0</v>
      </c>
      <c r="M295" s="81">
        <f>SUMIF('2.생활용수(채운)'!$C$5:$C$63,$C295,'2.생활용수(채운)'!$Q$5:$Q$63)</f>
        <v>0</v>
      </c>
      <c r="N295" s="81">
        <f>SUMIF('2.생활용수(강경)'!$C$5:$C$60,$C295,'2.생활용수(강경)'!$Q$5:$Q$60)</f>
        <v>0</v>
      </c>
      <c r="O295" s="81"/>
    </row>
    <row r="296" spans="1:15" ht="20.100000000000001" customHeight="1">
      <c r="A296" s="442" t="s">
        <v>2198</v>
      </c>
      <c r="B296" s="442" t="s">
        <v>2216</v>
      </c>
      <c r="C296" s="443" t="s">
        <v>2217</v>
      </c>
      <c r="D296" s="81">
        <f t="shared" si="5"/>
        <v>0</v>
      </c>
      <c r="E296" s="81">
        <f>SUMIF('2.생활용수(광석)'!$C$5:$C$56,C296,'2.생활용수(광석)'!$Q$5:$Q$56)</f>
        <v>0</v>
      </c>
      <c r="F296" s="81">
        <f>SUMIF('2.생활용수(성동)'!$C$5:$C$60,$C296,'2.생활용수(성동)'!$Q$5:$Q$60)</f>
        <v>0</v>
      </c>
      <c r="G296" s="81">
        <f>SUMIF('2.생활용수(봉화)'!$C$5:$C$18,$C296,'2.생활용수(봉화)'!$Q$5:$Q$18)</f>
        <v>0</v>
      </c>
      <c r="H296" s="81">
        <f>SUMIF('2.생활용수(논산)'!$C$5:$C$28,$C296,'2.생활용수(논산)'!$Q$5:$Q$28)</f>
        <v>0</v>
      </c>
      <c r="I296" s="81">
        <f>SUMIF('2.생활용수(연무)'!$C$5:$C$123,$C296,'2.생활용수(연무)'!$Q$5:$Q$123)</f>
        <v>0</v>
      </c>
      <c r="J296" s="81">
        <f>SUMIF('2.생활용수(마산)'!$C$5:$C$115,$C296,'2.생활용수(마산)'!$Q$5:$Q$115)</f>
        <v>0</v>
      </c>
      <c r="K296" s="81">
        <f>SUMIF('2.생활용수(부적)'!$C$5:$C$75,$C296,'2.생활용수(부적)'!$Q$5:$Q$75)</f>
        <v>0</v>
      </c>
      <c r="L296" s="81">
        <f>SUMIF('2.생활용수(연산)'!$C$5:$C$220,$C296,'2.생활용수(연산)'!$Q$5:$Q$220)</f>
        <v>0</v>
      </c>
      <c r="M296" s="81">
        <f>SUMIF('2.생활용수(채운)'!$C$5:$C$63,$C296,'2.생활용수(채운)'!$Q$5:$Q$63)</f>
        <v>0</v>
      </c>
      <c r="N296" s="81">
        <f>SUMIF('2.생활용수(강경)'!$C$5:$C$60,$C296,'2.생활용수(강경)'!$Q$5:$Q$60)</f>
        <v>0</v>
      </c>
      <c r="O296" s="81"/>
    </row>
    <row r="297" spans="1:15" ht="20.100000000000001" customHeight="1">
      <c r="A297" s="442" t="s">
        <v>2198</v>
      </c>
      <c r="B297" s="433" t="s">
        <v>1172</v>
      </c>
      <c r="C297" s="443" t="s">
        <v>2218</v>
      </c>
      <c r="D297" s="81">
        <f t="shared" si="5"/>
        <v>0</v>
      </c>
      <c r="E297" s="81">
        <f>SUMIF('2.생활용수(광석)'!$C$5:$C$56,C297,'2.생활용수(광석)'!$Q$5:$Q$56)</f>
        <v>0</v>
      </c>
      <c r="F297" s="81">
        <f>SUMIF('2.생활용수(성동)'!$C$5:$C$60,$C297,'2.생활용수(성동)'!$Q$5:$Q$60)</f>
        <v>0</v>
      </c>
      <c r="G297" s="81">
        <f>SUMIF('2.생활용수(봉화)'!$C$5:$C$18,$C297,'2.생활용수(봉화)'!$Q$5:$Q$18)</f>
        <v>0</v>
      </c>
      <c r="H297" s="81">
        <f>SUMIF('2.생활용수(논산)'!$C$5:$C$28,$C297,'2.생활용수(논산)'!$Q$5:$Q$28)</f>
        <v>0</v>
      </c>
      <c r="I297" s="81">
        <f>SUMIF('2.생활용수(연무)'!$C$5:$C$123,$C297,'2.생활용수(연무)'!$Q$5:$Q$123)</f>
        <v>0</v>
      </c>
      <c r="J297" s="81">
        <f>SUMIF('2.생활용수(마산)'!$C$5:$C$115,$C297,'2.생활용수(마산)'!$Q$5:$Q$115)</f>
        <v>0</v>
      </c>
      <c r="K297" s="81">
        <f>SUMIF('2.생활용수(부적)'!$C$5:$C$75,$C297,'2.생활용수(부적)'!$Q$5:$Q$75)</f>
        <v>0</v>
      </c>
      <c r="L297" s="81">
        <f>SUMIF('2.생활용수(연산)'!$C$5:$C$220,$C297,'2.생활용수(연산)'!$Q$5:$Q$220)</f>
        <v>0</v>
      </c>
      <c r="M297" s="81">
        <f>SUMIF('2.생활용수(채운)'!$C$5:$C$63,$C297,'2.생활용수(채운)'!$Q$5:$Q$63)</f>
        <v>0</v>
      </c>
      <c r="N297" s="81">
        <f>SUMIF('2.생활용수(강경)'!$C$5:$C$60,$C297,'2.생활용수(강경)'!$Q$5:$Q$60)</f>
        <v>0</v>
      </c>
      <c r="O297" s="81"/>
    </row>
    <row r="298" spans="1:15" ht="20.100000000000001" customHeight="1">
      <c r="A298" s="442" t="s">
        <v>2198</v>
      </c>
      <c r="B298" s="433" t="s">
        <v>1172</v>
      </c>
      <c r="C298" s="443" t="s">
        <v>2219</v>
      </c>
      <c r="D298" s="81">
        <f t="shared" si="5"/>
        <v>0</v>
      </c>
      <c r="E298" s="81">
        <f>SUMIF('2.생활용수(광석)'!$C$5:$C$56,C298,'2.생활용수(광석)'!$Q$5:$Q$56)</f>
        <v>0</v>
      </c>
      <c r="F298" s="81">
        <f>SUMIF('2.생활용수(성동)'!$C$5:$C$60,$C298,'2.생활용수(성동)'!$Q$5:$Q$60)</f>
        <v>0</v>
      </c>
      <c r="G298" s="81">
        <f>SUMIF('2.생활용수(봉화)'!$C$5:$C$18,$C298,'2.생활용수(봉화)'!$Q$5:$Q$18)</f>
        <v>0</v>
      </c>
      <c r="H298" s="81">
        <f>SUMIF('2.생활용수(논산)'!$C$5:$C$28,$C298,'2.생활용수(논산)'!$Q$5:$Q$28)</f>
        <v>0</v>
      </c>
      <c r="I298" s="81">
        <f>SUMIF('2.생활용수(연무)'!$C$5:$C$123,$C298,'2.생활용수(연무)'!$Q$5:$Q$123)</f>
        <v>0</v>
      </c>
      <c r="J298" s="81">
        <f>SUMIF('2.생활용수(마산)'!$C$5:$C$115,$C298,'2.생활용수(마산)'!$Q$5:$Q$115)</f>
        <v>0</v>
      </c>
      <c r="K298" s="81">
        <f>SUMIF('2.생활용수(부적)'!$C$5:$C$75,$C298,'2.생활용수(부적)'!$Q$5:$Q$75)</f>
        <v>0</v>
      </c>
      <c r="L298" s="81">
        <f>SUMIF('2.생활용수(연산)'!$C$5:$C$220,$C298,'2.생활용수(연산)'!$Q$5:$Q$220)</f>
        <v>0</v>
      </c>
      <c r="M298" s="81">
        <f>SUMIF('2.생활용수(채운)'!$C$5:$C$63,$C298,'2.생활용수(채운)'!$Q$5:$Q$63)</f>
        <v>0</v>
      </c>
      <c r="N298" s="81">
        <f>SUMIF('2.생활용수(강경)'!$C$5:$C$60,$C298,'2.생활용수(강경)'!$Q$5:$Q$60)</f>
        <v>0</v>
      </c>
      <c r="O298" s="81"/>
    </row>
    <row r="299" spans="1:15" ht="20.100000000000001" customHeight="1">
      <c r="A299" s="442" t="s">
        <v>2198</v>
      </c>
      <c r="B299" s="433" t="s">
        <v>1172</v>
      </c>
      <c r="C299" s="443" t="s">
        <v>2220</v>
      </c>
      <c r="D299" s="81">
        <f t="shared" si="5"/>
        <v>0</v>
      </c>
      <c r="E299" s="81">
        <f>SUMIF('2.생활용수(광석)'!$C$5:$C$56,C299,'2.생활용수(광석)'!$Q$5:$Q$56)</f>
        <v>0</v>
      </c>
      <c r="F299" s="81">
        <f>SUMIF('2.생활용수(성동)'!$C$5:$C$60,$C299,'2.생활용수(성동)'!$Q$5:$Q$60)</f>
        <v>0</v>
      </c>
      <c r="G299" s="81">
        <f>SUMIF('2.생활용수(봉화)'!$C$5:$C$18,$C299,'2.생활용수(봉화)'!$Q$5:$Q$18)</f>
        <v>0</v>
      </c>
      <c r="H299" s="81">
        <f>SUMIF('2.생활용수(논산)'!$C$5:$C$28,$C299,'2.생활용수(논산)'!$Q$5:$Q$28)</f>
        <v>0</v>
      </c>
      <c r="I299" s="81">
        <f>SUMIF('2.생활용수(연무)'!$C$5:$C$123,$C299,'2.생활용수(연무)'!$Q$5:$Q$123)</f>
        <v>0</v>
      </c>
      <c r="J299" s="81">
        <f>SUMIF('2.생활용수(마산)'!$C$5:$C$115,$C299,'2.생활용수(마산)'!$Q$5:$Q$115)</f>
        <v>0</v>
      </c>
      <c r="K299" s="81">
        <f>SUMIF('2.생활용수(부적)'!$C$5:$C$75,$C299,'2.생활용수(부적)'!$Q$5:$Q$75)</f>
        <v>0</v>
      </c>
      <c r="L299" s="81">
        <f>SUMIF('2.생활용수(연산)'!$C$5:$C$220,$C299,'2.생활용수(연산)'!$Q$5:$Q$220)</f>
        <v>0</v>
      </c>
      <c r="M299" s="81">
        <f>SUMIF('2.생활용수(채운)'!$C$5:$C$63,$C299,'2.생활용수(채운)'!$Q$5:$Q$63)</f>
        <v>0</v>
      </c>
      <c r="N299" s="81">
        <f>SUMIF('2.생활용수(강경)'!$C$5:$C$60,$C299,'2.생활용수(강경)'!$Q$5:$Q$60)</f>
        <v>0</v>
      </c>
      <c r="O299" s="81"/>
    </row>
    <row r="300" spans="1:15" ht="20.100000000000001" customHeight="1">
      <c r="A300" s="442" t="s">
        <v>2198</v>
      </c>
      <c r="B300" s="442" t="s">
        <v>2221</v>
      </c>
      <c r="C300" s="443" t="s">
        <v>2222</v>
      </c>
      <c r="D300" s="81">
        <f t="shared" si="5"/>
        <v>0</v>
      </c>
      <c r="E300" s="81">
        <f>SUMIF('2.생활용수(광석)'!$C$5:$C$56,C300,'2.생활용수(광석)'!$Q$5:$Q$56)</f>
        <v>0</v>
      </c>
      <c r="F300" s="81">
        <f>SUMIF('2.생활용수(성동)'!$C$5:$C$60,$C300,'2.생활용수(성동)'!$Q$5:$Q$60)</f>
        <v>0</v>
      </c>
      <c r="G300" s="81">
        <f>SUMIF('2.생활용수(봉화)'!$C$5:$C$18,$C300,'2.생활용수(봉화)'!$Q$5:$Q$18)</f>
        <v>0</v>
      </c>
      <c r="H300" s="81">
        <f>SUMIF('2.생활용수(논산)'!$C$5:$C$28,$C300,'2.생활용수(논산)'!$Q$5:$Q$28)</f>
        <v>0</v>
      </c>
      <c r="I300" s="81">
        <f>SUMIF('2.생활용수(연무)'!$C$5:$C$123,$C300,'2.생활용수(연무)'!$Q$5:$Q$123)</f>
        <v>0</v>
      </c>
      <c r="J300" s="81">
        <f>SUMIF('2.생활용수(마산)'!$C$5:$C$115,$C300,'2.생활용수(마산)'!$Q$5:$Q$115)</f>
        <v>0</v>
      </c>
      <c r="K300" s="81">
        <f>SUMIF('2.생활용수(부적)'!$C$5:$C$75,$C300,'2.생활용수(부적)'!$Q$5:$Q$75)</f>
        <v>0</v>
      </c>
      <c r="L300" s="81">
        <f>SUMIF('2.생활용수(연산)'!$C$5:$C$220,$C300,'2.생활용수(연산)'!$Q$5:$Q$220)</f>
        <v>0</v>
      </c>
      <c r="M300" s="81">
        <f>SUMIF('2.생활용수(채운)'!$C$5:$C$63,$C300,'2.생활용수(채운)'!$Q$5:$Q$63)</f>
        <v>0</v>
      </c>
      <c r="N300" s="81">
        <f>SUMIF('2.생활용수(강경)'!$C$5:$C$60,$C300,'2.생활용수(강경)'!$Q$5:$Q$60)</f>
        <v>0</v>
      </c>
      <c r="O300" s="81"/>
    </row>
    <row r="301" spans="1:15" ht="20.100000000000001" customHeight="1">
      <c r="A301" s="442" t="s">
        <v>2198</v>
      </c>
      <c r="B301" s="442" t="s">
        <v>2221</v>
      </c>
      <c r="C301" s="443" t="s">
        <v>2223</v>
      </c>
      <c r="D301" s="81">
        <f t="shared" si="5"/>
        <v>0</v>
      </c>
      <c r="E301" s="81">
        <f>SUMIF('2.생활용수(광석)'!$C$5:$C$56,C301,'2.생활용수(광석)'!$Q$5:$Q$56)</f>
        <v>0</v>
      </c>
      <c r="F301" s="81">
        <f>SUMIF('2.생활용수(성동)'!$C$5:$C$60,$C301,'2.생활용수(성동)'!$Q$5:$Q$60)</f>
        <v>0</v>
      </c>
      <c r="G301" s="81">
        <f>SUMIF('2.생활용수(봉화)'!$C$5:$C$18,$C301,'2.생활용수(봉화)'!$Q$5:$Q$18)</f>
        <v>0</v>
      </c>
      <c r="H301" s="81">
        <f>SUMIF('2.생활용수(논산)'!$C$5:$C$28,$C301,'2.생활용수(논산)'!$Q$5:$Q$28)</f>
        <v>0</v>
      </c>
      <c r="I301" s="81">
        <f>SUMIF('2.생활용수(연무)'!$C$5:$C$123,$C301,'2.생활용수(연무)'!$Q$5:$Q$123)</f>
        <v>0</v>
      </c>
      <c r="J301" s="81">
        <f>SUMIF('2.생활용수(마산)'!$C$5:$C$115,$C301,'2.생활용수(마산)'!$Q$5:$Q$115)</f>
        <v>0</v>
      </c>
      <c r="K301" s="81">
        <f>SUMIF('2.생활용수(부적)'!$C$5:$C$75,$C301,'2.생활용수(부적)'!$Q$5:$Q$75)</f>
        <v>0</v>
      </c>
      <c r="L301" s="81">
        <f>SUMIF('2.생활용수(연산)'!$C$5:$C$220,$C301,'2.생활용수(연산)'!$Q$5:$Q$220)</f>
        <v>0</v>
      </c>
      <c r="M301" s="81">
        <f>SUMIF('2.생활용수(채운)'!$C$5:$C$63,$C301,'2.생활용수(채운)'!$Q$5:$Q$63)</f>
        <v>0</v>
      </c>
      <c r="N301" s="81">
        <f>SUMIF('2.생활용수(강경)'!$C$5:$C$60,$C301,'2.생활용수(강경)'!$Q$5:$Q$60)</f>
        <v>0</v>
      </c>
      <c r="O301" s="81"/>
    </row>
    <row r="302" spans="1:15" ht="20.100000000000001" customHeight="1">
      <c r="A302" s="442" t="s">
        <v>2224</v>
      </c>
      <c r="B302" s="442" t="s">
        <v>2225</v>
      </c>
      <c r="C302" s="443" t="s">
        <v>2226</v>
      </c>
      <c r="D302" s="81">
        <f t="shared" si="5"/>
        <v>38</v>
      </c>
      <c r="E302" s="81">
        <f>SUMIF('2.생활용수(광석)'!$C$5:$C$56,C302,'2.생활용수(광석)'!$Q$5:$Q$56)</f>
        <v>0</v>
      </c>
      <c r="F302" s="81">
        <f>SUMIF('2.생활용수(성동)'!$C$5:$C$60,$C302,'2.생활용수(성동)'!$Q$5:$Q$60)</f>
        <v>0</v>
      </c>
      <c r="G302" s="81">
        <f>SUMIF('2.생활용수(봉화)'!$C$5:$C$18,$C302,'2.생활용수(봉화)'!$Q$5:$Q$18)</f>
        <v>0</v>
      </c>
      <c r="H302" s="81">
        <f>SUMIF('2.생활용수(논산)'!$C$5:$C$28,$C302,'2.생활용수(논산)'!$Q$5:$Q$28)</f>
        <v>0</v>
      </c>
      <c r="I302" s="81">
        <f>SUMIF('2.생활용수(연무)'!$C$5:$C$123,$C302,'2.생활용수(연무)'!$Q$5:$Q$123)</f>
        <v>0</v>
      </c>
      <c r="J302" s="81">
        <f>SUMIF('2.생활용수(마산)'!$C$5:$C$115,$C302,'2.생활용수(마산)'!$Q$5:$Q$115)</f>
        <v>0</v>
      </c>
      <c r="K302" s="81">
        <f>SUMIF('2.생활용수(부적)'!$C$5:$C$75,$C302,'2.생활용수(부적)'!$Q$5:$Q$75)</f>
        <v>0</v>
      </c>
      <c r="L302" s="81">
        <f>SUMIF('2.생활용수(연산)'!$C$5:$C$220,$C302,'2.생활용수(연산)'!$Q$5:$Q$220)</f>
        <v>38</v>
      </c>
      <c r="M302" s="81">
        <f>SUMIF('2.생활용수(채운)'!$C$5:$C$63,$C302,'2.생활용수(채운)'!$Q$5:$Q$63)</f>
        <v>0</v>
      </c>
      <c r="N302" s="81">
        <f>SUMIF('2.생활용수(강경)'!$C$5:$C$60,$C302,'2.생활용수(강경)'!$Q$5:$Q$60)</f>
        <v>0</v>
      </c>
      <c r="O302" s="81"/>
    </row>
    <row r="303" spans="1:15" ht="20.100000000000001" customHeight="1">
      <c r="A303" s="442" t="s">
        <v>2224</v>
      </c>
      <c r="B303" s="442" t="s">
        <v>2225</v>
      </c>
      <c r="C303" s="443" t="s">
        <v>2227</v>
      </c>
      <c r="D303" s="81">
        <f t="shared" si="5"/>
        <v>24</v>
      </c>
      <c r="E303" s="81">
        <f>SUMIF('2.생활용수(광석)'!$C$5:$C$56,C303,'2.생활용수(광석)'!$Q$5:$Q$56)</f>
        <v>0</v>
      </c>
      <c r="F303" s="81">
        <f>SUMIF('2.생활용수(성동)'!$C$5:$C$60,$C303,'2.생활용수(성동)'!$Q$5:$Q$60)</f>
        <v>0</v>
      </c>
      <c r="G303" s="81">
        <f>SUMIF('2.생활용수(봉화)'!$C$5:$C$18,$C303,'2.생활용수(봉화)'!$Q$5:$Q$18)</f>
        <v>0</v>
      </c>
      <c r="H303" s="81">
        <f>SUMIF('2.생활용수(논산)'!$C$5:$C$28,$C303,'2.생활용수(논산)'!$Q$5:$Q$28)</f>
        <v>0</v>
      </c>
      <c r="I303" s="81">
        <f>SUMIF('2.생활용수(연무)'!$C$5:$C$123,$C303,'2.생활용수(연무)'!$Q$5:$Q$123)</f>
        <v>0</v>
      </c>
      <c r="J303" s="81">
        <f>SUMIF('2.생활용수(마산)'!$C$5:$C$115,$C303,'2.생활용수(마산)'!$Q$5:$Q$115)</f>
        <v>0</v>
      </c>
      <c r="K303" s="81">
        <f>SUMIF('2.생활용수(부적)'!$C$5:$C$75,$C303,'2.생활용수(부적)'!$Q$5:$Q$75)</f>
        <v>0</v>
      </c>
      <c r="L303" s="81">
        <f>SUMIF('2.생활용수(연산)'!$C$5:$C$220,$C303,'2.생활용수(연산)'!$Q$5:$Q$220)</f>
        <v>24</v>
      </c>
      <c r="M303" s="81">
        <f>SUMIF('2.생활용수(채운)'!$C$5:$C$63,$C303,'2.생활용수(채운)'!$Q$5:$Q$63)</f>
        <v>0</v>
      </c>
      <c r="N303" s="81">
        <f>SUMIF('2.생활용수(강경)'!$C$5:$C$60,$C303,'2.생활용수(강경)'!$Q$5:$Q$60)</f>
        <v>0</v>
      </c>
      <c r="O303" s="81"/>
    </row>
    <row r="304" spans="1:15" ht="20.100000000000001" customHeight="1">
      <c r="A304" s="442" t="s">
        <v>2224</v>
      </c>
      <c r="B304" s="442" t="s">
        <v>2225</v>
      </c>
      <c r="C304" s="443" t="s">
        <v>2228</v>
      </c>
      <c r="D304" s="81">
        <f t="shared" si="5"/>
        <v>0</v>
      </c>
      <c r="E304" s="81">
        <f>SUMIF('2.생활용수(광석)'!$C$5:$C$56,C304,'2.생활용수(광석)'!$Q$5:$Q$56)</f>
        <v>0</v>
      </c>
      <c r="F304" s="81">
        <f>SUMIF('2.생활용수(성동)'!$C$5:$C$60,$C304,'2.생활용수(성동)'!$Q$5:$Q$60)</f>
        <v>0</v>
      </c>
      <c r="G304" s="81">
        <f>SUMIF('2.생활용수(봉화)'!$C$5:$C$18,$C304,'2.생활용수(봉화)'!$Q$5:$Q$18)</f>
        <v>0</v>
      </c>
      <c r="H304" s="81">
        <f>SUMIF('2.생활용수(논산)'!$C$5:$C$28,$C304,'2.생활용수(논산)'!$Q$5:$Q$28)</f>
        <v>0</v>
      </c>
      <c r="I304" s="81">
        <f>SUMIF('2.생활용수(연무)'!$C$5:$C$123,$C304,'2.생활용수(연무)'!$Q$5:$Q$123)</f>
        <v>0</v>
      </c>
      <c r="J304" s="81">
        <f>SUMIF('2.생활용수(마산)'!$C$5:$C$115,$C304,'2.생활용수(마산)'!$Q$5:$Q$115)</f>
        <v>0</v>
      </c>
      <c r="K304" s="81">
        <f>SUMIF('2.생활용수(부적)'!$C$5:$C$75,$C304,'2.생활용수(부적)'!$Q$5:$Q$75)</f>
        <v>0</v>
      </c>
      <c r="L304" s="81">
        <f>SUMIF('2.생활용수(연산)'!$C$5:$C$220,$C304,'2.생활용수(연산)'!$Q$5:$Q$220)</f>
        <v>0</v>
      </c>
      <c r="M304" s="81">
        <f>SUMIF('2.생활용수(채운)'!$C$5:$C$63,$C304,'2.생활용수(채운)'!$Q$5:$Q$63)</f>
        <v>0</v>
      </c>
      <c r="N304" s="81">
        <f>SUMIF('2.생활용수(강경)'!$C$5:$C$60,$C304,'2.생활용수(강경)'!$Q$5:$Q$60)</f>
        <v>0</v>
      </c>
      <c r="O304" s="81"/>
    </row>
    <row r="305" spans="1:15" ht="20.100000000000001" customHeight="1">
      <c r="A305" s="442" t="s">
        <v>2224</v>
      </c>
      <c r="B305" s="442" t="s">
        <v>2225</v>
      </c>
      <c r="C305" s="443" t="s">
        <v>2229</v>
      </c>
      <c r="D305" s="81">
        <f t="shared" si="5"/>
        <v>0</v>
      </c>
      <c r="E305" s="81">
        <f>SUMIF('2.생활용수(광석)'!$C$5:$C$56,C305,'2.생활용수(광석)'!$Q$5:$Q$56)</f>
        <v>0</v>
      </c>
      <c r="F305" s="81">
        <f>SUMIF('2.생활용수(성동)'!$C$5:$C$60,$C305,'2.생활용수(성동)'!$Q$5:$Q$60)</f>
        <v>0</v>
      </c>
      <c r="G305" s="81">
        <f>SUMIF('2.생활용수(봉화)'!$C$5:$C$18,$C305,'2.생활용수(봉화)'!$Q$5:$Q$18)</f>
        <v>0</v>
      </c>
      <c r="H305" s="81">
        <f>SUMIF('2.생활용수(논산)'!$C$5:$C$28,$C305,'2.생활용수(논산)'!$Q$5:$Q$28)</f>
        <v>0</v>
      </c>
      <c r="I305" s="81">
        <f>SUMIF('2.생활용수(연무)'!$C$5:$C$123,$C305,'2.생활용수(연무)'!$Q$5:$Q$123)</f>
        <v>0</v>
      </c>
      <c r="J305" s="81">
        <f>SUMIF('2.생활용수(마산)'!$C$5:$C$115,$C305,'2.생활용수(마산)'!$Q$5:$Q$115)</f>
        <v>0</v>
      </c>
      <c r="K305" s="81">
        <f>SUMIF('2.생활용수(부적)'!$C$5:$C$75,$C305,'2.생활용수(부적)'!$Q$5:$Q$75)</f>
        <v>0</v>
      </c>
      <c r="L305" s="81">
        <f>SUMIF('2.생활용수(연산)'!$C$5:$C$220,$C305,'2.생활용수(연산)'!$Q$5:$Q$220)</f>
        <v>0</v>
      </c>
      <c r="M305" s="81">
        <f>SUMIF('2.생활용수(채운)'!$C$5:$C$63,$C305,'2.생활용수(채운)'!$Q$5:$Q$63)</f>
        <v>0</v>
      </c>
      <c r="N305" s="81">
        <f>SUMIF('2.생활용수(강경)'!$C$5:$C$60,$C305,'2.생활용수(강경)'!$Q$5:$Q$60)</f>
        <v>0</v>
      </c>
      <c r="O305" s="81"/>
    </row>
    <row r="306" spans="1:15" ht="20.100000000000001" customHeight="1">
      <c r="A306" s="442" t="s">
        <v>2224</v>
      </c>
      <c r="B306" s="442" t="s">
        <v>2230</v>
      </c>
      <c r="C306" s="443" t="s">
        <v>2231</v>
      </c>
      <c r="D306" s="81">
        <f t="shared" si="5"/>
        <v>0</v>
      </c>
      <c r="E306" s="81">
        <f>SUMIF('2.생활용수(광석)'!$C$5:$C$56,C306,'2.생활용수(광석)'!$Q$5:$Q$56)</f>
        <v>0</v>
      </c>
      <c r="F306" s="81">
        <f>SUMIF('2.생활용수(성동)'!$C$5:$C$60,$C306,'2.생활용수(성동)'!$Q$5:$Q$60)</f>
        <v>0</v>
      </c>
      <c r="G306" s="81">
        <f>SUMIF('2.생활용수(봉화)'!$C$5:$C$18,$C306,'2.생활용수(봉화)'!$Q$5:$Q$18)</f>
        <v>0</v>
      </c>
      <c r="H306" s="81">
        <f>SUMIF('2.생활용수(논산)'!$C$5:$C$28,$C306,'2.생활용수(논산)'!$Q$5:$Q$28)</f>
        <v>0</v>
      </c>
      <c r="I306" s="81">
        <f>SUMIF('2.생활용수(연무)'!$C$5:$C$123,$C306,'2.생활용수(연무)'!$Q$5:$Q$123)</f>
        <v>0</v>
      </c>
      <c r="J306" s="81">
        <f>SUMIF('2.생활용수(마산)'!$C$5:$C$115,$C306,'2.생활용수(마산)'!$Q$5:$Q$115)</f>
        <v>0</v>
      </c>
      <c r="K306" s="81">
        <f>SUMIF('2.생활용수(부적)'!$C$5:$C$75,$C306,'2.생활용수(부적)'!$Q$5:$Q$75)</f>
        <v>0</v>
      </c>
      <c r="L306" s="81">
        <f>SUMIF('2.생활용수(연산)'!$C$5:$C$220,$C306,'2.생활용수(연산)'!$Q$5:$Q$220)</f>
        <v>0</v>
      </c>
      <c r="M306" s="81">
        <f>SUMIF('2.생활용수(채운)'!$C$5:$C$63,$C306,'2.생활용수(채운)'!$Q$5:$Q$63)</f>
        <v>0</v>
      </c>
      <c r="N306" s="81">
        <f>SUMIF('2.생활용수(강경)'!$C$5:$C$60,$C306,'2.생활용수(강경)'!$Q$5:$Q$60)</f>
        <v>0</v>
      </c>
      <c r="O306" s="81"/>
    </row>
    <row r="307" spans="1:15" ht="20.100000000000001" customHeight="1">
      <c r="A307" s="442" t="s">
        <v>2224</v>
      </c>
      <c r="B307" s="442" t="s">
        <v>2230</v>
      </c>
      <c r="C307" s="443" t="s">
        <v>2232</v>
      </c>
      <c r="D307" s="81">
        <f t="shared" si="5"/>
        <v>0</v>
      </c>
      <c r="E307" s="81">
        <f>SUMIF('2.생활용수(광석)'!$C$5:$C$56,C307,'2.생활용수(광석)'!$Q$5:$Q$56)</f>
        <v>0</v>
      </c>
      <c r="F307" s="81">
        <f>SUMIF('2.생활용수(성동)'!$C$5:$C$60,$C307,'2.생활용수(성동)'!$Q$5:$Q$60)</f>
        <v>0</v>
      </c>
      <c r="G307" s="81">
        <f>SUMIF('2.생활용수(봉화)'!$C$5:$C$18,$C307,'2.생활용수(봉화)'!$Q$5:$Q$18)</f>
        <v>0</v>
      </c>
      <c r="H307" s="81">
        <f>SUMIF('2.생활용수(논산)'!$C$5:$C$28,$C307,'2.생활용수(논산)'!$Q$5:$Q$28)</f>
        <v>0</v>
      </c>
      <c r="I307" s="81">
        <f>SUMIF('2.생활용수(연무)'!$C$5:$C$123,$C307,'2.생활용수(연무)'!$Q$5:$Q$123)</f>
        <v>0</v>
      </c>
      <c r="J307" s="81">
        <f>SUMIF('2.생활용수(마산)'!$C$5:$C$115,$C307,'2.생활용수(마산)'!$Q$5:$Q$115)</f>
        <v>0</v>
      </c>
      <c r="K307" s="81">
        <f>SUMIF('2.생활용수(부적)'!$C$5:$C$75,$C307,'2.생활용수(부적)'!$Q$5:$Q$75)</f>
        <v>0</v>
      </c>
      <c r="L307" s="81">
        <f>SUMIF('2.생활용수(연산)'!$C$5:$C$220,$C307,'2.생활용수(연산)'!$Q$5:$Q$220)</f>
        <v>0</v>
      </c>
      <c r="M307" s="81">
        <f>SUMIF('2.생활용수(채운)'!$C$5:$C$63,$C307,'2.생활용수(채운)'!$Q$5:$Q$63)</f>
        <v>0</v>
      </c>
      <c r="N307" s="81">
        <f>SUMIF('2.생활용수(강경)'!$C$5:$C$60,$C307,'2.생활용수(강경)'!$Q$5:$Q$60)</f>
        <v>0</v>
      </c>
      <c r="O307" s="81"/>
    </row>
    <row r="308" spans="1:15" ht="20.100000000000001" customHeight="1">
      <c r="A308" s="442" t="s">
        <v>2224</v>
      </c>
      <c r="B308" s="442" t="s">
        <v>2230</v>
      </c>
      <c r="C308" s="443" t="s">
        <v>2233</v>
      </c>
      <c r="D308" s="81">
        <f t="shared" si="5"/>
        <v>4</v>
      </c>
      <c r="E308" s="81">
        <f>SUMIF('2.생활용수(광석)'!$C$5:$C$56,C308,'2.생활용수(광석)'!$Q$5:$Q$56)</f>
        <v>0</v>
      </c>
      <c r="F308" s="81">
        <f>SUMIF('2.생활용수(성동)'!$C$5:$C$60,$C308,'2.생활용수(성동)'!$Q$5:$Q$60)</f>
        <v>0</v>
      </c>
      <c r="G308" s="81">
        <f>SUMIF('2.생활용수(봉화)'!$C$5:$C$18,$C308,'2.생활용수(봉화)'!$Q$5:$Q$18)</f>
        <v>0</v>
      </c>
      <c r="H308" s="81">
        <f>SUMIF('2.생활용수(논산)'!$C$5:$C$28,$C308,'2.생활용수(논산)'!$Q$5:$Q$28)</f>
        <v>0</v>
      </c>
      <c r="I308" s="81">
        <f>SUMIF('2.생활용수(연무)'!$C$5:$C$123,$C308,'2.생활용수(연무)'!$Q$5:$Q$123)</f>
        <v>0</v>
      </c>
      <c r="J308" s="81">
        <f>SUMIF('2.생활용수(마산)'!$C$5:$C$115,$C308,'2.생활용수(마산)'!$Q$5:$Q$115)</f>
        <v>0</v>
      </c>
      <c r="K308" s="81">
        <f>SUMIF('2.생활용수(부적)'!$C$5:$C$75,$C308,'2.생활용수(부적)'!$Q$5:$Q$75)</f>
        <v>0</v>
      </c>
      <c r="L308" s="81">
        <f>SUMIF('2.생활용수(연산)'!$C$5:$C$220,$C308,'2.생활용수(연산)'!$Q$5:$Q$220)</f>
        <v>4</v>
      </c>
      <c r="M308" s="81">
        <f>SUMIF('2.생활용수(채운)'!$C$5:$C$63,$C308,'2.생활용수(채운)'!$Q$5:$Q$63)</f>
        <v>0</v>
      </c>
      <c r="N308" s="81">
        <f>SUMIF('2.생활용수(강경)'!$C$5:$C$60,$C308,'2.생활용수(강경)'!$Q$5:$Q$60)</f>
        <v>0</v>
      </c>
      <c r="O308" s="81"/>
    </row>
    <row r="309" spans="1:15" ht="20.100000000000001" customHeight="1">
      <c r="A309" s="442" t="s">
        <v>2224</v>
      </c>
      <c r="B309" s="442" t="s">
        <v>2234</v>
      </c>
      <c r="C309" s="443" t="s">
        <v>2235</v>
      </c>
      <c r="D309" s="81">
        <f t="shared" si="5"/>
        <v>0</v>
      </c>
      <c r="E309" s="81">
        <f>SUMIF('2.생활용수(광석)'!$C$5:$C$56,C309,'2.생활용수(광석)'!$Q$5:$Q$56)</f>
        <v>0</v>
      </c>
      <c r="F309" s="81">
        <f>SUMIF('2.생활용수(성동)'!$C$5:$C$60,$C309,'2.생활용수(성동)'!$Q$5:$Q$60)</f>
        <v>0</v>
      </c>
      <c r="G309" s="81">
        <f>SUMIF('2.생활용수(봉화)'!$C$5:$C$18,$C309,'2.생활용수(봉화)'!$Q$5:$Q$18)</f>
        <v>0</v>
      </c>
      <c r="H309" s="81">
        <f>SUMIF('2.생활용수(논산)'!$C$5:$C$28,$C309,'2.생활용수(논산)'!$Q$5:$Q$28)</f>
        <v>0</v>
      </c>
      <c r="I309" s="81">
        <f>SUMIF('2.생활용수(연무)'!$C$5:$C$123,$C309,'2.생활용수(연무)'!$Q$5:$Q$123)</f>
        <v>0</v>
      </c>
      <c r="J309" s="81">
        <f>SUMIF('2.생활용수(마산)'!$C$5:$C$115,$C309,'2.생활용수(마산)'!$Q$5:$Q$115)</f>
        <v>0</v>
      </c>
      <c r="K309" s="81">
        <f>SUMIF('2.생활용수(부적)'!$C$5:$C$75,$C309,'2.생활용수(부적)'!$Q$5:$Q$75)</f>
        <v>0</v>
      </c>
      <c r="L309" s="81">
        <f>SUMIF('2.생활용수(연산)'!$C$5:$C$220,$C309,'2.생활용수(연산)'!$Q$5:$Q$220)</f>
        <v>0</v>
      </c>
      <c r="M309" s="81">
        <f>SUMIF('2.생활용수(채운)'!$C$5:$C$63,$C309,'2.생활용수(채운)'!$Q$5:$Q$63)</f>
        <v>0</v>
      </c>
      <c r="N309" s="81">
        <f>SUMIF('2.생활용수(강경)'!$C$5:$C$60,$C309,'2.생활용수(강경)'!$Q$5:$Q$60)</f>
        <v>0</v>
      </c>
      <c r="O309" s="81"/>
    </row>
    <row r="310" spans="1:15" ht="20.100000000000001" customHeight="1">
      <c r="A310" s="442" t="s">
        <v>2224</v>
      </c>
      <c r="B310" s="442" t="s">
        <v>2234</v>
      </c>
      <c r="C310" s="443" t="s">
        <v>2236</v>
      </c>
      <c r="D310" s="81">
        <f t="shared" si="5"/>
        <v>0</v>
      </c>
      <c r="E310" s="81">
        <f>SUMIF('2.생활용수(광석)'!$C$5:$C$56,C310,'2.생활용수(광석)'!$Q$5:$Q$56)</f>
        <v>0</v>
      </c>
      <c r="F310" s="81">
        <f>SUMIF('2.생활용수(성동)'!$C$5:$C$60,$C310,'2.생활용수(성동)'!$Q$5:$Q$60)</f>
        <v>0</v>
      </c>
      <c r="G310" s="81">
        <f>SUMIF('2.생활용수(봉화)'!$C$5:$C$18,$C310,'2.생활용수(봉화)'!$Q$5:$Q$18)</f>
        <v>0</v>
      </c>
      <c r="H310" s="81">
        <f>SUMIF('2.생활용수(논산)'!$C$5:$C$28,$C310,'2.생활용수(논산)'!$Q$5:$Q$28)</f>
        <v>0</v>
      </c>
      <c r="I310" s="81">
        <f>SUMIF('2.생활용수(연무)'!$C$5:$C$123,$C310,'2.생활용수(연무)'!$Q$5:$Q$123)</f>
        <v>0</v>
      </c>
      <c r="J310" s="81">
        <f>SUMIF('2.생활용수(마산)'!$C$5:$C$115,$C310,'2.생활용수(마산)'!$Q$5:$Q$115)</f>
        <v>0</v>
      </c>
      <c r="K310" s="81">
        <f>SUMIF('2.생활용수(부적)'!$C$5:$C$75,$C310,'2.생활용수(부적)'!$Q$5:$Q$75)</f>
        <v>0</v>
      </c>
      <c r="L310" s="81">
        <f>SUMIF('2.생활용수(연산)'!$C$5:$C$220,$C310,'2.생활용수(연산)'!$Q$5:$Q$220)</f>
        <v>0</v>
      </c>
      <c r="M310" s="81">
        <f>SUMIF('2.생활용수(채운)'!$C$5:$C$63,$C310,'2.생활용수(채운)'!$Q$5:$Q$63)</f>
        <v>0</v>
      </c>
      <c r="N310" s="81">
        <f>SUMIF('2.생활용수(강경)'!$C$5:$C$60,$C310,'2.생활용수(강경)'!$Q$5:$Q$60)</f>
        <v>0</v>
      </c>
      <c r="O310" s="81"/>
    </row>
    <row r="311" spans="1:15" ht="20.100000000000001" customHeight="1">
      <c r="A311" s="442" t="s">
        <v>2224</v>
      </c>
      <c r="B311" s="442" t="s">
        <v>2234</v>
      </c>
      <c r="C311" s="443" t="s">
        <v>2237</v>
      </c>
      <c r="D311" s="81">
        <f t="shared" si="5"/>
        <v>0</v>
      </c>
      <c r="E311" s="81">
        <f>SUMIF('2.생활용수(광석)'!$C$5:$C$56,C311,'2.생활용수(광석)'!$Q$5:$Q$56)</f>
        <v>0</v>
      </c>
      <c r="F311" s="81">
        <f>SUMIF('2.생활용수(성동)'!$C$5:$C$60,$C311,'2.생활용수(성동)'!$Q$5:$Q$60)</f>
        <v>0</v>
      </c>
      <c r="G311" s="81">
        <f>SUMIF('2.생활용수(봉화)'!$C$5:$C$18,$C311,'2.생활용수(봉화)'!$Q$5:$Q$18)</f>
        <v>0</v>
      </c>
      <c r="H311" s="81">
        <f>SUMIF('2.생활용수(논산)'!$C$5:$C$28,$C311,'2.생활용수(논산)'!$Q$5:$Q$28)</f>
        <v>0</v>
      </c>
      <c r="I311" s="81">
        <f>SUMIF('2.생활용수(연무)'!$C$5:$C$123,$C311,'2.생활용수(연무)'!$Q$5:$Q$123)</f>
        <v>0</v>
      </c>
      <c r="J311" s="81">
        <f>SUMIF('2.생활용수(마산)'!$C$5:$C$115,$C311,'2.생활용수(마산)'!$Q$5:$Q$115)</f>
        <v>0</v>
      </c>
      <c r="K311" s="81">
        <f>SUMIF('2.생활용수(부적)'!$C$5:$C$75,$C311,'2.생활용수(부적)'!$Q$5:$Q$75)</f>
        <v>0</v>
      </c>
      <c r="L311" s="81">
        <f>SUMIF('2.생활용수(연산)'!$C$5:$C$220,$C311,'2.생활용수(연산)'!$Q$5:$Q$220)</f>
        <v>0</v>
      </c>
      <c r="M311" s="81">
        <f>SUMIF('2.생활용수(채운)'!$C$5:$C$63,$C311,'2.생활용수(채운)'!$Q$5:$Q$63)</f>
        <v>0</v>
      </c>
      <c r="N311" s="81">
        <f>SUMIF('2.생활용수(강경)'!$C$5:$C$60,$C311,'2.생활용수(강경)'!$Q$5:$Q$60)</f>
        <v>0</v>
      </c>
      <c r="O311" s="81"/>
    </row>
    <row r="312" spans="1:15" ht="20.100000000000001" customHeight="1">
      <c r="A312" s="442" t="s">
        <v>2224</v>
      </c>
      <c r="B312" s="442" t="s">
        <v>2234</v>
      </c>
      <c r="C312" s="443" t="s">
        <v>2238</v>
      </c>
      <c r="D312" s="81">
        <f t="shared" si="5"/>
        <v>0</v>
      </c>
      <c r="E312" s="81">
        <f>SUMIF('2.생활용수(광석)'!$C$5:$C$56,C312,'2.생활용수(광석)'!$Q$5:$Q$56)</f>
        <v>0</v>
      </c>
      <c r="F312" s="81">
        <f>SUMIF('2.생활용수(성동)'!$C$5:$C$60,$C312,'2.생활용수(성동)'!$Q$5:$Q$60)</f>
        <v>0</v>
      </c>
      <c r="G312" s="81">
        <f>SUMIF('2.생활용수(봉화)'!$C$5:$C$18,$C312,'2.생활용수(봉화)'!$Q$5:$Q$18)</f>
        <v>0</v>
      </c>
      <c r="H312" s="81">
        <f>SUMIF('2.생활용수(논산)'!$C$5:$C$28,$C312,'2.생활용수(논산)'!$Q$5:$Q$28)</f>
        <v>0</v>
      </c>
      <c r="I312" s="81">
        <f>SUMIF('2.생활용수(연무)'!$C$5:$C$123,$C312,'2.생활용수(연무)'!$Q$5:$Q$123)</f>
        <v>0</v>
      </c>
      <c r="J312" s="81">
        <f>SUMIF('2.생활용수(마산)'!$C$5:$C$115,$C312,'2.생활용수(마산)'!$Q$5:$Q$115)</f>
        <v>0</v>
      </c>
      <c r="K312" s="81">
        <f>SUMIF('2.생활용수(부적)'!$C$5:$C$75,$C312,'2.생활용수(부적)'!$Q$5:$Q$75)</f>
        <v>0</v>
      </c>
      <c r="L312" s="81">
        <f>SUMIF('2.생활용수(연산)'!$C$5:$C$220,$C312,'2.생활용수(연산)'!$Q$5:$Q$220)</f>
        <v>0</v>
      </c>
      <c r="M312" s="81">
        <f>SUMIF('2.생활용수(채운)'!$C$5:$C$63,$C312,'2.생활용수(채운)'!$Q$5:$Q$63)</f>
        <v>0</v>
      </c>
      <c r="N312" s="81">
        <f>SUMIF('2.생활용수(강경)'!$C$5:$C$60,$C312,'2.생활용수(강경)'!$Q$5:$Q$60)</f>
        <v>0</v>
      </c>
      <c r="O312" s="81"/>
    </row>
    <row r="313" spans="1:15" ht="20.100000000000001" customHeight="1">
      <c r="A313" s="442" t="s">
        <v>2224</v>
      </c>
      <c r="B313" s="442" t="s">
        <v>2239</v>
      </c>
      <c r="C313" s="443" t="s">
        <v>2240</v>
      </c>
      <c r="D313" s="81">
        <f t="shared" si="5"/>
        <v>0</v>
      </c>
      <c r="E313" s="81">
        <f>SUMIF('2.생활용수(광석)'!$C$5:$C$56,C313,'2.생활용수(광석)'!$Q$5:$Q$56)</f>
        <v>0</v>
      </c>
      <c r="F313" s="81">
        <f>SUMIF('2.생활용수(성동)'!$C$5:$C$60,$C313,'2.생활용수(성동)'!$Q$5:$Q$60)</f>
        <v>0</v>
      </c>
      <c r="G313" s="81">
        <f>SUMIF('2.생활용수(봉화)'!$C$5:$C$18,$C313,'2.생활용수(봉화)'!$Q$5:$Q$18)</f>
        <v>0</v>
      </c>
      <c r="H313" s="81">
        <f>SUMIF('2.생활용수(논산)'!$C$5:$C$28,$C313,'2.생활용수(논산)'!$Q$5:$Q$28)</f>
        <v>0</v>
      </c>
      <c r="I313" s="81">
        <f>SUMIF('2.생활용수(연무)'!$C$5:$C$123,$C313,'2.생활용수(연무)'!$Q$5:$Q$123)</f>
        <v>0</v>
      </c>
      <c r="J313" s="81">
        <f>SUMIF('2.생활용수(마산)'!$C$5:$C$115,$C313,'2.생활용수(마산)'!$Q$5:$Q$115)</f>
        <v>0</v>
      </c>
      <c r="K313" s="81">
        <f>SUMIF('2.생활용수(부적)'!$C$5:$C$75,$C313,'2.생활용수(부적)'!$Q$5:$Q$75)</f>
        <v>0</v>
      </c>
      <c r="L313" s="81">
        <f>SUMIF('2.생활용수(연산)'!$C$5:$C$220,$C313,'2.생활용수(연산)'!$Q$5:$Q$220)</f>
        <v>0</v>
      </c>
      <c r="M313" s="81">
        <f>SUMIF('2.생활용수(채운)'!$C$5:$C$63,$C313,'2.생활용수(채운)'!$Q$5:$Q$63)</f>
        <v>0</v>
      </c>
      <c r="N313" s="81">
        <f>SUMIF('2.생활용수(강경)'!$C$5:$C$60,$C313,'2.생활용수(강경)'!$Q$5:$Q$60)</f>
        <v>0</v>
      </c>
      <c r="O313" s="81"/>
    </row>
    <row r="314" spans="1:15" ht="20.100000000000001" customHeight="1">
      <c r="A314" s="442" t="s">
        <v>2224</v>
      </c>
      <c r="B314" s="442" t="s">
        <v>2239</v>
      </c>
      <c r="C314" s="443" t="s">
        <v>2241</v>
      </c>
      <c r="D314" s="81">
        <f t="shared" si="5"/>
        <v>0</v>
      </c>
      <c r="E314" s="81">
        <f>SUMIF('2.생활용수(광석)'!$C$5:$C$56,C314,'2.생활용수(광석)'!$Q$5:$Q$56)</f>
        <v>0</v>
      </c>
      <c r="F314" s="81">
        <f>SUMIF('2.생활용수(성동)'!$C$5:$C$60,$C314,'2.생활용수(성동)'!$Q$5:$Q$60)</f>
        <v>0</v>
      </c>
      <c r="G314" s="81">
        <f>SUMIF('2.생활용수(봉화)'!$C$5:$C$18,$C314,'2.생활용수(봉화)'!$Q$5:$Q$18)</f>
        <v>0</v>
      </c>
      <c r="H314" s="81">
        <f>SUMIF('2.생활용수(논산)'!$C$5:$C$28,$C314,'2.생활용수(논산)'!$Q$5:$Q$28)</f>
        <v>0</v>
      </c>
      <c r="I314" s="81">
        <f>SUMIF('2.생활용수(연무)'!$C$5:$C$123,$C314,'2.생활용수(연무)'!$Q$5:$Q$123)</f>
        <v>0</v>
      </c>
      <c r="J314" s="81">
        <f>SUMIF('2.생활용수(마산)'!$C$5:$C$115,$C314,'2.생활용수(마산)'!$Q$5:$Q$115)</f>
        <v>0</v>
      </c>
      <c r="K314" s="81">
        <f>SUMIF('2.생활용수(부적)'!$C$5:$C$75,$C314,'2.생활용수(부적)'!$Q$5:$Q$75)</f>
        <v>0</v>
      </c>
      <c r="L314" s="81">
        <f>SUMIF('2.생활용수(연산)'!$C$5:$C$220,$C314,'2.생활용수(연산)'!$Q$5:$Q$220)</f>
        <v>0</v>
      </c>
      <c r="M314" s="81">
        <f>SUMIF('2.생활용수(채운)'!$C$5:$C$63,$C314,'2.생활용수(채운)'!$Q$5:$Q$63)</f>
        <v>0</v>
      </c>
      <c r="N314" s="81">
        <f>SUMIF('2.생활용수(강경)'!$C$5:$C$60,$C314,'2.생활용수(강경)'!$Q$5:$Q$60)</f>
        <v>0</v>
      </c>
      <c r="O314" s="81"/>
    </row>
    <row r="315" spans="1:15" ht="20.100000000000001" customHeight="1">
      <c r="A315" s="442" t="s">
        <v>2224</v>
      </c>
      <c r="B315" s="442" t="s">
        <v>2242</v>
      </c>
      <c r="C315" s="443" t="s">
        <v>2243</v>
      </c>
      <c r="D315" s="81">
        <f t="shared" si="5"/>
        <v>0</v>
      </c>
      <c r="E315" s="81">
        <f>SUMIF('2.생활용수(광석)'!$C$5:$C$56,C315,'2.생활용수(광석)'!$Q$5:$Q$56)</f>
        <v>0</v>
      </c>
      <c r="F315" s="81">
        <f>SUMIF('2.생활용수(성동)'!$C$5:$C$60,$C315,'2.생활용수(성동)'!$Q$5:$Q$60)</f>
        <v>0</v>
      </c>
      <c r="G315" s="81">
        <f>SUMIF('2.생활용수(봉화)'!$C$5:$C$18,$C315,'2.생활용수(봉화)'!$Q$5:$Q$18)</f>
        <v>0</v>
      </c>
      <c r="H315" s="81">
        <f>SUMIF('2.생활용수(논산)'!$C$5:$C$28,$C315,'2.생활용수(논산)'!$Q$5:$Q$28)</f>
        <v>0</v>
      </c>
      <c r="I315" s="81">
        <f>SUMIF('2.생활용수(연무)'!$C$5:$C$123,$C315,'2.생활용수(연무)'!$Q$5:$Q$123)</f>
        <v>0</v>
      </c>
      <c r="J315" s="81">
        <f>SUMIF('2.생활용수(마산)'!$C$5:$C$115,$C315,'2.생활용수(마산)'!$Q$5:$Q$115)</f>
        <v>0</v>
      </c>
      <c r="K315" s="81">
        <f>SUMIF('2.생활용수(부적)'!$C$5:$C$75,$C315,'2.생활용수(부적)'!$Q$5:$Q$75)</f>
        <v>0</v>
      </c>
      <c r="L315" s="81">
        <f>SUMIF('2.생활용수(연산)'!$C$5:$C$220,$C315,'2.생활용수(연산)'!$Q$5:$Q$220)</f>
        <v>0</v>
      </c>
      <c r="M315" s="81">
        <f>SUMIF('2.생활용수(채운)'!$C$5:$C$63,$C315,'2.생활용수(채운)'!$Q$5:$Q$63)</f>
        <v>0</v>
      </c>
      <c r="N315" s="81">
        <f>SUMIF('2.생활용수(강경)'!$C$5:$C$60,$C315,'2.생활용수(강경)'!$Q$5:$Q$60)</f>
        <v>0</v>
      </c>
      <c r="O315" s="81"/>
    </row>
    <row r="316" spans="1:15" ht="20.100000000000001" customHeight="1">
      <c r="A316" s="442" t="s">
        <v>2224</v>
      </c>
      <c r="B316" s="442" t="s">
        <v>2242</v>
      </c>
      <c r="C316" s="443" t="s">
        <v>2244</v>
      </c>
      <c r="D316" s="81">
        <f t="shared" si="5"/>
        <v>0</v>
      </c>
      <c r="E316" s="81">
        <f>SUMIF('2.생활용수(광석)'!$C$5:$C$56,C316,'2.생활용수(광석)'!$Q$5:$Q$56)</f>
        <v>0</v>
      </c>
      <c r="F316" s="81">
        <f>SUMIF('2.생활용수(성동)'!$C$5:$C$60,$C316,'2.생활용수(성동)'!$Q$5:$Q$60)</f>
        <v>0</v>
      </c>
      <c r="G316" s="81">
        <f>SUMIF('2.생활용수(봉화)'!$C$5:$C$18,$C316,'2.생활용수(봉화)'!$Q$5:$Q$18)</f>
        <v>0</v>
      </c>
      <c r="H316" s="81">
        <f>SUMIF('2.생활용수(논산)'!$C$5:$C$28,$C316,'2.생활용수(논산)'!$Q$5:$Q$28)</f>
        <v>0</v>
      </c>
      <c r="I316" s="81">
        <f>SUMIF('2.생활용수(연무)'!$C$5:$C$123,$C316,'2.생활용수(연무)'!$Q$5:$Q$123)</f>
        <v>0</v>
      </c>
      <c r="J316" s="81">
        <f>SUMIF('2.생활용수(마산)'!$C$5:$C$115,$C316,'2.생활용수(마산)'!$Q$5:$Q$115)</f>
        <v>0</v>
      </c>
      <c r="K316" s="81">
        <f>SUMIF('2.생활용수(부적)'!$C$5:$C$75,$C316,'2.생활용수(부적)'!$Q$5:$Q$75)</f>
        <v>0</v>
      </c>
      <c r="L316" s="81">
        <f>SUMIF('2.생활용수(연산)'!$C$5:$C$220,$C316,'2.생활용수(연산)'!$Q$5:$Q$220)</f>
        <v>0</v>
      </c>
      <c r="M316" s="81">
        <f>SUMIF('2.생활용수(채운)'!$C$5:$C$63,$C316,'2.생활용수(채운)'!$Q$5:$Q$63)</f>
        <v>0</v>
      </c>
      <c r="N316" s="81">
        <f>SUMIF('2.생활용수(강경)'!$C$5:$C$60,$C316,'2.생활용수(강경)'!$Q$5:$Q$60)</f>
        <v>0</v>
      </c>
      <c r="O316" s="81"/>
    </row>
    <row r="317" spans="1:15" ht="20.100000000000001" customHeight="1">
      <c r="A317" s="442" t="s">
        <v>2224</v>
      </c>
      <c r="B317" s="433" t="s">
        <v>1174</v>
      </c>
      <c r="C317" s="443" t="s">
        <v>2245</v>
      </c>
      <c r="D317" s="81">
        <f t="shared" si="5"/>
        <v>0</v>
      </c>
      <c r="E317" s="81">
        <f>SUMIF('2.생활용수(광석)'!$C$5:$C$56,C317,'2.생활용수(광석)'!$Q$5:$Q$56)</f>
        <v>0</v>
      </c>
      <c r="F317" s="81">
        <f>SUMIF('2.생활용수(성동)'!$C$5:$C$60,$C317,'2.생활용수(성동)'!$Q$5:$Q$60)</f>
        <v>0</v>
      </c>
      <c r="G317" s="81">
        <f>SUMIF('2.생활용수(봉화)'!$C$5:$C$18,$C317,'2.생활용수(봉화)'!$Q$5:$Q$18)</f>
        <v>0</v>
      </c>
      <c r="H317" s="81">
        <f>SUMIF('2.생활용수(논산)'!$C$5:$C$28,$C317,'2.생활용수(논산)'!$Q$5:$Q$28)</f>
        <v>0</v>
      </c>
      <c r="I317" s="81">
        <f>SUMIF('2.생활용수(연무)'!$C$5:$C$123,$C317,'2.생활용수(연무)'!$Q$5:$Q$123)</f>
        <v>0</v>
      </c>
      <c r="J317" s="81">
        <f>SUMIF('2.생활용수(마산)'!$C$5:$C$115,$C317,'2.생활용수(마산)'!$Q$5:$Q$115)</f>
        <v>0</v>
      </c>
      <c r="K317" s="81">
        <f>SUMIF('2.생활용수(부적)'!$C$5:$C$75,$C317,'2.생활용수(부적)'!$Q$5:$Q$75)</f>
        <v>0</v>
      </c>
      <c r="L317" s="81">
        <f>SUMIF('2.생활용수(연산)'!$C$5:$C$220,$C317,'2.생활용수(연산)'!$Q$5:$Q$220)</f>
        <v>0</v>
      </c>
      <c r="M317" s="81">
        <f>SUMIF('2.생활용수(채운)'!$C$5:$C$63,$C317,'2.생활용수(채운)'!$Q$5:$Q$63)</f>
        <v>0</v>
      </c>
      <c r="N317" s="81">
        <f>SUMIF('2.생활용수(강경)'!$C$5:$C$60,$C317,'2.생활용수(강경)'!$Q$5:$Q$60)</f>
        <v>0</v>
      </c>
      <c r="O317" s="81"/>
    </row>
    <row r="318" spans="1:15" ht="20.100000000000001" customHeight="1">
      <c r="A318" s="442" t="s">
        <v>2224</v>
      </c>
      <c r="B318" s="433" t="s">
        <v>1174</v>
      </c>
      <c r="C318" s="443" t="s">
        <v>2246</v>
      </c>
      <c r="D318" s="81">
        <f t="shared" si="5"/>
        <v>0</v>
      </c>
      <c r="E318" s="81">
        <f>SUMIF('2.생활용수(광석)'!$C$5:$C$56,C318,'2.생활용수(광석)'!$Q$5:$Q$56)</f>
        <v>0</v>
      </c>
      <c r="F318" s="81">
        <f>SUMIF('2.생활용수(성동)'!$C$5:$C$60,$C318,'2.생활용수(성동)'!$Q$5:$Q$60)</f>
        <v>0</v>
      </c>
      <c r="G318" s="81">
        <f>SUMIF('2.생활용수(봉화)'!$C$5:$C$18,$C318,'2.생활용수(봉화)'!$Q$5:$Q$18)</f>
        <v>0</v>
      </c>
      <c r="H318" s="81">
        <f>SUMIF('2.생활용수(논산)'!$C$5:$C$28,$C318,'2.생활용수(논산)'!$Q$5:$Q$28)</f>
        <v>0</v>
      </c>
      <c r="I318" s="81">
        <f>SUMIF('2.생활용수(연무)'!$C$5:$C$123,$C318,'2.생활용수(연무)'!$Q$5:$Q$123)</f>
        <v>0</v>
      </c>
      <c r="J318" s="81">
        <f>SUMIF('2.생활용수(마산)'!$C$5:$C$115,$C318,'2.생활용수(마산)'!$Q$5:$Q$115)</f>
        <v>0</v>
      </c>
      <c r="K318" s="81">
        <f>SUMIF('2.생활용수(부적)'!$C$5:$C$75,$C318,'2.생활용수(부적)'!$Q$5:$Q$75)</f>
        <v>0</v>
      </c>
      <c r="L318" s="81">
        <f>SUMIF('2.생활용수(연산)'!$C$5:$C$220,$C318,'2.생활용수(연산)'!$Q$5:$Q$220)</f>
        <v>0</v>
      </c>
      <c r="M318" s="81">
        <f>SUMIF('2.생활용수(채운)'!$C$5:$C$63,$C318,'2.생활용수(채운)'!$Q$5:$Q$63)</f>
        <v>0</v>
      </c>
      <c r="N318" s="81">
        <f>SUMIF('2.생활용수(강경)'!$C$5:$C$60,$C318,'2.생활용수(강경)'!$Q$5:$Q$60)</f>
        <v>0</v>
      </c>
      <c r="O318" s="81"/>
    </row>
    <row r="319" spans="1:15" ht="20.100000000000001" customHeight="1">
      <c r="A319" s="442" t="s">
        <v>2224</v>
      </c>
      <c r="B319" s="442" t="s">
        <v>2247</v>
      </c>
      <c r="C319" s="443" t="s">
        <v>2248</v>
      </c>
      <c r="D319" s="81">
        <f t="shared" si="5"/>
        <v>0</v>
      </c>
      <c r="E319" s="81">
        <f>SUMIF('2.생활용수(광석)'!$C$5:$C$56,C319,'2.생활용수(광석)'!$Q$5:$Q$56)</f>
        <v>0</v>
      </c>
      <c r="F319" s="81">
        <f>SUMIF('2.생활용수(성동)'!$C$5:$C$60,$C319,'2.생활용수(성동)'!$Q$5:$Q$60)</f>
        <v>0</v>
      </c>
      <c r="G319" s="81">
        <f>SUMIF('2.생활용수(봉화)'!$C$5:$C$18,$C319,'2.생활용수(봉화)'!$Q$5:$Q$18)</f>
        <v>0</v>
      </c>
      <c r="H319" s="81">
        <f>SUMIF('2.생활용수(논산)'!$C$5:$C$28,$C319,'2.생활용수(논산)'!$Q$5:$Q$28)</f>
        <v>0</v>
      </c>
      <c r="I319" s="81">
        <f>SUMIF('2.생활용수(연무)'!$C$5:$C$123,$C319,'2.생활용수(연무)'!$Q$5:$Q$123)</f>
        <v>0</v>
      </c>
      <c r="J319" s="81">
        <f>SUMIF('2.생활용수(마산)'!$C$5:$C$115,$C319,'2.생활용수(마산)'!$Q$5:$Q$115)</f>
        <v>0</v>
      </c>
      <c r="K319" s="81">
        <f>SUMIF('2.생활용수(부적)'!$C$5:$C$75,$C319,'2.생활용수(부적)'!$Q$5:$Q$75)</f>
        <v>0</v>
      </c>
      <c r="L319" s="81">
        <f>SUMIF('2.생활용수(연산)'!$C$5:$C$220,$C319,'2.생활용수(연산)'!$Q$5:$Q$220)</f>
        <v>0</v>
      </c>
      <c r="M319" s="81">
        <f>SUMIF('2.생활용수(채운)'!$C$5:$C$63,$C319,'2.생활용수(채운)'!$Q$5:$Q$63)</f>
        <v>0</v>
      </c>
      <c r="N319" s="81">
        <f>SUMIF('2.생활용수(강경)'!$C$5:$C$60,$C319,'2.생활용수(강경)'!$Q$5:$Q$60)</f>
        <v>0</v>
      </c>
      <c r="O319" s="81"/>
    </row>
    <row r="320" spans="1:15" ht="20.100000000000001" customHeight="1">
      <c r="A320" s="442" t="s">
        <v>2224</v>
      </c>
      <c r="B320" s="442" t="s">
        <v>2247</v>
      </c>
      <c r="C320" s="443" t="s">
        <v>2249</v>
      </c>
      <c r="D320" s="81">
        <f t="shared" si="5"/>
        <v>0</v>
      </c>
      <c r="E320" s="81">
        <f>SUMIF('2.생활용수(광석)'!$C$5:$C$56,C320,'2.생활용수(광석)'!$Q$5:$Q$56)</f>
        <v>0</v>
      </c>
      <c r="F320" s="81">
        <f>SUMIF('2.생활용수(성동)'!$C$5:$C$60,$C320,'2.생활용수(성동)'!$Q$5:$Q$60)</f>
        <v>0</v>
      </c>
      <c r="G320" s="81">
        <f>SUMIF('2.생활용수(봉화)'!$C$5:$C$18,$C320,'2.생활용수(봉화)'!$Q$5:$Q$18)</f>
        <v>0</v>
      </c>
      <c r="H320" s="81">
        <f>SUMIF('2.생활용수(논산)'!$C$5:$C$28,$C320,'2.생활용수(논산)'!$Q$5:$Q$28)</f>
        <v>0</v>
      </c>
      <c r="I320" s="81">
        <f>SUMIF('2.생활용수(연무)'!$C$5:$C$123,$C320,'2.생활용수(연무)'!$Q$5:$Q$123)</f>
        <v>0</v>
      </c>
      <c r="J320" s="81">
        <f>SUMIF('2.생활용수(마산)'!$C$5:$C$115,$C320,'2.생활용수(마산)'!$Q$5:$Q$115)</f>
        <v>0</v>
      </c>
      <c r="K320" s="81">
        <f>SUMIF('2.생활용수(부적)'!$C$5:$C$75,$C320,'2.생활용수(부적)'!$Q$5:$Q$75)</f>
        <v>0</v>
      </c>
      <c r="L320" s="81">
        <f>SUMIF('2.생활용수(연산)'!$C$5:$C$220,$C320,'2.생활용수(연산)'!$Q$5:$Q$220)</f>
        <v>0</v>
      </c>
      <c r="M320" s="81">
        <f>SUMIF('2.생활용수(채운)'!$C$5:$C$63,$C320,'2.생활용수(채운)'!$Q$5:$Q$63)</f>
        <v>0</v>
      </c>
      <c r="N320" s="81">
        <f>SUMIF('2.생활용수(강경)'!$C$5:$C$60,$C320,'2.생활용수(강경)'!$Q$5:$Q$60)</f>
        <v>0</v>
      </c>
      <c r="O320" s="81"/>
    </row>
    <row r="321" spans="1:15" ht="20.100000000000001" customHeight="1">
      <c r="A321" s="442" t="s">
        <v>2224</v>
      </c>
      <c r="B321" s="433" t="s">
        <v>1173</v>
      </c>
      <c r="C321" s="443" t="s">
        <v>2251</v>
      </c>
      <c r="D321" s="81">
        <f t="shared" si="5"/>
        <v>0</v>
      </c>
      <c r="E321" s="81">
        <f>SUMIF('2.생활용수(광석)'!$C$5:$C$56,C321,'2.생활용수(광석)'!$Q$5:$Q$56)</f>
        <v>0</v>
      </c>
      <c r="F321" s="81">
        <f>SUMIF('2.생활용수(성동)'!$C$5:$C$60,$C321,'2.생활용수(성동)'!$Q$5:$Q$60)</f>
        <v>0</v>
      </c>
      <c r="G321" s="81">
        <f>SUMIF('2.생활용수(봉화)'!$C$5:$C$18,$C321,'2.생활용수(봉화)'!$Q$5:$Q$18)</f>
        <v>0</v>
      </c>
      <c r="H321" s="81">
        <f>SUMIF('2.생활용수(논산)'!$C$5:$C$28,$C321,'2.생활용수(논산)'!$Q$5:$Q$28)</f>
        <v>0</v>
      </c>
      <c r="I321" s="81">
        <f>SUMIF('2.생활용수(연무)'!$C$5:$C$123,$C321,'2.생활용수(연무)'!$Q$5:$Q$123)</f>
        <v>0</v>
      </c>
      <c r="J321" s="81">
        <f>SUMIF('2.생활용수(마산)'!$C$5:$C$115,$C321,'2.생활용수(마산)'!$Q$5:$Q$115)</f>
        <v>0</v>
      </c>
      <c r="K321" s="81">
        <f>SUMIF('2.생활용수(부적)'!$C$5:$C$75,$C321,'2.생활용수(부적)'!$Q$5:$Q$75)</f>
        <v>0</v>
      </c>
      <c r="L321" s="81">
        <f>SUMIF('2.생활용수(연산)'!$C$5:$C$220,$C321,'2.생활용수(연산)'!$Q$5:$Q$220)</f>
        <v>0</v>
      </c>
      <c r="M321" s="81">
        <f>SUMIF('2.생활용수(채운)'!$C$5:$C$63,$C321,'2.생활용수(채운)'!$Q$5:$Q$63)</f>
        <v>0</v>
      </c>
      <c r="N321" s="81">
        <f>SUMIF('2.생활용수(강경)'!$C$5:$C$60,$C321,'2.생활용수(강경)'!$Q$5:$Q$60)</f>
        <v>0</v>
      </c>
      <c r="O321" s="81"/>
    </row>
    <row r="322" spans="1:15" ht="20.100000000000001" customHeight="1">
      <c r="A322" s="442" t="s">
        <v>2224</v>
      </c>
      <c r="B322" s="433" t="s">
        <v>1173</v>
      </c>
      <c r="C322" s="443" t="s">
        <v>2252</v>
      </c>
      <c r="D322" s="81">
        <f t="shared" si="5"/>
        <v>0</v>
      </c>
      <c r="E322" s="81">
        <f>SUMIF('2.생활용수(광석)'!$C$5:$C$56,C322,'2.생활용수(광석)'!$Q$5:$Q$56)</f>
        <v>0</v>
      </c>
      <c r="F322" s="81">
        <f>SUMIF('2.생활용수(성동)'!$C$5:$C$60,$C322,'2.생활용수(성동)'!$Q$5:$Q$60)</f>
        <v>0</v>
      </c>
      <c r="G322" s="81">
        <f>SUMIF('2.생활용수(봉화)'!$C$5:$C$18,$C322,'2.생활용수(봉화)'!$Q$5:$Q$18)</f>
        <v>0</v>
      </c>
      <c r="H322" s="81">
        <f>SUMIF('2.생활용수(논산)'!$C$5:$C$28,$C322,'2.생활용수(논산)'!$Q$5:$Q$28)</f>
        <v>0</v>
      </c>
      <c r="I322" s="81">
        <f>SUMIF('2.생활용수(연무)'!$C$5:$C$123,$C322,'2.생활용수(연무)'!$Q$5:$Q$123)</f>
        <v>0</v>
      </c>
      <c r="J322" s="81">
        <f>SUMIF('2.생활용수(마산)'!$C$5:$C$115,$C322,'2.생활용수(마산)'!$Q$5:$Q$115)</f>
        <v>0</v>
      </c>
      <c r="K322" s="81">
        <f>SUMIF('2.생활용수(부적)'!$C$5:$C$75,$C322,'2.생활용수(부적)'!$Q$5:$Q$75)</f>
        <v>0</v>
      </c>
      <c r="L322" s="81">
        <f>SUMIF('2.생활용수(연산)'!$C$5:$C$220,$C322,'2.생활용수(연산)'!$Q$5:$Q$220)</f>
        <v>0</v>
      </c>
      <c r="M322" s="81">
        <f>SUMIF('2.생활용수(채운)'!$C$5:$C$63,$C322,'2.생활용수(채운)'!$Q$5:$Q$63)</f>
        <v>0</v>
      </c>
      <c r="N322" s="81">
        <f>SUMIF('2.생활용수(강경)'!$C$5:$C$60,$C322,'2.생활용수(강경)'!$Q$5:$Q$60)</f>
        <v>0</v>
      </c>
      <c r="O322" s="81"/>
    </row>
    <row r="323" spans="1:15" ht="20.100000000000001" customHeight="1">
      <c r="A323" s="442" t="s">
        <v>2224</v>
      </c>
      <c r="B323" s="442" t="s">
        <v>2253</v>
      </c>
      <c r="C323" s="443" t="s">
        <v>2254</v>
      </c>
      <c r="D323" s="81">
        <f t="shared" si="5"/>
        <v>0</v>
      </c>
      <c r="E323" s="81">
        <f>SUMIF('2.생활용수(광석)'!$C$5:$C$56,C323,'2.생활용수(광석)'!$Q$5:$Q$56)</f>
        <v>0</v>
      </c>
      <c r="F323" s="81">
        <f>SUMIF('2.생활용수(성동)'!$C$5:$C$60,$C323,'2.생활용수(성동)'!$Q$5:$Q$60)</f>
        <v>0</v>
      </c>
      <c r="G323" s="81">
        <f>SUMIF('2.생활용수(봉화)'!$C$5:$C$18,$C323,'2.생활용수(봉화)'!$Q$5:$Q$18)</f>
        <v>0</v>
      </c>
      <c r="H323" s="81">
        <f>SUMIF('2.생활용수(논산)'!$C$5:$C$28,$C323,'2.생활용수(논산)'!$Q$5:$Q$28)</f>
        <v>0</v>
      </c>
      <c r="I323" s="81">
        <f>SUMIF('2.생활용수(연무)'!$C$5:$C$123,$C323,'2.생활용수(연무)'!$Q$5:$Q$123)</f>
        <v>0</v>
      </c>
      <c r="J323" s="81">
        <f>SUMIF('2.생활용수(마산)'!$C$5:$C$115,$C323,'2.생활용수(마산)'!$Q$5:$Q$115)</f>
        <v>0</v>
      </c>
      <c r="K323" s="81">
        <f>SUMIF('2.생활용수(부적)'!$C$5:$C$75,$C323,'2.생활용수(부적)'!$Q$5:$Q$75)</f>
        <v>0</v>
      </c>
      <c r="L323" s="81">
        <f>SUMIF('2.생활용수(연산)'!$C$5:$C$220,$C323,'2.생활용수(연산)'!$Q$5:$Q$220)</f>
        <v>0</v>
      </c>
      <c r="M323" s="81">
        <f>SUMIF('2.생활용수(채운)'!$C$5:$C$63,$C323,'2.생활용수(채운)'!$Q$5:$Q$63)</f>
        <v>0</v>
      </c>
      <c r="N323" s="81">
        <f>SUMIF('2.생활용수(강경)'!$C$5:$C$60,$C323,'2.생활용수(강경)'!$Q$5:$Q$60)</f>
        <v>0</v>
      </c>
      <c r="O323" s="81"/>
    </row>
    <row r="324" spans="1:15" ht="20.100000000000001" customHeight="1">
      <c r="A324" s="442" t="s">
        <v>2224</v>
      </c>
      <c r="B324" s="442" t="s">
        <v>2253</v>
      </c>
      <c r="C324" s="443" t="s">
        <v>2255</v>
      </c>
      <c r="D324" s="81">
        <f t="shared" si="5"/>
        <v>0</v>
      </c>
      <c r="E324" s="81">
        <f>SUMIF('2.생활용수(광석)'!$C$5:$C$56,C324,'2.생활용수(광석)'!$Q$5:$Q$56)</f>
        <v>0</v>
      </c>
      <c r="F324" s="81">
        <f>SUMIF('2.생활용수(성동)'!$C$5:$C$60,$C324,'2.생활용수(성동)'!$Q$5:$Q$60)</f>
        <v>0</v>
      </c>
      <c r="G324" s="81">
        <f>SUMIF('2.생활용수(봉화)'!$C$5:$C$18,$C324,'2.생활용수(봉화)'!$Q$5:$Q$18)</f>
        <v>0</v>
      </c>
      <c r="H324" s="81">
        <f>SUMIF('2.생활용수(논산)'!$C$5:$C$28,$C324,'2.생활용수(논산)'!$Q$5:$Q$28)</f>
        <v>0</v>
      </c>
      <c r="I324" s="81">
        <f>SUMIF('2.생활용수(연무)'!$C$5:$C$123,$C324,'2.생활용수(연무)'!$Q$5:$Q$123)</f>
        <v>0</v>
      </c>
      <c r="J324" s="81">
        <f>SUMIF('2.생활용수(마산)'!$C$5:$C$115,$C324,'2.생활용수(마산)'!$Q$5:$Q$115)</f>
        <v>0</v>
      </c>
      <c r="K324" s="81">
        <f>SUMIF('2.생활용수(부적)'!$C$5:$C$75,$C324,'2.생활용수(부적)'!$Q$5:$Q$75)</f>
        <v>0</v>
      </c>
      <c r="L324" s="81">
        <f>SUMIF('2.생활용수(연산)'!$C$5:$C$220,$C324,'2.생활용수(연산)'!$Q$5:$Q$220)</f>
        <v>0</v>
      </c>
      <c r="M324" s="81">
        <f>SUMIF('2.생활용수(채운)'!$C$5:$C$63,$C324,'2.생활용수(채운)'!$Q$5:$Q$63)</f>
        <v>0</v>
      </c>
      <c r="N324" s="81">
        <f>SUMIF('2.생활용수(강경)'!$C$5:$C$60,$C324,'2.생활용수(강경)'!$Q$5:$Q$60)</f>
        <v>0</v>
      </c>
      <c r="O324" s="81"/>
    </row>
    <row r="325" spans="1:15" ht="20.100000000000001" customHeight="1">
      <c r="A325" s="442" t="s">
        <v>2224</v>
      </c>
      <c r="B325" s="442" t="s">
        <v>2256</v>
      </c>
      <c r="C325" s="443" t="s">
        <v>2257</v>
      </c>
      <c r="D325" s="81">
        <f t="shared" ref="D325:D388" si="6">SUM(E325:O325)</f>
        <v>0</v>
      </c>
      <c r="E325" s="81">
        <f>SUMIF('2.생활용수(광석)'!$C$5:$C$56,C325,'2.생활용수(광석)'!$Q$5:$Q$56)</f>
        <v>0</v>
      </c>
      <c r="F325" s="81">
        <f>SUMIF('2.생활용수(성동)'!$C$5:$C$60,$C325,'2.생활용수(성동)'!$Q$5:$Q$60)</f>
        <v>0</v>
      </c>
      <c r="G325" s="81">
        <f>SUMIF('2.생활용수(봉화)'!$C$5:$C$18,$C325,'2.생활용수(봉화)'!$Q$5:$Q$18)</f>
        <v>0</v>
      </c>
      <c r="H325" s="81">
        <f>SUMIF('2.생활용수(논산)'!$C$5:$C$28,$C325,'2.생활용수(논산)'!$Q$5:$Q$28)</f>
        <v>0</v>
      </c>
      <c r="I325" s="81">
        <f>SUMIF('2.생활용수(연무)'!$C$5:$C$123,$C325,'2.생활용수(연무)'!$Q$5:$Q$123)</f>
        <v>0</v>
      </c>
      <c r="J325" s="81">
        <f>SUMIF('2.생활용수(마산)'!$C$5:$C$115,$C325,'2.생활용수(마산)'!$Q$5:$Q$115)</f>
        <v>0</v>
      </c>
      <c r="K325" s="81">
        <f>SUMIF('2.생활용수(부적)'!$C$5:$C$75,$C325,'2.생활용수(부적)'!$Q$5:$Q$75)</f>
        <v>0</v>
      </c>
      <c r="L325" s="81">
        <f>SUMIF('2.생활용수(연산)'!$C$5:$C$220,$C325,'2.생활용수(연산)'!$Q$5:$Q$220)</f>
        <v>0</v>
      </c>
      <c r="M325" s="81">
        <f>SUMIF('2.생활용수(채운)'!$C$5:$C$63,$C325,'2.생활용수(채운)'!$Q$5:$Q$63)</f>
        <v>0</v>
      </c>
      <c r="N325" s="81">
        <f>SUMIF('2.생활용수(강경)'!$C$5:$C$60,$C325,'2.생활용수(강경)'!$Q$5:$Q$60)</f>
        <v>0</v>
      </c>
      <c r="O325" s="81"/>
    </row>
    <row r="326" spans="1:15" ht="20.100000000000001" customHeight="1">
      <c r="A326" s="442" t="s">
        <v>2224</v>
      </c>
      <c r="B326" s="442" t="s">
        <v>2256</v>
      </c>
      <c r="C326" s="443" t="s">
        <v>2258</v>
      </c>
      <c r="D326" s="81">
        <f t="shared" si="6"/>
        <v>0</v>
      </c>
      <c r="E326" s="81">
        <f>SUMIF('2.생활용수(광석)'!$C$5:$C$56,C326,'2.생활용수(광석)'!$Q$5:$Q$56)</f>
        <v>0</v>
      </c>
      <c r="F326" s="81">
        <f>SUMIF('2.생활용수(성동)'!$C$5:$C$60,$C326,'2.생활용수(성동)'!$Q$5:$Q$60)</f>
        <v>0</v>
      </c>
      <c r="G326" s="81">
        <f>SUMIF('2.생활용수(봉화)'!$C$5:$C$18,$C326,'2.생활용수(봉화)'!$Q$5:$Q$18)</f>
        <v>0</v>
      </c>
      <c r="H326" s="81">
        <f>SUMIF('2.생활용수(논산)'!$C$5:$C$28,$C326,'2.생활용수(논산)'!$Q$5:$Q$28)</f>
        <v>0</v>
      </c>
      <c r="I326" s="81">
        <f>SUMIF('2.생활용수(연무)'!$C$5:$C$123,$C326,'2.생활용수(연무)'!$Q$5:$Q$123)</f>
        <v>0</v>
      </c>
      <c r="J326" s="81">
        <f>SUMIF('2.생활용수(마산)'!$C$5:$C$115,$C326,'2.생활용수(마산)'!$Q$5:$Q$115)</f>
        <v>0</v>
      </c>
      <c r="K326" s="81">
        <f>SUMIF('2.생활용수(부적)'!$C$5:$C$75,$C326,'2.생활용수(부적)'!$Q$5:$Q$75)</f>
        <v>0</v>
      </c>
      <c r="L326" s="81">
        <f>SUMIF('2.생활용수(연산)'!$C$5:$C$220,$C326,'2.생활용수(연산)'!$Q$5:$Q$220)</f>
        <v>0</v>
      </c>
      <c r="M326" s="81">
        <f>SUMIF('2.생활용수(채운)'!$C$5:$C$63,$C326,'2.생활용수(채운)'!$Q$5:$Q$63)</f>
        <v>0</v>
      </c>
      <c r="N326" s="81">
        <f>SUMIF('2.생활용수(강경)'!$C$5:$C$60,$C326,'2.생활용수(강경)'!$Q$5:$Q$60)</f>
        <v>0</v>
      </c>
      <c r="O326" s="81"/>
    </row>
    <row r="327" spans="1:15" ht="20.100000000000001" customHeight="1">
      <c r="A327" s="442" t="s">
        <v>2224</v>
      </c>
      <c r="B327" s="442" t="s">
        <v>2259</v>
      </c>
      <c r="C327" s="443" t="s">
        <v>2260</v>
      </c>
      <c r="D327" s="81">
        <f t="shared" si="6"/>
        <v>0</v>
      </c>
      <c r="E327" s="81">
        <f>SUMIF('2.생활용수(광석)'!$C$5:$C$56,C327,'2.생활용수(광석)'!$Q$5:$Q$56)</f>
        <v>0</v>
      </c>
      <c r="F327" s="81">
        <f>SUMIF('2.생활용수(성동)'!$C$5:$C$60,$C327,'2.생활용수(성동)'!$Q$5:$Q$60)</f>
        <v>0</v>
      </c>
      <c r="G327" s="81">
        <f>SUMIF('2.생활용수(봉화)'!$C$5:$C$18,$C327,'2.생활용수(봉화)'!$Q$5:$Q$18)</f>
        <v>0</v>
      </c>
      <c r="H327" s="81">
        <f>SUMIF('2.생활용수(논산)'!$C$5:$C$28,$C327,'2.생활용수(논산)'!$Q$5:$Q$28)</f>
        <v>0</v>
      </c>
      <c r="I327" s="81">
        <f>SUMIF('2.생활용수(연무)'!$C$5:$C$123,$C327,'2.생활용수(연무)'!$Q$5:$Q$123)</f>
        <v>0</v>
      </c>
      <c r="J327" s="81">
        <f>SUMIF('2.생활용수(마산)'!$C$5:$C$115,$C327,'2.생활용수(마산)'!$Q$5:$Q$115)</f>
        <v>0</v>
      </c>
      <c r="K327" s="81">
        <f>SUMIF('2.생활용수(부적)'!$C$5:$C$75,$C327,'2.생활용수(부적)'!$Q$5:$Q$75)</f>
        <v>0</v>
      </c>
      <c r="L327" s="81">
        <f>SUMIF('2.생활용수(연산)'!$C$5:$C$220,$C327,'2.생활용수(연산)'!$Q$5:$Q$220)</f>
        <v>0</v>
      </c>
      <c r="M327" s="81">
        <f>SUMIF('2.생활용수(채운)'!$C$5:$C$63,$C327,'2.생활용수(채운)'!$Q$5:$Q$63)</f>
        <v>0</v>
      </c>
      <c r="N327" s="81">
        <f>SUMIF('2.생활용수(강경)'!$C$5:$C$60,$C327,'2.생활용수(강경)'!$Q$5:$Q$60)</f>
        <v>0</v>
      </c>
      <c r="O327" s="81"/>
    </row>
    <row r="328" spans="1:15" ht="20.100000000000001" customHeight="1">
      <c r="A328" s="442" t="s">
        <v>2224</v>
      </c>
      <c r="B328" s="442" t="s">
        <v>2259</v>
      </c>
      <c r="C328" s="443" t="s">
        <v>2261</v>
      </c>
      <c r="D328" s="81">
        <f t="shared" si="6"/>
        <v>16</v>
      </c>
      <c r="E328" s="81">
        <f>SUMIF('2.생활용수(광석)'!$C$5:$C$56,C328,'2.생활용수(광석)'!$Q$5:$Q$56)</f>
        <v>0</v>
      </c>
      <c r="F328" s="81">
        <f>SUMIF('2.생활용수(성동)'!$C$5:$C$60,$C328,'2.생활용수(성동)'!$Q$5:$Q$60)</f>
        <v>0</v>
      </c>
      <c r="G328" s="81">
        <f>SUMIF('2.생활용수(봉화)'!$C$5:$C$18,$C328,'2.생활용수(봉화)'!$Q$5:$Q$18)</f>
        <v>0</v>
      </c>
      <c r="H328" s="81">
        <f>SUMIF('2.생활용수(논산)'!$C$5:$C$28,$C328,'2.생활용수(논산)'!$Q$5:$Q$28)</f>
        <v>0</v>
      </c>
      <c r="I328" s="81">
        <f>SUMIF('2.생활용수(연무)'!$C$5:$C$123,$C328,'2.생활용수(연무)'!$Q$5:$Q$123)</f>
        <v>0</v>
      </c>
      <c r="J328" s="81">
        <f>SUMIF('2.생활용수(마산)'!$C$5:$C$115,$C328,'2.생활용수(마산)'!$Q$5:$Q$115)</f>
        <v>0</v>
      </c>
      <c r="K328" s="81">
        <f>SUMIF('2.생활용수(부적)'!$C$5:$C$75,$C328,'2.생활용수(부적)'!$Q$5:$Q$75)</f>
        <v>0</v>
      </c>
      <c r="L328" s="81">
        <f>SUMIF('2.생활용수(연산)'!$C$5:$C$220,$C328,'2.생활용수(연산)'!$Q$5:$Q$220)</f>
        <v>16</v>
      </c>
      <c r="M328" s="81">
        <f>SUMIF('2.생활용수(채운)'!$C$5:$C$63,$C328,'2.생활용수(채운)'!$Q$5:$Q$63)</f>
        <v>0</v>
      </c>
      <c r="N328" s="81">
        <f>SUMIF('2.생활용수(강경)'!$C$5:$C$60,$C328,'2.생활용수(강경)'!$Q$5:$Q$60)</f>
        <v>0</v>
      </c>
      <c r="O328" s="81"/>
    </row>
    <row r="329" spans="1:15" ht="20.100000000000001" customHeight="1">
      <c r="A329" s="442" t="s">
        <v>2224</v>
      </c>
      <c r="B329" s="442" t="s">
        <v>2259</v>
      </c>
      <c r="C329" s="443" t="s">
        <v>2262</v>
      </c>
      <c r="D329" s="81">
        <f t="shared" si="6"/>
        <v>0</v>
      </c>
      <c r="E329" s="81">
        <f>SUMIF('2.생활용수(광석)'!$C$5:$C$56,C329,'2.생활용수(광석)'!$Q$5:$Q$56)</f>
        <v>0</v>
      </c>
      <c r="F329" s="81">
        <f>SUMIF('2.생활용수(성동)'!$C$5:$C$60,$C329,'2.생활용수(성동)'!$Q$5:$Q$60)</f>
        <v>0</v>
      </c>
      <c r="G329" s="81">
        <f>SUMIF('2.생활용수(봉화)'!$C$5:$C$18,$C329,'2.생활용수(봉화)'!$Q$5:$Q$18)</f>
        <v>0</v>
      </c>
      <c r="H329" s="81">
        <f>SUMIF('2.생활용수(논산)'!$C$5:$C$28,$C329,'2.생활용수(논산)'!$Q$5:$Q$28)</f>
        <v>0</v>
      </c>
      <c r="I329" s="81">
        <f>SUMIF('2.생활용수(연무)'!$C$5:$C$123,$C329,'2.생활용수(연무)'!$Q$5:$Q$123)</f>
        <v>0</v>
      </c>
      <c r="J329" s="81">
        <f>SUMIF('2.생활용수(마산)'!$C$5:$C$115,$C329,'2.생활용수(마산)'!$Q$5:$Q$115)</f>
        <v>0</v>
      </c>
      <c r="K329" s="81">
        <f>SUMIF('2.생활용수(부적)'!$C$5:$C$75,$C329,'2.생활용수(부적)'!$Q$5:$Q$75)</f>
        <v>0</v>
      </c>
      <c r="L329" s="81">
        <f>SUMIF('2.생활용수(연산)'!$C$5:$C$220,$C329,'2.생활용수(연산)'!$Q$5:$Q$220)</f>
        <v>0</v>
      </c>
      <c r="M329" s="81">
        <f>SUMIF('2.생활용수(채운)'!$C$5:$C$63,$C329,'2.생활용수(채운)'!$Q$5:$Q$63)</f>
        <v>0</v>
      </c>
      <c r="N329" s="81">
        <f>SUMIF('2.생활용수(강경)'!$C$5:$C$60,$C329,'2.생활용수(강경)'!$Q$5:$Q$60)</f>
        <v>0</v>
      </c>
      <c r="O329" s="81"/>
    </row>
    <row r="330" spans="1:15" ht="20.100000000000001" customHeight="1">
      <c r="A330" s="442" t="s">
        <v>2224</v>
      </c>
      <c r="B330" s="442" t="s">
        <v>2263</v>
      </c>
      <c r="C330" s="443" t="s">
        <v>2264</v>
      </c>
      <c r="D330" s="81">
        <f t="shared" si="6"/>
        <v>0</v>
      </c>
      <c r="E330" s="81">
        <f>SUMIF('2.생활용수(광석)'!$C$5:$C$56,C330,'2.생활용수(광석)'!$Q$5:$Q$56)</f>
        <v>0</v>
      </c>
      <c r="F330" s="81">
        <f>SUMIF('2.생활용수(성동)'!$C$5:$C$60,$C330,'2.생활용수(성동)'!$Q$5:$Q$60)</f>
        <v>0</v>
      </c>
      <c r="G330" s="81">
        <f>SUMIF('2.생활용수(봉화)'!$C$5:$C$18,$C330,'2.생활용수(봉화)'!$Q$5:$Q$18)</f>
        <v>0</v>
      </c>
      <c r="H330" s="81">
        <f>SUMIF('2.생활용수(논산)'!$C$5:$C$28,$C330,'2.생활용수(논산)'!$Q$5:$Q$28)</f>
        <v>0</v>
      </c>
      <c r="I330" s="81">
        <f>SUMIF('2.생활용수(연무)'!$C$5:$C$123,$C330,'2.생활용수(연무)'!$Q$5:$Q$123)</f>
        <v>0</v>
      </c>
      <c r="J330" s="81">
        <f>SUMIF('2.생활용수(마산)'!$C$5:$C$115,$C330,'2.생활용수(마산)'!$Q$5:$Q$115)</f>
        <v>0</v>
      </c>
      <c r="K330" s="81">
        <f>SUMIF('2.생활용수(부적)'!$C$5:$C$75,$C330,'2.생활용수(부적)'!$Q$5:$Q$75)</f>
        <v>0</v>
      </c>
      <c r="L330" s="81">
        <f>SUMIF('2.생활용수(연산)'!$C$5:$C$220,$C330,'2.생활용수(연산)'!$Q$5:$Q$220)</f>
        <v>0</v>
      </c>
      <c r="M330" s="81">
        <f>SUMIF('2.생활용수(채운)'!$C$5:$C$63,$C330,'2.생활용수(채운)'!$Q$5:$Q$63)</f>
        <v>0</v>
      </c>
      <c r="N330" s="81">
        <f>SUMIF('2.생활용수(강경)'!$C$5:$C$60,$C330,'2.생활용수(강경)'!$Q$5:$Q$60)</f>
        <v>0</v>
      </c>
      <c r="O330" s="81"/>
    </row>
    <row r="331" spans="1:15" ht="20.100000000000001" customHeight="1">
      <c r="A331" s="442" t="s">
        <v>2224</v>
      </c>
      <c r="B331" s="442" t="s">
        <v>2263</v>
      </c>
      <c r="C331" s="443" t="s">
        <v>2265</v>
      </c>
      <c r="D331" s="81">
        <f t="shared" si="6"/>
        <v>0</v>
      </c>
      <c r="E331" s="81">
        <f>SUMIF('2.생활용수(광석)'!$C$5:$C$56,C331,'2.생활용수(광석)'!$Q$5:$Q$56)</f>
        <v>0</v>
      </c>
      <c r="F331" s="81">
        <f>SUMIF('2.생활용수(성동)'!$C$5:$C$60,$C331,'2.생활용수(성동)'!$Q$5:$Q$60)</f>
        <v>0</v>
      </c>
      <c r="G331" s="81">
        <f>SUMIF('2.생활용수(봉화)'!$C$5:$C$18,$C331,'2.생활용수(봉화)'!$Q$5:$Q$18)</f>
        <v>0</v>
      </c>
      <c r="H331" s="81">
        <f>SUMIF('2.생활용수(논산)'!$C$5:$C$28,$C331,'2.생활용수(논산)'!$Q$5:$Q$28)</f>
        <v>0</v>
      </c>
      <c r="I331" s="81">
        <f>SUMIF('2.생활용수(연무)'!$C$5:$C$123,$C331,'2.생활용수(연무)'!$Q$5:$Q$123)</f>
        <v>0</v>
      </c>
      <c r="J331" s="81">
        <f>SUMIF('2.생활용수(마산)'!$C$5:$C$115,$C331,'2.생활용수(마산)'!$Q$5:$Q$115)</f>
        <v>0</v>
      </c>
      <c r="K331" s="81">
        <f>SUMIF('2.생활용수(부적)'!$C$5:$C$75,$C331,'2.생활용수(부적)'!$Q$5:$Q$75)</f>
        <v>0</v>
      </c>
      <c r="L331" s="81">
        <f>SUMIF('2.생활용수(연산)'!$C$5:$C$220,$C331,'2.생활용수(연산)'!$Q$5:$Q$220)</f>
        <v>0</v>
      </c>
      <c r="M331" s="81">
        <f>SUMIF('2.생활용수(채운)'!$C$5:$C$63,$C331,'2.생활용수(채운)'!$Q$5:$Q$63)</f>
        <v>0</v>
      </c>
      <c r="N331" s="81">
        <f>SUMIF('2.생활용수(강경)'!$C$5:$C$60,$C331,'2.생활용수(강경)'!$Q$5:$Q$60)</f>
        <v>0</v>
      </c>
      <c r="O331" s="81"/>
    </row>
    <row r="332" spans="1:15" ht="20.100000000000001" customHeight="1">
      <c r="A332" s="442" t="s">
        <v>2224</v>
      </c>
      <c r="B332" s="442" t="s">
        <v>2266</v>
      </c>
      <c r="C332" s="443" t="s">
        <v>2267</v>
      </c>
      <c r="D332" s="81">
        <f t="shared" si="6"/>
        <v>0</v>
      </c>
      <c r="E332" s="81">
        <f>SUMIF('2.생활용수(광석)'!$C$5:$C$56,C332,'2.생활용수(광석)'!$Q$5:$Q$56)</f>
        <v>0</v>
      </c>
      <c r="F332" s="81">
        <f>SUMIF('2.생활용수(성동)'!$C$5:$C$60,$C332,'2.생활용수(성동)'!$Q$5:$Q$60)</f>
        <v>0</v>
      </c>
      <c r="G332" s="81">
        <f>SUMIF('2.생활용수(봉화)'!$C$5:$C$18,$C332,'2.생활용수(봉화)'!$Q$5:$Q$18)</f>
        <v>0</v>
      </c>
      <c r="H332" s="81">
        <f>SUMIF('2.생활용수(논산)'!$C$5:$C$28,$C332,'2.생활용수(논산)'!$Q$5:$Q$28)</f>
        <v>0</v>
      </c>
      <c r="I332" s="81">
        <f>SUMIF('2.생활용수(연무)'!$C$5:$C$123,$C332,'2.생활용수(연무)'!$Q$5:$Q$123)</f>
        <v>0</v>
      </c>
      <c r="J332" s="81">
        <f>SUMIF('2.생활용수(마산)'!$C$5:$C$115,$C332,'2.생활용수(마산)'!$Q$5:$Q$115)</f>
        <v>0</v>
      </c>
      <c r="K332" s="81">
        <f>SUMIF('2.생활용수(부적)'!$C$5:$C$75,$C332,'2.생활용수(부적)'!$Q$5:$Q$75)</f>
        <v>0</v>
      </c>
      <c r="L332" s="81">
        <f>SUMIF('2.생활용수(연산)'!$C$5:$C$220,$C332,'2.생활용수(연산)'!$Q$5:$Q$220)</f>
        <v>0</v>
      </c>
      <c r="M332" s="81">
        <f>SUMIF('2.생활용수(채운)'!$C$5:$C$63,$C332,'2.생활용수(채운)'!$Q$5:$Q$63)</f>
        <v>0</v>
      </c>
      <c r="N332" s="81">
        <f>SUMIF('2.생활용수(강경)'!$C$5:$C$60,$C332,'2.생활용수(강경)'!$Q$5:$Q$60)</f>
        <v>0</v>
      </c>
      <c r="O332" s="81"/>
    </row>
    <row r="333" spans="1:15" ht="20.100000000000001" customHeight="1">
      <c r="A333" s="442" t="s">
        <v>2224</v>
      </c>
      <c r="B333" s="442" t="s">
        <v>2266</v>
      </c>
      <c r="C333" s="443" t="s">
        <v>2268</v>
      </c>
      <c r="D333" s="81">
        <f t="shared" si="6"/>
        <v>0</v>
      </c>
      <c r="E333" s="81">
        <f>SUMIF('2.생활용수(광석)'!$C$5:$C$56,C333,'2.생활용수(광석)'!$Q$5:$Q$56)</f>
        <v>0</v>
      </c>
      <c r="F333" s="81">
        <f>SUMIF('2.생활용수(성동)'!$C$5:$C$60,$C333,'2.생활용수(성동)'!$Q$5:$Q$60)</f>
        <v>0</v>
      </c>
      <c r="G333" s="81">
        <f>SUMIF('2.생활용수(봉화)'!$C$5:$C$18,$C333,'2.생활용수(봉화)'!$Q$5:$Q$18)</f>
        <v>0</v>
      </c>
      <c r="H333" s="81">
        <f>SUMIF('2.생활용수(논산)'!$C$5:$C$28,$C333,'2.생활용수(논산)'!$Q$5:$Q$28)</f>
        <v>0</v>
      </c>
      <c r="I333" s="81">
        <f>SUMIF('2.생활용수(연무)'!$C$5:$C$123,$C333,'2.생활용수(연무)'!$Q$5:$Q$123)</f>
        <v>0</v>
      </c>
      <c r="J333" s="81">
        <f>SUMIF('2.생활용수(마산)'!$C$5:$C$115,$C333,'2.생활용수(마산)'!$Q$5:$Q$115)</f>
        <v>0</v>
      </c>
      <c r="K333" s="81">
        <f>SUMIF('2.생활용수(부적)'!$C$5:$C$75,$C333,'2.생활용수(부적)'!$Q$5:$Q$75)</f>
        <v>0</v>
      </c>
      <c r="L333" s="81">
        <f>SUMIF('2.생활용수(연산)'!$C$5:$C$220,$C333,'2.생활용수(연산)'!$Q$5:$Q$220)</f>
        <v>0</v>
      </c>
      <c r="M333" s="81">
        <f>SUMIF('2.생활용수(채운)'!$C$5:$C$63,$C333,'2.생활용수(채운)'!$Q$5:$Q$63)</f>
        <v>0</v>
      </c>
      <c r="N333" s="81">
        <f>SUMIF('2.생활용수(강경)'!$C$5:$C$60,$C333,'2.생활용수(강경)'!$Q$5:$Q$60)</f>
        <v>0</v>
      </c>
      <c r="O333" s="81"/>
    </row>
    <row r="334" spans="1:15" ht="20.100000000000001" customHeight="1">
      <c r="A334" s="442" t="s">
        <v>2224</v>
      </c>
      <c r="B334" s="442" t="s">
        <v>2266</v>
      </c>
      <c r="C334" s="443" t="s">
        <v>2269</v>
      </c>
      <c r="D334" s="81">
        <f t="shared" si="6"/>
        <v>0</v>
      </c>
      <c r="E334" s="81">
        <f>SUMIF('2.생활용수(광석)'!$C$5:$C$56,C334,'2.생활용수(광석)'!$Q$5:$Q$56)</f>
        <v>0</v>
      </c>
      <c r="F334" s="81">
        <f>SUMIF('2.생활용수(성동)'!$C$5:$C$60,$C334,'2.생활용수(성동)'!$Q$5:$Q$60)</f>
        <v>0</v>
      </c>
      <c r="G334" s="81">
        <f>SUMIF('2.생활용수(봉화)'!$C$5:$C$18,$C334,'2.생활용수(봉화)'!$Q$5:$Q$18)</f>
        <v>0</v>
      </c>
      <c r="H334" s="81">
        <f>SUMIF('2.생활용수(논산)'!$C$5:$C$28,$C334,'2.생활용수(논산)'!$Q$5:$Q$28)</f>
        <v>0</v>
      </c>
      <c r="I334" s="81">
        <f>SUMIF('2.생활용수(연무)'!$C$5:$C$123,$C334,'2.생활용수(연무)'!$Q$5:$Q$123)</f>
        <v>0</v>
      </c>
      <c r="J334" s="81">
        <f>SUMIF('2.생활용수(마산)'!$C$5:$C$115,$C334,'2.생활용수(마산)'!$Q$5:$Q$115)</f>
        <v>0</v>
      </c>
      <c r="K334" s="81">
        <f>SUMIF('2.생활용수(부적)'!$C$5:$C$75,$C334,'2.생활용수(부적)'!$Q$5:$Q$75)</f>
        <v>0</v>
      </c>
      <c r="L334" s="81">
        <f>SUMIF('2.생활용수(연산)'!$C$5:$C$220,$C334,'2.생활용수(연산)'!$Q$5:$Q$220)</f>
        <v>0</v>
      </c>
      <c r="M334" s="81">
        <f>SUMIF('2.생활용수(채운)'!$C$5:$C$63,$C334,'2.생활용수(채운)'!$Q$5:$Q$63)</f>
        <v>0</v>
      </c>
      <c r="N334" s="81">
        <f>SUMIF('2.생활용수(강경)'!$C$5:$C$60,$C334,'2.생활용수(강경)'!$Q$5:$Q$60)</f>
        <v>0</v>
      </c>
      <c r="O334" s="81"/>
    </row>
    <row r="335" spans="1:15" ht="20.100000000000001" customHeight="1">
      <c r="A335" s="442" t="s">
        <v>2224</v>
      </c>
      <c r="B335" s="442" t="s">
        <v>2270</v>
      </c>
      <c r="C335" s="443" t="s">
        <v>2271</v>
      </c>
      <c r="D335" s="81">
        <f t="shared" si="6"/>
        <v>0</v>
      </c>
      <c r="E335" s="81">
        <f>SUMIF('2.생활용수(광석)'!$C$5:$C$56,C335,'2.생활용수(광석)'!$Q$5:$Q$56)</f>
        <v>0</v>
      </c>
      <c r="F335" s="81">
        <f>SUMIF('2.생활용수(성동)'!$C$5:$C$60,$C335,'2.생활용수(성동)'!$Q$5:$Q$60)</f>
        <v>0</v>
      </c>
      <c r="G335" s="81">
        <f>SUMIF('2.생활용수(봉화)'!$C$5:$C$18,$C335,'2.생활용수(봉화)'!$Q$5:$Q$18)</f>
        <v>0</v>
      </c>
      <c r="H335" s="81">
        <f>SUMIF('2.생활용수(논산)'!$C$5:$C$28,$C335,'2.생활용수(논산)'!$Q$5:$Q$28)</f>
        <v>0</v>
      </c>
      <c r="I335" s="81">
        <f>SUMIF('2.생활용수(연무)'!$C$5:$C$123,$C335,'2.생활용수(연무)'!$Q$5:$Q$123)</f>
        <v>0</v>
      </c>
      <c r="J335" s="81">
        <f>SUMIF('2.생활용수(마산)'!$C$5:$C$115,$C335,'2.생활용수(마산)'!$Q$5:$Q$115)</f>
        <v>0</v>
      </c>
      <c r="K335" s="81">
        <f>SUMIF('2.생활용수(부적)'!$C$5:$C$75,$C335,'2.생활용수(부적)'!$Q$5:$Q$75)</f>
        <v>0</v>
      </c>
      <c r="L335" s="81">
        <f>SUMIF('2.생활용수(연산)'!$C$5:$C$220,$C335,'2.생활용수(연산)'!$Q$5:$Q$220)</f>
        <v>0</v>
      </c>
      <c r="M335" s="81">
        <f>SUMIF('2.생활용수(채운)'!$C$5:$C$63,$C335,'2.생활용수(채운)'!$Q$5:$Q$63)</f>
        <v>0</v>
      </c>
      <c r="N335" s="81">
        <f>SUMIF('2.생활용수(강경)'!$C$5:$C$60,$C335,'2.생활용수(강경)'!$Q$5:$Q$60)</f>
        <v>0</v>
      </c>
      <c r="O335" s="81"/>
    </row>
    <row r="336" spans="1:15" ht="20.100000000000001" customHeight="1">
      <c r="A336" s="442" t="s">
        <v>2224</v>
      </c>
      <c r="B336" s="442" t="s">
        <v>2270</v>
      </c>
      <c r="C336" s="443" t="s">
        <v>2272</v>
      </c>
      <c r="D336" s="81">
        <f t="shared" si="6"/>
        <v>0</v>
      </c>
      <c r="E336" s="81">
        <f>SUMIF('2.생활용수(광석)'!$C$5:$C$56,C336,'2.생활용수(광석)'!$Q$5:$Q$56)</f>
        <v>0</v>
      </c>
      <c r="F336" s="81">
        <f>SUMIF('2.생활용수(성동)'!$C$5:$C$60,$C336,'2.생활용수(성동)'!$Q$5:$Q$60)</f>
        <v>0</v>
      </c>
      <c r="G336" s="81">
        <f>SUMIF('2.생활용수(봉화)'!$C$5:$C$18,$C336,'2.생활용수(봉화)'!$Q$5:$Q$18)</f>
        <v>0</v>
      </c>
      <c r="H336" s="81">
        <f>SUMIF('2.생활용수(논산)'!$C$5:$C$28,$C336,'2.생활용수(논산)'!$Q$5:$Q$28)</f>
        <v>0</v>
      </c>
      <c r="I336" s="81">
        <f>SUMIF('2.생활용수(연무)'!$C$5:$C$123,$C336,'2.생활용수(연무)'!$Q$5:$Q$123)</f>
        <v>0</v>
      </c>
      <c r="J336" s="81">
        <f>SUMIF('2.생활용수(마산)'!$C$5:$C$115,$C336,'2.생활용수(마산)'!$Q$5:$Q$115)</f>
        <v>0</v>
      </c>
      <c r="K336" s="81">
        <f>SUMIF('2.생활용수(부적)'!$C$5:$C$75,$C336,'2.생활용수(부적)'!$Q$5:$Q$75)</f>
        <v>0</v>
      </c>
      <c r="L336" s="81">
        <f>SUMIF('2.생활용수(연산)'!$C$5:$C$220,$C336,'2.생활용수(연산)'!$Q$5:$Q$220)</f>
        <v>0</v>
      </c>
      <c r="M336" s="81">
        <f>SUMIF('2.생활용수(채운)'!$C$5:$C$63,$C336,'2.생활용수(채운)'!$Q$5:$Q$63)</f>
        <v>0</v>
      </c>
      <c r="N336" s="81">
        <f>SUMIF('2.생활용수(강경)'!$C$5:$C$60,$C336,'2.생활용수(강경)'!$Q$5:$Q$60)</f>
        <v>0</v>
      </c>
      <c r="O336" s="81"/>
    </row>
    <row r="337" spans="1:15" ht="20.100000000000001" customHeight="1">
      <c r="A337" s="442" t="s">
        <v>2224</v>
      </c>
      <c r="B337" s="442" t="s">
        <v>2273</v>
      </c>
      <c r="C337" s="443" t="s">
        <v>2274</v>
      </c>
      <c r="D337" s="81">
        <f t="shared" si="6"/>
        <v>0</v>
      </c>
      <c r="E337" s="81">
        <f>SUMIF('2.생활용수(광석)'!$C$5:$C$56,C337,'2.생활용수(광석)'!$Q$5:$Q$56)</f>
        <v>0</v>
      </c>
      <c r="F337" s="81">
        <f>SUMIF('2.생활용수(성동)'!$C$5:$C$60,$C337,'2.생활용수(성동)'!$Q$5:$Q$60)</f>
        <v>0</v>
      </c>
      <c r="G337" s="81">
        <f>SUMIF('2.생활용수(봉화)'!$C$5:$C$18,$C337,'2.생활용수(봉화)'!$Q$5:$Q$18)</f>
        <v>0</v>
      </c>
      <c r="H337" s="81">
        <f>SUMIF('2.생활용수(논산)'!$C$5:$C$28,$C337,'2.생활용수(논산)'!$Q$5:$Q$28)</f>
        <v>0</v>
      </c>
      <c r="I337" s="81">
        <f>SUMIF('2.생활용수(연무)'!$C$5:$C$123,$C337,'2.생활용수(연무)'!$Q$5:$Q$123)</f>
        <v>0</v>
      </c>
      <c r="J337" s="81">
        <f>SUMIF('2.생활용수(마산)'!$C$5:$C$115,$C337,'2.생활용수(마산)'!$Q$5:$Q$115)</f>
        <v>0</v>
      </c>
      <c r="K337" s="81">
        <f>SUMIF('2.생활용수(부적)'!$C$5:$C$75,$C337,'2.생활용수(부적)'!$Q$5:$Q$75)</f>
        <v>0</v>
      </c>
      <c r="L337" s="81">
        <f>SUMIF('2.생활용수(연산)'!$C$5:$C$220,$C337,'2.생활용수(연산)'!$Q$5:$Q$220)</f>
        <v>0</v>
      </c>
      <c r="M337" s="81">
        <f>SUMIF('2.생활용수(채운)'!$C$5:$C$63,$C337,'2.생활용수(채운)'!$Q$5:$Q$63)</f>
        <v>0</v>
      </c>
      <c r="N337" s="81">
        <f>SUMIF('2.생활용수(강경)'!$C$5:$C$60,$C337,'2.생활용수(강경)'!$Q$5:$Q$60)</f>
        <v>0</v>
      </c>
      <c r="O337" s="81"/>
    </row>
    <row r="338" spans="1:15" ht="20.100000000000001" customHeight="1">
      <c r="A338" s="442" t="s">
        <v>2224</v>
      </c>
      <c r="B338" s="442" t="s">
        <v>2273</v>
      </c>
      <c r="C338" s="443" t="s">
        <v>2275</v>
      </c>
      <c r="D338" s="81">
        <f t="shared" si="6"/>
        <v>0</v>
      </c>
      <c r="E338" s="81">
        <f>SUMIF('2.생활용수(광석)'!$C$5:$C$56,C338,'2.생활용수(광석)'!$Q$5:$Q$56)</f>
        <v>0</v>
      </c>
      <c r="F338" s="81">
        <f>SUMIF('2.생활용수(성동)'!$C$5:$C$60,$C338,'2.생활용수(성동)'!$Q$5:$Q$60)</f>
        <v>0</v>
      </c>
      <c r="G338" s="81">
        <f>SUMIF('2.생활용수(봉화)'!$C$5:$C$18,$C338,'2.생활용수(봉화)'!$Q$5:$Q$18)</f>
        <v>0</v>
      </c>
      <c r="H338" s="81">
        <f>SUMIF('2.생활용수(논산)'!$C$5:$C$28,$C338,'2.생활용수(논산)'!$Q$5:$Q$28)</f>
        <v>0</v>
      </c>
      <c r="I338" s="81">
        <f>SUMIF('2.생활용수(연무)'!$C$5:$C$123,$C338,'2.생활용수(연무)'!$Q$5:$Q$123)</f>
        <v>0</v>
      </c>
      <c r="J338" s="81">
        <f>SUMIF('2.생활용수(마산)'!$C$5:$C$115,$C338,'2.생활용수(마산)'!$Q$5:$Q$115)</f>
        <v>0</v>
      </c>
      <c r="K338" s="81">
        <f>SUMIF('2.생활용수(부적)'!$C$5:$C$75,$C338,'2.생활용수(부적)'!$Q$5:$Q$75)</f>
        <v>0</v>
      </c>
      <c r="L338" s="81">
        <f>SUMIF('2.생활용수(연산)'!$C$5:$C$220,$C338,'2.생활용수(연산)'!$Q$5:$Q$220)</f>
        <v>0</v>
      </c>
      <c r="M338" s="81">
        <f>SUMIF('2.생활용수(채운)'!$C$5:$C$63,$C338,'2.생활용수(채운)'!$Q$5:$Q$63)</f>
        <v>0</v>
      </c>
      <c r="N338" s="81">
        <f>SUMIF('2.생활용수(강경)'!$C$5:$C$60,$C338,'2.생활용수(강경)'!$Q$5:$Q$60)</f>
        <v>0</v>
      </c>
      <c r="O338" s="81"/>
    </row>
    <row r="339" spans="1:15" ht="20.100000000000001" customHeight="1">
      <c r="A339" s="442" t="s">
        <v>2224</v>
      </c>
      <c r="B339" s="442" t="s">
        <v>2276</v>
      </c>
      <c r="C339" s="443" t="s">
        <v>2277</v>
      </c>
      <c r="D339" s="81">
        <f t="shared" si="6"/>
        <v>0</v>
      </c>
      <c r="E339" s="81">
        <f>SUMIF('2.생활용수(광석)'!$C$5:$C$56,C339,'2.생활용수(광석)'!$Q$5:$Q$56)</f>
        <v>0</v>
      </c>
      <c r="F339" s="81">
        <f>SUMIF('2.생활용수(성동)'!$C$5:$C$60,$C339,'2.생활용수(성동)'!$Q$5:$Q$60)</f>
        <v>0</v>
      </c>
      <c r="G339" s="81">
        <f>SUMIF('2.생활용수(봉화)'!$C$5:$C$18,$C339,'2.생활용수(봉화)'!$Q$5:$Q$18)</f>
        <v>0</v>
      </c>
      <c r="H339" s="81">
        <f>SUMIF('2.생활용수(논산)'!$C$5:$C$28,$C339,'2.생활용수(논산)'!$Q$5:$Q$28)</f>
        <v>0</v>
      </c>
      <c r="I339" s="81">
        <f>SUMIF('2.생활용수(연무)'!$C$5:$C$123,$C339,'2.생활용수(연무)'!$Q$5:$Q$123)</f>
        <v>0</v>
      </c>
      <c r="J339" s="81">
        <f>SUMIF('2.생활용수(마산)'!$C$5:$C$115,$C339,'2.생활용수(마산)'!$Q$5:$Q$115)</f>
        <v>0</v>
      </c>
      <c r="K339" s="81">
        <f>SUMIF('2.생활용수(부적)'!$C$5:$C$75,$C339,'2.생활용수(부적)'!$Q$5:$Q$75)</f>
        <v>0</v>
      </c>
      <c r="L339" s="81">
        <f>SUMIF('2.생활용수(연산)'!$C$5:$C$220,$C339,'2.생활용수(연산)'!$Q$5:$Q$220)</f>
        <v>0</v>
      </c>
      <c r="M339" s="81">
        <f>SUMIF('2.생활용수(채운)'!$C$5:$C$63,$C339,'2.생활용수(채운)'!$Q$5:$Q$63)</f>
        <v>0</v>
      </c>
      <c r="N339" s="81">
        <f>SUMIF('2.생활용수(강경)'!$C$5:$C$60,$C339,'2.생활용수(강경)'!$Q$5:$Q$60)</f>
        <v>0</v>
      </c>
      <c r="O339" s="81"/>
    </row>
    <row r="340" spans="1:15" ht="20.100000000000001" customHeight="1">
      <c r="A340" s="442" t="s">
        <v>2224</v>
      </c>
      <c r="B340" s="442" t="s">
        <v>2276</v>
      </c>
      <c r="C340" s="443" t="s">
        <v>2278</v>
      </c>
      <c r="D340" s="81">
        <f t="shared" si="6"/>
        <v>0</v>
      </c>
      <c r="E340" s="81">
        <f>SUMIF('2.생활용수(광석)'!$C$5:$C$56,C340,'2.생활용수(광석)'!$Q$5:$Q$56)</f>
        <v>0</v>
      </c>
      <c r="F340" s="81">
        <f>SUMIF('2.생활용수(성동)'!$C$5:$C$60,$C340,'2.생활용수(성동)'!$Q$5:$Q$60)</f>
        <v>0</v>
      </c>
      <c r="G340" s="81">
        <f>SUMIF('2.생활용수(봉화)'!$C$5:$C$18,$C340,'2.생활용수(봉화)'!$Q$5:$Q$18)</f>
        <v>0</v>
      </c>
      <c r="H340" s="81">
        <f>SUMIF('2.생활용수(논산)'!$C$5:$C$28,$C340,'2.생활용수(논산)'!$Q$5:$Q$28)</f>
        <v>0</v>
      </c>
      <c r="I340" s="81">
        <f>SUMIF('2.생활용수(연무)'!$C$5:$C$123,$C340,'2.생활용수(연무)'!$Q$5:$Q$123)</f>
        <v>0</v>
      </c>
      <c r="J340" s="81">
        <f>SUMIF('2.생활용수(마산)'!$C$5:$C$115,$C340,'2.생활용수(마산)'!$Q$5:$Q$115)</f>
        <v>0</v>
      </c>
      <c r="K340" s="81">
        <f>SUMIF('2.생활용수(부적)'!$C$5:$C$75,$C340,'2.생활용수(부적)'!$Q$5:$Q$75)</f>
        <v>0</v>
      </c>
      <c r="L340" s="81">
        <f>SUMIF('2.생활용수(연산)'!$C$5:$C$220,$C340,'2.생활용수(연산)'!$Q$5:$Q$220)</f>
        <v>0</v>
      </c>
      <c r="M340" s="81">
        <f>SUMIF('2.생활용수(채운)'!$C$5:$C$63,$C340,'2.생활용수(채운)'!$Q$5:$Q$63)</f>
        <v>0</v>
      </c>
      <c r="N340" s="81">
        <f>SUMIF('2.생활용수(강경)'!$C$5:$C$60,$C340,'2.생활용수(강경)'!$Q$5:$Q$60)</f>
        <v>0</v>
      </c>
      <c r="O340" s="81"/>
    </row>
    <row r="341" spans="1:15" ht="20.100000000000001" customHeight="1">
      <c r="A341" s="442" t="s">
        <v>2224</v>
      </c>
      <c r="B341" s="442" t="s">
        <v>2279</v>
      </c>
      <c r="C341" s="443" t="s">
        <v>2280</v>
      </c>
      <c r="D341" s="81">
        <f t="shared" si="6"/>
        <v>0</v>
      </c>
      <c r="E341" s="81">
        <f>SUMIF('2.생활용수(광석)'!$C$5:$C$56,C341,'2.생활용수(광석)'!$Q$5:$Q$56)</f>
        <v>0</v>
      </c>
      <c r="F341" s="81">
        <f>SUMIF('2.생활용수(성동)'!$C$5:$C$60,$C341,'2.생활용수(성동)'!$Q$5:$Q$60)</f>
        <v>0</v>
      </c>
      <c r="G341" s="81">
        <f>SUMIF('2.생활용수(봉화)'!$C$5:$C$18,$C341,'2.생활용수(봉화)'!$Q$5:$Q$18)</f>
        <v>0</v>
      </c>
      <c r="H341" s="81">
        <f>SUMIF('2.생활용수(논산)'!$C$5:$C$28,$C341,'2.생활용수(논산)'!$Q$5:$Q$28)</f>
        <v>0</v>
      </c>
      <c r="I341" s="81">
        <f>SUMIF('2.생활용수(연무)'!$C$5:$C$123,$C341,'2.생활용수(연무)'!$Q$5:$Q$123)</f>
        <v>0</v>
      </c>
      <c r="J341" s="81">
        <f>SUMIF('2.생활용수(마산)'!$C$5:$C$115,$C341,'2.생활용수(마산)'!$Q$5:$Q$115)</f>
        <v>0</v>
      </c>
      <c r="K341" s="81">
        <f>SUMIF('2.생활용수(부적)'!$C$5:$C$75,$C341,'2.생활용수(부적)'!$Q$5:$Q$75)</f>
        <v>0</v>
      </c>
      <c r="L341" s="81">
        <f>SUMIF('2.생활용수(연산)'!$C$5:$C$220,$C341,'2.생활용수(연산)'!$Q$5:$Q$220)</f>
        <v>0</v>
      </c>
      <c r="M341" s="81">
        <f>SUMIF('2.생활용수(채운)'!$C$5:$C$63,$C341,'2.생활용수(채운)'!$Q$5:$Q$63)</f>
        <v>0</v>
      </c>
      <c r="N341" s="81">
        <f>SUMIF('2.생활용수(강경)'!$C$5:$C$60,$C341,'2.생활용수(강경)'!$Q$5:$Q$60)</f>
        <v>0</v>
      </c>
      <c r="O341" s="81"/>
    </row>
    <row r="342" spans="1:15" ht="20.100000000000001" customHeight="1">
      <c r="A342" s="442" t="s">
        <v>2224</v>
      </c>
      <c r="B342" s="442" t="s">
        <v>2279</v>
      </c>
      <c r="C342" s="443" t="s">
        <v>2281</v>
      </c>
      <c r="D342" s="81">
        <f t="shared" si="6"/>
        <v>0</v>
      </c>
      <c r="E342" s="81">
        <f>SUMIF('2.생활용수(광석)'!$C$5:$C$56,C342,'2.생활용수(광석)'!$Q$5:$Q$56)</f>
        <v>0</v>
      </c>
      <c r="F342" s="81">
        <f>SUMIF('2.생활용수(성동)'!$C$5:$C$60,$C342,'2.생활용수(성동)'!$Q$5:$Q$60)</f>
        <v>0</v>
      </c>
      <c r="G342" s="81">
        <f>SUMIF('2.생활용수(봉화)'!$C$5:$C$18,$C342,'2.생활용수(봉화)'!$Q$5:$Q$18)</f>
        <v>0</v>
      </c>
      <c r="H342" s="81">
        <f>SUMIF('2.생활용수(논산)'!$C$5:$C$28,$C342,'2.생활용수(논산)'!$Q$5:$Q$28)</f>
        <v>0</v>
      </c>
      <c r="I342" s="81">
        <f>SUMIF('2.생활용수(연무)'!$C$5:$C$123,$C342,'2.생활용수(연무)'!$Q$5:$Q$123)</f>
        <v>0</v>
      </c>
      <c r="J342" s="81">
        <f>SUMIF('2.생활용수(마산)'!$C$5:$C$115,$C342,'2.생활용수(마산)'!$Q$5:$Q$115)</f>
        <v>0</v>
      </c>
      <c r="K342" s="81">
        <f>SUMIF('2.생활용수(부적)'!$C$5:$C$75,$C342,'2.생활용수(부적)'!$Q$5:$Q$75)</f>
        <v>0</v>
      </c>
      <c r="L342" s="81">
        <f>SUMIF('2.생활용수(연산)'!$C$5:$C$220,$C342,'2.생활용수(연산)'!$Q$5:$Q$220)</f>
        <v>0</v>
      </c>
      <c r="M342" s="81">
        <f>SUMIF('2.생활용수(채운)'!$C$5:$C$63,$C342,'2.생활용수(채운)'!$Q$5:$Q$63)</f>
        <v>0</v>
      </c>
      <c r="N342" s="81">
        <f>SUMIF('2.생활용수(강경)'!$C$5:$C$60,$C342,'2.생활용수(강경)'!$Q$5:$Q$60)</f>
        <v>0</v>
      </c>
      <c r="O342" s="81"/>
    </row>
    <row r="343" spans="1:15" ht="20.100000000000001" customHeight="1">
      <c r="A343" s="442" t="s">
        <v>2224</v>
      </c>
      <c r="B343" s="442" t="s">
        <v>2279</v>
      </c>
      <c r="C343" s="443" t="s">
        <v>2282</v>
      </c>
      <c r="D343" s="81">
        <f t="shared" si="6"/>
        <v>0</v>
      </c>
      <c r="E343" s="81">
        <f>SUMIF('2.생활용수(광석)'!$C$5:$C$56,C343,'2.생활용수(광석)'!$Q$5:$Q$56)</f>
        <v>0</v>
      </c>
      <c r="F343" s="81">
        <f>SUMIF('2.생활용수(성동)'!$C$5:$C$60,$C343,'2.생활용수(성동)'!$Q$5:$Q$60)</f>
        <v>0</v>
      </c>
      <c r="G343" s="81">
        <f>SUMIF('2.생활용수(봉화)'!$C$5:$C$18,$C343,'2.생활용수(봉화)'!$Q$5:$Q$18)</f>
        <v>0</v>
      </c>
      <c r="H343" s="81">
        <f>SUMIF('2.생활용수(논산)'!$C$5:$C$28,$C343,'2.생활용수(논산)'!$Q$5:$Q$28)</f>
        <v>0</v>
      </c>
      <c r="I343" s="81">
        <f>SUMIF('2.생활용수(연무)'!$C$5:$C$123,$C343,'2.생활용수(연무)'!$Q$5:$Q$123)</f>
        <v>0</v>
      </c>
      <c r="J343" s="81">
        <f>SUMIF('2.생활용수(마산)'!$C$5:$C$115,$C343,'2.생활용수(마산)'!$Q$5:$Q$115)</f>
        <v>0</v>
      </c>
      <c r="K343" s="81">
        <f>SUMIF('2.생활용수(부적)'!$C$5:$C$75,$C343,'2.생활용수(부적)'!$Q$5:$Q$75)</f>
        <v>0</v>
      </c>
      <c r="L343" s="81">
        <f>SUMIF('2.생활용수(연산)'!$C$5:$C$220,$C343,'2.생활용수(연산)'!$Q$5:$Q$220)</f>
        <v>0</v>
      </c>
      <c r="M343" s="81">
        <f>SUMIF('2.생활용수(채운)'!$C$5:$C$63,$C343,'2.생활용수(채운)'!$Q$5:$Q$63)</f>
        <v>0</v>
      </c>
      <c r="N343" s="81">
        <f>SUMIF('2.생활용수(강경)'!$C$5:$C$60,$C343,'2.생활용수(강경)'!$Q$5:$Q$60)</f>
        <v>0</v>
      </c>
      <c r="O343" s="81"/>
    </row>
    <row r="344" spans="1:15" ht="20.100000000000001" customHeight="1">
      <c r="A344" s="442" t="s">
        <v>2283</v>
      </c>
      <c r="B344" s="442" t="s">
        <v>2284</v>
      </c>
      <c r="C344" s="443" t="s">
        <v>2285</v>
      </c>
      <c r="D344" s="81">
        <f t="shared" si="6"/>
        <v>32</v>
      </c>
      <c r="E344" s="81">
        <f>SUMIF('2.생활용수(광석)'!$C$5:$C$56,C344,'2.생활용수(광석)'!$Q$5:$Q$56)</f>
        <v>0</v>
      </c>
      <c r="F344" s="81">
        <f>SUMIF('2.생활용수(성동)'!$C$5:$C$60,$C344,'2.생활용수(성동)'!$Q$5:$Q$60)</f>
        <v>0</v>
      </c>
      <c r="G344" s="81">
        <f>SUMIF('2.생활용수(봉화)'!$C$5:$C$18,$C344,'2.생활용수(봉화)'!$Q$5:$Q$18)</f>
        <v>0</v>
      </c>
      <c r="H344" s="81">
        <f>SUMIF('2.생활용수(논산)'!$C$5:$C$28,$C344,'2.생활용수(논산)'!$Q$5:$Q$28)</f>
        <v>0</v>
      </c>
      <c r="I344" s="81">
        <f>SUMIF('2.생활용수(연무)'!$C$5:$C$123,$C344,'2.생활용수(연무)'!$Q$5:$Q$123)</f>
        <v>0</v>
      </c>
      <c r="J344" s="81">
        <f>SUMIF('2.생활용수(마산)'!$C$5:$C$115,$C344,'2.생활용수(마산)'!$Q$5:$Q$115)</f>
        <v>32</v>
      </c>
      <c r="K344" s="81">
        <f>SUMIF('2.생활용수(부적)'!$C$5:$C$75,$C344,'2.생활용수(부적)'!$Q$5:$Q$75)</f>
        <v>0</v>
      </c>
      <c r="L344" s="81">
        <f>SUMIF('2.생활용수(연산)'!$C$5:$C$220,$C344,'2.생활용수(연산)'!$Q$5:$Q$220)</f>
        <v>0</v>
      </c>
      <c r="M344" s="81">
        <f>SUMIF('2.생활용수(채운)'!$C$5:$C$63,$C344,'2.생활용수(채운)'!$Q$5:$Q$63)</f>
        <v>0</v>
      </c>
      <c r="N344" s="81">
        <f>SUMIF('2.생활용수(강경)'!$C$5:$C$60,$C344,'2.생활용수(강경)'!$Q$5:$Q$60)</f>
        <v>0</v>
      </c>
      <c r="O344" s="81"/>
    </row>
    <row r="345" spans="1:15" ht="20.100000000000001" customHeight="1">
      <c r="A345" s="442" t="s">
        <v>2283</v>
      </c>
      <c r="B345" s="442" t="s">
        <v>2284</v>
      </c>
      <c r="C345" s="443" t="s">
        <v>2286</v>
      </c>
      <c r="D345" s="81">
        <f t="shared" si="6"/>
        <v>58</v>
      </c>
      <c r="E345" s="81">
        <f>SUMIF('2.생활용수(광석)'!$C$5:$C$56,C345,'2.생활용수(광석)'!$Q$5:$Q$56)</f>
        <v>0</v>
      </c>
      <c r="F345" s="81">
        <f>SUMIF('2.생활용수(성동)'!$C$5:$C$60,$C345,'2.생활용수(성동)'!$Q$5:$Q$60)</f>
        <v>0</v>
      </c>
      <c r="G345" s="81">
        <f>SUMIF('2.생활용수(봉화)'!$C$5:$C$18,$C345,'2.생활용수(봉화)'!$Q$5:$Q$18)</f>
        <v>0</v>
      </c>
      <c r="H345" s="81">
        <f>SUMIF('2.생활용수(논산)'!$C$5:$C$28,$C345,'2.생활용수(논산)'!$Q$5:$Q$28)</f>
        <v>0</v>
      </c>
      <c r="I345" s="81">
        <f>SUMIF('2.생활용수(연무)'!$C$5:$C$123,$C345,'2.생활용수(연무)'!$Q$5:$Q$123)</f>
        <v>0</v>
      </c>
      <c r="J345" s="81">
        <f>SUMIF('2.생활용수(마산)'!$C$5:$C$115,$C345,'2.생활용수(마산)'!$Q$5:$Q$115)</f>
        <v>58</v>
      </c>
      <c r="K345" s="81">
        <f>SUMIF('2.생활용수(부적)'!$C$5:$C$75,$C345,'2.생활용수(부적)'!$Q$5:$Q$75)</f>
        <v>0</v>
      </c>
      <c r="L345" s="81">
        <f>SUMIF('2.생활용수(연산)'!$C$5:$C$220,$C345,'2.생활용수(연산)'!$Q$5:$Q$220)</f>
        <v>0</v>
      </c>
      <c r="M345" s="81">
        <f>SUMIF('2.생활용수(채운)'!$C$5:$C$63,$C345,'2.생활용수(채운)'!$Q$5:$Q$63)</f>
        <v>0</v>
      </c>
      <c r="N345" s="81">
        <f>SUMIF('2.생활용수(강경)'!$C$5:$C$60,$C345,'2.생활용수(강경)'!$Q$5:$Q$60)</f>
        <v>0</v>
      </c>
      <c r="O345" s="81"/>
    </row>
    <row r="346" spans="1:15" ht="20.100000000000001" customHeight="1">
      <c r="A346" s="442" t="s">
        <v>2283</v>
      </c>
      <c r="B346" s="442" t="s">
        <v>2287</v>
      </c>
      <c r="C346" s="443" t="s">
        <v>2288</v>
      </c>
      <c r="D346" s="81">
        <f t="shared" si="6"/>
        <v>0</v>
      </c>
      <c r="E346" s="81">
        <f>SUMIF('2.생활용수(광석)'!$C$5:$C$56,C346,'2.생활용수(광석)'!$Q$5:$Q$56)</f>
        <v>0</v>
      </c>
      <c r="F346" s="81">
        <f>SUMIF('2.생활용수(성동)'!$C$5:$C$60,$C346,'2.생활용수(성동)'!$Q$5:$Q$60)</f>
        <v>0</v>
      </c>
      <c r="G346" s="81">
        <f>SUMIF('2.생활용수(봉화)'!$C$5:$C$18,$C346,'2.생활용수(봉화)'!$Q$5:$Q$18)</f>
        <v>0</v>
      </c>
      <c r="H346" s="81">
        <f>SUMIF('2.생활용수(논산)'!$C$5:$C$28,$C346,'2.생활용수(논산)'!$Q$5:$Q$28)</f>
        <v>0</v>
      </c>
      <c r="I346" s="81">
        <f>SUMIF('2.생활용수(연무)'!$C$5:$C$123,$C346,'2.생활용수(연무)'!$Q$5:$Q$123)</f>
        <v>0</v>
      </c>
      <c r="J346" s="81">
        <f>SUMIF('2.생활용수(마산)'!$C$5:$C$115,$C346,'2.생활용수(마산)'!$Q$5:$Q$115)</f>
        <v>0</v>
      </c>
      <c r="K346" s="81">
        <f>SUMIF('2.생활용수(부적)'!$C$5:$C$75,$C346,'2.생활용수(부적)'!$Q$5:$Q$75)</f>
        <v>0</v>
      </c>
      <c r="L346" s="81">
        <f>SUMIF('2.생활용수(연산)'!$C$5:$C$220,$C346,'2.생활용수(연산)'!$Q$5:$Q$220)</f>
        <v>0</v>
      </c>
      <c r="M346" s="81">
        <f>SUMIF('2.생활용수(채운)'!$C$5:$C$63,$C346,'2.생활용수(채운)'!$Q$5:$Q$63)</f>
        <v>0</v>
      </c>
      <c r="N346" s="81">
        <f>SUMIF('2.생활용수(강경)'!$C$5:$C$60,$C346,'2.생활용수(강경)'!$Q$5:$Q$60)</f>
        <v>0</v>
      </c>
      <c r="O346" s="81"/>
    </row>
    <row r="347" spans="1:15" ht="20.100000000000001" customHeight="1">
      <c r="A347" s="442" t="s">
        <v>2283</v>
      </c>
      <c r="B347" s="442" t="s">
        <v>2287</v>
      </c>
      <c r="C347" s="445" t="s">
        <v>2289</v>
      </c>
      <c r="D347" s="81">
        <f t="shared" si="6"/>
        <v>0</v>
      </c>
      <c r="E347" s="81">
        <f>SUMIF('2.생활용수(광석)'!$C$5:$C$56,C347,'2.생활용수(광석)'!$Q$5:$Q$56)</f>
        <v>0</v>
      </c>
      <c r="F347" s="81">
        <f>SUMIF('2.생활용수(성동)'!$C$5:$C$60,$C347,'2.생활용수(성동)'!$Q$5:$Q$60)</f>
        <v>0</v>
      </c>
      <c r="G347" s="81">
        <f>SUMIF('2.생활용수(봉화)'!$C$5:$C$18,$C347,'2.생활용수(봉화)'!$Q$5:$Q$18)</f>
        <v>0</v>
      </c>
      <c r="H347" s="81">
        <f>SUMIF('2.생활용수(논산)'!$C$5:$C$28,$C347,'2.생활용수(논산)'!$Q$5:$Q$28)</f>
        <v>0</v>
      </c>
      <c r="I347" s="81">
        <f>SUMIF('2.생활용수(연무)'!$C$5:$C$123,$C347,'2.생활용수(연무)'!$Q$5:$Q$123)</f>
        <v>0</v>
      </c>
      <c r="J347" s="81">
        <f>SUMIF('2.생활용수(마산)'!$C$5:$C$115,$C347,'2.생활용수(마산)'!$Q$5:$Q$115)</f>
        <v>0</v>
      </c>
      <c r="K347" s="81">
        <f>SUMIF('2.생활용수(부적)'!$C$5:$C$75,$C347,'2.생활용수(부적)'!$Q$5:$Q$75)</f>
        <v>0</v>
      </c>
      <c r="L347" s="81">
        <f>SUMIF('2.생활용수(연산)'!$C$5:$C$220,$C347,'2.생활용수(연산)'!$Q$5:$Q$220)</f>
        <v>0</v>
      </c>
      <c r="M347" s="81">
        <f>SUMIF('2.생활용수(채운)'!$C$5:$C$63,$C347,'2.생활용수(채운)'!$Q$5:$Q$63)</f>
        <v>0</v>
      </c>
      <c r="N347" s="81">
        <f>SUMIF('2.생활용수(강경)'!$C$5:$C$60,$C347,'2.생활용수(강경)'!$Q$5:$Q$60)</f>
        <v>0</v>
      </c>
      <c r="O347" s="81"/>
    </row>
    <row r="348" spans="1:15" ht="20.100000000000001" customHeight="1">
      <c r="A348" s="442" t="s">
        <v>2283</v>
      </c>
      <c r="B348" s="442" t="s">
        <v>2290</v>
      </c>
      <c r="C348" s="445" t="s">
        <v>2291</v>
      </c>
      <c r="D348" s="81">
        <f t="shared" si="6"/>
        <v>0</v>
      </c>
      <c r="E348" s="81">
        <f>SUMIF('2.생활용수(광석)'!$C$5:$C$56,C348,'2.생활용수(광석)'!$Q$5:$Q$56)</f>
        <v>0</v>
      </c>
      <c r="F348" s="81">
        <f>SUMIF('2.생활용수(성동)'!$C$5:$C$60,$C348,'2.생활용수(성동)'!$Q$5:$Q$60)</f>
        <v>0</v>
      </c>
      <c r="G348" s="81">
        <f>SUMIF('2.생활용수(봉화)'!$C$5:$C$18,$C348,'2.생활용수(봉화)'!$Q$5:$Q$18)</f>
        <v>0</v>
      </c>
      <c r="H348" s="81">
        <f>SUMIF('2.생활용수(논산)'!$C$5:$C$28,$C348,'2.생활용수(논산)'!$Q$5:$Q$28)</f>
        <v>0</v>
      </c>
      <c r="I348" s="81">
        <f>SUMIF('2.생활용수(연무)'!$C$5:$C$123,$C348,'2.생활용수(연무)'!$Q$5:$Q$123)</f>
        <v>0</v>
      </c>
      <c r="J348" s="81">
        <f>SUMIF('2.생활용수(마산)'!$C$5:$C$115,$C348,'2.생활용수(마산)'!$Q$5:$Q$115)</f>
        <v>0</v>
      </c>
      <c r="K348" s="81">
        <f>SUMIF('2.생활용수(부적)'!$C$5:$C$75,$C348,'2.생활용수(부적)'!$Q$5:$Q$75)</f>
        <v>0</v>
      </c>
      <c r="L348" s="81">
        <f>SUMIF('2.생활용수(연산)'!$C$5:$C$220,$C348,'2.생활용수(연산)'!$Q$5:$Q$220)</f>
        <v>0</v>
      </c>
      <c r="M348" s="81">
        <f>SUMIF('2.생활용수(채운)'!$C$5:$C$63,$C348,'2.생활용수(채운)'!$Q$5:$Q$63)</f>
        <v>0</v>
      </c>
      <c r="N348" s="81">
        <f>SUMIF('2.생활용수(강경)'!$C$5:$C$60,$C348,'2.생활용수(강경)'!$Q$5:$Q$60)</f>
        <v>0</v>
      </c>
      <c r="O348" s="81"/>
    </row>
    <row r="349" spans="1:15" ht="20.100000000000001" customHeight="1">
      <c r="A349" s="442" t="s">
        <v>2283</v>
      </c>
      <c r="B349" s="442" t="s">
        <v>2290</v>
      </c>
      <c r="C349" s="445" t="s">
        <v>2292</v>
      </c>
      <c r="D349" s="81">
        <f t="shared" si="6"/>
        <v>0</v>
      </c>
      <c r="E349" s="81">
        <f>SUMIF('2.생활용수(광석)'!$C$5:$C$56,C349,'2.생활용수(광석)'!$Q$5:$Q$56)</f>
        <v>0</v>
      </c>
      <c r="F349" s="81">
        <f>SUMIF('2.생활용수(성동)'!$C$5:$C$60,$C349,'2.생활용수(성동)'!$Q$5:$Q$60)</f>
        <v>0</v>
      </c>
      <c r="G349" s="81">
        <f>SUMIF('2.생활용수(봉화)'!$C$5:$C$18,$C349,'2.생활용수(봉화)'!$Q$5:$Q$18)</f>
        <v>0</v>
      </c>
      <c r="H349" s="81">
        <f>SUMIF('2.생활용수(논산)'!$C$5:$C$28,$C349,'2.생활용수(논산)'!$Q$5:$Q$28)</f>
        <v>0</v>
      </c>
      <c r="I349" s="81">
        <f>SUMIF('2.생활용수(연무)'!$C$5:$C$123,$C349,'2.생활용수(연무)'!$Q$5:$Q$123)</f>
        <v>0</v>
      </c>
      <c r="J349" s="81">
        <f>SUMIF('2.생활용수(마산)'!$C$5:$C$115,$C349,'2.생활용수(마산)'!$Q$5:$Q$115)</f>
        <v>0</v>
      </c>
      <c r="K349" s="81">
        <f>SUMIF('2.생활용수(부적)'!$C$5:$C$75,$C349,'2.생활용수(부적)'!$Q$5:$Q$75)</f>
        <v>0</v>
      </c>
      <c r="L349" s="81">
        <f>SUMIF('2.생활용수(연산)'!$C$5:$C$220,$C349,'2.생활용수(연산)'!$Q$5:$Q$220)</f>
        <v>0</v>
      </c>
      <c r="M349" s="81">
        <f>SUMIF('2.생활용수(채운)'!$C$5:$C$63,$C349,'2.생활용수(채운)'!$Q$5:$Q$63)</f>
        <v>0</v>
      </c>
      <c r="N349" s="81">
        <f>SUMIF('2.생활용수(강경)'!$C$5:$C$60,$C349,'2.생활용수(강경)'!$Q$5:$Q$60)</f>
        <v>0</v>
      </c>
      <c r="O349" s="81"/>
    </row>
    <row r="350" spans="1:15" ht="20.100000000000001" customHeight="1">
      <c r="A350" s="442" t="s">
        <v>2283</v>
      </c>
      <c r="B350" s="442" t="s">
        <v>2293</v>
      </c>
      <c r="C350" s="445" t="s">
        <v>2294</v>
      </c>
      <c r="D350" s="81">
        <f t="shared" si="6"/>
        <v>0</v>
      </c>
      <c r="E350" s="81">
        <f>SUMIF('2.생활용수(광석)'!$C$5:$C$56,C350,'2.생활용수(광석)'!$Q$5:$Q$56)</f>
        <v>0</v>
      </c>
      <c r="F350" s="81">
        <f>SUMIF('2.생활용수(성동)'!$C$5:$C$60,$C350,'2.생활용수(성동)'!$Q$5:$Q$60)</f>
        <v>0</v>
      </c>
      <c r="G350" s="81">
        <f>SUMIF('2.생활용수(봉화)'!$C$5:$C$18,$C350,'2.생활용수(봉화)'!$Q$5:$Q$18)</f>
        <v>0</v>
      </c>
      <c r="H350" s="81">
        <f>SUMIF('2.생활용수(논산)'!$C$5:$C$28,$C350,'2.생활용수(논산)'!$Q$5:$Q$28)</f>
        <v>0</v>
      </c>
      <c r="I350" s="81">
        <f>SUMIF('2.생활용수(연무)'!$C$5:$C$123,$C350,'2.생활용수(연무)'!$Q$5:$Q$123)</f>
        <v>0</v>
      </c>
      <c r="J350" s="81">
        <f>SUMIF('2.생활용수(마산)'!$C$5:$C$115,$C350,'2.생활용수(마산)'!$Q$5:$Q$115)</f>
        <v>0</v>
      </c>
      <c r="K350" s="81">
        <f>SUMIF('2.생활용수(부적)'!$C$5:$C$75,$C350,'2.생활용수(부적)'!$Q$5:$Q$75)</f>
        <v>0</v>
      </c>
      <c r="L350" s="81">
        <f>SUMIF('2.생활용수(연산)'!$C$5:$C$220,$C350,'2.생활용수(연산)'!$Q$5:$Q$220)</f>
        <v>0</v>
      </c>
      <c r="M350" s="81">
        <f>SUMIF('2.생활용수(채운)'!$C$5:$C$63,$C350,'2.생활용수(채운)'!$Q$5:$Q$63)</f>
        <v>0</v>
      </c>
      <c r="N350" s="81">
        <f>SUMIF('2.생활용수(강경)'!$C$5:$C$60,$C350,'2.생활용수(강경)'!$Q$5:$Q$60)</f>
        <v>0</v>
      </c>
      <c r="O350" s="81"/>
    </row>
    <row r="351" spans="1:15" ht="20.100000000000001" customHeight="1">
      <c r="A351" s="442" t="s">
        <v>2283</v>
      </c>
      <c r="B351" s="442" t="s">
        <v>2293</v>
      </c>
      <c r="C351" s="445" t="s">
        <v>1404</v>
      </c>
      <c r="D351" s="81">
        <f t="shared" si="6"/>
        <v>0</v>
      </c>
      <c r="E351" s="81">
        <f>SUMIF('2.생활용수(광석)'!$C$5:$C$56,C351,'2.생활용수(광석)'!$Q$5:$Q$56)</f>
        <v>0</v>
      </c>
      <c r="F351" s="81">
        <f>SUMIF('2.생활용수(성동)'!$C$5:$C$60,$C351,'2.생활용수(성동)'!$Q$5:$Q$60)</f>
        <v>0</v>
      </c>
      <c r="G351" s="81">
        <f>SUMIF('2.생활용수(봉화)'!$C$5:$C$18,$C351,'2.생활용수(봉화)'!$Q$5:$Q$18)</f>
        <v>0</v>
      </c>
      <c r="H351" s="81">
        <f>SUMIF('2.생활용수(논산)'!$C$5:$C$28,$C351,'2.생활용수(논산)'!$Q$5:$Q$28)</f>
        <v>0</v>
      </c>
      <c r="I351" s="81">
        <f>SUMIF('2.생활용수(연무)'!$C$5:$C$123,$C351,'2.생활용수(연무)'!$Q$5:$Q$123)</f>
        <v>0</v>
      </c>
      <c r="J351" s="81">
        <f>SUMIF('2.생활용수(마산)'!$C$5:$C$115,$C351,'2.생활용수(마산)'!$Q$5:$Q$115)</f>
        <v>0</v>
      </c>
      <c r="K351" s="81">
        <f>SUMIF('2.생활용수(부적)'!$C$5:$C$75,$C351,'2.생활용수(부적)'!$Q$5:$Q$75)</f>
        <v>0</v>
      </c>
      <c r="L351" s="81">
        <f>SUMIF('2.생활용수(연산)'!$C$5:$C$220,$C351,'2.생활용수(연산)'!$Q$5:$Q$220)</f>
        <v>0</v>
      </c>
      <c r="M351" s="81">
        <f>SUMIF('2.생활용수(채운)'!$C$5:$C$63,$C351,'2.생활용수(채운)'!$Q$5:$Q$63)</f>
        <v>0</v>
      </c>
      <c r="N351" s="81">
        <f>SUMIF('2.생활용수(강경)'!$C$5:$C$60,$C351,'2.생활용수(강경)'!$Q$5:$Q$60)</f>
        <v>0</v>
      </c>
      <c r="O351" s="81"/>
    </row>
    <row r="352" spans="1:15" ht="20.100000000000001" customHeight="1">
      <c r="A352" s="442" t="s">
        <v>2283</v>
      </c>
      <c r="B352" s="442" t="s">
        <v>2295</v>
      </c>
      <c r="C352" s="445" t="s">
        <v>2296</v>
      </c>
      <c r="D352" s="81">
        <f t="shared" si="6"/>
        <v>0</v>
      </c>
      <c r="E352" s="81">
        <f>SUMIF('2.생활용수(광석)'!$C$5:$C$56,C352,'2.생활용수(광석)'!$Q$5:$Q$56)</f>
        <v>0</v>
      </c>
      <c r="F352" s="81">
        <f>SUMIF('2.생활용수(성동)'!$C$5:$C$60,$C352,'2.생활용수(성동)'!$Q$5:$Q$60)</f>
        <v>0</v>
      </c>
      <c r="G352" s="81">
        <f>SUMIF('2.생활용수(봉화)'!$C$5:$C$18,$C352,'2.생활용수(봉화)'!$Q$5:$Q$18)</f>
        <v>0</v>
      </c>
      <c r="H352" s="81">
        <f>SUMIF('2.생활용수(논산)'!$C$5:$C$28,$C352,'2.생활용수(논산)'!$Q$5:$Q$28)</f>
        <v>0</v>
      </c>
      <c r="I352" s="81">
        <f>SUMIF('2.생활용수(연무)'!$C$5:$C$123,$C352,'2.생활용수(연무)'!$Q$5:$Q$123)</f>
        <v>0</v>
      </c>
      <c r="J352" s="81">
        <f>SUMIF('2.생활용수(마산)'!$C$5:$C$115,$C352,'2.생활용수(마산)'!$Q$5:$Q$115)</f>
        <v>0</v>
      </c>
      <c r="K352" s="81">
        <f>SUMIF('2.생활용수(부적)'!$C$5:$C$75,$C352,'2.생활용수(부적)'!$Q$5:$Q$75)</f>
        <v>0</v>
      </c>
      <c r="L352" s="81">
        <f>SUMIF('2.생활용수(연산)'!$C$5:$C$220,$C352,'2.생활용수(연산)'!$Q$5:$Q$220)</f>
        <v>0</v>
      </c>
      <c r="M352" s="81">
        <f>SUMIF('2.생활용수(채운)'!$C$5:$C$63,$C352,'2.생활용수(채운)'!$Q$5:$Q$63)</f>
        <v>0</v>
      </c>
      <c r="N352" s="81">
        <f>SUMIF('2.생활용수(강경)'!$C$5:$C$60,$C352,'2.생활용수(강경)'!$Q$5:$Q$60)</f>
        <v>0</v>
      </c>
      <c r="O352" s="81"/>
    </row>
    <row r="353" spans="1:15" ht="20.100000000000001" customHeight="1">
      <c r="A353" s="442" t="s">
        <v>2283</v>
      </c>
      <c r="B353" s="442" t="s">
        <v>2295</v>
      </c>
      <c r="C353" s="445" t="s">
        <v>2297</v>
      </c>
      <c r="D353" s="81">
        <f t="shared" si="6"/>
        <v>0</v>
      </c>
      <c r="E353" s="81">
        <f>SUMIF('2.생활용수(광석)'!$C$5:$C$56,C353,'2.생활용수(광석)'!$Q$5:$Q$56)</f>
        <v>0</v>
      </c>
      <c r="F353" s="81">
        <f>SUMIF('2.생활용수(성동)'!$C$5:$C$60,$C353,'2.생활용수(성동)'!$Q$5:$Q$60)</f>
        <v>0</v>
      </c>
      <c r="G353" s="81">
        <f>SUMIF('2.생활용수(봉화)'!$C$5:$C$18,$C353,'2.생활용수(봉화)'!$Q$5:$Q$18)</f>
        <v>0</v>
      </c>
      <c r="H353" s="81">
        <f>SUMIF('2.생활용수(논산)'!$C$5:$C$28,$C353,'2.생활용수(논산)'!$Q$5:$Q$28)</f>
        <v>0</v>
      </c>
      <c r="I353" s="81">
        <f>SUMIF('2.생활용수(연무)'!$C$5:$C$123,$C353,'2.생활용수(연무)'!$Q$5:$Q$123)</f>
        <v>0</v>
      </c>
      <c r="J353" s="81">
        <f>SUMIF('2.생활용수(마산)'!$C$5:$C$115,$C353,'2.생활용수(마산)'!$Q$5:$Q$115)</f>
        <v>0</v>
      </c>
      <c r="K353" s="81">
        <f>SUMIF('2.생활용수(부적)'!$C$5:$C$75,$C353,'2.생활용수(부적)'!$Q$5:$Q$75)</f>
        <v>0</v>
      </c>
      <c r="L353" s="81">
        <f>SUMIF('2.생활용수(연산)'!$C$5:$C$220,$C353,'2.생활용수(연산)'!$Q$5:$Q$220)</f>
        <v>0</v>
      </c>
      <c r="M353" s="81">
        <f>SUMIF('2.생활용수(채운)'!$C$5:$C$63,$C353,'2.생활용수(채운)'!$Q$5:$Q$63)</f>
        <v>0</v>
      </c>
      <c r="N353" s="81">
        <f>SUMIF('2.생활용수(강경)'!$C$5:$C$60,$C353,'2.생활용수(강경)'!$Q$5:$Q$60)</f>
        <v>0</v>
      </c>
      <c r="O353" s="81"/>
    </row>
    <row r="354" spans="1:15" ht="20.100000000000001" customHeight="1">
      <c r="A354" s="442" t="s">
        <v>2283</v>
      </c>
      <c r="B354" s="442" t="s">
        <v>2298</v>
      </c>
      <c r="C354" s="443" t="s">
        <v>2299</v>
      </c>
      <c r="D354" s="81">
        <f t="shared" si="6"/>
        <v>0</v>
      </c>
      <c r="E354" s="81">
        <f>SUMIF('2.생활용수(광석)'!$C$5:$C$56,C354,'2.생활용수(광석)'!$Q$5:$Q$56)</f>
        <v>0</v>
      </c>
      <c r="F354" s="81">
        <f>SUMIF('2.생활용수(성동)'!$C$5:$C$60,$C354,'2.생활용수(성동)'!$Q$5:$Q$60)</f>
        <v>0</v>
      </c>
      <c r="G354" s="81">
        <f>SUMIF('2.생활용수(봉화)'!$C$5:$C$18,$C354,'2.생활용수(봉화)'!$Q$5:$Q$18)</f>
        <v>0</v>
      </c>
      <c r="H354" s="81">
        <f>SUMIF('2.생활용수(논산)'!$C$5:$C$28,$C354,'2.생활용수(논산)'!$Q$5:$Q$28)</f>
        <v>0</v>
      </c>
      <c r="I354" s="81">
        <f>SUMIF('2.생활용수(연무)'!$C$5:$C$123,$C354,'2.생활용수(연무)'!$Q$5:$Q$123)</f>
        <v>0</v>
      </c>
      <c r="J354" s="81">
        <f>SUMIF('2.생활용수(마산)'!$C$5:$C$115,$C354,'2.생활용수(마산)'!$Q$5:$Q$115)</f>
        <v>0</v>
      </c>
      <c r="K354" s="81">
        <f>SUMIF('2.생활용수(부적)'!$C$5:$C$75,$C354,'2.생활용수(부적)'!$Q$5:$Q$75)</f>
        <v>0</v>
      </c>
      <c r="L354" s="81">
        <f>SUMIF('2.생활용수(연산)'!$C$5:$C$220,$C354,'2.생활용수(연산)'!$Q$5:$Q$220)</f>
        <v>0</v>
      </c>
      <c r="M354" s="81">
        <f>SUMIF('2.생활용수(채운)'!$C$5:$C$63,$C354,'2.생활용수(채운)'!$Q$5:$Q$63)</f>
        <v>0</v>
      </c>
      <c r="N354" s="81">
        <f>SUMIF('2.생활용수(강경)'!$C$5:$C$60,$C354,'2.생활용수(강경)'!$Q$5:$Q$60)</f>
        <v>0</v>
      </c>
      <c r="O354" s="81"/>
    </row>
    <row r="355" spans="1:15" ht="20.100000000000001" customHeight="1">
      <c r="A355" s="442" t="s">
        <v>2283</v>
      </c>
      <c r="B355" s="442" t="s">
        <v>2298</v>
      </c>
      <c r="C355" s="443" t="s">
        <v>2300</v>
      </c>
      <c r="D355" s="81">
        <f t="shared" si="6"/>
        <v>12</v>
      </c>
      <c r="E355" s="81">
        <f>SUMIF('2.생활용수(광석)'!$C$5:$C$56,C355,'2.생활용수(광석)'!$Q$5:$Q$56)</f>
        <v>0</v>
      </c>
      <c r="F355" s="81">
        <f>SUMIF('2.생활용수(성동)'!$C$5:$C$60,$C355,'2.생활용수(성동)'!$Q$5:$Q$60)</f>
        <v>0</v>
      </c>
      <c r="G355" s="81">
        <f>SUMIF('2.생활용수(봉화)'!$C$5:$C$18,$C355,'2.생활용수(봉화)'!$Q$5:$Q$18)</f>
        <v>0</v>
      </c>
      <c r="H355" s="81">
        <f>SUMIF('2.생활용수(논산)'!$C$5:$C$28,$C355,'2.생활용수(논산)'!$Q$5:$Q$28)</f>
        <v>0</v>
      </c>
      <c r="I355" s="81">
        <f>SUMIF('2.생활용수(연무)'!$C$5:$C$123,$C355,'2.생활용수(연무)'!$Q$5:$Q$123)</f>
        <v>0</v>
      </c>
      <c r="J355" s="81">
        <f>SUMIF('2.생활용수(마산)'!$C$5:$C$115,$C355,'2.생활용수(마산)'!$Q$5:$Q$115)</f>
        <v>0</v>
      </c>
      <c r="K355" s="81">
        <f>SUMIF('2.생활용수(부적)'!$C$5:$C$75,$C355,'2.생활용수(부적)'!$Q$5:$Q$75)</f>
        <v>0</v>
      </c>
      <c r="L355" s="81">
        <f>SUMIF('2.생활용수(연산)'!$C$5:$C$220,$C355,'2.생활용수(연산)'!$Q$5:$Q$220)</f>
        <v>12</v>
      </c>
      <c r="M355" s="81">
        <f>SUMIF('2.생활용수(채운)'!$C$5:$C$63,$C355,'2.생활용수(채운)'!$Q$5:$Q$63)</f>
        <v>0</v>
      </c>
      <c r="N355" s="81">
        <f>SUMIF('2.생활용수(강경)'!$C$5:$C$60,$C355,'2.생활용수(강경)'!$Q$5:$Q$60)</f>
        <v>0</v>
      </c>
      <c r="O355" s="81"/>
    </row>
    <row r="356" spans="1:15" ht="20.100000000000001" customHeight="1">
      <c r="A356" s="442" t="s">
        <v>2283</v>
      </c>
      <c r="B356" s="442" t="s">
        <v>2301</v>
      </c>
      <c r="C356" s="445" t="s">
        <v>2302</v>
      </c>
      <c r="D356" s="81">
        <f t="shared" si="6"/>
        <v>0</v>
      </c>
      <c r="E356" s="81">
        <f>SUMIF('2.생활용수(광석)'!$C$5:$C$56,C356,'2.생활용수(광석)'!$Q$5:$Q$56)</f>
        <v>0</v>
      </c>
      <c r="F356" s="81">
        <f>SUMIF('2.생활용수(성동)'!$C$5:$C$60,$C356,'2.생활용수(성동)'!$Q$5:$Q$60)</f>
        <v>0</v>
      </c>
      <c r="G356" s="81">
        <f>SUMIF('2.생활용수(봉화)'!$C$5:$C$18,$C356,'2.생활용수(봉화)'!$Q$5:$Q$18)</f>
        <v>0</v>
      </c>
      <c r="H356" s="81">
        <f>SUMIF('2.생활용수(논산)'!$C$5:$C$28,$C356,'2.생활용수(논산)'!$Q$5:$Q$28)</f>
        <v>0</v>
      </c>
      <c r="I356" s="81">
        <f>SUMIF('2.생활용수(연무)'!$C$5:$C$123,$C356,'2.생활용수(연무)'!$Q$5:$Q$123)</f>
        <v>0</v>
      </c>
      <c r="J356" s="81">
        <f>SUMIF('2.생활용수(마산)'!$C$5:$C$115,$C356,'2.생활용수(마산)'!$Q$5:$Q$115)</f>
        <v>0</v>
      </c>
      <c r="K356" s="81">
        <f>SUMIF('2.생활용수(부적)'!$C$5:$C$75,$C356,'2.생활용수(부적)'!$Q$5:$Q$75)</f>
        <v>0</v>
      </c>
      <c r="L356" s="81">
        <f>SUMIF('2.생활용수(연산)'!$C$5:$C$220,$C356,'2.생활용수(연산)'!$Q$5:$Q$220)</f>
        <v>0</v>
      </c>
      <c r="M356" s="81">
        <f>SUMIF('2.생활용수(채운)'!$C$5:$C$63,$C356,'2.생활용수(채운)'!$Q$5:$Q$63)</f>
        <v>0</v>
      </c>
      <c r="N356" s="81">
        <f>SUMIF('2.생활용수(강경)'!$C$5:$C$60,$C356,'2.생활용수(강경)'!$Q$5:$Q$60)</f>
        <v>0</v>
      </c>
      <c r="O356" s="81"/>
    </row>
    <row r="357" spans="1:15" ht="20.100000000000001" customHeight="1">
      <c r="A357" s="442" t="s">
        <v>2283</v>
      </c>
      <c r="B357" s="442" t="s">
        <v>2303</v>
      </c>
      <c r="C357" s="446" t="s">
        <v>2304</v>
      </c>
      <c r="D357" s="81">
        <f t="shared" si="6"/>
        <v>0</v>
      </c>
      <c r="E357" s="81">
        <f>SUMIF('2.생활용수(광석)'!$C$5:$C$56,C357,'2.생활용수(광석)'!$Q$5:$Q$56)</f>
        <v>0</v>
      </c>
      <c r="F357" s="81">
        <f>SUMIF('2.생활용수(성동)'!$C$5:$C$60,$C357,'2.생활용수(성동)'!$Q$5:$Q$60)</f>
        <v>0</v>
      </c>
      <c r="G357" s="81">
        <f>SUMIF('2.생활용수(봉화)'!$C$5:$C$18,$C357,'2.생활용수(봉화)'!$Q$5:$Q$18)</f>
        <v>0</v>
      </c>
      <c r="H357" s="81">
        <f>SUMIF('2.생활용수(논산)'!$C$5:$C$28,$C357,'2.생활용수(논산)'!$Q$5:$Q$28)</f>
        <v>0</v>
      </c>
      <c r="I357" s="81">
        <f>SUMIF('2.생활용수(연무)'!$C$5:$C$123,$C357,'2.생활용수(연무)'!$Q$5:$Q$123)</f>
        <v>0</v>
      </c>
      <c r="J357" s="81">
        <f>SUMIF('2.생활용수(마산)'!$C$5:$C$115,$C357,'2.생활용수(마산)'!$Q$5:$Q$115)</f>
        <v>0</v>
      </c>
      <c r="K357" s="81">
        <f>SUMIF('2.생활용수(부적)'!$C$5:$C$75,$C357,'2.생활용수(부적)'!$Q$5:$Q$75)</f>
        <v>0</v>
      </c>
      <c r="L357" s="81">
        <f>SUMIF('2.생활용수(연산)'!$C$5:$C$220,$C357,'2.생활용수(연산)'!$Q$5:$Q$220)</f>
        <v>0</v>
      </c>
      <c r="M357" s="81">
        <f>SUMIF('2.생활용수(채운)'!$C$5:$C$63,$C357,'2.생활용수(채운)'!$Q$5:$Q$63)</f>
        <v>0</v>
      </c>
      <c r="N357" s="81">
        <f>SUMIF('2.생활용수(강경)'!$C$5:$C$60,$C357,'2.생활용수(강경)'!$Q$5:$Q$60)</f>
        <v>0</v>
      </c>
      <c r="O357" s="81"/>
    </row>
    <row r="358" spans="1:15" ht="20.100000000000001" customHeight="1">
      <c r="A358" s="442" t="s">
        <v>2283</v>
      </c>
      <c r="B358" s="442" t="s">
        <v>2303</v>
      </c>
      <c r="C358" s="446" t="s">
        <v>2305</v>
      </c>
      <c r="D358" s="81">
        <f t="shared" si="6"/>
        <v>0</v>
      </c>
      <c r="E358" s="81">
        <f>SUMIF('2.생활용수(광석)'!$C$5:$C$56,C358,'2.생활용수(광석)'!$Q$5:$Q$56)</f>
        <v>0</v>
      </c>
      <c r="F358" s="81">
        <f>SUMIF('2.생활용수(성동)'!$C$5:$C$60,$C358,'2.생활용수(성동)'!$Q$5:$Q$60)</f>
        <v>0</v>
      </c>
      <c r="G358" s="81">
        <f>SUMIF('2.생활용수(봉화)'!$C$5:$C$18,$C358,'2.생활용수(봉화)'!$Q$5:$Q$18)</f>
        <v>0</v>
      </c>
      <c r="H358" s="81">
        <f>SUMIF('2.생활용수(논산)'!$C$5:$C$28,$C358,'2.생활용수(논산)'!$Q$5:$Q$28)</f>
        <v>0</v>
      </c>
      <c r="I358" s="81">
        <f>SUMIF('2.생활용수(연무)'!$C$5:$C$123,$C358,'2.생활용수(연무)'!$Q$5:$Q$123)</f>
        <v>0</v>
      </c>
      <c r="J358" s="81">
        <f>SUMIF('2.생활용수(마산)'!$C$5:$C$115,$C358,'2.생활용수(마산)'!$Q$5:$Q$115)</f>
        <v>0</v>
      </c>
      <c r="K358" s="81">
        <f>SUMIF('2.생활용수(부적)'!$C$5:$C$75,$C358,'2.생활용수(부적)'!$Q$5:$Q$75)</f>
        <v>0</v>
      </c>
      <c r="L358" s="81">
        <f>SUMIF('2.생활용수(연산)'!$C$5:$C$220,$C358,'2.생활용수(연산)'!$Q$5:$Q$220)</f>
        <v>0</v>
      </c>
      <c r="M358" s="81">
        <f>SUMIF('2.생활용수(채운)'!$C$5:$C$63,$C358,'2.생활용수(채운)'!$Q$5:$Q$63)</f>
        <v>0</v>
      </c>
      <c r="N358" s="81">
        <f>SUMIF('2.생활용수(강경)'!$C$5:$C$60,$C358,'2.생활용수(강경)'!$Q$5:$Q$60)</f>
        <v>0</v>
      </c>
      <c r="O358" s="81"/>
    </row>
    <row r="359" spans="1:15" ht="20.100000000000001" customHeight="1">
      <c r="A359" s="442" t="s">
        <v>2283</v>
      </c>
      <c r="B359" s="442" t="s">
        <v>2306</v>
      </c>
      <c r="C359" s="445" t="s">
        <v>2307</v>
      </c>
      <c r="D359" s="81">
        <f t="shared" si="6"/>
        <v>0</v>
      </c>
      <c r="E359" s="81">
        <f>SUMIF('2.생활용수(광석)'!$C$5:$C$56,C359,'2.생활용수(광석)'!$Q$5:$Q$56)</f>
        <v>0</v>
      </c>
      <c r="F359" s="81">
        <f>SUMIF('2.생활용수(성동)'!$C$5:$C$60,$C359,'2.생활용수(성동)'!$Q$5:$Q$60)</f>
        <v>0</v>
      </c>
      <c r="G359" s="81">
        <f>SUMIF('2.생활용수(봉화)'!$C$5:$C$18,$C359,'2.생활용수(봉화)'!$Q$5:$Q$18)</f>
        <v>0</v>
      </c>
      <c r="H359" s="81">
        <f>SUMIF('2.생활용수(논산)'!$C$5:$C$28,$C359,'2.생활용수(논산)'!$Q$5:$Q$28)</f>
        <v>0</v>
      </c>
      <c r="I359" s="81">
        <f>SUMIF('2.생활용수(연무)'!$C$5:$C$123,$C359,'2.생활용수(연무)'!$Q$5:$Q$123)</f>
        <v>0</v>
      </c>
      <c r="J359" s="81">
        <f>SUMIF('2.생활용수(마산)'!$C$5:$C$115,$C359,'2.생활용수(마산)'!$Q$5:$Q$115)</f>
        <v>0</v>
      </c>
      <c r="K359" s="81">
        <f>SUMIF('2.생활용수(부적)'!$C$5:$C$75,$C359,'2.생활용수(부적)'!$Q$5:$Q$75)</f>
        <v>0</v>
      </c>
      <c r="L359" s="81">
        <f>SUMIF('2.생활용수(연산)'!$C$5:$C$220,$C359,'2.생활용수(연산)'!$Q$5:$Q$220)</f>
        <v>0</v>
      </c>
      <c r="M359" s="81">
        <f>SUMIF('2.생활용수(채운)'!$C$5:$C$63,$C359,'2.생활용수(채운)'!$Q$5:$Q$63)</f>
        <v>0</v>
      </c>
      <c r="N359" s="81">
        <f>SUMIF('2.생활용수(강경)'!$C$5:$C$60,$C359,'2.생활용수(강경)'!$Q$5:$Q$60)</f>
        <v>0</v>
      </c>
      <c r="O359" s="81"/>
    </row>
    <row r="360" spans="1:15" ht="20.100000000000001" customHeight="1">
      <c r="A360" s="442" t="s">
        <v>2283</v>
      </c>
      <c r="B360" s="442" t="s">
        <v>2306</v>
      </c>
      <c r="C360" s="445" t="s">
        <v>1391</v>
      </c>
      <c r="D360" s="81">
        <f t="shared" si="6"/>
        <v>0</v>
      </c>
      <c r="E360" s="81">
        <f>SUMIF('2.생활용수(광석)'!$C$5:$C$56,C360,'2.생활용수(광석)'!$Q$5:$Q$56)</f>
        <v>0</v>
      </c>
      <c r="F360" s="81">
        <f>SUMIF('2.생활용수(성동)'!$C$5:$C$60,$C360,'2.생활용수(성동)'!$Q$5:$Q$60)</f>
        <v>0</v>
      </c>
      <c r="G360" s="81">
        <f>SUMIF('2.생활용수(봉화)'!$C$5:$C$18,$C360,'2.생활용수(봉화)'!$Q$5:$Q$18)</f>
        <v>0</v>
      </c>
      <c r="H360" s="81">
        <f>SUMIF('2.생활용수(논산)'!$C$5:$C$28,$C360,'2.생활용수(논산)'!$Q$5:$Q$28)</f>
        <v>0</v>
      </c>
      <c r="I360" s="81">
        <f>SUMIF('2.생활용수(연무)'!$C$5:$C$123,$C360,'2.생활용수(연무)'!$Q$5:$Q$123)</f>
        <v>0</v>
      </c>
      <c r="J360" s="81">
        <f>SUMIF('2.생활용수(마산)'!$C$5:$C$115,$C360,'2.생활용수(마산)'!$Q$5:$Q$115)</f>
        <v>0</v>
      </c>
      <c r="K360" s="81">
        <f>SUMIF('2.생활용수(부적)'!$C$5:$C$75,$C360,'2.생활용수(부적)'!$Q$5:$Q$75)</f>
        <v>0</v>
      </c>
      <c r="L360" s="81">
        <f>SUMIF('2.생활용수(연산)'!$C$5:$C$220,$C360,'2.생활용수(연산)'!$Q$5:$Q$220)</f>
        <v>0</v>
      </c>
      <c r="M360" s="81">
        <f>SUMIF('2.생활용수(채운)'!$C$5:$C$63,$C360,'2.생활용수(채운)'!$Q$5:$Q$63)</f>
        <v>0</v>
      </c>
      <c r="N360" s="81">
        <f>SUMIF('2.생활용수(강경)'!$C$5:$C$60,$C360,'2.생활용수(강경)'!$Q$5:$Q$60)</f>
        <v>0</v>
      </c>
      <c r="O360" s="81"/>
    </row>
    <row r="361" spans="1:15" ht="20.100000000000001" customHeight="1">
      <c r="A361" s="442" t="s">
        <v>2283</v>
      </c>
      <c r="B361" s="442" t="s">
        <v>2306</v>
      </c>
      <c r="C361" s="445" t="s">
        <v>1392</v>
      </c>
      <c r="D361" s="81">
        <f t="shared" si="6"/>
        <v>0</v>
      </c>
      <c r="E361" s="81">
        <f>SUMIF('2.생활용수(광석)'!$C$5:$C$56,C361,'2.생활용수(광석)'!$Q$5:$Q$56)</f>
        <v>0</v>
      </c>
      <c r="F361" s="81">
        <f>SUMIF('2.생활용수(성동)'!$C$5:$C$60,$C361,'2.생활용수(성동)'!$Q$5:$Q$60)</f>
        <v>0</v>
      </c>
      <c r="G361" s="81">
        <f>SUMIF('2.생활용수(봉화)'!$C$5:$C$18,$C361,'2.생활용수(봉화)'!$Q$5:$Q$18)</f>
        <v>0</v>
      </c>
      <c r="H361" s="81">
        <f>SUMIF('2.생활용수(논산)'!$C$5:$C$28,$C361,'2.생활용수(논산)'!$Q$5:$Q$28)</f>
        <v>0</v>
      </c>
      <c r="I361" s="81">
        <f>SUMIF('2.생활용수(연무)'!$C$5:$C$123,$C361,'2.생활용수(연무)'!$Q$5:$Q$123)</f>
        <v>0</v>
      </c>
      <c r="J361" s="81">
        <f>SUMIF('2.생활용수(마산)'!$C$5:$C$115,$C361,'2.생활용수(마산)'!$Q$5:$Q$115)</f>
        <v>0</v>
      </c>
      <c r="K361" s="81">
        <f>SUMIF('2.생활용수(부적)'!$C$5:$C$75,$C361,'2.생활용수(부적)'!$Q$5:$Q$75)</f>
        <v>0</v>
      </c>
      <c r="L361" s="81">
        <f>SUMIF('2.생활용수(연산)'!$C$5:$C$220,$C361,'2.생활용수(연산)'!$Q$5:$Q$220)</f>
        <v>0</v>
      </c>
      <c r="M361" s="81">
        <f>SUMIF('2.생활용수(채운)'!$C$5:$C$63,$C361,'2.생활용수(채운)'!$Q$5:$Q$63)</f>
        <v>0</v>
      </c>
      <c r="N361" s="81">
        <f>SUMIF('2.생활용수(강경)'!$C$5:$C$60,$C361,'2.생활용수(강경)'!$Q$5:$Q$60)</f>
        <v>0</v>
      </c>
      <c r="O361" s="81"/>
    </row>
    <row r="362" spans="1:15" ht="20.100000000000001" customHeight="1">
      <c r="A362" s="442" t="s">
        <v>2283</v>
      </c>
      <c r="B362" s="442" t="s">
        <v>2308</v>
      </c>
      <c r="C362" s="443" t="s">
        <v>2309</v>
      </c>
      <c r="D362" s="81">
        <f t="shared" si="6"/>
        <v>3</v>
      </c>
      <c r="E362" s="81">
        <f>SUMIF('2.생활용수(광석)'!$C$5:$C$56,C362,'2.생활용수(광석)'!$Q$5:$Q$56)</f>
        <v>0</v>
      </c>
      <c r="F362" s="81">
        <f>SUMIF('2.생활용수(성동)'!$C$5:$C$60,$C362,'2.생활용수(성동)'!$Q$5:$Q$60)</f>
        <v>0</v>
      </c>
      <c r="G362" s="81">
        <f>SUMIF('2.생활용수(봉화)'!$C$5:$C$18,$C362,'2.생활용수(봉화)'!$Q$5:$Q$18)</f>
        <v>0</v>
      </c>
      <c r="H362" s="81">
        <f>SUMIF('2.생활용수(논산)'!$C$5:$C$28,$C362,'2.생활용수(논산)'!$Q$5:$Q$28)</f>
        <v>0</v>
      </c>
      <c r="I362" s="81">
        <f>SUMIF('2.생활용수(연무)'!$C$5:$C$123,$C362,'2.생활용수(연무)'!$Q$5:$Q$123)</f>
        <v>3</v>
      </c>
      <c r="J362" s="81">
        <f>SUMIF('2.생활용수(마산)'!$C$5:$C$115,$C362,'2.생활용수(마산)'!$Q$5:$Q$115)</f>
        <v>0</v>
      </c>
      <c r="K362" s="81">
        <f>SUMIF('2.생활용수(부적)'!$C$5:$C$75,$C362,'2.생활용수(부적)'!$Q$5:$Q$75)</f>
        <v>0</v>
      </c>
      <c r="L362" s="81">
        <f>SUMIF('2.생활용수(연산)'!$C$5:$C$220,$C362,'2.생활용수(연산)'!$Q$5:$Q$220)</f>
        <v>0</v>
      </c>
      <c r="M362" s="81">
        <f>SUMIF('2.생활용수(채운)'!$C$5:$C$63,$C362,'2.생활용수(채운)'!$Q$5:$Q$63)</f>
        <v>0</v>
      </c>
      <c r="N362" s="81">
        <f>SUMIF('2.생활용수(강경)'!$C$5:$C$60,$C362,'2.생활용수(강경)'!$Q$5:$Q$60)</f>
        <v>0</v>
      </c>
      <c r="O362" s="81"/>
    </row>
    <row r="363" spans="1:15" ht="20.100000000000001" customHeight="1">
      <c r="A363" s="442" t="s">
        <v>2283</v>
      </c>
      <c r="B363" s="442" t="s">
        <v>2308</v>
      </c>
      <c r="C363" s="443" t="s">
        <v>2310</v>
      </c>
      <c r="D363" s="81">
        <f t="shared" si="6"/>
        <v>0</v>
      </c>
      <c r="E363" s="81">
        <f>SUMIF('2.생활용수(광석)'!$C$5:$C$56,C363,'2.생활용수(광석)'!$Q$5:$Q$56)</f>
        <v>0</v>
      </c>
      <c r="F363" s="81">
        <f>SUMIF('2.생활용수(성동)'!$C$5:$C$60,$C363,'2.생활용수(성동)'!$Q$5:$Q$60)</f>
        <v>0</v>
      </c>
      <c r="G363" s="81">
        <f>SUMIF('2.생활용수(봉화)'!$C$5:$C$18,$C363,'2.생활용수(봉화)'!$Q$5:$Q$18)</f>
        <v>0</v>
      </c>
      <c r="H363" s="81">
        <f>SUMIF('2.생활용수(논산)'!$C$5:$C$28,$C363,'2.생활용수(논산)'!$Q$5:$Q$28)</f>
        <v>0</v>
      </c>
      <c r="I363" s="81">
        <f>SUMIF('2.생활용수(연무)'!$C$5:$C$123,$C363,'2.생활용수(연무)'!$Q$5:$Q$123)</f>
        <v>0</v>
      </c>
      <c r="J363" s="81">
        <f>SUMIF('2.생활용수(마산)'!$C$5:$C$115,$C363,'2.생활용수(마산)'!$Q$5:$Q$115)</f>
        <v>0</v>
      </c>
      <c r="K363" s="81">
        <f>SUMIF('2.생활용수(부적)'!$C$5:$C$75,$C363,'2.생활용수(부적)'!$Q$5:$Q$75)</f>
        <v>0</v>
      </c>
      <c r="L363" s="81">
        <f>SUMIF('2.생활용수(연산)'!$C$5:$C$220,$C363,'2.생활용수(연산)'!$Q$5:$Q$220)</f>
        <v>0</v>
      </c>
      <c r="M363" s="81">
        <f>SUMIF('2.생활용수(채운)'!$C$5:$C$63,$C363,'2.생활용수(채운)'!$Q$5:$Q$63)</f>
        <v>0</v>
      </c>
      <c r="N363" s="81">
        <f>SUMIF('2.생활용수(강경)'!$C$5:$C$60,$C363,'2.생활용수(강경)'!$Q$5:$Q$60)</f>
        <v>0</v>
      </c>
      <c r="O363" s="81"/>
    </row>
    <row r="364" spans="1:15" ht="20.100000000000001" customHeight="1">
      <c r="A364" s="442" t="s">
        <v>2283</v>
      </c>
      <c r="B364" s="442" t="s">
        <v>2311</v>
      </c>
      <c r="C364" s="443" t="s">
        <v>2312</v>
      </c>
      <c r="D364" s="81">
        <f t="shared" si="6"/>
        <v>0</v>
      </c>
      <c r="E364" s="81">
        <f>SUMIF('2.생활용수(광석)'!$C$5:$C$56,C364,'2.생활용수(광석)'!$Q$5:$Q$56)</f>
        <v>0</v>
      </c>
      <c r="F364" s="81">
        <f>SUMIF('2.생활용수(성동)'!$C$5:$C$60,$C364,'2.생활용수(성동)'!$Q$5:$Q$60)</f>
        <v>0</v>
      </c>
      <c r="G364" s="81">
        <f>SUMIF('2.생활용수(봉화)'!$C$5:$C$18,$C364,'2.생활용수(봉화)'!$Q$5:$Q$18)</f>
        <v>0</v>
      </c>
      <c r="H364" s="81">
        <f>SUMIF('2.생활용수(논산)'!$C$5:$C$28,$C364,'2.생활용수(논산)'!$Q$5:$Q$28)</f>
        <v>0</v>
      </c>
      <c r="I364" s="81">
        <f>SUMIF('2.생활용수(연무)'!$C$5:$C$123,$C364,'2.생활용수(연무)'!$Q$5:$Q$123)</f>
        <v>0</v>
      </c>
      <c r="J364" s="81">
        <f>SUMIF('2.생활용수(마산)'!$C$5:$C$115,$C364,'2.생활용수(마산)'!$Q$5:$Q$115)</f>
        <v>0</v>
      </c>
      <c r="K364" s="81">
        <f>SUMIF('2.생활용수(부적)'!$C$5:$C$75,$C364,'2.생활용수(부적)'!$Q$5:$Q$75)</f>
        <v>0</v>
      </c>
      <c r="L364" s="81">
        <f>SUMIF('2.생활용수(연산)'!$C$5:$C$220,$C364,'2.생활용수(연산)'!$Q$5:$Q$220)</f>
        <v>0</v>
      </c>
      <c r="M364" s="81">
        <f>SUMIF('2.생활용수(채운)'!$C$5:$C$63,$C364,'2.생활용수(채운)'!$Q$5:$Q$63)</f>
        <v>0</v>
      </c>
      <c r="N364" s="81">
        <f>SUMIF('2.생활용수(강경)'!$C$5:$C$60,$C364,'2.생활용수(강경)'!$Q$5:$Q$60)</f>
        <v>0</v>
      </c>
      <c r="O364" s="81"/>
    </row>
    <row r="365" spans="1:15" ht="20.100000000000001" customHeight="1">
      <c r="A365" s="442" t="s">
        <v>2283</v>
      </c>
      <c r="B365" s="442" t="s">
        <v>2311</v>
      </c>
      <c r="C365" s="443" t="s">
        <v>1377</v>
      </c>
      <c r="D365" s="81">
        <f t="shared" si="6"/>
        <v>0</v>
      </c>
      <c r="E365" s="81">
        <f>SUMIF('2.생활용수(광석)'!$C$5:$C$56,C365,'2.생활용수(광석)'!$Q$5:$Q$56)</f>
        <v>0</v>
      </c>
      <c r="F365" s="81">
        <f>SUMIF('2.생활용수(성동)'!$C$5:$C$60,$C365,'2.생활용수(성동)'!$Q$5:$Q$60)</f>
        <v>0</v>
      </c>
      <c r="G365" s="81">
        <f>SUMIF('2.생활용수(봉화)'!$C$5:$C$18,$C365,'2.생활용수(봉화)'!$Q$5:$Q$18)</f>
        <v>0</v>
      </c>
      <c r="H365" s="81">
        <f>SUMIF('2.생활용수(논산)'!$C$5:$C$28,$C365,'2.생활용수(논산)'!$Q$5:$Q$28)</f>
        <v>0</v>
      </c>
      <c r="I365" s="81">
        <f>SUMIF('2.생활용수(연무)'!$C$5:$C$123,$C365,'2.생활용수(연무)'!$Q$5:$Q$123)</f>
        <v>0</v>
      </c>
      <c r="J365" s="81">
        <f>SUMIF('2.생활용수(마산)'!$C$5:$C$115,$C365,'2.생활용수(마산)'!$Q$5:$Q$115)</f>
        <v>0</v>
      </c>
      <c r="K365" s="81">
        <f>SUMIF('2.생활용수(부적)'!$C$5:$C$75,$C365,'2.생활용수(부적)'!$Q$5:$Q$75)</f>
        <v>0</v>
      </c>
      <c r="L365" s="81">
        <f>SUMIF('2.생활용수(연산)'!$C$5:$C$220,$C365,'2.생활용수(연산)'!$Q$5:$Q$220)</f>
        <v>0</v>
      </c>
      <c r="M365" s="81">
        <f>SUMIF('2.생활용수(채운)'!$C$5:$C$63,$C365,'2.생활용수(채운)'!$Q$5:$Q$63)</f>
        <v>0</v>
      </c>
      <c r="N365" s="81">
        <f>SUMIF('2.생활용수(강경)'!$C$5:$C$60,$C365,'2.생활용수(강경)'!$Q$5:$Q$60)</f>
        <v>0</v>
      </c>
      <c r="O365" s="81"/>
    </row>
    <row r="366" spans="1:15" ht="20.100000000000001" customHeight="1">
      <c r="A366" s="442" t="s">
        <v>2283</v>
      </c>
      <c r="B366" s="442" t="s">
        <v>2311</v>
      </c>
      <c r="C366" s="443" t="s">
        <v>1378</v>
      </c>
      <c r="D366" s="81">
        <f t="shared" si="6"/>
        <v>0</v>
      </c>
      <c r="E366" s="81">
        <f>SUMIF('2.생활용수(광석)'!$C$5:$C$56,C366,'2.생활용수(광석)'!$Q$5:$Q$56)</f>
        <v>0</v>
      </c>
      <c r="F366" s="81">
        <f>SUMIF('2.생활용수(성동)'!$C$5:$C$60,$C366,'2.생활용수(성동)'!$Q$5:$Q$60)</f>
        <v>0</v>
      </c>
      <c r="G366" s="81">
        <f>SUMIF('2.생활용수(봉화)'!$C$5:$C$18,$C366,'2.생활용수(봉화)'!$Q$5:$Q$18)</f>
        <v>0</v>
      </c>
      <c r="H366" s="81">
        <f>SUMIF('2.생활용수(논산)'!$C$5:$C$28,$C366,'2.생활용수(논산)'!$Q$5:$Q$28)</f>
        <v>0</v>
      </c>
      <c r="I366" s="81">
        <f>SUMIF('2.생활용수(연무)'!$C$5:$C$123,$C366,'2.생활용수(연무)'!$Q$5:$Q$123)</f>
        <v>0</v>
      </c>
      <c r="J366" s="81">
        <f>SUMIF('2.생활용수(마산)'!$C$5:$C$115,$C366,'2.생활용수(마산)'!$Q$5:$Q$115)</f>
        <v>0</v>
      </c>
      <c r="K366" s="81">
        <f>SUMIF('2.생활용수(부적)'!$C$5:$C$75,$C366,'2.생활용수(부적)'!$Q$5:$Q$75)</f>
        <v>0</v>
      </c>
      <c r="L366" s="81">
        <f>SUMIF('2.생활용수(연산)'!$C$5:$C$220,$C366,'2.생활용수(연산)'!$Q$5:$Q$220)</f>
        <v>0</v>
      </c>
      <c r="M366" s="81">
        <f>SUMIF('2.생활용수(채운)'!$C$5:$C$63,$C366,'2.생활용수(채운)'!$Q$5:$Q$63)</f>
        <v>0</v>
      </c>
      <c r="N366" s="81">
        <f>SUMIF('2.생활용수(강경)'!$C$5:$C$60,$C366,'2.생활용수(강경)'!$Q$5:$Q$60)</f>
        <v>0</v>
      </c>
      <c r="O366" s="81"/>
    </row>
    <row r="367" spans="1:15" ht="20.100000000000001" customHeight="1">
      <c r="A367" s="442" t="s">
        <v>2283</v>
      </c>
      <c r="B367" s="442" t="s">
        <v>2313</v>
      </c>
      <c r="C367" s="443" t="s">
        <v>2314</v>
      </c>
      <c r="D367" s="81">
        <f t="shared" si="6"/>
        <v>0</v>
      </c>
      <c r="E367" s="81">
        <f>SUMIF('2.생활용수(광석)'!$C$5:$C$56,C367,'2.생활용수(광석)'!$Q$5:$Q$56)</f>
        <v>0</v>
      </c>
      <c r="F367" s="81">
        <f>SUMIF('2.생활용수(성동)'!$C$5:$C$60,$C367,'2.생활용수(성동)'!$Q$5:$Q$60)</f>
        <v>0</v>
      </c>
      <c r="G367" s="81">
        <f>SUMIF('2.생활용수(봉화)'!$C$5:$C$18,$C367,'2.생활용수(봉화)'!$Q$5:$Q$18)</f>
        <v>0</v>
      </c>
      <c r="H367" s="81">
        <f>SUMIF('2.생활용수(논산)'!$C$5:$C$28,$C367,'2.생활용수(논산)'!$Q$5:$Q$28)</f>
        <v>0</v>
      </c>
      <c r="I367" s="81">
        <f>SUMIF('2.생활용수(연무)'!$C$5:$C$123,$C367,'2.생활용수(연무)'!$Q$5:$Q$123)</f>
        <v>0</v>
      </c>
      <c r="J367" s="81">
        <f>SUMIF('2.생활용수(마산)'!$C$5:$C$115,$C367,'2.생활용수(마산)'!$Q$5:$Q$115)</f>
        <v>0</v>
      </c>
      <c r="K367" s="81">
        <f>SUMIF('2.생활용수(부적)'!$C$5:$C$75,$C367,'2.생활용수(부적)'!$Q$5:$Q$75)</f>
        <v>0</v>
      </c>
      <c r="L367" s="81">
        <f>SUMIF('2.생활용수(연산)'!$C$5:$C$220,$C367,'2.생활용수(연산)'!$Q$5:$Q$220)</f>
        <v>0</v>
      </c>
      <c r="M367" s="81">
        <f>SUMIF('2.생활용수(채운)'!$C$5:$C$63,$C367,'2.생활용수(채운)'!$Q$5:$Q$63)</f>
        <v>0</v>
      </c>
      <c r="N367" s="81">
        <f>SUMIF('2.생활용수(강경)'!$C$5:$C$60,$C367,'2.생활용수(강경)'!$Q$5:$Q$60)</f>
        <v>0</v>
      </c>
      <c r="O367" s="81"/>
    </row>
    <row r="368" spans="1:15" ht="20.100000000000001" customHeight="1">
      <c r="A368" s="442" t="s">
        <v>2283</v>
      </c>
      <c r="B368" s="442" t="s">
        <v>2313</v>
      </c>
      <c r="C368" s="443" t="s">
        <v>2315</v>
      </c>
      <c r="D368" s="81">
        <f t="shared" si="6"/>
        <v>0</v>
      </c>
      <c r="E368" s="81">
        <f>SUMIF('2.생활용수(광석)'!$C$5:$C$56,C368,'2.생활용수(광석)'!$Q$5:$Q$56)</f>
        <v>0</v>
      </c>
      <c r="F368" s="81">
        <f>SUMIF('2.생활용수(성동)'!$C$5:$C$60,$C368,'2.생활용수(성동)'!$Q$5:$Q$60)</f>
        <v>0</v>
      </c>
      <c r="G368" s="81">
        <f>SUMIF('2.생활용수(봉화)'!$C$5:$C$18,$C368,'2.생활용수(봉화)'!$Q$5:$Q$18)</f>
        <v>0</v>
      </c>
      <c r="H368" s="81">
        <f>SUMIF('2.생활용수(논산)'!$C$5:$C$28,$C368,'2.생활용수(논산)'!$Q$5:$Q$28)</f>
        <v>0</v>
      </c>
      <c r="I368" s="81">
        <f>SUMIF('2.생활용수(연무)'!$C$5:$C$123,$C368,'2.생활용수(연무)'!$Q$5:$Q$123)</f>
        <v>0</v>
      </c>
      <c r="J368" s="81">
        <f>SUMIF('2.생활용수(마산)'!$C$5:$C$115,$C368,'2.생활용수(마산)'!$Q$5:$Q$115)</f>
        <v>0</v>
      </c>
      <c r="K368" s="81">
        <f>SUMIF('2.생활용수(부적)'!$C$5:$C$75,$C368,'2.생활용수(부적)'!$Q$5:$Q$75)</f>
        <v>0</v>
      </c>
      <c r="L368" s="81">
        <f>SUMIF('2.생활용수(연산)'!$C$5:$C$220,$C368,'2.생활용수(연산)'!$Q$5:$Q$220)</f>
        <v>0</v>
      </c>
      <c r="M368" s="81">
        <f>SUMIF('2.생활용수(채운)'!$C$5:$C$63,$C368,'2.생활용수(채운)'!$Q$5:$Q$63)</f>
        <v>0</v>
      </c>
      <c r="N368" s="81">
        <f>SUMIF('2.생활용수(강경)'!$C$5:$C$60,$C368,'2.생활용수(강경)'!$Q$5:$Q$60)</f>
        <v>0</v>
      </c>
      <c r="O368" s="81"/>
    </row>
    <row r="369" spans="1:15" ht="20.100000000000001" customHeight="1">
      <c r="A369" s="442" t="s">
        <v>2283</v>
      </c>
      <c r="B369" s="442" t="s">
        <v>2316</v>
      </c>
      <c r="C369" s="445" t="s">
        <v>2317</v>
      </c>
      <c r="D369" s="81">
        <f t="shared" si="6"/>
        <v>0</v>
      </c>
      <c r="E369" s="81">
        <f>SUMIF('2.생활용수(광석)'!$C$5:$C$56,C369,'2.생활용수(광석)'!$Q$5:$Q$56)</f>
        <v>0</v>
      </c>
      <c r="F369" s="81">
        <f>SUMIF('2.생활용수(성동)'!$C$5:$C$60,$C369,'2.생활용수(성동)'!$Q$5:$Q$60)</f>
        <v>0</v>
      </c>
      <c r="G369" s="81">
        <f>SUMIF('2.생활용수(봉화)'!$C$5:$C$18,$C369,'2.생활용수(봉화)'!$Q$5:$Q$18)</f>
        <v>0</v>
      </c>
      <c r="H369" s="81">
        <f>SUMIF('2.생활용수(논산)'!$C$5:$C$28,$C369,'2.생활용수(논산)'!$Q$5:$Q$28)</f>
        <v>0</v>
      </c>
      <c r="I369" s="81">
        <f>SUMIF('2.생활용수(연무)'!$C$5:$C$123,$C369,'2.생활용수(연무)'!$Q$5:$Q$123)</f>
        <v>0</v>
      </c>
      <c r="J369" s="81">
        <f>SUMIF('2.생활용수(마산)'!$C$5:$C$115,$C369,'2.생활용수(마산)'!$Q$5:$Q$115)</f>
        <v>0</v>
      </c>
      <c r="K369" s="81">
        <f>SUMIF('2.생활용수(부적)'!$C$5:$C$75,$C369,'2.생활용수(부적)'!$Q$5:$Q$75)</f>
        <v>0</v>
      </c>
      <c r="L369" s="81">
        <f>SUMIF('2.생활용수(연산)'!$C$5:$C$220,$C369,'2.생활용수(연산)'!$Q$5:$Q$220)</f>
        <v>0</v>
      </c>
      <c r="M369" s="81">
        <f>SUMIF('2.생활용수(채운)'!$C$5:$C$63,$C369,'2.생활용수(채운)'!$Q$5:$Q$63)</f>
        <v>0</v>
      </c>
      <c r="N369" s="81">
        <f>SUMIF('2.생활용수(강경)'!$C$5:$C$60,$C369,'2.생활용수(강경)'!$Q$5:$Q$60)</f>
        <v>0</v>
      </c>
      <c r="O369" s="81"/>
    </row>
    <row r="370" spans="1:15" ht="20.100000000000001" customHeight="1">
      <c r="A370" s="442" t="s">
        <v>2283</v>
      </c>
      <c r="B370" s="442" t="s">
        <v>2316</v>
      </c>
      <c r="C370" s="445" t="s">
        <v>2318</v>
      </c>
      <c r="D370" s="81">
        <f t="shared" si="6"/>
        <v>0</v>
      </c>
      <c r="E370" s="81">
        <f>SUMIF('2.생활용수(광석)'!$C$5:$C$56,C370,'2.생활용수(광석)'!$Q$5:$Q$56)</f>
        <v>0</v>
      </c>
      <c r="F370" s="81">
        <f>SUMIF('2.생활용수(성동)'!$C$5:$C$60,$C370,'2.생활용수(성동)'!$Q$5:$Q$60)</f>
        <v>0</v>
      </c>
      <c r="G370" s="81">
        <f>SUMIF('2.생활용수(봉화)'!$C$5:$C$18,$C370,'2.생활용수(봉화)'!$Q$5:$Q$18)</f>
        <v>0</v>
      </c>
      <c r="H370" s="81">
        <f>SUMIF('2.생활용수(논산)'!$C$5:$C$28,$C370,'2.생활용수(논산)'!$Q$5:$Q$28)</f>
        <v>0</v>
      </c>
      <c r="I370" s="81">
        <f>SUMIF('2.생활용수(연무)'!$C$5:$C$123,$C370,'2.생활용수(연무)'!$Q$5:$Q$123)</f>
        <v>0</v>
      </c>
      <c r="J370" s="81">
        <f>SUMIF('2.생활용수(마산)'!$C$5:$C$115,$C370,'2.생활용수(마산)'!$Q$5:$Q$115)</f>
        <v>0</v>
      </c>
      <c r="K370" s="81">
        <f>SUMIF('2.생활용수(부적)'!$C$5:$C$75,$C370,'2.생활용수(부적)'!$Q$5:$Q$75)</f>
        <v>0</v>
      </c>
      <c r="L370" s="81">
        <f>SUMIF('2.생활용수(연산)'!$C$5:$C$220,$C370,'2.생활용수(연산)'!$Q$5:$Q$220)</f>
        <v>0</v>
      </c>
      <c r="M370" s="81">
        <f>SUMIF('2.생활용수(채운)'!$C$5:$C$63,$C370,'2.생활용수(채운)'!$Q$5:$Q$63)</f>
        <v>0</v>
      </c>
      <c r="N370" s="81">
        <f>SUMIF('2.생활용수(강경)'!$C$5:$C$60,$C370,'2.생활용수(강경)'!$Q$5:$Q$60)</f>
        <v>0</v>
      </c>
      <c r="O370" s="81"/>
    </row>
    <row r="371" spans="1:15" ht="20.100000000000001" customHeight="1">
      <c r="A371" s="442" t="s">
        <v>2283</v>
      </c>
      <c r="B371" s="443" t="s">
        <v>2319</v>
      </c>
      <c r="C371" s="443" t="s">
        <v>2320</v>
      </c>
      <c r="D371" s="81">
        <f t="shared" si="6"/>
        <v>0</v>
      </c>
      <c r="E371" s="81">
        <f>SUMIF('2.생활용수(광석)'!$C$5:$C$56,C371,'2.생활용수(광석)'!$Q$5:$Q$56)</f>
        <v>0</v>
      </c>
      <c r="F371" s="81">
        <f>SUMIF('2.생활용수(성동)'!$C$5:$C$60,$C371,'2.생활용수(성동)'!$Q$5:$Q$60)</f>
        <v>0</v>
      </c>
      <c r="G371" s="81">
        <f>SUMIF('2.생활용수(봉화)'!$C$5:$C$18,$C371,'2.생활용수(봉화)'!$Q$5:$Q$18)</f>
        <v>0</v>
      </c>
      <c r="H371" s="81">
        <f>SUMIF('2.생활용수(논산)'!$C$5:$C$28,$C371,'2.생활용수(논산)'!$Q$5:$Q$28)</f>
        <v>0</v>
      </c>
      <c r="I371" s="81">
        <f>SUMIF('2.생활용수(연무)'!$C$5:$C$123,$C371,'2.생활용수(연무)'!$Q$5:$Q$123)</f>
        <v>0</v>
      </c>
      <c r="J371" s="81">
        <f>SUMIF('2.생활용수(마산)'!$C$5:$C$115,$C371,'2.생활용수(마산)'!$Q$5:$Q$115)</f>
        <v>0</v>
      </c>
      <c r="K371" s="81">
        <f>SUMIF('2.생활용수(부적)'!$C$5:$C$75,$C371,'2.생활용수(부적)'!$Q$5:$Q$75)</f>
        <v>0</v>
      </c>
      <c r="L371" s="81">
        <f>SUMIF('2.생활용수(연산)'!$C$5:$C$220,$C371,'2.생활용수(연산)'!$Q$5:$Q$220)</f>
        <v>0</v>
      </c>
      <c r="M371" s="81">
        <f>SUMIF('2.생활용수(채운)'!$C$5:$C$63,$C371,'2.생활용수(채운)'!$Q$5:$Q$63)</f>
        <v>0</v>
      </c>
      <c r="N371" s="81">
        <f>SUMIF('2.생활용수(강경)'!$C$5:$C$60,$C371,'2.생활용수(강경)'!$Q$5:$Q$60)</f>
        <v>0</v>
      </c>
      <c r="O371" s="81"/>
    </row>
    <row r="372" spans="1:15" ht="20.100000000000001" customHeight="1">
      <c r="A372" s="442" t="s">
        <v>2321</v>
      </c>
      <c r="B372" s="442" t="s">
        <v>2322</v>
      </c>
      <c r="C372" s="443" t="s">
        <v>2323</v>
      </c>
      <c r="D372" s="81">
        <f t="shared" si="6"/>
        <v>42</v>
      </c>
      <c r="E372" s="81">
        <f>SUMIF('2.생활용수(광석)'!$C$5:$C$56,C372,'2.생활용수(광석)'!$Q$5:$Q$56)</f>
        <v>0</v>
      </c>
      <c r="F372" s="81">
        <f>SUMIF('2.생활용수(성동)'!$C$5:$C$60,$C372,'2.생활용수(성동)'!$Q$5:$Q$60)</f>
        <v>0</v>
      </c>
      <c r="G372" s="81">
        <f>SUMIF('2.생활용수(봉화)'!$C$5:$C$18,$C372,'2.생활용수(봉화)'!$Q$5:$Q$18)</f>
        <v>0</v>
      </c>
      <c r="H372" s="81">
        <f>SUMIF('2.생활용수(논산)'!$C$5:$C$28,$C372,'2.생활용수(논산)'!$Q$5:$Q$28)</f>
        <v>0</v>
      </c>
      <c r="I372" s="81">
        <f>SUMIF('2.생활용수(연무)'!$C$5:$C$123,$C372,'2.생활용수(연무)'!$Q$5:$Q$123)</f>
        <v>42</v>
      </c>
      <c r="J372" s="81">
        <f>SUMIF('2.생활용수(마산)'!$C$5:$C$115,$C372,'2.생활용수(마산)'!$Q$5:$Q$115)</f>
        <v>0</v>
      </c>
      <c r="K372" s="81">
        <f>SUMIF('2.생활용수(부적)'!$C$5:$C$75,$C372,'2.생활용수(부적)'!$Q$5:$Q$75)</f>
        <v>0</v>
      </c>
      <c r="L372" s="81">
        <f>SUMIF('2.생활용수(연산)'!$C$5:$C$220,$C372,'2.생활용수(연산)'!$Q$5:$Q$220)</f>
        <v>0</v>
      </c>
      <c r="M372" s="81">
        <f>SUMIF('2.생활용수(채운)'!$C$5:$C$63,$C372,'2.생활용수(채운)'!$Q$5:$Q$63)</f>
        <v>0</v>
      </c>
      <c r="N372" s="81">
        <f>SUMIF('2.생활용수(강경)'!$C$5:$C$60,$C372,'2.생활용수(강경)'!$Q$5:$Q$60)</f>
        <v>0</v>
      </c>
      <c r="O372" s="81"/>
    </row>
    <row r="373" spans="1:15" ht="20.100000000000001" customHeight="1">
      <c r="A373" s="442" t="s">
        <v>2321</v>
      </c>
      <c r="B373" s="442" t="s">
        <v>2322</v>
      </c>
      <c r="C373" s="443" t="s">
        <v>1306</v>
      </c>
      <c r="D373" s="81">
        <f t="shared" si="6"/>
        <v>35</v>
      </c>
      <c r="E373" s="81">
        <f>SUMIF('2.생활용수(광석)'!$C$5:$C$56,C373,'2.생활용수(광석)'!$Q$5:$Q$56)</f>
        <v>0</v>
      </c>
      <c r="F373" s="81">
        <f>SUMIF('2.생활용수(성동)'!$C$5:$C$60,$C373,'2.생활용수(성동)'!$Q$5:$Q$60)</f>
        <v>0</v>
      </c>
      <c r="G373" s="81">
        <f>SUMIF('2.생활용수(봉화)'!$C$5:$C$18,$C373,'2.생활용수(봉화)'!$Q$5:$Q$18)</f>
        <v>0</v>
      </c>
      <c r="H373" s="81">
        <f>SUMIF('2.생활용수(논산)'!$C$5:$C$28,$C373,'2.생활용수(논산)'!$Q$5:$Q$28)</f>
        <v>0</v>
      </c>
      <c r="I373" s="81">
        <f>SUMIF('2.생활용수(연무)'!$C$5:$C$123,$C373,'2.생활용수(연무)'!$Q$5:$Q$123)</f>
        <v>35</v>
      </c>
      <c r="J373" s="81">
        <f>SUMIF('2.생활용수(마산)'!$C$5:$C$115,$C373,'2.생활용수(마산)'!$Q$5:$Q$115)</f>
        <v>0</v>
      </c>
      <c r="K373" s="81">
        <f>SUMIF('2.생활용수(부적)'!$C$5:$C$75,$C373,'2.생활용수(부적)'!$Q$5:$Q$75)</f>
        <v>0</v>
      </c>
      <c r="L373" s="81">
        <f>SUMIF('2.생활용수(연산)'!$C$5:$C$220,$C373,'2.생활용수(연산)'!$Q$5:$Q$220)</f>
        <v>0</v>
      </c>
      <c r="M373" s="81">
        <f>SUMIF('2.생활용수(채운)'!$C$5:$C$63,$C373,'2.생활용수(채운)'!$Q$5:$Q$63)</f>
        <v>0</v>
      </c>
      <c r="N373" s="81">
        <f>SUMIF('2.생활용수(강경)'!$C$5:$C$60,$C373,'2.생활용수(강경)'!$Q$5:$Q$60)</f>
        <v>0</v>
      </c>
      <c r="O373" s="81"/>
    </row>
    <row r="374" spans="1:15" ht="20.100000000000001" customHeight="1">
      <c r="A374" s="442" t="s">
        <v>2321</v>
      </c>
      <c r="B374" s="442" t="s">
        <v>2322</v>
      </c>
      <c r="C374" s="443" t="s">
        <v>1307</v>
      </c>
      <c r="D374" s="81">
        <f t="shared" si="6"/>
        <v>20</v>
      </c>
      <c r="E374" s="81">
        <f>SUMIF('2.생활용수(광석)'!$C$5:$C$56,C374,'2.생활용수(광석)'!$Q$5:$Q$56)</f>
        <v>0</v>
      </c>
      <c r="F374" s="81">
        <f>SUMIF('2.생활용수(성동)'!$C$5:$C$60,$C374,'2.생활용수(성동)'!$Q$5:$Q$60)</f>
        <v>0</v>
      </c>
      <c r="G374" s="81">
        <f>SUMIF('2.생활용수(봉화)'!$C$5:$C$18,$C374,'2.생활용수(봉화)'!$Q$5:$Q$18)</f>
        <v>0</v>
      </c>
      <c r="H374" s="81">
        <f>SUMIF('2.생활용수(논산)'!$C$5:$C$28,$C374,'2.생활용수(논산)'!$Q$5:$Q$28)</f>
        <v>0</v>
      </c>
      <c r="I374" s="81">
        <f>SUMIF('2.생활용수(연무)'!$C$5:$C$123,$C374,'2.생활용수(연무)'!$Q$5:$Q$123)</f>
        <v>20</v>
      </c>
      <c r="J374" s="81">
        <f>SUMIF('2.생활용수(마산)'!$C$5:$C$115,$C374,'2.생활용수(마산)'!$Q$5:$Q$115)</f>
        <v>0</v>
      </c>
      <c r="K374" s="81">
        <f>SUMIF('2.생활용수(부적)'!$C$5:$C$75,$C374,'2.생활용수(부적)'!$Q$5:$Q$75)</f>
        <v>0</v>
      </c>
      <c r="L374" s="81">
        <f>SUMIF('2.생활용수(연산)'!$C$5:$C$220,$C374,'2.생활용수(연산)'!$Q$5:$Q$220)</f>
        <v>0</v>
      </c>
      <c r="M374" s="81">
        <f>SUMIF('2.생활용수(채운)'!$C$5:$C$63,$C374,'2.생활용수(채운)'!$Q$5:$Q$63)</f>
        <v>0</v>
      </c>
      <c r="N374" s="81">
        <f>SUMIF('2.생활용수(강경)'!$C$5:$C$60,$C374,'2.생활용수(강경)'!$Q$5:$Q$60)</f>
        <v>0</v>
      </c>
      <c r="O374" s="81"/>
    </row>
    <row r="375" spans="1:15" ht="20.100000000000001" customHeight="1">
      <c r="A375" s="442" t="s">
        <v>2321</v>
      </c>
      <c r="B375" s="442" t="s">
        <v>2324</v>
      </c>
      <c r="C375" s="443" t="s">
        <v>2325</v>
      </c>
      <c r="D375" s="81">
        <f t="shared" si="6"/>
        <v>21</v>
      </c>
      <c r="E375" s="81">
        <f>SUMIF('2.생활용수(광석)'!$C$5:$C$56,C375,'2.생활용수(광석)'!$Q$5:$Q$56)</f>
        <v>0</v>
      </c>
      <c r="F375" s="81">
        <f>SUMIF('2.생활용수(성동)'!$C$5:$C$60,$C375,'2.생활용수(성동)'!$Q$5:$Q$60)</f>
        <v>0</v>
      </c>
      <c r="G375" s="81">
        <f>SUMIF('2.생활용수(봉화)'!$C$5:$C$18,$C375,'2.생활용수(봉화)'!$Q$5:$Q$18)</f>
        <v>0</v>
      </c>
      <c r="H375" s="81">
        <f>SUMIF('2.생활용수(논산)'!$C$5:$C$28,$C375,'2.생활용수(논산)'!$Q$5:$Q$28)</f>
        <v>0</v>
      </c>
      <c r="I375" s="81">
        <f>SUMIF('2.생활용수(연무)'!$C$5:$C$123,$C375,'2.생활용수(연무)'!$Q$5:$Q$123)</f>
        <v>0</v>
      </c>
      <c r="J375" s="81">
        <f>SUMIF('2.생활용수(마산)'!$C$5:$C$115,$C375,'2.생활용수(마산)'!$Q$5:$Q$115)</f>
        <v>0</v>
      </c>
      <c r="K375" s="81">
        <f>SUMIF('2.생활용수(부적)'!$C$5:$C$75,$C375,'2.생활용수(부적)'!$Q$5:$Q$75)</f>
        <v>0</v>
      </c>
      <c r="L375" s="81">
        <f>SUMIF('2.생활용수(연산)'!$C$5:$C$220,$C375,'2.생활용수(연산)'!$Q$5:$Q$220)</f>
        <v>0</v>
      </c>
      <c r="M375" s="81">
        <f>SUMIF('2.생활용수(채운)'!$C$5:$C$63,$C375,'2.생활용수(채운)'!$Q$5:$Q$63)</f>
        <v>21</v>
      </c>
      <c r="N375" s="81">
        <f>SUMIF('2.생활용수(강경)'!$C$5:$C$60,$C375,'2.생활용수(강경)'!$Q$5:$Q$60)</f>
        <v>0</v>
      </c>
      <c r="O375" s="81"/>
    </row>
    <row r="376" spans="1:15" ht="20.100000000000001" customHeight="1">
      <c r="A376" s="442" t="s">
        <v>2321</v>
      </c>
      <c r="B376" s="442" t="s">
        <v>2324</v>
      </c>
      <c r="C376" s="443" t="s">
        <v>2326</v>
      </c>
      <c r="D376" s="81">
        <f t="shared" si="6"/>
        <v>16</v>
      </c>
      <c r="E376" s="81">
        <f>SUMIF('2.생활용수(광석)'!$C$5:$C$56,C376,'2.생활용수(광석)'!$Q$5:$Q$56)</f>
        <v>0</v>
      </c>
      <c r="F376" s="81">
        <f>SUMIF('2.생활용수(성동)'!$C$5:$C$60,$C376,'2.생활용수(성동)'!$Q$5:$Q$60)</f>
        <v>0</v>
      </c>
      <c r="G376" s="81">
        <f>SUMIF('2.생활용수(봉화)'!$C$5:$C$18,$C376,'2.생활용수(봉화)'!$Q$5:$Q$18)</f>
        <v>0</v>
      </c>
      <c r="H376" s="81">
        <f>SUMIF('2.생활용수(논산)'!$C$5:$C$28,$C376,'2.생활용수(논산)'!$Q$5:$Q$28)</f>
        <v>0</v>
      </c>
      <c r="I376" s="81">
        <f>SUMIF('2.생활용수(연무)'!$C$5:$C$123,$C376,'2.생활용수(연무)'!$Q$5:$Q$123)</f>
        <v>0</v>
      </c>
      <c r="J376" s="81">
        <f>SUMIF('2.생활용수(마산)'!$C$5:$C$115,$C376,'2.생활용수(마산)'!$Q$5:$Q$115)</f>
        <v>0</v>
      </c>
      <c r="K376" s="81">
        <f>SUMIF('2.생활용수(부적)'!$C$5:$C$75,$C376,'2.생활용수(부적)'!$Q$5:$Q$75)</f>
        <v>0</v>
      </c>
      <c r="L376" s="81">
        <f>SUMIF('2.생활용수(연산)'!$C$5:$C$220,$C376,'2.생활용수(연산)'!$Q$5:$Q$220)</f>
        <v>0</v>
      </c>
      <c r="M376" s="81">
        <f>SUMIF('2.생활용수(채운)'!$C$5:$C$63,$C376,'2.생활용수(채운)'!$Q$5:$Q$63)</f>
        <v>16</v>
      </c>
      <c r="N376" s="81">
        <f>SUMIF('2.생활용수(강경)'!$C$5:$C$60,$C376,'2.생활용수(강경)'!$Q$5:$Q$60)</f>
        <v>0</v>
      </c>
      <c r="O376" s="81"/>
    </row>
    <row r="377" spans="1:15" ht="20.100000000000001" customHeight="1">
      <c r="A377" s="442" t="s">
        <v>2321</v>
      </c>
      <c r="B377" s="442" t="s">
        <v>2324</v>
      </c>
      <c r="C377" s="443" t="s">
        <v>2327</v>
      </c>
      <c r="D377" s="81">
        <f t="shared" si="6"/>
        <v>28</v>
      </c>
      <c r="E377" s="81">
        <f>SUMIF('2.생활용수(광석)'!$C$5:$C$56,C377,'2.생활용수(광석)'!$Q$5:$Q$56)</f>
        <v>0</v>
      </c>
      <c r="F377" s="81">
        <f>SUMIF('2.생활용수(성동)'!$C$5:$C$60,$C377,'2.생활용수(성동)'!$Q$5:$Q$60)</f>
        <v>0</v>
      </c>
      <c r="G377" s="81">
        <f>SUMIF('2.생활용수(봉화)'!$C$5:$C$18,$C377,'2.생활용수(봉화)'!$Q$5:$Q$18)</f>
        <v>0</v>
      </c>
      <c r="H377" s="81">
        <f>SUMIF('2.생활용수(논산)'!$C$5:$C$28,$C377,'2.생활용수(논산)'!$Q$5:$Q$28)</f>
        <v>0</v>
      </c>
      <c r="I377" s="81">
        <f>SUMIF('2.생활용수(연무)'!$C$5:$C$123,$C377,'2.생활용수(연무)'!$Q$5:$Q$123)</f>
        <v>0</v>
      </c>
      <c r="J377" s="81">
        <f>SUMIF('2.생활용수(마산)'!$C$5:$C$115,$C377,'2.생활용수(마산)'!$Q$5:$Q$115)</f>
        <v>0</v>
      </c>
      <c r="K377" s="81">
        <f>SUMIF('2.생활용수(부적)'!$C$5:$C$75,$C377,'2.생활용수(부적)'!$Q$5:$Q$75)</f>
        <v>0</v>
      </c>
      <c r="L377" s="81">
        <f>SUMIF('2.생활용수(연산)'!$C$5:$C$220,$C377,'2.생활용수(연산)'!$Q$5:$Q$220)</f>
        <v>0</v>
      </c>
      <c r="M377" s="81">
        <f>SUMIF('2.생활용수(채운)'!$C$5:$C$63,$C377,'2.생활용수(채운)'!$Q$5:$Q$63)</f>
        <v>28</v>
      </c>
      <c r="N377" s="81">
        <f>SUMIF('2.생활용수(강경)'!$C$5:$C$60,$C377,'2.생활용수(강경)'!$Q$5:$Q$60)</f>
        <v>0</v>
      </c>
      <c r="O377" s="81"/>
    </row>
    <row r="378" spans="1:15" ht="20.100000000000001" customHeight="1">
      <c r="A378" s="442" t="s">
        <v>2321</v>
      </c>
      <c r="B378" s="442" t="s">
        <v>2324</v>
      </c>
      <c r="C378" s="443" t="s">
        <v>2328</v>
      </c>
      <c r="D378" s="81">
        <f t="shared" si="6"/>
        <v>21</v>
      </c>
      <c r="E378" s="81">
        <f>SUMIF('2.생활용수(광석)'!$C$5:$C$56,C378,'2.생활용수(광석)'!$Q$5:$Q$56)</f>
        <v>0</v>
      </c>
      <c r="F378" s="81">
        <f>SUMIF('2.생활용수(성동)'!$C$5:$C$60,$C378,'2.생활용수(성동)'!$Q$5:$Q$60)</f>
        <v>0</v>
      </c>
      <c r="G378" s="81">
        <f>SUMIF('2.생활용수(봉화)'!$C$5:$C$18,$C378,'2.생활용수(봉화)'!$Q$5:$Q$18)</f>
        <v>0</v>
      </c>
      <c r="H378" s="81">
        <f>SUMIF('2.생활용수(논산)'!$C$5:$C$28,$C378,'2.생활용수(논산)'!$Q$5:$Q$28)</f>
        <v>0</v>
      </c>
      <c r="I378" s="81">
        <f>SUMIF('2.생활용수(연무)'!$C$5:$C$123,$C378,'2.생활용수(연무)'!$Q$5:$Q$123)</f>
        <v>0</v>
      </c>
      <c r="J378" s="81">
        <f>SUMIF('2.생활용수(마산)'!$C$5:$C$115,$C378,'2.생활용수(마산)'!$Q$5:$Q$115)</f>
        <v>0</v>
      </c>
      <c r="K378" s="81">
        <f>SUMIF('2.생활용수(부적)'!$C$5:$C$75,$C378,'2.생활용수(부적)'!$Q$5:$Q$75)</f>
        <v>0</v>
      </c>
      <c r="L378" s="81">
        <f>SUMIF('2.생활용수(연산)'!$C$5:$C$220,$C378,'2.생활용수(연산)'!$Q$5:$Q$220)</f>
        <v>0</v>
      </c>
      <c r="M378" s="81">
        <f>SUMIF('2.생활용수(채운)'!$C$5:$C$63,$C378,'2.생활용수(채운)'!$Q$5:$Q$63)</f>
        <v>21</v>
      </c>
      <c r="N378" s="81">
        <f>SUMIF('2.생활용수(강경)'!$C$5:$C$60,$C378,'2.생활용수(강경)'!$Q$5:$Q$60)</f>
        <v>0</v>
      </c>
      <c r="O378" s="81"/>
    </row>
    <row r="379" spans="1:15" ht="20.100000000000001" customHeight="1">
      <c r="A379" s="442" t="s">
        <v>2321</v>
      </c>
      <c r="B379" s="442" t="s">
        <v>2329</v>
      </c>
      <c r="C379" s="443" t="s">
        <v>2330</v>
      </c>
      <c r="D379" s="81">
        <f t="shared" si="6"/>
        <v>0</v>
      </c>
      <c r="E379" s="81">
        <f>SUMIF('2.생활용수(광석)'!$C$5:$C$56,C379,'2.생활용수(광석)'!$Q$5:$Q$56)</f>
        <v>0</v>
      </c>
      <c r="F379" s="81">
        <f>SUMIF('2.생활용수(성동)'!$C$5:$C$60,$C379,'2.생활용수(성동)'!$Q$5:$Q$60)</f>
        <v>0</v>
      </c>
      <c r="G379" s="81">
        <f>SUMIF('2.생활용수(봉화)'!$C$5:$C$18,$C379,'2.생활용수(봉화)'!$Q$5:$Q$18)</f>
        <v>0</v>
      </c>
      <c r="H379" s="81">
        <f>SUMIF('2.생활용수(논산)'!$C$5:$C$28,$C379,'2.생활용수(논산)'!$Q$5:$Q$28)</f>
        <v>0</v>
      </c>
      <c r="I379" s="81">
        <f>SUMIF('2.생활용수(연무)'!$C$5:$C$123,$C379,'2.생활용수(연무)'!$Q$5:$Q$123)</f>
        <v>0</v>
      </c>
      <c r="J379" s="81">
        <f>SUMIF('2.생활용수(마산)'!$C$5:$C$115,$C379,'2.생활용수(마산)'!$Q$5:$Q$115)</f>
        <v>0</v>
      </c>
      <c r="K379" s="81">
        <f>SUMIF('2.생활용수(부적)'!$C$5:$C$75,$C379,'2.생활용수(부적)'!$Q$5:$Q$75)</f>
        <v>0</v>
      </c>
      <c r="L379" s="81">
        <f>SUMIF('2.생활용수(연산)'!$C$5:$C$220,$C379,'2.생활용수(연산)'!$Q$5:$Q$220)</f>
        <v>0</v>
      </c>
      <c r="M379" s="81">
        <f>SUMIF('2.생활용수(채운)'!$C$5:$C$63,$C379,'2.생활용수(채운)'!$Q$5:$Q$63)</f>
        <v>0</v>
      </c>
      <c r="N379" s="81">
        <f>SUMIF('2.생활용수(강경)'!$C$5:$C$60,$C379,'2.생활용수(강경)'!$Q$5:$Q$60)</f>
        <v>0</v>
      </c>
      <c r="O379" s="81"/>
    </row>
    <row r="380" spans="1:15" ht="20.100000000000001" customHeight="1">
      <c r="A380" s="442" t="s">
        <v>2321</v>
      </c>
      <c r="B380" s="442" t="s">
        <v>2329</v>
      </c>
      <c r="C380" s="443" t="s">
        <v>2331</v>
      </c>
      <c r="D380" s="81">
        <f t="shared" si="6"/>
        <v>48</v>
      </c>
      <c r="E380" s="81">
        <f>SUMIF('2.생활용수(광석)'!$C$5:$C$56,C380,'2.생활용수(광석)'!$Q$5:$Q$56)</f>
        <v>0</v>
      </c>
      <c r="F380" s="81">
        <f>SUMIF('2.생활용수(성동)'!$C$5:$C$60,$C380,'2.생활용수(성동)'!$Q$5:$Q$60)</f>
        <v>0</v>
      </c>
      <c r="G380" s="81">
        <f>SUMIF('2.생활용수(봉화)'!$C$5:$C$18,$C380,'2.생활용수(봉화)'!$Q$5:$Q$18)</f>
        <v>0</v>
      </c>
      <c r="H380" s="81">
        <f>SUMIF('2.생활용수(논산)'!$C$5:$C$28,$C380,'2.생활용수(논산)'!$Q$5:$Q$28)</f>
        <v>0</v>
      </c>
      <c r="I380" s="81">
        <f>SUMIF('2.생활용수(연무)'!$C$5:$C$123,$C380,'2.생활용수(연무)'!$Q$5:$Q$123)</f>
        <v>24</v>
      </c>
      <c r="J380" s="81">
        <f>SUMIF('2.생활용수(마산)'!$C$5:$C$115,$C380,'2.생활용수(마산)'!$Q$5:$Q$115)</f>
        <v>0</v>
      </c>
      <c r="K380" s="81">
        <f>SUMIF('2.생활용수(부적)'!$C$5:$C$75,$C380,'2.생활용수(부적)'!$Q$5:$Q$75)</f>
        <v>0</v>
      </c>
      <c r="L380" s="81">
        <f>SUMIF('2.생활용수(연산)'!$C$5:$C$220,$C380,'2.생활용수(연산)'!$Q$5:$Q$220)</f>
        <v>0</v>
      </c>
      <c r="M380" s="81">
        <f>SUMIF('2.생활용수(채운)'!$C$5:$C$63,$C380,'2.생활용수(채운)'!$Q$5:$Q$63)</f>
        <v>24</v>
      </c>
      <c r="N380" s="81">
        <f>SUMIF('2.생활용수(강경)'!$C$5:$C$60,$C380,'2.생활용수(강경)'!$Q$5:$Q$60)</f>
        <v>0</v>
      </c>
      <c r="O380" s="81"/>
    </row>
    <row r="381" spans="1:15" ht="20.100000000000001" customHeight="1">
      <c r="A381" s="442" t="s">
        <v>2321</v>
      </c>
      <c r="B381" s="442" t="s">
        <v>2329</v>
      </c>
      <c r="C381" s="443" t="s">
        <v>2332</v>
      </c>
      <c r="D381" s="81">
        <f t="shared" si="6"/>
        <v>0</v>
      </c>
      <c r="E381" s="81">
        <f>SUMIF('2.생활용수(광석)'!$C$5:$C$56,C381,'2.생활용수(광석)'!$Q$5:$Q$56)</f>
        <v>0</v>
      </c>
      <c r="F381" s="81">
        <f>SUMIF('2.생활용수(성동)'!$C$5:$C$60,$C381,'2.생활용수(성동)'!$Q$5:$Q$60)</f>
        <v>0</v>
      </c>
      <c r="G381" s="81">
        <f>SUMIF('2.생활용수(봉화)'!$C$5:$C$18,$C381,'2.생활용수(봉화)'!$Q$5:$Q$18)</f>
        <v>0</v>
      </c>
      <c r="H381" s="81">
        <f>SUMIF('2.생활용수(논산)'!$C$5:$C$28,$C381,'2.생활용수(논산)'!$Q$5:$Q$28)</f>
        <v>0</v>
      </c>
      <c r="I381" s="81">
        <f>SUMIF('2.생활용수(연무)'!$C$5:$C$123,$C381,'2.생활용수(연무)'!$Q$5:$Q$123)</f>
        <v>0</v>
      </c>
      <c r="J381" s="81">
        <f>SUMIF('2.생활용수(마산)'!$C$5:$C$115,$C381,'2.생활용수(마산)'!$Q$5:$Q$115)</f>
        <v>0</v>
      </c>
      <c r="K381" s="81">
        <f>SUMIF('2.생활용수(부적)'!$C$5:$C$75,$C381,'2.생활용수(부적)'!$Q$5:$Q$75)</f>
        <v>0</v>
      </c>
      <c r="L381" s="81">
        <f>SUMIF('2.생활용수(연산)'!$C$5:$C$220,$C381,'2.생활용수(연산)'!$Q$5:$Q$220)</f>
        <v>0</v>
      </c>
      <c r="M381" s="81">
        <f>SUMIF('2.생활용수(채운)'!$C$5:$C$63,$C381,'2.생활용수(채운)'!$Q$5:$Q$63)</f>
        <v>0</v>
      </c>
      <c r="N381" s="81">
        <f>SUMIF('2.생활용수(강경)'!$C$5:$C$60,$C381,'2.생활용수(강경)'!$Q$5:$Q$60)</f>
        <v>0</v>
      </c>
      <c r="O381" s="81"/>
    </row>
    <row r="382" spans="1:15" ht="20.100000000000001" customHeight="1">
      <c r="A382" s="442" t="s">
        <v>2321</v>
      </c>
      <c r="B382" s="442" t="s">
        <v>2333</v>
      </c>
      <c r="C382" s="443" t="s">
        <v>2334</v>
      </c>
      <c r="D382" s="81">
        <f t="shared" si="6"/>
        <v>102</v>
      </c>
      <c r="E382" s="81">
        <f>SUMIF('2.생활용수(광석)'!$C$5:$C$56,C382,'2.생활용수(광석)'!$Q$5:$Q$56)</f>
        <v>0</v>
      </c>
      <c r="F382" s="81">
        <f>SUMIF('2.생활용수(성동)'!$C$5:$C$60,$C382,'2.생활용수(성동)'!$Q$5:$Q$60)</f>
        <v>0</v>
      </c>
      <c r="G382" s="81">
        <f>SUMIF('2.생활용수(봉화)'!$C$5:$C$18,$C382,'2.생활용수(봉화)'!$Q$5:$Q$18)</f>
        <v>0</v>
      </c>
      <c r="H382" s="81">
        <f>SUMIF('2.생활용수(논산)'!$C$5:$C$28,$C382,'2.생활용수(논산)'!$Q$5:$Q$28)</f>
        <v>0</v>
      </c>
      <c r="I382" s="81">
        <f>SUMIF('2.생활용수(연무)'!$C$5:$C$123,$C382,'2.생활용수(연무)'!$Q$5:$Q$123)</f>
        <v>102</v>
      </c>
      <c r="J382" s="81">
        <f>SUMIF('2.생활용수(마산)'!$C$5:$C$115,$C382,'2.생활용수(마산)'!$Q$5:$Q$115)</f>
        <v>0</v>
      </c>
      <c r="K382" s="81">
        <f>SUMIF('2.생활용수(부적)'!$C$5:$C$75,$C382,'2.생활용수(부적)'!$Q$5:$Q$75)</f>
        <v>0</v>
      </c>
      <c r="L382" s="81">
        <f>SUMIF('2.생활용수(연산)'!$C$5:$C$220,$C382,'2.생활용수(연산)'!$Q$5:$Q$220)</f>
        <v>0</v>
      </c>
      <c r="M382" s="81">
        <f>SUMIF('2.생활용수(채운)'!$C$5:$C$63,$C382,'2.생활용수(채운)'!$Q$5:$Q$63)</f>
        <v>0</v>
      </c>
      <c r="N382" s="81">
        <f>SUMIF('2.생활용수(강경)'!$C$5:$C$60,$C382,'2.생활용수(강경)'!$Q$5:$Q$60)</f>
        <v>0</v>
      </c>
      <c r="O382" s="81"/>
    </row>
    <row r="383" spans="1:15" ht="20.100000000000001" customHeight="1">
      <c r="A383" s="442" t="s">
        <v>2321</v>
      </c>
      <c r="B383" s="442" t="s">
        <v>2333</v>
      </c>
      <c r="C383" s="443" t="s">
        <v>1314</v>
      </c>
      <c r="D383" s="81">
        <f t="shared" si="6"/>
        <v>0</v>
      </c>
      <c r="E383" s="81">
        <f>SUMIF('2.생활용수(광석)'!$C$5:$C$56,C383,'2.생활용수(광석)'!$Q$5:$Q$56)</f>
        <v>0</v>
      </c>
      <c r="F383" s="81">
        <f>SUMIF('2.생활용수(성동)'!$C$5:$C$60,$C383,'2.생활용수(성동)'!$Q$5:$Q$60)</f>
        <v>0</v>
      </c>
      <c r="G383" s="81">
        <f>SUMIF('2.생활용수(봉화)'!$C$5:$C$18,$C383,'2.생활용수(봉화)'!$Q$5:$Q$18)</f>
        <v>0</v>
      </c>
      <c r="H383" s="81">
        <f>SUMIF('2.생활용수(논산)'!$C$5:$C$28,$C383,'2.생활용수(논산)'!$Q$5:$Q$28)</f>
        <v>0</v>
      </c>
      <c r="I383" s="81">
        <f>SUMIF('2.생활용수(연무)'!$C$5:$C$123,$C383,'2.생활용수(연무)'!$Q$5:$Q$123)</f>
        <v>0</v>
      </c>
      <c r="J383" s="81">
        <f>SUMIF('2.생활용수(마산)'!$C$5:$C$115,$C383,'2.생활용수(마산)'!$Q$5:$Q$115)</f>
        <v>0</v>
      </c>
      <c r="K383" s="81">
        <f>SUMIF('2.생활용수(부적)'!$C$5:$C$75,$C383,'2.생활용수(부적)'!$Q$5:$Q$75)</f>
        <v>0</v>
      </c>
      <c r="L383" s="81">
        <f>SUMIF('2.생활용수(연산)'!$C$5:$C$220,$C383,'2.생활용수(연산)'!$Q$5:$Q$220)</f>
        <v>0</v>
      </c>
      <c r="M383" s="81">
        <f>SUMIF('2.생활용수(채운)'!$C$5:$C$63,$C383,'2.생활용수(채운)'!$Q$5:$Q$63)</f>
        <v>0</v>
      </c>
      <c r="N383" s="81">
        <f>SUMIF('2.생활용수(강경)'!$C$5:$C$60,$C383,'2.생활용수(강경)'!$Q$5:$Q$60)</f>
        <v>0</v>
      </c>
      <c r="O383" s="81"/>
    </row>
    <row r="384" spans="1:15" ht="20.100000000000001" customHeight="1">
      <c r="A384" s="442" t="s">
        <v>2321</v>
      </c>
      <c r="B384" s="442" t="s">
        <v>2333</v>
      </c>
      <c r="C384" s="443" t="s">
        <v>1315</v>
      </c>
      <c r="D384" s="81">
        <f t="shared" si="6"/>
        <v>0</v>
      </c>
      <c r="E384" s="81">
        <f>SUMIF('2.생활용수(광석)'!$C$5:$C$56,C384,'2.생활용수(광석)'!$Q$5:$Q$56)</f>
        <v>0</v>
      </c>
      <c r="F384" s="81">
        <f>SUMIF('2.생활용수(성동)'!$C$5:$C$60,$C384,'2.생활용수(성동)'!$Q$5:$Q$60)</f>
        <v>0</v>
      </c>
      <c r="G384" s="81">
        <f>SUMIF('2.생활용수(봉화)'!$C$5:$C$18,$C384,'2.생활용수(봉화)'!$Q$5:$Q$18)</f>
        <v>0</v>
      </c>
      <c r="H384" s="81">
        <f>SUMIF('2.생활용수(논산)'!$C$5:$C$28,$C384,'2.생활용수(논산)'!$Q$5:$Q$28)</f>
        <v>0</v>
      </c>
      <c r="I384" s="81">
        <f>SUMIF('2.생활용수(연무)'!$C$5:$C$123,$C384,'2.생활용수(연무)'!$Q$5:$Q$123)</f>
        <v>0</v>
      </c>
      <c r="J384" s="81">
        <f>SUMIF('2.생활용수(마산)'!$C$5:$C$115,$C384,'2.생활용수(마산)'!$Q$5:$Q$115)</f>
        <v>0</v>
      </c>
      <c r="K384" s="81">
        <f>SUMIF('2.생활용수(부적)'!$C$5:$C$75,$C384,'2.생활용수(부적)'!$Q$5:$Q$75)</f>
        <v>0</v>
      </c>
      <c r="L384" s="81">
        <f>SUMIF('2.생활용수(연산)'!$C$5:$C$220,$C384,'2.생활용수(연산)'!$Q$5:$Q$220)</f>
        <v>0</v>
      </c>
      <c r="M384" s="81">
        <f>SUMIF('2.생활용수(채운)'!$C$5:$C$63,$C384,'2.생활용수(채운)'!$Q$5:$Q$63)</f>
        <v>0</v>
      </c>
      <c r="N384" s="81">
        <f>SUMIF('2.생활용수(강경)'!$C$5:$C$60,$C384,'2.생활용수(강경)'!$Q$5:$Q$60)</f>
        <v>0</v>
      </c>
      <c r="O384" s="81"/>
    </row>
    <row r="385" spans="1:15" ht="20.100000000000001" customHeight="1">
      <c r="A385" s="442" t="s">
        <v>2321</v>
      </c>
      <c r="B385" s="442" t="s">
        <v>2333</v>
      </c>
      <c r="C385" s="443" t="s">
        <v>1316</v>
      </c>
      <c r="D385" s="81">
        <f t="shared" si="6"/>
        <v>0</v>
      </c>
      <c r="E385" s="81">
        <f>SUMIF('2.생활용수(광석)'!$C$5:$C$56,C385,'2.생활용수(광석)'!$Q$5:$Q$56)</f>
        <v>0</v>
      </c>
      <c r="F385" s="81">
        <f>SUMIF('2.생활용수(성동)'!$C$5:$C$60,$C385,'2.생활용수(성동)'!$Q$5:$Q$60)</f>
        <v>0</v>
      </c>
      <c r="G385" s="81">
        <f>SUMIF('2.생활용수(봉화)'!$C$5:$C$18,$C385,'2.생활용수(봉화)'!$Q$5:$Q$18)</f>
        <v>0</v>
      </c>
      <c r="H385" s="81">
        <f>SUMIF('2.생활용수(논산)'!$C$5:$C$28,$C385,'2.생활용수(논산)'!$Q$5:$Q$28)</f>
        <v>0</v>
      </c>
      <c r="I385" s="81">
        <f>SUMIF('2.생활용수(연무)'!$C$5:$C$123,$C385,'2.생활용수(연무)'!$Q$5:$Q$123)</f>
        <v>0</v>
      </c>
      <c r="J385" s="81">
        <f>SUMIF('2.생활용수(마산)'!$C$5:$C$115,$C385,'2.생활용수(마산)'!$Q$5:$Q$115)</f>
        <v>0</v>
      </c>
      <c r="K385" s="81">
        <f>SUMIF('2.생활용수(부적)'!$C$5:$C$75,$C385,'2.생활용수(부적)'!$Q$5:$Q$75)</f>
        <v>0</v>
      </c>
      <c r="L385" s="81">
        <f>SUMIF('2.생활용수(연산)'!$C$5:$C$220,$C385,'2.생활용수(연산)'!$Q$5:$Q$220)</f>
        <v>0</v>
      </c>
      <c r="M385" s="81">
        <f>SUMIF('2.생활용수(채운)'!$C$5:$C$63,$C385,'2.생활용수(채운)'!$Q$5:$Q$63)</f>
        <v>0</v>
      </c>
      <c r="N385" s="81">
        <f>SUMIF('2.생활용수(강경)'!$C$5:$C$60,$C385,'2.생활용수(강경)'!$Q$5:$Q$60)</f>
        <v>0</v>
      </c>
      <c r="O385" s="81"/>
    </row>
    <row r="386" spans="1:15" ht="20.100000000000001" customHeight="1">
      <c r="A386" s="442" t="s">
        <v>2321</v>
      </c>
      <c r="B386" s="442" t="s">
        <v>2335</v>
      </c>
      <c r="C386" s="443" t="s">
        <v>2336</v>
      </c>
      <c r="D386" s="81">
        <f t="shared" si="6"/>
        <v>4</v>
      </c>
      <c r="E386" s="81">
        <f>SUMIF('2.생활용수(광석)'!$C$5:$C$56,C386,'2.생활용수(광석)'!$Q$5:$Q$56)</f>
        <v>0</v>
      </c>
      <c r="F386" s="81">
        <f>SUMIF('2.생활용수(성동)'!$C$5:$C$60,$C386,'2.생활용수(성동)'!$Q$5:$Q$60)</f>
        <v>0</v>
      </c>
      <c r="G386" s="81">
        <f>SUMIF('2.생활용수(봉화)'!$C$5:$C$18,$C386,'2.생활용수(봉화)'!$Q$5:$Q$18)</f>
        <v>0</v>
      </c>
      <c r="H386" s="81">
        <f>SUMIF('2.생활용수(논산)'!$C$5:$C$28,$C386,'2.생활용수(논산)'!$Q$5:$Q$28)</f>
        <v>0</v>
      </c>
      <c r="I386" s="81">
        <f>SUMIF('2.생활용수(연무)'!$C$5:$C$123,$C386,'2.생활용수(연무)'!$Q$5:$Q$123)</f>
        <v>4</v>
      </c>
      <c r="J386" s="81">
        <f>SUMIF('2.생활용수(마산)'!$C$5:$C$115,$C386,'2.생활용수(마산)'!$Q$5:$Q$115)</f>
        <v>0</v>
      </c>
      <c r="K386" s="81">
        <f>SUMIF('2.생활용수(부적)'!$C$5:$C$75,$C386,'2.생활용수(부적)'!$Q$5:$Q$75)</f>
        <v>0</v>
      </c>
      <c r="L386" s="81">
        <f>SUMIF('2.생활용수(연산)'!$C$5:$C$220,$C386,'2.생활용수(연산)'!$Q$5:$Q$220)</f>
        <v>0</v>
      </c>
      <c r="M386" s="81">
        <f>SUMIF('2.생활용수(채운)'!$C$5:$C$63,$C386,'2.생활용수(채운)'!$Q$5:$Q$63)</f>
        <v>0</v>
      </c>
      <c r="N386" s="81">
        <f>SUMIF('2.생활용수(강경)'!$C$5:$C$60,$C386,'2.생활용수(강경)'!$Q$5:$Q$60)</f>
        <v>0</v>
      </c>
      <c r="O386" s="81"/>
    </row>
    <row r="387" spans="1:15" ht="20.100000000000001" customHeight="1">
      <c r="A387" s="442" t="s">
        <v>2321</v>
      </c>
      <c r="B387" s="442" t="s">
        <v>2335</v>
      </c>
      <c r="C387" s="443" t="s">
        <v>1309</v>
      </c>
      <c r="D387" s="81">
        <f t="shared" si="6"/>
        <v>5</v>
      </c>
      <c r="E387" s="81">
        <f>SUMIF('2.생활용수(광석)'!$C$5:$C$56,C387,'2.생활용수(광석)'!$Q$5:$Q$56)</f>
        <v>0</v>
      </c>
      <c r="F387" s="81">
        <f>SUMIF('2.생활용수(성동)'!$C$5:$C$60,$C387,'2.생활용수(성동)'!$Q$5:$Q$60)</f>
        <v>0</v>
      </c>
      <c r="G387" s="81">
        <f>SUMIF('2.생활용수(봉화)'!$C$5:$C$18,$C387,'2.생활용수(봉화)'!$Q$5:$Q$18)</f>
        <v>0</v>
      </c>
      <c r="H387" s="81">
        <f>SUMIF('2.생활용수(논산)'!$C$5:$C$28,$C387,'2.생활용수(논산)'!$Q$5:$Q$28)</f>
        <v>0</v>
      </c>
      <c r="I387" s="81">
        <f>SUMIF('2.생활용수(연무)'!$C$5:$C$123,$C387,'2.생활용수(연무)'!$Q$5:$Q$123)</f>
        <v>5</v>
      </c>
      <c r="J387" s="81">
        <f>SUMIF('2.생활용수(마산)'!$C$5:$C$115,$C387,'2.생활용수(마산)'!$Q$5:$Q$115)</f>
        <v>0</v>
      </c>
      <c r="K387" s="81">
        <f>SUMIF('2.생활용수(부적)'!$C$5:$C$75,$C387,'2.생활용수(부적)'!$Q$5:$Q$75)</f>
        <v>0</v>
      </c>
      <c r="L387" s="81">
        <f>SUMIF('2.생활용수(연산)'!$C$5:$C$220,$C387,'2.생활용수(연산)'!$Q$5:$Q$220)</f>
        <v>0</v>
      </c>
      <c r="M387" s="81">
        <f>SUMIF('2.생활용수(채운)'!$C$5:$C$63,$C387,'2.생활용수(채운)'!$Q$5:$Q$63)</f>
        <v>0</v>
      </c>
      <c r="N387" s="81">
        <f>SUMIF('2.생활용수(강경)'!$C$5:$C$60,$C387,'2.생활용수(강경)'!$Q$5:$Q$60)</f>
        <v>0</v>
      </c>
      <c r="O387" s="81"/>
    </row>
    <row r="388" spans="1:15" ht="20.100000000000001" customHeight="1">
      <c r="A388" s="442" t="s">
        <v>2321</v>
      </c>
      <c r="B388" s="442" t="s">
        <v>2335</v>
      </c>
      <c r="C388" s="443" t="s">
        <v>1310</v>
      </c>
      <c r="D388" s="81">
        <f t="shared" si="6"/>
        <v>3</v>
      </c>
      <c r="E388" s="81">
        <f>SUMIF('2.생활용수(광석)'!$C$5:$C$56,C388,'2.생활용수(광석)'!$Q$5:$Q$56)</f>
        <v>0</v>
      </c>
      <c r="F388" s="81">
        <f>SUMIF('2.생활용수(성동)'!$C$5:$C$60,$C388,'2.생활용수(성동)'!$Q$5:$Q$60)</f>
        <v>0</v>
      </c>
      <c r="G388" s="81">
        <f>SUMIF('2.생활용수(봉화)'!$C$5:$C$18,$C388,'2.생활용수(봉화)'!$Q$5:$Q$18)</f>
        <v>0</v>
      </c>
      <c r="H388" s="81">
        <f>SUMIF('2.생활용수(논산)'!$C$5:$C$28,$C388,'2.생활용수(논산)'!$Q$5:$Q$28)</f>
        <v>0</v>
      </c>
      <c r="I388" s="81">
        <f>SUMIF('2.생활용수(연무)'!$C$5:$C$123,$C388,'2.생활용수(연무)'!$Q$5:$Q$123)</f>
        <v>3</v>
      </c>
      <c r="J388" s="81">
        <f>SUMIF('2.생활용수(마산)'!$C$5:$C$115,$C388,'2.생활용수(마산)'!$Q$5:$Q$115)</f>
        <v>0</v>
      </c>
      <c r="K388" s="81">
        <f>SUMIF('2.생활용수(부적)'!$C$5:$C$75,$C388,'2.생활용수(부적)'!$Q$5:$Q$75)</f>
        <v>0</v>
      </c>
      <c r="L388" s="81">
        <f>SUMIF('2.생활용수(연산)'!$C$5:$C$220,$C388,'2.생활용수(연산)'!$Q$5:$Q$220)</f>
        <v>0</v>
      </c>
      <c r="M388" s="81">
        <f>SUMIF('2.생활용수(채운)'!$C$5:$C$63,$C388,'2.생활용수(채운)'!$Q$5:$Q$63)</f>
        <v>0</v>
      </c>
      <c r="N388" s="81">
        <f>SUMIF('2.생활용수(강경)'!$C$5:$C$60,$C388,'2.생활용수(강경)'!$Q$5:$Q$60)</f>
        <v>0</v>
      </c>
      <c r="O388" s="81"/>
    </row>
    <row r="389" spans="1:15" ht="20.100000000000001" customHeight="1">
      <c r="A389" s="442" t="s">
        <v>2321</v>
      </c>
      <c r="B389" s="433" t="s">
        <v>1171</v>
      </c>
      <c r="C389" s="443" t="s">
        <v>2337</v>
      </c>
      <c r="D389" s="81">
        <f t="shared" ref="D389:D452" si="7">SUM(E389:O389)</f>
        <v>30</v>
      </c>
      <c r="E389" s="81">
        <f>SUMIF('2.생활용수(광석)'!$C$5:$C$56,C389,'2.생활용수(광석)'!$Q$5:$Q$56)</f>
        <v>0</v>
      </c>
      <c r="F389" s="81">
        <f>SUMIF('2.생활용수(성동)'!$C$5:$C$60,$C389,'2.생활용수(성동)'!$Q$5:$Q$60)</f>
        <v>0</v>
      </c>
      <c r="G389" s="81">
        <f>SUMIF('2.생활용수(봉화)'!$C$5:$C$18,$C389,'2.생활용수(봉화)'!$Q$5:$Q$18)</f>
        <v>0</v>
      </c>
      <c r="H389" s="81">
        <f>SUMIF('2.생활용수(논산)'!$C$5:$C$28,$C389,'2.생활용수(논산)'!$Q$5:$Q$28)</f>
        <v>0</v>
      </c>
      <c r="I389" s="81">
        <f>SUMIF('2.생활용수(연무)'!$C$5:$C$123,$C389,'2.생활용수(연무)'!$Q$5:$Q$123)</f>
        <v>30</v>
      </c>
      <c r="J389" s="81">
        <f>SUMIF('2.생활용수(마산)'!$C$5:$C$115,$C389,'2.생활용수(마산)'!$Q$5:$Q$115)</f>
        <v>0</v>
      </c>
      <c r="K389" s="81">
        <f>SUMIF('2.생활용수(부적)'!$C$5:$C$75,$C389,'2.생활용수(부적)'!$Q$5:$Q$75)</f>
        <v>0</v>
      </c>
      <c r="L389" s="81">
        <f>SUMIF('2.생활용수(연산)'!$C$5:$C$220,$C389,'2.생활용수(연산)'!$Q$5:$Q$220)</f>
        <v>0</v>
      </c>
      <c r="M389" s="81">
        <f>SUMIF('2.생활용수(채운)'!$C$5:$C$63,$C389,'2.생활용수(채운)'!$Q$5:$Q$63)</f>
        <v>0</v>
      </c>
      <c r="N389" s="81">
        <f>SUMIF('2.생활용수(강경)'!$C$5:$C$60,$C389,'2.생활용수(강경)'!$Q$5:$Q$60)</f>
        <v>0</v>
      </c>
      <c r="O389" s="81"/>
    </row>
    <row r="390" spans="1:15" ht="20.100000000000001" customHeight="1">
      <c r="A390" s="442" t="s">
        <v>2321</v>
      </c>
      <c r="B390" s="433" t="s">
        <v>1171</v>
      </c>
      <c r="C390" s="443" t="s">
        <v>2338</v>
      </c>
      <c r="D390" s="81">
        <f t="shared" si="7"/>
        <v>75</v>
      </c>
      <c r="E390" s="81">
        <f>SUMIF('2.생활용수(광석)'!$C$5:$C$56,C390,'2.생활용수(광석)'!$Q$5:$Q$56)</f>
        <v>0</v>
      </c>
      <c r="F390" s="81">
        <f>SUMIF('2.생활용수(성동)'!$C$5:$C$60,$C390,'2.생활용수(성동)'!$Q$5:$Q$60)</f>
        <v>0</v>
      </c>
      <c r="G390" s="81">
        <f>SUMIF('2.생활용수(봉화)'!$C$5:$C$18,$C390,'2.생활용수(봉화)'!$Q$5:$Q$18)</f>
        <v>0</v>
      </c>
      <c r="H390" s="81">
        <f>SUMIF('2.생활용수(논산)'!$C$5:$C$28,$C390,'2.생활용수(논산)'!$Q$5:$Q$28)</f>
        <v>0</v>
      </c>
      <c r="I390" s="81">
        <f>SUMIF('2.생활용수(연무)'!$C$5:$C$123,$C390,'2.생활용수(연무)'!$Q$5:$Q$123)</f>
        <v>0</v>
      </c>
      <c r="J390" s="81">
        <f>SUMIF('2.생활용수(마산)'!$C$5:$C$115,$C390,'2.생활용수(마산)'!$Q$5:$Q$115)</f>
        <v>0</v>
      </c>
      <c r="K390" s="81">
        <f>SUMIF('2.생활용수(부적)'!$C$5:$C$75,$C390,'2.생활용수(부적)'!$Q$5:$Q$75)</f>
        <v>0</v>
      </c>
      <c r="L390" s="81">
        <f>SUMIF('2.생활용수(연산)'!$C$5:$C$220,$C390,'2.생활용수(연산)'!$Q$5:$Q$220)</f>
        <v>0</v>
      </c>
      <c r="M390" s="81">
        <f>SUMIF('2.생활용수(채운)'!$C$5:$C$63,$C390,'2.생활용수(채운)'!$Q$5:$Q$63)</f>
        <v>75</v>
      </c>
      <c r="N390" s="81">
        <f>SUMIF('2.생활용수(강경)'!$C$5:$C$60,$C390,'2.생활용수(강경)'!$Q$5:$Q$60)</f>
        <v>0</v>
      </c>
      <c r="O390" s="81"/>
    </row>
    <row r="391" spans="1:15" ht="20.100000000000001" customHeight="1">
      <c r="A391" s="442" t="s">
        <v>2321</v>
      </c>
      <c r="B391" s="433" t="s">
        <v>1171</v>
      </c>
      <c r="C391" s="443" t="s">
        <v>2339</v>
      </c>
      <c r="D391" s="81">
        <f t="shared" si="7"/>
        <v>18</v>
      </c>
      <c r="E391" s="81">
        <f>SUMIF('2.생활용수(광석)'!$C$5:$C$56,C391,'2.생활용수(광석)'!$Q$5:$Q$56)</f>
        <v>0</v>
      </c>
      <c r="F391" s="81">
        <f>SUMIF('2.생활용수(성동)'!$C$5:$C$60,$C391,'2.생활용수(성동)'!$Q$5:$Q$60)</f>
        <v>0</v>
      </c>
      <c r="G391" s="81">
        <f>SUMIF('2.생활용수(봉화)'!$C$5:$C$18,$C391,'2.생활용수(봉화)'!$Q$5:$Q$18)</f>
        <v>0</v>
      </c>
      <c r="H391" s="81">
        <f>SUMIF('2.생활용수(논산)'!$C$5:$C$28,$C391,'2.생활용수(논산)'!$Q$5:$Q$28)</f>
        <v>0</v>
      </c>
      <c r="I391" s="81">
        <f>SUMIF('2.생활용수(연무)'!$C$5:$C$123,$C391,'2.생활용수(연무)'!$Q$5:$Q$123)</f>
        <v>18</v>
      </c>
      <c r="J391" s="81">
        <f>SUMIF('2.생활용수(마산)'!$C$5:$C$115,$C391,'2.생활용수(마산)'!$Q$5:$Q$115)</f>
        <v>0</v>
      </c>
      <c r="K391" s="81">
        <f>SUMIF('2.생활용수(부적)'!$C$5:$C$75,$C391,'2.생활용수(부적)'!$Q$5:$Q$75)</f>
        <v>0</v>
      </c>
      <c r="L391" s="81">
        <f>SUMIF('2.생활용수(연산)'!$C$5:$C$220,$C391,'2.생활용수(연산)'!$Q$5:$Q$220)</f>
        <v>0</v>
      </c>
      <c r="M391" s="81">
        <f>SUMIF('2.생활용수(채운)'!$C$5:$C$63,$C391,'2.생활용수(채운)'!$Q$5:$Q$63)</f>
        <v>0</v>
      </c>
      <c r="N391" s="81">
        <f>SUMIF('2.생활용수(강경)'!$C$5:$C$60,$C391,'2.생활용수(강경)'!$Q$5:$Q$60)</f>
        <v>0</v>
      </c>
      <c r="O391" s="81"/>
    </row>
    <row r="392" spans="1:15" ht="20.100000000000001" customHeight="1">
      <c r="A392" s="442" t="s">
        <v>2321</v>
      </c>
      <c r="B392" s="442" t="s">
        <v>2340</v>
      </c>
      <c r="C392" s="443" t="s">
        <v>2341</v>
      </c>
      <c r="D392" s="81">
        <f t="shared" si="7"/>
        <v>373</v>
      </c>
      <c r="E392" s="81">
        <f>SUMIF('2.생활용수(광석)'!$C$5:$C$56,C392,'2.생활용수(광석)'!$Q$5:$Q$56)</f>
        <v>0</v>
      </c>
      <c r="F392" s="81">
        <f>SUMIF('2.생활용수(성동)'!$C$5:$C$60,$C392,'2.생활용수(성동)'!$Q$5:$Q$60)</f>
        <v>0</v>
      </c>
      <c r="G392" s="81">
        <f>SUMIF('2.생활용수(봉화)'!$C$5:$C$18,$C392,'2.생활용수(봉화)'!$Q$5:$Q$18)</f>
        <v>0</v>
      </c>
      <c r="H392" s="81">
        <f>SUMIF('2.생활용수(논산)'!$C$5:$C$28,$C392,'2.생활용수(논산)'!$Q$5:$Q$28)</f>
        <v>0</v>
      </c>
      <c r="I392" s="81">
        <f>SUMIF('2.생활용수(연무)'!$C$5:$C$123,$C392,'2.생활용수(연무)'!$Q$5:$Q$123)</f>
        <v>373</v>
      </c>
      <c r="J392" s="81">
        <f>SUMIF('2.생활용수(마산)'!$C$5:$C$115,$C392,'2.생활용수(마산)'!$Q$5:$Q$115)</f>
        <v>0</v>
      </c>
      <c r="K392" s="81">
        <f>SUMIF('2.생활용수(부적)'!$C$5:$C$75,$C392,'2.생활용수(부적)'!$Q$5:$Q$75)</f>
        <v>0</v>
      </c>
      <c r="L392" s="81">
        <f>SUMIF('2.생활용수(연산)'!$C$5:$C$220,$C392,'2.생활용수(연산)'!$Q$5:$Q$220)</f>
        <v>0</v>
      </c>
      <c r="M392" s="81">
        <f>SUMIF('2.생활용수(채운)'!$C$5:$C$63,$C392,'2.생활용수(채운)'!$Q$5:$Q$63)</f>
        <v>0</v>
      </c>
      <c r="N392" s="81">
        <f>SUMIF('2.생활용수(강경)'!$C$5:$C$60,$C392,'2.생활용수(강경)'!$Q$5:$Q$60)</f>
        <v>0</v>
      </c>
      <c r="O392" s="81"/>
    </row>
    <row r="393" spans="1:15" ht="20.100000000000001" customHeight="1">
      <c r="A393" s="442" t="s">
        <v>2321</v>
      </c>
      <c r="B393" s="442" t="s">
        <v>2250</v>
      </c>
      <c r="C393" s="443" t="s">
        <v>2342</v>
      </c>
      <c r="D393" s="81">
        <f t="shared" si="7"/>
        <v>10</v>
      </c>
      <c r="E393" s="81">
        <f>SUMIF('2.생활용수(광석)'!$C$5:$C$56,C393,'2.생활용수(광석)'!$Q$5:$Q$56)</f>
        <v>0</v>
      </c>
      <c r="F393" s="81">
        <f>SUMIF('2.생활용수(성동)'!$C$5:$C$60,$C393,'2.생활용수(성동)'!$Q$5:$Q$60)</f>
        <v>0</v>
      </c>
      <c r="G393" s="81">
        <f>SUMIF('2.생활용수(봉화)'!$C$5:$C$18,$C393,'2.생활용수(봉화)'!$Q$5:$Q$18)</f>
        <v>0</v>
      </c>
      <c r="H393" s="81">
        <f>SUMIF('2.생활용수(논산)'!$C$5:$C$28,$C393,'2.생활용수(논산)'!$Q$5:$Q$28)</f>
        <v>0</v>
      </c>
      <c r="I393" s="81">
        <f>SUMIF('2.생활용수(연무)'!$C$5:$C$123,$C393,'2.생활용수(연무)'!$Q$5:$Q$123)</f>
        <v>0</v>
      </c>
      <c r="J393" s="81">
        <f>SUMIF('2.생활용수(마산)'!$C$5:$C$115,$C393,'2.생활용수(마산)'!$Q$5:$Q$115)</f>
        <v>0</v>
      </c>
      <c r="K393" s="81">
        <f>SUMIF('2.생활용수(부적)'!$C$5:$C$75,$C393,'2.생활용수(부적)'!$Q$5:$Q$75)</f>
        <v>0</v>
      </c>
      <c r="L393" s="81">
        <f>SUMIF('2.생활용수(연산)'!$C$5:$C$220,$C393,'2.생활용수(연산)'!$Q$5:$Q$220)</f>
        <v>0</v>
      </c>
      <c r="M393" s="81">
        <f>SUMIF('2.생활용수(채운)'!$C$5:$C$63,$C393,'2.생활용수(채운)'!$Q$5:$Q$63)</f>
        <v>10</v>
      </c>
      <c r="N393" s="81">
        <f>SUMIF('2.생활용수(강경)'!$C$5:$C$60,$C393,'2.생활용수(강경)'!$Q$5:$Q$60)</f>
        <v>0</v>
      </c>
      <c r="O393" s="81"/>
    </row>
    <row r="394" spans="1:15" ht="20.100000000000001" customHeight="1">
      <c r="A394" s="442" t="s">
        <v>2321</v>
      </c>
      <c r="B394" s="442" t="s">
        <v>2250</v>
      </c>
      <c r="C394" s="443" t="s">
        <v>2343</v>
      </c>
      <c r="D394" s="81">
        <f t="shared" si="7"/>
        <v>4</v>
      </c>
      <c r="E394" s="81">
        <f>SUMIF('2.생활용수(광석)'!$C$5:$C$56,C394,'2.생활용수(광석)'!$Q$5:$Q$56)</f>
        <v>0</v>
      </c>
      <c r="F394" s="81">
        <f>SUMIF('2.생활용수(성동)'!$C$5:$C$60,$C394,'2.생활용수(성동)'!$Q$5:$Q$60)</f>
        <v>0</v>
      </c>
      <c r="G394" s="81">
        <f>SUMIF('2.생활용수(봉화)'!$C$5:$C$18,$C394,'2.생활용수(봉화)'!$Q$5:$Q$18)</f>
        <v>0</v>
      </c>
      <c r="H394" s="81">
        <f>SUMIF('2.생활용수(논산)'!$C$5:$C$28,$C394,'2.생활용수(논산)'!$Q$5:$Q$28)</f>
        <v>0</v>
      </c>
      <c r="I394" s="81">
        <f>SUMIF('2.생활용수(연무)'!$C$5:$C$123,$C394,'2.생활용수(연무)'!$Q$5:$Q$123)</f>
        <v>0</v>
      </c>
      <c r="J394" s="81">
        <f>SUMIF('2.생활용수(마산)'!$C$5:$C$115,$C394,'2.생활용수(마산)'!$Q$5:$Q$115)</f>
        <v>0</v>
      </c>
      <c r="K394" s="81">
        <f>SUMIF('2.생활용수(부적)'!$C$5:$C$75,$C394,'2.생활용수(부적)'!$Q$5:$Q$75)</f>
        <v>0</v>
      </c>
      <c r="L394" s="81">
        <f>SUMIF('2.생활용수(연산)'!$C$5:$C$220,$C394,'2.생활용수(연산)'!$Q$5:$Q$220)</f>
        <v>0</v>
      </c>
      <c r="M394" s="81">
        <f>SUMIF('2.생활용수(채운)'!$C$5:$C$63,$C394,'2.생활용수(채운)'!$Q$5:$Q$63)</f>
        <v>4</v>
      </c>
      <c r="N394" s="81">
        <f>SUMIF('2.생활용수(강경)'!$C$5:$C$60,$C394,'2.생활용수(강경)'!$Q$5:$Q$60)</f>
        <v>0</v>
      </c>
      <c r="O394" s="81"/>
    </row>
    <row r="395" spans="1:15" ht="20.100000000000001" customHeight="1">
      <c r="A395" s="442" t="s">
        <v>2321</v>
      </c>
      <c r="B395" s="442" t="s">
        <v>2250</v>
      </c>
      <c r="C395" s="443" t="s">
        <v>2344</v>
      </c>
      <c r="D395" s="81">
        <f t="shared" si="7"/>
        <v>7</v>
      </c>
      <c r="E395" s="81">
        <f>SUMIF('2.생활용수(광석)'!$C$5:$C$56,C395,'2.생활용수(광석)'!$Q$5:$Q$56)</f>
        <v>0</v>
      </c>
      <c r="F395" s="81">
        <f>SUMIF('2.생활용수(성동)'!$C$5:$C$60,$C395,'2.생활용수(성동)'!$Q$5:$Q$60)</f>
        <v>0</v>
      </c>
      <c r="G395" s="81">
        <f>SUMIF('2.생활용수(봉화)'!$C$5:$C$18,$C395,'2.생활용수(봉화)'!$Q$5:$Q$18)</f>
        <v>0</v>
      </c>
      <c r="H395" s="81">
        <f>SUMIF('2.생활용수(논산)'!$C$5:$C$28,$C395,'2.생활용수(논산)'!$Q$5:$Q$28)</f>
        <v>0</v>
      </c>
      <c r="I395" s="81">
        <f>SUMIF('2.생활용수(연무)'!$C$5:$C$123,$C395,'2.생활용수(연무)'!$Q$5:$Q$123)</f>
        <v>0</v>
      </c>
      <c r="J395" s="81">
        <f>SUMIF('2.생활용수(마산)'!$C$5:$C$115,$C395,'2.생활용수(마산)'!$Q$5:$Q$115)</f>
        <v>0</v>
      </c>
      <c r="K395" s="81">
        <f>SUMIF('2.생활용수(부적)'!$C$5:$C$75,$C395,'2.생활용수(부적)'!$Q$5:$Q$75)</f>
        <v>0</v>
      </c>
      <c r="L395" s="81">
        <f>SUMIF('2.생활용수(연산)'!$C$5:$C$220,$C395,'2.생활용수(연산)'!$Q$5:$Q$220)</f>
        <v>0</v>
      </c>
      <c r="M395" s="81">
        <f>SUMIF('2.생활용수(채운)'!$C$5:$C$63,$C395,'2.생활용수(채운)'!$Q$5:$Q$63)</f>
        <v>7</v>
      </c>
      <c r="N395" s="81">
        <f>SUMIF('2.생활용수(강경)'!$C$5:$C$60,$C395,'2.생활용수(강경)'!$Q$5:$Q$60)</f>
        <v>0</v>
      </c>
      <c r="O395" s="81"/>
    </row>
    <row r="396" spans="1:15" ht="20.100000000000001" customHeight="1">
      <c r="A396" s="442" t="s">
        <v>2321</v>
      </c>
      <c r="B396" s="443" t="s">
        <v>2345</v>
      </c>
      <c r="C396" s="443" t="s">
        <v>2345</v>
      </c>
      <c r="D396" s="81">
        <f t="shared" si="7"/>
        <v>0</v>
      </c>
      <c r="E396" s="81">
        <f>SUMIF('2.생활용수(광석)'!$C$5:$C$56,C396,'2.생활용수(광석)'!$Q$5:$Q$56)</f>
        <v>0</v>
      </c>
      <c r="F396" s="81">
        <f>SUMIF('2.생활용수(성동)'!$C$5:$C$60,$C396,'2.생활용수(성동)'!$Q$5:$Q$60)</f>
        <v>0</v>
      </c>
      <c r="G396" s="81">
        <f>SUMIF('2.생활용수(봉화)'!$C$5:$C$18,$C396,'2.생활용수(봉화)'!$Q$5:$Q$18)</f>
        <v>0</v>
      </c>
      <c r="H396" s="81">
        <f>SUMIF('2.생활용수(논산)'!$C$5:$C$28,$C396,'2.생활용수(논산)'!$Q$5:$Q$28)</f>
        <v>0</v>
      </c>
      <c r="I396" s="81">
        <f>SUMIF('2.생활용수(연무)'!$C$5:$C$123,$C396,'2.생활용수(연무)'!$Q$5:$Q$123)</f>
        <v>0</v>
      </c>
      <c r="J396" s="81">
        <f>SUMIF('2.생활용수(마산)'!$C$5:$C$115,$C396,'2.생활용수(마산)'!$Q$5:$Q$115)</f>
        <v>0</v>
      </c>
      <c r="K396" s="81">
        <f>SUMIF('2.생활용수(부적)'!$C$5:$C$75,$C396,'2.생활용수(부적)'!$Q$5:$Q$75)</f>
        <v>0</v>
      </c>
      <c r="L396" s="81">
        <f>SUMIF('2.생활용수(연산)'!$C$5:$C$220,$C396,'2.생활용수(연산)'!$Q$5:$Q$220)</f>
        <v>0</v>
      </c>
      <c r="M396" s="81">
        <f>SUMIF('2.생활용수(채운)'!$C$5:$C$63,$C396,'2.생활용수(채운)'!$Q$5:$Q$63)</f>
        <v>0</v>
      </c>
      <c r="N396" s="81">
        <f>SUMIF('2.생활용수(강경)'!$C$5:$C$60,$C396,'2.생활용수(강경)'!$Q$5:$Q$60)</f>
        <v>0</v>
      </c>
      <c r="O396" s="81"/>
    </row>
    <row r="397" spans="1:15" ht="20.100000000000001" customHeight="1">
      <c r="A397" s="442" t="s">
        <v>2321</v>
      </c>
      <c r="B397" s="442" t="s">
        <v>2346</v>
      </c>
      <c r="C397" s="443" t="s">
        <v>2347</v>
      </c>
      <c r="D397" s="81">
        <f t="shared" si="7"/>
        <v>0</v>
      </c>
      <c r="E397" s="81">
        <f>SUMIF('2.생활용수(광석)'!$C$5:$C$56,C397,'2.생활용수(광석)'!$Q$5:$Q$56)</f>
        <v>0</v>
      </c>
      <c r="F397" s="81">
        <f>SUMIF('2.생활용수(성동)'!$C$5:$C$60,$C397,'2.생활용수(성동)'!$Q$5:$Q$60)</f>
        <v>0</v>
      </c>
      <c r="G397" s="81">
        <f>SUMIF('2.생활용수(봉화)'!$C$5:$C$18,$C397,'2.생활용수(봉화)'!$Q$5:$Q$18)</f>
        <v>0</v>
      </c>
      <c r="H397" s="81">
        <f>SUMIF('2.생활용수(논산)'!$C$5:$C$28,$C397,'2.생활용수(논산)'!$Q$5:$Q$28)</f>
        <v>0</v>
      </c>
      <c r="I397" s="81">
        <f>SUMIF('2.생활용수(연무)'!$C$5:$C$123,$C397,'2.생활용수(연무)'!$Q$5:$Q$123)</f>
        <v>0</v>
      </c>
      <c r="J397" s="81">
        <f>SUMIF('2.생활용수(마산)'!$C$5:$C$115,$C397,'2.생활용수(마산)'!$Q$5:$Q$115)</f>
        <v>0</v>
      </c>
      <c r="K397" s="81">
        <f>SUMIF('2.생활용수(부적)'!$C$5:$C$75,$C397,'2.생활용수(부적)'!$Q$5:$Q$75)</f>
        <v>0</v>
      </c>
      <c r="L397" s="81">
        <f>SUMIF('2.생활용수(연산)'!$C$5:$C$220,$C397,'2.생활용수(연산)'!$Q$5:$Q$220)</f>
        <v>0</v>
      </c>
      <c r="M397" s="81">
        <f>SUMIF('2.생활용수(채운)'!$C$5:$C$63,$C397,'2.생활용수(채운)'!$Q$5:$Q$63)</f>
        <v>0</v>
      </c>
      <c r="N397" s="81">
        <f>SUMIF('2.생활용수(강경)'!$C$5:$C$60,$C397,'2.생활용수(강경)'!$Q$5:$Q$60)</f>
        <v>0</v>
      </c>
      <c r="O397" s="81"/>
    </row>
    <row r="398" spans="1:15" ht="20.100000000000001" customHeight="1">
      <c r="A398" s="442" t="s">
        <v>2321</v>
      </c>
      <c r="B398" s="442" t="s">
        <v>2346</v>
      </c>
      <c r="C398" s="443" t="s">
        <v>1388</v>
      </c>
      <c r="D398" s="81">
        <f t="shared" si="7"/>
        <v>0</v>
      </c>
      <c r="E398" s="81">
        <f>SUMIF('2.생활용수(광석)'!$C$5:$C$56,C398,'2.생활용수(광석)'!$Q$5:$Q$56)</f>
        <v>0</v>
      </c>
      <c r="F398" s="81">
        <f>SUMIF('2.생활용수(성동)'!$C$5:$C$60,$C398,'2.생활용수(성동)'!$Q$5:$Q$60)</f>
        <v>0</v>
      </c>
      <c r="G398" s="81">
        <f>SUMIF('2.생활용수(봉화)'!$C$5:$C$18,$C398,'2.생활용수(봉화)'!$Q$5:$Q$18)</f>
        <v>0</v>
      </c>
      <c r="H398" s="81">
        <f>SUMIF('2.생활용수(논산)'!$C$5:$C$28,$C398,'2.생활용수(논산)'!$Q$5:$Q$28)</f>
        <v>0</v>
      </c>
      <c r="I398" s="81">
        <f>SUMIF('2.생활용수(연무)'!$C$5:$C$123,$C398,'2.생활용수(연무)'!$Q$5:$Q$123)</f>
        <v>0</v>
      </c>
      <c r="J398" s="81">
        <f>SUMIF('2.생활용수(마산)'!$C$5:$C$115,$C398,'2.생활용수(마산)'!$Q$5:$Q$115)</f>
        <v>0</v>
      </c>
      <c r="K398" s="81">
        <f>SUMIF('2.생활용수(부적)'!$C$5:$C$75,$C398,'2.생활용수(부적)'!$Q$5:$Q$75)</f>
        <v>0</v>
      </c>
      <c r="L398" s="81">
        <f>SUMIF('2.생활용수(연산)'!$C$5:$C$220,$C398,'2.생활용수(연산)'!$Q$5:$Q$220)</f>
        <v>0</v>
      </c>
      <c r="M398" s="81">
        <f>SUMIF('2.생활용수(채운)'!$C$5:$C$63,$C398,'2.생활용수(채운)'!$Q$5:$Q$63)</f>
        <v>0</v>
      </c>
      <c r="N398" s="81">
        <f>SUMIF('2.생활용수(강경)'!$C$5:$C$60,$C398,'2.생활용수(강경)'!$Q$5:$Q$60)</f>
        <v>0</v>
      </c>
      <c r="O398" s="81"/>
    </row>
    <row r="399" spans="1:15" ht="20.100000000000001" customHeight="1">
      <c r="A399" s="442" t="s">
        <v>2321</v>
      </c>
      <c r="B399" s="442" t="s">
        <v>2346</v>
      </c>
      <c r="C399" s="443" t="s">
        <v>2348</v>
      </c>
      <c r="D399" s="81">
        <f t="shared" si="7"/>
        <v>31</v>
      </c>
      <c r="E399" s="81">
        <f>SUMIF('2.생활용수(광석)'!$C$5:$C$56,C399,'2.생활용수(광석)'!$Q$5:$Q$56)</f>
        <v>0</v>
      </c>
      <c r="F399" s="81">
        <f>SUMIF('2.생활용수(성동)'!$C$5:$C$60,$C399,'2.생활용수(성동)'!$Q$5:$Q$60)</f>
        <v>0</v>
      </c>
      <c r="G399" s="81">
        <f>SUMIF('2.생활용수(봉화)'!$C$5:$C$18,$C399,'2.생활용수(봉화)'!$Q$5:$Q$18)</f>
        <v>0</v>
      </c>
      <c r="H399" s="81">
        <f>SUMIF('2.생활용수(논산)'!$C$5:$C$28,$C399,'2.생활용수(논산)'!$Q$5:$Q$28)</f>
        <v>31</v>
      </c>
      <c r="I399" s="81">
        <f>SUMIF('2.생활용수(연무)'!$C$5:$C$123,$C399,'2.생활용수(연무)'!$Q$5:$Q$123)</f>
        <v>0</v>
      </c>
      <c r="J399" s="81">
        <f>SUMIF('2.생활용수(마산)'!$C$5:$C$115,$C399,'2.생활용수(마산)'!$Q$5:$Q$115)</f>
        <v>0</v>
      </c>
      <c r="K399" s="81">
        <f>SUMIF('2.생활용수(부적)'!$C$5:$C$75,$C399,'2.생활용수(부적)'!$Q$5:$Q$75)</f>
        <v>0</v>
      </c>
      <c r="L399" s="81">
        <f>SUMIF('2.생활용수(연산)'!$C$5:$C$220,$C399,'2.생활용수(연산)'!$Q$5:$Q$220)</f>
        <v>0</v>
      </c>
      <c r="M399" s="81">
        <f>SUMIF('2.생활용수(채운)'!$C$5:$C$63,$C399,'2.생활용수(채운)'!$Q$5:$Q$63)</f>
        <v>0</v>
      </c>
      <c r="N399" s="81">
        <f>SUMIF('2.생활용수(강경)'!$C$5:$C$60,$C399,'2.생활용수(강경)'!$Q$5:$Q$60)</f>
        <v>0</v>
      </c>
      <c r="O399" s="81"/>
    </row>
    <row r="400" spans="1:15" ht="20.100000000000001" customHeight="1">
      <c r="A400" s="442" t="s">
        <v>2349</v>
      </c>
      <c r="B400" s="442" t="s">
        <v>2350</v>
      </c>
      <c r="C400" s="443" t="s">
        <v>2351</v>
      </c>
      <c r="D400" s="81">
        <f t="shared" si="7"/>
        <v>64</v>
      </c>
      <c r="E400" s="81">
        <f>SUMIF('2.생활용수(광석)'!$C$5:$C$56,C400,'2.생활용수(광석)'!$Q$5:$Q$56)</f>
        <v>0</v>
      </c>
      <c r="F400" s="81">
        <f>SUMIF('2.생활용수(성동)'!$C$5:$C$60,$C400,'2.생활용수(성동)'!$Q$5:$Q$60)</f>
        <v>0</v>
      </c>
      <c r="G400" s="81">
        <f>SUMIF('2.생활용수(봉화)'!$C$5:$C$18,$C400,'2.생활용수(봉화)'!$Q$5:$Q$18)</f>
        <v>0</v>
      </c>
      <c r="H400" s="81">
        <f>SUMIF('2.생활용수(논산)'!$C$5:$C$28,$C400,'2.생활용수(논산)'!$Q$5:$Q$28)</f>
        <v>0</v>
      </c>
      <c r="I400" s="81">
        <f>SUMIF('2.생활용수(연무)'!$C$5:$C$123,$C400,'2.생활용수(연무)'!$Q$5:$Q$123)</f>
        <v>0</v>
      </c>
      <c r="J400" s="81">
        <f>SUMIF('2.생활용수(마산)'!$C$5:$C$115,$C400,'2.생활용수(마산)'!$Q$5:$Q$115)</f>
        <v>0</v>
      </c>
      <c r="K400" s="81">
        <f>SUMIF('2.생활용수(부적)'!$C$5:$C$75,$C400,'2.생활용수(부적)'!$Q$5:$Q$75)</f>
        <v>0</v>
      </c>
      <c r="L400" s="81">
        <f>SUMIF('2.생활용수(연산)'!$C$5:$C$220,$C400,'2.생활용수(연산)'!$Q$5:$Q$220)</f>
        <v>0</v>
      </c>
      <c r="M400" s="81">
        <f>SUMIF('2.생활용수(채운)'!$C$5:$C$63,$C400,'2.생활용수(채운)'!$Q$5:$Q$63)</f>
        <v>64</v>
      </c>
      <c r="N400" s="81">
        <f>SUMIF('2.생활용수(강경)'!$C$5:$C$60,$C400,'2.생활용수(강경)'!$Q$5:$Q$60)</f>
        <v>0</v>
      </c>
      <c r="O400" s="81"/>
    </row>
    <row r="401" spans="1:15" ht="20.100000000000001" customHeight="1">
      <c r="A401" s="442" t="s">
        <v>2349</v>
      </c>
      <c r="B401" s="442" t="s">
        <v>2350</v>
      </c>
      <c r="C401" s="443" t="s">
        <v>2352</v>
      </c>
      <c r="D401" s="81">
        <f t="shared" si="7"/>
        <v>61</v>
      </c>
      <c r="E401" s="81">
        <f>SUMIF('2.생활용수(광석)'!$C$5:$C$56,C401,'2.생활용수(광석)'!$Q$5:$Q$56)</f>
        <v>0</v>
      </c>
      <c r="F401" s="81">
        <f>SUMIF('2.생활용수(성동)'!$C$5:$C$60,$C401,'2.생활용수(성동)'!$Q$5:$Q$60)</f>
        <v>0</v>
      </c>
      <c r="G401" s="81">
        <f>SUMIF('2.생활용수(봉화)'!$C$5:$C$18,$C401,'2.생활용수(봉화)'!$Q$5:$Q$18)</f>
        <v>0</v>
      </c>
      <c r="H401" s="81">
        <f>SUMIF('2.생활용수(논산)'!$C$5:$C$28,$C401,'2.생활용수(논산)'!$Q$5:$Q$28)</f>
        <v>0</v>
      </c>
      <c r="I401" s="81">
        <f>SUMIF('2.생활용수(연무)'!$C$5:$C$123,$C401,'2.생활용수(연무)'!$Q$5:$Q$123)</f>
        <v>0</v>
      </c>
      <c r="J401" s="81">
        <f>SUMIF('2.생활용수(마산)'!$C$5:$C$115,$C401,'2.생활용수(마산)'!$Q$5:$Q$115)</f>
        <v>0</v>
      </c>
      <c r="K401" s="81">
        <f>SUMIF('2.생활용수(부적)'!$C$5:$C$75,$C401,'2.생활용수(부적)'!$Q$5:$Q$75)</f>
        <v>0</v>
      </c>
      <c r="L401" s="81">
        <f>SUMIF('2.생활용수(연산)'!$C$5:$C$220,$C401,'2.생활용수(연산)'!$Q$5:$Q$220)</f>
        <v>0</v>
      </c>
      <c r="M401" s="81">
        <f>SUMIF('2.생활용수(채운)'!$C$5:$C$63,$C401,'2.생활용수(채운)'!$Q$5:$Q$63)</f>
        <v>61</v>
      </c>
      <c r="N401" s="81">
        <f>SUMIF('2.생활용수(강경)'!$C$5:$C$60,$C401,'2.생활용수(강경)'!$Q$5:$Q$60)</f>
        <v>0</v>
      </c>
      <c r="O401" s="81"/>
    </row>
    <row r="402" spans="1:15" ht="20.100000000000001" customHeight="1">
      <c r="A402" s="442" t="s">
        <v>2349</v>
      </c>
      <c r="B402" s="442" t="s">
        <v>2350</v>
      </c>
      <c r="C402" s="443" t="s">
        <v>2353</v>
      </c>
      <c r="D402" s="81">
        <f t="shared" si="7"/>
        <v>35</v>
      </c>
      <c r="E402" s="81">
        <f>SUMIF('2.생활용수(광석)'!$C$5:$C$56,C402,'2.생활용수(광석)'!$Q$5:$Q$56)</f>
        <v>0</v>
      </c>
      <c r="F402" s="81">
        <f>SUMIF('2.생활용수(성동)'!$C$5:$C$60,$C402,'2.생활용수(성동)'!$Q$5:$Q$60)</f>
        <v>0</v>
      </c>
      <c r="G402" s="81">
        <f>SUMIF('2.생활용수(봉화)'!$C$5:$C$18,$C402,'2.생활용수(봉화)'!$Q$5:$Q$18)</f>
        <v>0</v>
      </c>
      <c r="H402" s="81">
        <f>SUMIF('2.생활용수(논산)'!$C$5:$C$28,$C402,'2.생활용수(논산)'!$Q$5:$Q$28)</f>
        <v>0</v>
      </c>
      <c r="I402" s="81">
        <f>SUMIF('2.생활용수(연무)'!$C$5:$C$123,$C402,'2.생활용수(연무)'!$Q$5:$Q$123)</f>
        <v>0</v>
      </c>
      <c r="J402" s="81">
        <f>SUMIF('2.생활용수(마산)'!$C$5:$C$115,$C402,'2.생활용수(마산)'!$Q$5:$Q$115)</f>
        <v>0</v>
      </c>
      <c r="K402" s="81">
        <f>SUMIF('2.생활용수(부적)'!$C$5:$C$75,$C402,'2.생활용수(부적)'!$Q$5:$Q$75)</f>
        <v>0</v>
      </c>
      <c r="L402" s="81">
        <f>SUMIF('2.생활용수(연산)'!$C$5:$C$220,$C402,'2.생활용수(연산)'!$Q$5:$Q$220)</f>
        <v>0</v>
      </c>
      <c r="M402" s="81">
        <f>SUMIF('2.생활용수(채운)'!$C$5:$C$63,$C402,'2.생활용수(채운)'!$Q$5:$Q$63)</f>
        <v>35</v>
      </c>
      <c r="N402" s="81">
        <f>SUMIF('2.생활용수(강경)'!$C$5:$C$60,$C402,'2.생활용수(강경)'!$Q$5:$Q$60)</f>
        <v>0</v>
      </c>
      <c r="O402" s="81"/>
    </row>
    <row r="403" spans="1:15" ht="20.100000000000001" customHeight="1">
      <c r="A403" s="442" t="s">
        <v>2349</v>
      </c>
      <c r="B403" s="442" t="s">
        <v>2354</v>
      </c>
      <c r="C403" s="443" t="s">
        <v>2355</v>
      </c>
      <c r="D403" s="81">
        <f t="shared" si="7"/>
        <v>26</v>
      </c>
      <c r="E403" s="81">
        <f>SUMIF('2.생활용수(광석)'!$C$5:$C$56,C403,'2.생활용수(광석)'!$Q$5:$Q$56)</f>
        <v>0</v>
      </c>
      <c r="F403" s="81">
        <f>SUMIF('2.생활용수(성동)'!$C$5:$C$60,$C403,'2.생활용수(성동)'!$Q$5:$Q$60)</f>
        <v>0</v>
      </c>
      <c r="G403" s="81">
        <f>SUMIF('2.생활용수(봉화)'!$C$5:$C$18,$C403,'2.생활용수(봉화)'!$Q$5:$Q$18)</f>
        <v>0</v>
      </c>
      <c r="H403" s="81">
        <f>SUMIF('2.생활용수(논산)'!$C$5:$C$28,$C403,'2.생활용수(논산)'!$Q$5:$Q$28)</f>
        <v>0</v>
      </c>
      <c r="I403" s="81">
        <f>SUMIF('2.생활용수(연무)'!$C$5:$C$123,$C403,'2.생활용수(연무)'!$Q$5:$Q$123)</f>
        <v>0</v>
      </c>
      <c r="J403" s="81">
        <f>SUMIF('2.생활용수(마산)'!$C$5:$C$115,$C403,'2.생활용수(마산)'!$Q$5:$Q$115)</f>
        <v>0</v>
      </c>
      <c r="K403" s="81">
        <f>SUMIF('2.생활용수(부적)'!$C$5:$C$75,$C403,'2.생활용수(부적)'!$Q$5:$Q$75)</f>
        <v>0</v>
      </c>
      <c r="L403" s="81">
        <f>SUMIF('2.생활용수(연산)'!$C$5:$C$220,$C403,'2.생활용수(연산)'!$Q$5:$Q$220)</f>
        <v>0</v>
      </c>
      <c r="M403" s="81">
        <f>SUMIF('2.생활용수(채운)'!$C$5:$C$63,$C403,'2.생활용수(채운)'!$Q$5:$Q$63)</f>
        <v>26</v>
      </c>
      <c r="N403" s="81">
        <f>SUMIF('2.생활용수(강경)'!$C$5:$C$60,$C403,'2.생활용수(강경)'!$Q$5:$Q$60)</f>
        <v>0</v>
      </c>
      <c r="O403" s="81"/>
    </row>
    <row r="404" spans="1:15" ht="20.100000000000001" customHeight="1">
      <c r="A404" s="442" t="s">
        <v>2349</v>
      </c>
      <c r="B404" s="442" t="s">
        <v>2354</v>
      </c>
      <c r="C404" s="443" t="s">
        <v>2356</v>
      </c>
      <c r="D404" s="81">
        <f t="shared" si="7"/>
        <v>25</v>
      </c>
      <c r="E404" s="81">
        <f>SUMIF('2.생활용수(광석)'!$C$5:$C$56,C404,'2.생활용수(광석)'!$Q$5:$Q$56)</f>
        <v>0</v>
      </c>
      <c r="F404" s="81">
        <f>SUMIF('2.생활용수(성동)'!$C$5:$C$60,$C404,'2.생활용수(성동)'!$Q$5:$Q$60)</f>
        <v>0</v>
      </c>
      <c r="G404" s="81">
        <f>SUMIF('2.생활용수(봉화)'!$C$5:$C$18,$C404,'2.생활용수(봉화)'!$Q$5:$Q$18)</f>
        <v>0</v>
      </c>
      <c r="H404" s="81">
        <f>SUMIF('2.생활용수(논산)'!$C$5:$C$28,$C404,'2.생활용수(논산)'!$Q$5:$Q$28)</f>
        <v>0</v>
      </c>
      <c r="I404" s="81">
        <f>SUMIF('2.생활용수(연무)'!$C$5:$C$123,$C404,'2.생활용수(연무)'!$Q$5:$Q$123)</f>
        <v>0</v>
      </c>
      <c r="J404" s="81">
        <f>SUMIF('2.생활용수(마산)'!$C$5:$C$115,$C404,'2.생활용수(마산)'!$Q$5:$Q$115)</f>
        <v>0</v>
      </c>
      <c r="K404" s="81">
        <f>SUMIF('2.생활용수(부적)'!$C$5:$C$75,$C404,'2.생활용수(부적)'!$Q$5:$Q$75)</f>
        <v>0</v>
      </c>
      <c r="L404" s="81">
        <f>SUMIF('2.생활용수(연산)'!$C$5:$C$220,$C404,'2.생활용수(연산)'!$Q$5:$Q$220)</f>
        <v>0</v>
      </c>
      <c r="M404" s="81">
        <f>SUMIF('2.생활용수(채운)'!$C$5:$C$63,$C404,'2.생활용수(채운)'!$Q$5:$Q$63)</f>
        <v>25</v>
      </c>
      <c r="N404" s="81">
        <f>SUMIF('2.생활용수(강경)'!$C$5:$C$60,$C404,'2.생활용수(강경)'!$Q$5:$Q$60)</f>
        <v>0</v>
      </c>
      <c r="O404" s="81"/>
    </row>
    <row r="405" spans="1:15" ht="20.100000000000001" customHeight="1">
      <c r="A405" s="442" t="s">
        <v>2349</v>
      </c>
      <c r="B405" s="442" t="s">
        <v>2354</v>
      </c>
      <c r="C405" s="443" t="s">
        <v>2357</v>
      </c>
      <c r="D405" s="81">
        <f t="shared" si="7"/>
        <v>27</v>
      </c>
      <c r="E405" s="81">
        <f>SUMIF('2.생활용수(광석)'!$C$5:$C$56,C405,'2.생활용수(광석)'!$Q$5:$Q$56)</f>
        <v>0</v>
      </c>
      <c r="F405" s="81">
        <f>SUMIF('2.생활용수(성동)'!$C$5:$C$60,$C405,'2.생활용수(성동)'!$Q$5:$Q$60)</f>
        <v>0</v>
      </c>
      <c r="G405" s="81">
        <f>SUMIF('2.생활용수(봉화)'!$C$5:$C$18,$C405,'2.생활용수(봉화)'!$Q$5:$Q$18)</f>
        <v>0</v>
      </c>
      <c r="H405" s="81">
        <f>SUMIF('2.생활용수(논산)'!$C$5:$C$28,$C405,'2.생활용수(논산)'!$Q$5:$Q$28)</f>
        <v>0</v>
      </c>
      <c r="I405" s="81">
        <f>SUMIF('2.생활용수(연무)'!$C$5:$C$123,$C405,'2.생활용수(연무)'!$Q$5:$Q$123)</f>
        <v>0</v>
      </c>
      <c r="J405" s="81">
        <f>SUMIF('2.생활용수(마산)'!$C$5:$C$115,$C405,'2.생활용수(마산)'!$Q$5:$Q$115)</f>
        <v>0</v>
      </c>
      <c r="K405" s="81">
        <f>SUMIF('2.생활용수(부적)'!$C$5:$C$75,$C405,'2.생활용수(부적)'!$Q$5:$Q$75)</f>
        <v>0</v>
      </c>
      <c r="L405" s="81">
        <f>SUMIF('2.생활용수(연산)'!$C$5:$C$220,$C405,'2.생활용수(연산)'!$Q$5:$Q$220)</f>
        <v>0</v>
      </c>
      <c r="M405" s="81">
        <f>SUMIF('2.생활용수(채운)'!$C$5:$C$63,$C405,'2.생활용수(채운)'!$Q$5:$Q$63)</f>
        <v>27</v>
      </c>
      <c r="N405" s="81">
        <f>SUMIF('2.생활용수(강경)'!$C$5:$C$60,$C405,'2.생활용수(강경)'!$Q$5:$Q$60)</f>
        <v>0</v>
      </c>
      <c r="O405" s="81"/>
    </row>
    <row r="406" spans="1:15" ht="20.100000000000001" customHeight="1">
      <c r="A406" s="442" t="s">
        <v>2349</v>
      </c>
      <c r="B406" s="442" t="s">
        <v>2354</v>
      </c>
      <c r="C406" s="443" t="s">
        <v>2358</v>
      </c>
      <c r="D406" s="81">
        <f t="shared" si="7"/>
        <v>12</v>
      </c>
      <c r="E406" s="81">
        <f>SUMIF('2.생활용수(광석)'!$C$5:$C$56,C406,'2.생활용수(광석)'!$Q$5:$Q$56)</f>
        <v>0</v>
      </c>
      <c r="F406" s="81">
        <f>SUMIF('2.생활용수(성동)'!$C$5:$C$60,$C406,'2.생활용수(성동)'!$Q$5:$Q$60)</f>
        <v>0</v>
      </c>
      <c r="G406" s="81">
        <f>SUMIF('2.생활용수(봉화)'!$C$5:$C$18,$C406,'2.생활용수(봉화)'!$Q$5:$Q$18)</f>
        <v>0</v>
      </c>
      <c r="H406" s="81">
        <f>SUMIF('2.생활용수(논산)'!$C$5:$C$28,$C406,'2.생활용수(논산)'!$Q$5:$Q$28)</f>
        <v>0</v>
      </c>
      <c r="I406" s="81">
        <f>SUMIF('2.생활용수(연무)'!$C$5:$C$123,$C406,'2.생활용수(연무)'!$Q$5:$Q$123)</f>
        <v>0</v>
      </c>
      <c r="J406" s="81">
        <f>SUMIF('2.생활용수(마산)'!$C$5:$C$115,$C406,'2.생활용수(마산)'!$Q$5:$Q$115)</f>
        <v>0</v>
      </c>
      <c r="K406" s="81">
        <f>SUMIF('2.생활용수(부적)'!$C$5:$C$75,$C406,'2.생활용수(부적)'!$Q$5:$Q$75)</f>
        <v>0</v>
      </c>
      <c r="L406" s="81">
        <f>SUMIF('2.생활용수(연산)'!$C$5:$C$220,$C406,'2.생활용수(연산)'!$Q$5:$Q$220)</f>
        <v>0</v>
      </c>
      <c r="M406" s="81">
        <f>SUMIF('2.생활용수(채운)'!$C$5:$C$63,$C406,'2.생활용수(채운)'!$Q$5:$Q$63)</f>
        <v>12</v>
      </c>
      <c r="N406" s="81">
        <f>SUMIF('2.생활용수(강경)'!$C$5:$C$60,$C406,'2.생활용수(강경)'!$Q$5:$Q$60)</f>
        <v>0</v>
      </c>
      <c r="O406" s="81"/>
    </row>
    <row r="407" spans="1:15" ht="20.100000000000001" customHeight="1">
      <c r="A407" s="442" t="s">
        <v>2349</v>
      </c>
      <c r="B407" s="442" t="s">
        <v>2359</v>
      </c>
      <c r="C407" s="443" t="s">
        <v>2360</v>
      </c>
      <c r="D407" s="81">
        <f t="shared" si="7"/>
        <v>30</v>
      </c>
      <c r="E407" s="81">
        <f>SUMIF('2.생활용수(광석)'!$C$5:$C$56,C407,'2.생활용수(광석)'!$Q$5:$Q$56)</f>
        <v>0</v>
      </c>
      <c r="F407" s="81">
        <f>SUMIF('2.생활용수(성동)'!$C$5:$C$60,$C407,'2.생활용수(성동)'!$Q$5:$Q$60)</f>
        <v>0</v>
      </c>
      <c r="G407" s="81">
        <f>SUMIF('2.생활용수(봉화)'!$C$5:$C$18,$C407,'2.생활용수(봉화)'!$Q$5:$Q$18)</f>
        <v>0</v>
      </c>
      <c r="H407" s="81">
        <f>SUMIF('2.생활용수(논산)'!$C$5:$C$28,$C407,'2.생활용수(논산)'!$Q$5:$Q$28)</f>
        <v>0</v>
      </c>
      <c r="I407" s="81">
        <f>SUMIF('2.생활용수(연무)'!$C$5:$C$123,$C407,'2.생활용수(연무)'!$Q$5:$Q$123)</f>
        <v>0</v>
      </c>
      <c r="J407" s="81">
        <f>SUMIF('2.생활용수(마산)'!$C$5:$C$115,$C407,'2.생활용수(마산)'!$Q$5:$Q$115)</f>
        <v>0</v>
      </c>
      <c r="K407" s="81">
        <f>SUMIF('2.생활용수(부적)'!$C$5:$C$75,$C407,'2.생활용수(부적)'!$Q$5:$Q$75)</f>
        <v>0</v>
      </c>
      <c r="L407" s="81">
        <f>SUMIF('2.생활용수(연산)'!$C$5:$C$220,$C407,'2.생활용수(연산)'!$Q$5:$Q$220)</f>
        <v>0</v>
      </c>
      <c r="M407" s="81">
        <f>SUMIF('2.생활용수(채운)'!$C$5:$C$63,$C407,'2.생활용수(채운)'!$Q$5:$Q$63)</f>
        <v>30</v>
      </c>
      <c r="N407" s="81">
        <f>SUMIF('2.생활용수(강경)'!$C$5:$C$60,$C407,'2.생활용수(강경)'!$Q$5:$Q$60)</f>
        <v>0</v>
      </c>
      <c r="O407" s="81"/>
    </row>
    <row r="408" spans="1:15" ht="20.100000000000001" customHeight="1">
      <c r="A408" s="442" t="s">
        <v>2349</v>
      </c>
      <c r="B408" s="442" t="s">
        <v>2359</v>
      </c>
      <c r="C408" s="443" t="s">
        <v>2361</v>
      </c>
      <c r="D408" s="81">
        <f t="shared" si="7"/>
        <v>20</v>
      </c>
      <c r="E408" s="81">
        <f>SUMIF('2.생활용수(광석)'!$C$5:$C$56,C408,'2.생활용수(광석)'!$Q$5:$Q$56)</f>
        <v>0</v>
      </c>
      <c r="F408" s="81">
        <f>SUMIF('2.생활용수(성동)'!$C$5:$C$60,$C408,'2.생활용수(성동)'!$Q$5:$Q$60)</f>
        <v>0</v>
      </c>
      <c r="G408" s="81">
        <f>SUMIF('2.생활용수(봉화)'!$C$5:$C$18,$C408,'2.생활용수(봉화)'!$Q$5:$Q$18)</f>
        <v>0</v>
      </c>
      <c r="H408" s="81">
        <f>SUMIF('2.생활용수(논산)'!$C$5:$C$28,$C408,'2.생활용수(논산)'!$Q$5:$Q$28)</f>
        <v>0</v>
      </c>
      <c r="I408" s="81">
        <f>SUMIF('2.생활용수(연무)'!$C$5:$C$123,$C408,'2.생활용수(연무)'!$Q$5:$Q$123)</f>
        <v>0</v>
      </c>
      <c r="J408" s="81">
        <f>SUMIF('2.생활용수(마산)'!$C$5:$C$115,$C408,'2.생활용수(마산)'!$Q$5:$Q$115)</f>
        <v>0</v>
      </c>
      <c r="K408" s="81">
        <f>SUMIF('2.생활용수(부적)'!$C$5:$C$75,$C408,'2.생활용수(부적)'!$Q$5:$Q$75)</f>
        <v>0</v>
      </c>
      <c r="L408" s="81">
        <f>SUMIF('2.생활용수(연산)'!$C$5:$C$220,$C408,'2.생활용수(연산)'!$Q$5:$Q$220)</f>
        <v>0</v>
      </c>
      <c r="M408" s="81">
        <f>SUMIF('2.생활용수(채운)'!$C$5:$C$63,$C408,'2.생활용수(채운)'!$Q$5:$Q$63)</f>
        <v>20</v>
      </c>
      <c r="N408" s="81">
        <f>SUMIF('2.생활용수(강경)'!$C$5:$C$60,$C408,'2.생활용수(강경)'!$Q$5:$Q$60)</f>
        <v>0</v>
      </c>
      <c r="O408" s="81"/>
    </row>
    <row r="409" spans="1:15" ht="20.100000000000001" customHeight="1">
      <c r="A409" s="442" t="s">
        <v>2349</v>
      </c>
      <c r="B409" s="442" t="s">
        <v>2359</v>
      </c>
      <c r="C409" s="443" t="s">
        <v>2362</v>
      </c>
      <c r="D409" s="81">
        <f t="shared" si="7"/>
        <v>14</v>
      </c>
      <c r="E409" s="81">
        <f>SUMIF('2.생활용수(광석)'!$C$5:$C$56,C409,'2.생활용수(광석)'!$Q$5:$Q$56)</f>
        <v>0</v>
      </c>
      <c r="F409" s="81">
        <f>SUMIF('2.생활용수(성동)'!$C$5:$C$60,$C409,'2.생활용수(성동)'!$Q$5:$Q$60)</f>
        <v>0</v>
      </c>
      <c r="G409" s="81">
        <f>SUMIF('2.생활용수(봉화)'!$C$5:$C$18,$C409,'2.생활용수(봉화)'!$Q$5:$Q$18)</f>
        <v>0</v>
      </c>
      <c r="H409" s="81">
        <f>SUMIF('2.생활용수(논산)'!$C$5:$C$28,$C409,'2.생활용수(논산)'!$Q$5:$Q$28)</f>
        <v>0</v>
      </c>
      <c r="I409" s="81">
        <f>SUMIF('2.생활용수(연무)'!$C$5:$C$123,$C409,'2.생활용수(연무)'!$Q$5:$Q$123)</f>
        <v>0</v>
      </c>
      <c r="J409" s="81">
        <f>SUMIF('2.생활용수(마산)'!$C$5:$C$115,$C409,'2.생활용수(마산)'!$Q$5:$Q$115)</f>
        <v>0</v>
      </c>
      <c r="K409" s="81">
        <f>SUMIF('2.생활용수(부적)'!$C$5:$C$75,$C409,'2.생활용수(부적)'!$Q$5:$Q$75)</f>
        <v>0</v>
      </c>
      <c r="L409" s="81">
        <f>SUMIF('2.생활용수(연산)'!$C$5:$C$220,$C409,'2.생활용수(연산)'!$Q$5:$Q$220)</f>
        <v>0</v>
      </c>
      <c r="M409" s="81">
        <f>SUMIF('2.생활용수(채운)'!$C$5:$C$63,$C409,'2.생활용수(채운)'!$Q$5:$Q$63)</f>
        <v>14</v>
      </c>
      <c r="N409" s="81">
        <f>SUMIF('2.생활용수(강경)'!$C$5:$C$60,$C409,'2.생활용수(강경)'!$Q$5:$Q$60)</f>
        <v>0</v>
      </c>
      <c r="O409" s="81"/>
    </row>
    <row r="410" spans="1:15" ht="20.100000000000001" customHeight="1">
      <c r="A410" s="442" t="s">
        <v>2349</v>
      </c>
      <c r="B410" s="442" t="s">
        <v>2363</v>
      </c>
      <c r="C410" s="443" t="s">
        <v>2364</v>
      </c>
      <c r="D410" s="81">
        <f t="shared" si="7"/>
        <v>24</v>
      </c>
      <c r="E410" s="81">
        <f>SUMIF('2.생활용수(광석)'!$C$5:$C$56,C410,'2.생활용수(광석)'!$Q$5:$Q$56)</f>
        <v>0</v>
      </c>
      <c r="F410" s="81">
        <f>SUMIF('2.생활용수(성동)'!$C$5:$C$60,$C410,'2.생활용수(성동)'!$Q$5:$Q$60)</f>
        <v>0</v>
      </c>
      <c r="G410" s="81">
        <f>SUMIF('2.생활용수(봉화)'!$C$5:$C$18,$C410,'2.생활용수(봉화)'!$Q$5:$Q$18)</f>
        <v>0</v>
      </c>
      <c r="H410" s="81">
        <f>SUMIF('2.생활용수(논산)'!$C$5:$C$28,$C410,'2.생활용수(논산)'!$Q$5:$Q$28)</f>
        <v>0</v>
      </c>
      <c r="I410" s="81">
        <f>SUMIF('2.생활용수(연무)'!$C$5:$C$123,$C410,'2.생활용수(연무)'!$Q$5:$Q$123)</f>
        <v>0</v>
      </c>
      <c r="J410" s="81">
        <f>SUMIF('2.생활용수(마산)'!$C$5:$C$115,$C410,'2.생활용수(마산)'!$Q$5:$Q$115)</f>
        <v>0</v>
      </c>
      <c r="K410" s="81">
        <f>SUMIF('2.생활용수(부적)'!$C$5:$C$75,$C410,'2.생활용수(부적)'!$Q$5:$Q$75)</f>
        <v>0</v>
      </c>
      <c r="L410" s="81">
        <f>SUMIF('2.생활용수(연산)'!$C$5:$C$220,$C410,'2.생활용수(연산)'!$Q$5:$Q$220)</f>
        <v>0</v>
      </c>
      <c r="M410" s="81">
        <f>SUMIF('2.생활용수(채운)'!$C$5:$C$63,$C410,'2.생활용수(채운)'!$Q$5:$Q$63)</f>
        <v>24</v>
      </c>
      <c r="N410" s="81">
        <f>SUMIF('2.생활용수(강경)'!$C$5:$C$60,$C410,'2.생활용수(강경)'!$Q$5:$Q$60)</f>
        <v>0</v>
      </c>
      <c r="O410" s="81"/>
    </row>
    <row r="411" spans="1:15" ht="20.100000000000001" customHeight="1">
      <c r="A411" s="442" t="s">
        <v>2349</v>
      </c>
      <c r="B411" s="442" t="s">
        <v>2363</v>
      </c>
      <c r="C411" s="443" t="s">
        <v>2365</v>
      </c>
      <c r="D411" s="81">
        <f t="shared" si="7"/>
        <v>0</v>
      </c>
      <c r="E411" s="81">
        <f>SUMIF('2.생활용수(광석)'!$C$5:$C$56,C411,'2.생활용수(광석)'!$Q$5:$Q$56)</f>
        <v>0</v>
      </c>
      <c r="F411" s="81">
        <f>SUMIF('2.생활용수(성동)'!$C$5:$C$60,$C411,'2.생활용수(성동)'!$Q$5:$Q$60)</f>
        <v>0</v>
      </c>
      <c r="G411" s="81">
        <f>SUMIF('2.생활용수(봉화)'!$C$5:$C$18,$C411,'2.생활용수(봉화)'!$Q$5:$Q$18)</f>
        <v>0</v>
      </c>
      <c r="H411" s="81">
        <f>SUMIF('2.생활용수(논산)'!$C$5:$C$28,$C411,'2.생활용수(논산)'!$Q$5:$Q$28)</f>
        <v>0</v>
      </c>
      <c r="I411" s="81">
        <f>SUMIF('2.생활용수(연무)'!$C$5:$C$123,$C411,'2.생활용수(연무)'!$Q$5:$Q$123)</f>
        <v>0</v>
      </c>
      <c r="J411" s="81">
        <f>SUMIF('2.생활용수(마산)'!$C$5:$C$115,$C411,'2.생활용수(마산)'!$Q$5:$Q$115)</f>
        <v>0</v>
      </c>
      <c r="K411" s="81">
        <f>SUMIF('2.생활용수(부적)'!$C$5:$C$75,$C411,'2.생활용수(부적)'!$Q$5:$Q$75)</f>
        <v>0</v>
      </c>
      <c r="L411" s="81">
        <f>SUMIF('2.생활용수(연산)'!$C$5:$C$220,$C411,'2.생활용수(연산)'!$Q$5:$Q$220)</f>
        <v>0</v>
      </c>
      <c r="M411" s="81">
        <f>SUMIF('2.생활용수(채운)'!$C$5:$C$63,$C411,'2.생활용수(채운)'!$Q$5:$Q$63)</f>
        <v>0</v>
      </c>
      <c r="N411" s="81">
        <f>SUMIF('2.생활용수(강경)'!$C$5:$C$60,$C411,'2.생활용수(강경)'!$Q$5:$Q$60)</f>
        <v>0</v>
      </c>
      <c r="O411" s="81"/>
    </row>
    <row r="412" spans="1:15" ht="20.100000000000001" customHeight="1">
      <c r="A412" s="442" t="s">
        <v>2349</v>
      </c>
      <c r="B412" s="442" t="s">
        <v>2366</v>
      </c>
      <c r="C412" s="443" t="s">
        <v>2367</v>
      </c>
      <c r="D412" s="81">
        <f t="shared" si="7"/>
        <v>29</v>
      </c>
      <c r="E412" s="81">
        <f>SUMIF('2.생활용수(광석)'!$C$5:$C$56,C412,'2.생활용수(광석)'!$Q$5:$Q$56)</f>
        <v>0</v>
      </c>
      <c r="F412" s="81">
        <f>SUMIF('2.생활용수(성동)'!$C$5:$C$60,$C412,'2.생활용수(성동)'!$Q$5:$Q$60)</f>
        <v>0</v>
      </c>
      <c r="G412" s="81">
        <f>SUMIF('2.생활용수(봉화)'!$C$5:$C$18,$C412,'2.생활용수(봉화)'!$Q$5:$Q$18)</f>
        <v>0</v>
      </c>
      <c r="H412" s="81">
        <f>SUMIF('2.생활용수(논산)'!$C$5:$C$28,$C412,'2.생활용수(논산)'!$Q$5:$Q$28)</f>
        <v>0</v>
      </c>
      <c r="I412" s="81">
        <f>SUMIF('2.생활용수(연무)'!$C$5:$C$123,$C412,'2.생활용수(연무)'!$Q$5:$Q$123)</f>
        <v>0</v>
      </c>
      <c r="J412" s="81">
        <f>SUMIF('2.생활용수(마산)'!$C$5:$C$115,$C412,'2.생활용수(마산)'!$Q$5:$Q$115)</f>
        <v>0</v>
      </c>
      <c r="K412" s="81">
        <f>SUMIF('2.생활용수(부적)'!$C$5:$C$75,$C412,'2.생활용수(부적)'!$Q$5:$Q$75)</f>
        <v>0</v>
      </c>
      <c r="L412" s="81">
        <f>SUMIF('2.생활용수(연산)'!$C$5:$C$220,$C412,'2.생활용수(연산)'!$Q$5:$Q$220)</f>
        <v>0</v>
      </c>
      <c r="M412" s="81">
        <f>SUMIF('2.생활용수(채운)'!$C$5:$C$63,$C412,'2.생활용수(채운)'!$Q$5:$Q$63)</f>
        <v>29</v>
      </c>
      <c r="N412" s="81">
        <f>SUMIF('2.생활용수(강경)'!$C$5:$C$60,$C412,'2.생활용수(강경)'!$Q$5:$Q$60)</f>
        <v>0</v>
      </c>
      <c r="O412" s="81"/>
    </row>
    <row r="413" spans="1:15" ht="20.100000000000001" customHeight="1">
      <c r="A413" s="442" t="s">
        <v>2349</v>
      </c>
      <c r="B413" s="442" t="s">
        <v>2366</v>
      </c>
      <c r="C413" s="443" t="s">
        <v>2368</v>
      </c>
      <c r="D413" s="81">
        <f t="shared" si="7"/>
        <v>35</v>
      </c>
      <c r="E413" s="81">
        <f>SUMIF('2.생활용수(광석)'!$C$5:$C$56,C413,'2.생활용수(광석)'!$Q$5:$Q$56)</f>
        <v>0</v>
      </c>
      <c r="F413" s="81">
        <f>SUMIF('2.생활용수(성동)'!$C$5:$C$60,$C413,'2.생활용수(성동)'!$Q$5:$Q$60)</f>
        <v>0</v>
      </c>
      <c r="G413" s="81">
        <f>SUMIF('2.생활용수(봉화)'!$C$5:$C$18,$C413,'2.생활용수(봉화)'!$Q$5:$Q$18)</f>
        <v>0</v>
      </c>
      <c r="H413" s="81">
        <f>SUMIF('2.생활용수(논산)'!$C$5:$C$28,$C413,'2.생활용수(논산)'!$Q$5:$Q$28)</f>
        <v>0</v>
      </c>
      <c r="I413" s="81">
        <f>SUMIF('2.생활용수(연무)'!$C$5:$C$123,$C413,'2.생활용수(연무)'!$Q$5:$Q$123)</f>
        <v>0</v>
      </c>
      <c r="J413" s="81">
        <f>SUMIF('2.생활용수(마산)'!$C$5:$C$115,$C413,'2.생활용수(마산)'!$Q$5:$Q$115)</f>
        <v>0</v>
      </c>
      <c r="K413" s="81">
        <f>SUMIF('2.생활용수(부적)'!$C$5:$C$75,$C413,'2.생활용수(부적)'!$Q$5:$Q$75)</f>
        <v>0</v>
      </c>
      <c r="L413" s="81">
        <f>SUMIF('2.생활용수(연산)'!$C$5:$C$220,$C413,'2.생활용수(연산)'!$Q$5:$Q$220)</f>
        <v>0</v>
      </c>
      <c r="M413" s="81">
        <f>SUMIF('2.생활용수(채운)'!$C$5:$C$63,$C413,'2.생활용수(채운)'!$Q$5:$Q$63)</f>
        <v>35</v>
      </c>
      <c r="N413" s="81">
        <f>SUMIF('2.생활용수(강경)'!$C$5:$C$60,$C413,'2.생활용수(강경)'!$Q$5:$Q$60)</f>
        <v>0</v>
      </c>
      <c r="O413" s="81"/>
    </row>
    <row r="414" spans="1:15" ht="20.100000000000001" customHeight="1">
      <c r="A414" s="442" t="s">
        <v>2349</v>
      </c>
      <c r="B414" s="442" t="s">
        <v>2369</v>
      </c>
      <c r="C414" s="443" t="s">
        <v>2370</v>
      </c>
      <c r="D414" s="81">
        <f t="shared" si="7"/>
        <v>11</v>
      </c>
      <c r="E414" s="81">
        <f>SUMIF('2.생활용수(광석)'!$C$5:$C$56,C414,'2.생활용수(광석)'!$Q$5:$Q$56)</f>
        <v>0</v>
      </c>
      <c r="F414" s="81">
        <f>SUMIF('2.생활용수(성동)'!$C$5:$C$60,$C414,'2.생활용수(성동)'!$Q$5:$Q$60)</f>
        <v>0</v>
      </c>
      <c r="G414" s="81">
        <f>SUMIF('2.생활용수(봉화)'!$C$5:$C$18,$C414,'2.생활용수(봉화)'!$Q$5:$Q$18)</f>
        <v>0</v>
      </c>
      <c r="H414" s="81">
        <f>SUMIF('2.생활용수(논산)'!$C$5:$C$28,$C414,'2.생활용수(논산)'!$Q$5:$Q$28)</f>
        <v>0</v>
      </c>
      <c r="I414" s="81">
        <f>SUMIF('2.생활용수(연무)'!$C$5:$C$123,$C414,'2.생활용수(연무)'!$Q$5:$Q$123)</f>
        <v>0</v>
      </c>
      <c r="J414" s="81">
        <f>SUMIF('2.생활용수(마산)'!$C$5:$C$115,$C414,'2.생활용수(마산)'!$Q$5:$Q$115)</f>
        <v>0</v>
      </c>
      <c r="K414" s="81">
        <f>SUMIF('2.생활용수(부적)'!$C$5:$C$75,$C414,'2.생활용수(부적)'!$Q$5:$Q$75)</f>
        <v>0</v>
      </c>
      <c r="L414" s="81">
        <f>SUMIF('2.생활용수(연산)'!$C$5:$C$220,$C414,'2.생활용수(연산)'!$Q$5:$Q$220)</f>
        <v>0</v>
      </c>
      <c r="M414" s="81">
        <f>SUMIF('2.생활용수(채운)'!$C$5:$C$63,$C414,'2.생활용수(채운)'!$Q$5:$Q$63)</f>
        <v>0</v>
      </c>
      <c r="N414" s="81">
        <f>SUMIF('2.생활용수(강경)'!$C$5:$C$60,$C414,'2.생활용수(강경)'!$Q$5:$Q$60)</f>
        <v>11</v>
      </c>
      <c r="O414" s="81"/>
    </row>
    <row r="415" spans="1:15" ht="20.100000000000001" customHeight="1">
      <c r="A415" s="442" t="s">
        <v>2349</v>
      </c>
      <c r="B415" s="442" t="s">
        <v>2369</v>
      </c>
      <c r="C415" s="443" t="s">
        <v>2371</v>
      </c>
      <c r="D415" s="81">
        <f t="shared" si="7"/>
        <v>12</v>
      </c>
      <c r="E415" s="81">
        <f>SUMIF('2.생활용수(광석)'!$C$5:$C$56,C415,'2.생활용수(광석)'!$Q$5:$Q$56)</f>
        <v>0</v>
      </c>
      <c r="F415" s="81">
        <f>SUMIF('2.생활용수(성동)'!$C$5:$C$60,$C415,'2.생활용수(성동)'!$Q$5:$Q$60)</f>
        <v>0</v>
      </c>
      <c r="G415" s="81">
        <f>SUMIF('2.생활용수(봉화)'!$C$5:$C$18,$C415,'2.생활용수(봉화)'!$Q$5:$Q$18)</f>
        <v>0</v>
      </c>
      <c r="H415" s="81">
        <f>SUMIF('2.생활용수(논산)'!$C$5:$C$28,$C415,'2.생활용수(논산)'!$Q$5:$Q$28)</f>
        <v>0</v>
      </c>
      <c r="I415" s="81">
        <f>SUMIF('2.생활용수(연무)'!$C$5:$C$123,$C415,'2.생활용수(연무)'!$Q$5:$Q$123)</f>
        <v>0</v>
      </c>
      <c r="J415" s="81">
        <f>SUMIF('2.생활용수(마산)'!$C$5:$C$115,$C415,'2.생활용수(마산)'!$Q$5:$Q$115)</f>
        <v>0</v>
      </c>
      <c r="K415" s="81">
        <f>SUMIF('2.생활용수(부적)'!$C$5:$C$75,$C415,'2.생활용수(부적)'!$Q$5:$Q$75)</f>
        <v>0</v>
      </c>
      <c r="L415" s="81">
        <f>SUMIF('2.생활용수(연산)'!$C$5:$C$220,$C415,'2.생활용수(연산)'!$Q$5:$Q$220)</f>
        <v>0</v>
      </c>
      <c r="M415" s="81">
        <f>SUMIF('2.생활용수(채운)'!$C$5:$C$63,$C415,'2.생활용수(채운)'!$Q$5:$Q$63)</f>
        <v>0</v>
      </c>
      <c r="N415" s="81">
        <f>SUMIF('2.생활용수(강경)'!$C$5:$C$60,$C415,'2.생활용수(강경)'!$Q$5:$Q$60)</f>
        <v>12</v>
      </c>
      <c r="O415" s="81"/>
    </row>
    <row r="416" spans="1:15" ht="20.100000000000001" customHeight="1">
      <c r="A416" s="442" t="s">
        <v>2349</v>
      </c>
      <c r="B416" s="442" t="s">
        <v>2369</v>
      </c>
      <c r="C416" s="443" t="s">
        <v>2372</v>
      </c>
      <c r="D416" s="81">
        <f t="shared" si="7"/>
        <v>15</v>
      </c>
      <c r="E416" s="81">
        <f>SUMIF('2.생활용수(광석)'!$C$5:$C$56,C416,'2.생활용수(광석)'!$Q$5:$Q$56)</f>
        <v>0</v>
      </c>
      <c r="F416" s="81">
        <f>SUMIF('2.생활용수(성동)'!$C$5:$C$60,$C416,'2.생활용수(성동)'!$Q$5:$Q$60)</f>
        <v>0</v>
      </c>
      <c r="G416" s="81">
        <f>SUMIF('2.생활용수(봉화)'!$C$5:$C$18,$C416,'2.생활용수(봉화)'!$Q$5:$Q$18)</f>
        <v>0</v>
      </c>
      <c r="H416" s="81">
        <f>SUMIF('2.생활용수(논산)'!$C$5:$C$28,$C416,'2.생활용수(논산)'!$Q$5:$Q$28)</f>
        <v>0</v>
      </c>
      <c r="I416" s="81">
        <f>SUMIF('2.생활용수(연무)'!$C$5:$C$123,$C416,'2.생활용수(연무)'!$Q$5:$Q$123)</f>
        <v>0</v>
      </c>
      <c r="J416" s="81">
        <f>SUMIF('2.생활용수(마산)'!$C$5:$C$115,$C416,'2.생활용수(마산)'!$Q$5:$Q$115)</f>
        <v>0</v>
      </c>
      <c r="K416" s="81">
        <f>SUMIF('2.생활용수(부적)'!$C$5:$C$75,$C416,'2.생활용수(부적)'!$Q$5:$Q$75)</f>
        <v>0</v>
      </c>
      <c r="L416" s="81">
        <f>SUMIF('2.생활용수(연산)'!$C$5:$C$220,$C416,'2.생활용수(연산)'!$Q$5:$Q$220)</f>
        <v>0</v>
      </c>
      <c r="M416" s="81">
        <f>SUMIF('2.생활용수(채운)'!$C$5:$C$63,$C416,'2.생활용수(채운)'!$Q$5:$Q$63)</f>
        <v>0</v>
      </c>
      <c r="N416" s="81">
        <f>SUMIF('2.생활용수(강경)'!$C$5:$C$60,$C416,'2.생활용수(강경)'!$Q$5:$Q$60)</f>
        <v>15</v>
      </c>
      <c r="O416" s="81"/>
    </row>
    <row r="417" spans="1:15" ht="20.100000000000001" customHeight="1">
      <c r="A417" s="442" t="s">
        <v>2349</v>
      </c>
      <c r="B417" s="442" t="s">
        <v>2369</v>
      </c>
      <c r="C417" s="443" t="s">
        <v>2373</v>
      </c>
      <c r="D417" s="81">
        <f t="shared" si="7"/>
        <v>3</v>
      </c>
      <c r="E417" s="81">
        <f>SUMIF('2.생활용수(광석)'!$C$5:$C$56,C417,'2.생활용수(광석)'!$Q$5:$Q$56)</f>
        <v>0</v>
      </c>
      <c r="F417" s="81">
        <f>SUMIF('2.생활용수(성동)'!$C$5:$C$60,$C417,'2.생활용수(성동)'!$Q$5:$Q$60)</f>
        <v>0</v>
      </c>
      <c r="G417" s="81">
        <f>SUMIF('2.생활용수(봉화)'!$C$5:$C$18,$C417,'2.생활용수(봉화)'!$Q$5:$Q$18)</f>
        <v>0</v>
      </c>
      <c r="H417" s="81">
        <f>SUMIF('2.생활용수(논산)'!$C$5:$C$28,$C417,'2.생활용수(논산)'!$Q$5:$Q$28)</f>
        <v>0</v>
      </c>
      <c r="I417" s="81">
        <f>SUMIF('2.생활용수(연무)'!$C$5:$C$123,$C417,'2.생활용수(연무)'!$Q$5:$Q$123)</f>
        <v>0</v>
      </c>
      <c r="J417" s="81">
        <f>SUMIF('2.생활용수(마산)'!$C$5:$C$115,$C417,'2.생활용수(마산)'!$Q$5:$Q$115)</f>
        <v>0</v>
      </c>
      <c r="K417" s="81">
        <f>SUMIF('2.생활용수(부적)'!$C$5:$C$75,$C417,'2.생활용수(부적)'!$Q$5:$Q$75)</f>
        <v>0</v>
      </c>
      <c r="L417" s="81">
        <f>SUMIF('2.생활용수(연산)'!$C$5:$C$220,$C417,'2.생활용수(연산)'!$Q$5:$Q$220)</f>
        <v>0</v>
      </c>
      <c r="M417" s="81">
        <f>SUMIF('2.생활용수(채운)'!$C$5:$C$63,$C417,'2.생활용수(채운)'!$Q$5:$Q$63)</f>
        <v>0</v>
      </c>
      <c r="N417" s="81">
        <f>SUMIF('2.생활용수(강경)'!$C$5:$C$60,$C417,'2.생활용수(강경)'!$Q$5:$Q$60)</f>
        <v>3</v>
      </c>
      <c r="O417" s="81"/>
    </row>
    <row r="418" spans="1:15" ht="20.100000000000001" customHeight="1">
      <c r="A418" s="442" t="s">
        <v>2349</v>
      </c>
      <c r="B418" s="442" t="s">
        <v>2369</v>
      </c>
      <c r="C418" s="443" t="s">
        <v>2374</v>
      </c>
      <c r="D418" s="81">
        <f t="shared" si="7"/>
        <v>22</v>
      </c>
      <c r="E418" s="81">
        <f>SUMIF('2.생활용수(광석)'!$C$5:$C$56,C418,'2.생활용수(광석)'!$Q$5:$Q$56)</f>
        <v>0</v>
      </c>
      <c r="F418" s="81">
        <f>SUMIF('2.생활용수(성동)'!$C$5:$C$60,$C418,'2.생활용수(성동)'!$Q$5:$Q$60)</f>
        <v>0</v>
      </c>
      <c r="G418" s="81">
        <f>SUMIF('2.생활용수(봉화)'!$C$5:$C$18,$C418,'2.생활용수(봉화)'!$Q$5:$Q$18)</f>
        <v>0</v>
      </c>
      <c r="H418" s="81">
        <f>SUMIF('2.생활용수(논산)'!$C$5:$C$28,$C418,'2.생활용수(논산)'!$Q$5:$Q$28)</f>
        <v>0</v>
      </c>
      <c r="I418" s="81">
        <f>SUMIF('2.생활용수(연무)'!$C$5:$C$123,$C418,'2.생활용수(연무)'!$Q$5:$Q$123)</f>
        <v>0</v>
      </c>
      <c r="J418" s="81">
        <f>SUMIF('2.생활용수(마산)'!$C$5:$C$115,$C418,'2.생활용수(마산)'!$Q$5:$Q$115)</f>
        <v>0</v>
      </c>
      <c r="K418" s="81">
        <f>SUMIF('2.생활용수(부적)'!$C$5:$C$75,$C418,'2.생활용수(부적)'!$Q$5:$Q$75)</f>
        <v>0</v>
      </c>
      <c r="L418" s="81">
        <f>SUMIF('2.생활용수(연산)'!$C$5:$C$220,$C418,'2.생활용수(연산)'!$Q$5:$Q$220)</f>
        <v>0</v>
      </c>
      <c r="M418" s="81">
        <f>SUMIF('2.생활용수(채운)'!$C$5:$C$63,$C418,'2.생활용수(채운)'!$Q$5:$Q$63)</f>
        <v>0</v>
      </c>
      <c r="N418" s="81">
        <f>SUMIF('2.생활용수(강경)'!$C$5:$C$60,$C418,'2.생활용수(강경)'!$Q$5:$Q$60)</f>
        <v>22</v>
      </c>
      <c r="O418" s="81"/>
    </row>
    <row r="419" spans="1:15" ht="20.100000000000001" customHeight="1">
      <c r="A419" s="442" t="s">
        <v>2349</v>
      </c>
      <c r="B419" s="442" t="s">
        <v>2375</v>
      </c>
      <c r="C419" s="443" t="s">
        <v>2376</v>
      </c>
      <c r="D419" s="81">
        <f t="shared" si="7"/>
        <v>26</v>
      </c>
      <c r="E419" s="81">
        <f>SUMIF('2.생활용수(광석)'!$C$5:$C$56,C419,'2.생활용수(광석)'!$Q$5:$Q$56)</f>
        <v>0</v>
      </c>
      <c r="F419" s="81">
        <f>SUMIF('2.생활용수(성동)'!$C$5:$C$60,$C419,'2.생활용수(성동)'!$Q$5:$Q$60)</f>
        <v>0</v>
      </c>
      <c r="G419" s="81">
        <f>SUMIF('2.생활용수(봉화)'!$C$5:$C$18,$C419,'2.생활용수(봉화)'!$Q$5:$Q$18)</f>
        <v>0</v>
      </c>
      <c r="H419" s="81">
        <f>SUMIF('2.생활용수(논산)'!$C$5:$C$28,$C419,'2.생활용수(논산)'!$Q$5:$Q$28)</f>
        <v>0</v>
      </c>
      <c r="I419" s="81">
        <f>SUMIF('2.생활용수(연무)'!$C$5:$C$123,$C419,'2.생활용수(연무)'!$Q$5:$Q$123)</f>
        <v>0</v>
      </c>
      <c r="J419" s="81">
        <f>SUMIF('2.생활용수(마산)'!$C$5:$C$115,$C419,'2.생활용수(마산)'!$Q$5:$Q$115)</f>
        <v>0</v>
      </c>
      <c r="K419" s="81">
        <f>SUMIF('2.생활용수(부적)'!$C$5:$C$75,$C419,'2.생활용수(부적)'!$Q$5:$Q$75)</f>
        <v>0</v>
      </c>
      <c r="L419" s="81">
        <f>SUMIF('2.생활용수(연산)'!$C$5:$C$220,$C419,'2.생활용수(연산)'!$Q$5:$Q$220)</f>
        <v>0</v>
      </c>
      <c r="M419" s="81">
        <f>SUMIF('2.생활용수(채운)'!$C$5:$C$63,$C419,'2.생활용수(채운)'!$Q$5:$Q$63)</f>
        <v>0</v>
      </c>
      <c r="N419" s="81">
        <f>SUMIF('2.생활용수(강경)'!$C$5:$C$60,$C419,'2.생활용수(강경)'!$Q$5:$Q$60)</f>
        <v>26</v>
      </c>
      <c r="O419" s="81"/>
    </row>
    <row r="420" spans="1:15" ht="20.100000000000001" customHeight="1">
      <c r="A420" s="442" t="s">
        <v>2349</v>
      </c>
      <c r="B420" s="442" t="s">
        <v>2375</v>
      </c>
      <c r="C420" s="443" t="s">
        <v>2377</v>
      </c>
      <c r="D420" s="81">
        <f t="shared" si="7"/>
        <v>27</v>
      </c>
      <c r="E420" s="81">
        <f>SUMIF('2.생활용수(광석)'!$C$5:$C$56,C420,'2.생활용수(광석)'!$Q$5:$Q$56)</f>
        <v>0</v>
      </c>
      <c r="F420" s="81">
        <f>SUMIF('2.생활용수(성동)'!$C$5:$C$60,$C420,'2.생활용수(성동)'!$Q$5:$Q$60)</f>
        <v>0</v>
      </c>
      <c r="G420" s="81">
        <f>SUMIF('2.생활용수(봉화)'!$C$5:$C$18,$C420,'2.생활용수(봉화)'!$Q$5:$Q$18)</f>
        <v>0</v>
      </c>
      <c r="H420" s="81">
        <f>SUMIF('2.생활용수(논산)'!$C$5:$C$28,$C420,'2.생활용수(논산)'!$Q$5:$Q$28)</f>
        <v>0</v>
      </c>
      <c r="I420" s="81">
        <f>SUMIF('2.생활용수(연무)'!$C$5:$C$123,$C420,'2.생활용수(연무)'!$Q$5:$Q$123)</f>
        <v>0</v>
      </c>
      <c r="J420" s="81">
        <f>SUMIF('2.생활용수(마산)'!$C$5:$C$115,$C420,'2.생활용수(마산)'!$Q$5:$Q$115)</f>
        <v>0</v>
      </c>
      <c r="K420" s="81">
        <f>SUMIF('2.생활용수(부적)'!$C$5:$C$75,$C420,'2.생활용수(부적)'!$Q$5:$Q$75)</f>
        <v>0</v>
      </c>
      <c r="L420" s="81">
        <f>SUMIF('2.생활용수(연산)'!$C$5:$C$220,$C420,'2.생활용수(연산)'!$Q$5:$Q$220)</f>
        <v>0</v>
      </c>
      <c r="M420" s="81">
        <f>SUMIF('2.생활용수(채운)'!$C$5:$C$63,$C420,'2.생활용수(채운)'!$Q$5:$Q$63)</f>
        <v>0</v>
      </c>
      <c r="N420" s="81">
        <f>SUMIF('2.생활용수(강경)'!$C$5:$C$60,$C420,'2.생활용수(강경)'!$Q$5:$Q$60)</f>
        <v>27</v>
      </c>
      <c r="O420" s="81"/>
    </row>
    <row r="421" spans="1:15" ht="20.100000000000001" customHeight="1">
      <c r="A421" s="442" t="s">
        <v>2349</v>
      </c>
      <c r="B421" s="442" t="s">
        <v>2375</v>
      </c>
      <c r="C421" s="443" t="s">
        <v>2378</v>
      </c>
      <c r="D421" s="81">
        <f t="shared" si="7"/>
        <v>2</v>
      </c>
      <c r="E421" s="81">
        <f>SUMIF('2.생활용수(광석)'!$C$5:$C$56,C421,'2.생활용수(광석)'!$Q$5:$Q$56)</f>
        <v>0</v>
      </c>
      <c r="F421" s="81">
        <f>SUMIF('2.생활용수(성동)'!$C$5:$C$60,$C421,'2.생활용수(성동)'!$Q$5:$Q$60)</f>
        <v>0</v>
      </c>
      <c r="G421" s="81">
        <f>SUMIF('2.생활용수(봉화)'!$C$5:$C$18,$C421,'2.생활용수(봉화)'!$Q$5:$Q$18)</f>
        <v>0</v>
      </c>
      <c r="H421" s="81">
        <f>SUMIF('2.생활용수(논산)'!$C$5:$C$28,$C421,'2.생활용수(논산)'!$Q$5:$Q$28)</f>
        <v>0</v>
      </c>
      <c r="I421" s="81">
        <f>SUMIF('2.생활용수(연무)'!$C$5:$C$123,$C421,'2.생활용수(연무)'!$Q$5:$Q$123)</f>
        <v>0</v>
      </c>
      <c r="J421" s="81">
        <f>SUMIF('2.생활용수(마산)'!$C$5:$C$115,$C421,'2.생활용수(마산)'!$Q$5:$Q$115)</f>
        <v>0</v>
      </c>
      <c r="K421" s="81">
        <f>SUMIF('2.생활용수(부적)'!$C$5:$C$75,$C421,'2.생활용수(부적)'!$Q$5:$Q$75)</f>
        <v>0</v>
      </c>
      <c r="L421" s="81">
        <f>SUMIF('2.생활용수(연산)'!$C$5:$C$220,$C421,'2.생활용수(연산)'!$Q$5:$Q$220)</f>
        <v>0</v>
      </c>
      <c r="M421" s="81">
        <f>SUMIF('2.생활용수(채운)'!$C$5:$C$63,$C421,'2.생활용수(채운)'!$Q$5:$Q$63)</f>
        <v>0</v>
      </c>
      <c r="N421" s="81">
        <f>SUMIF('2.생활용수(강경)'!$C$5:$C$60,$C421,'2.생활용수(강경)'!$Q$5:$Q$60)</f>
        <v>2</v>
      </c>
      <c r="O421" s="81"/>
    </row>
    <row r="422" spans="1:15" ht="20.100000000000001" customHeight="1">
      <c r="A422" s="442" t="s">
        <v>2349</v>
      </c>
      <c r="B422" s="442" t="s">
        <v>2379</v>
      </c>
      <c r="C422" s="443" t="s">
        <v>2380</v>
      </c>
      <c r="D422" s="81">
        <f t="shared" si="7"/>
        <v>32</v>
      </c>
      <c r="E422" s="81">
        <f>SUMIF('2.생활용수(광석)'!$C$5:$C$56,C422,'2.생활용수(광석)'!$Q$5:$Q$56)</f>
        <v>0</v>
      </c>
      <c r="F422" s="81">
        <f>SUMIF('2.생활용수(성동)'!$C$5:$C$60,$C422,'2.생활용수(성동)'!$Q$5:$Q$60)</f>
        <v>0</v>
      </c>
      <c r="G422" s="81">
        <f>SUMIF('2.생활용수(봉화)'!$C$5:$C$18,$C422,'2.생활용수(봉화)'!$Q$5:$Q$18)</f>
        <v>0</v>
      </c>
      <c r="H422" s="81">
        <f>SUMIF('2.생활용수(논산)'!$C$5:$C$28,$C422,'2.생활용수(논산)'!$Q$5:$Q$28)</f>
        <v>0</v>
      </c>
      <c r="I422" s="81">
        <f>SUMIF('2.생활용수(연무)'!$C$5:$C$123,$C422,'2.생활용수(연무)'!$Q$5:$Q$123)</f>
        <v>0</v>
      </c>
      <c r="J422" s="81">
        <f>SUMIF('2.생활용수(마산)'!$C$5:$C$115,$C422,'2.생활용수(마산)'!$Q$5:$Q$115)</f>
        <v>0</v>
      </c>
      <c r="K422" s="81">
        <f>SUMIF('2.생활용수(부적)'!$C$5:$C$75,$C422,'2.생활용수(부적)'!$Q$5:$Q$75)</f>
        <v>0</v>
      </c>
      <c r="L422" s="81">
        <f>SUMIF('2.생활용수(연산)'!$C$5:$C$220,$C422,'2.생활용수(연산)'!$Q$5:$Q$220)</f>
        <v>0</v>
      </c>
      <c r="M422" s="81">
        <f>SUMIF('2.생활용수(채운)'!$C$5:$C$63,$C422,'2.생활용수(채운)'!$Q$5:$Q$63)</f>
        <v>32</v>
      </c>
      <c r="N422" s="81">
        <f>SUMIF('2.생활용수(강경)'!$C$5:$C$60,$C422,'2.생활용수(강경)'!$Q$5:$Q$60)</f>
        <v>0</v>
      </c>
      <c r="O422" s="81"/>
    </row>
    <row r="423" spans="1:15" ht="20.100000000000001" customHeight="1">
      <c r="A423" s="442" t="s">
        <v>2349</v>
      </c>
      <c r="B423" s="442" t="s">
        <v>2379</v>
      </c>
      <c r="C423" s="443" t="s">
        <v>2381</v>
      </c>
      <c r="D423" s="81">
        <f t="shared" si="7"/>
        <v>28</v>
      </c>
      <c r="E423" s="81">
        <f>SUMIF('2.생활용수(광석)'!$C$5:$C$56,C423,'2.생활용수(광석)'!$Q$5:$Q$56)</f>
        <v>0</v>
      </c>
      <c r="F423" s="81">
        <f>SUMIF('2.생활용수(성동)'!$C$5:$C$60,$C423,'2.생활용수(성동)'!$Q$5:$Q$60)</f>
        <v>0</v>
      </c>
      <c r="G423" s="81">
        <f>SUMIF('2.생활용수(봉화)'!$C$5:$C$18,$C423,'2.생활용수(봉화)'!$Q$5:$Q$18)</f>
        <v>0</v>
      </c>
      <c r="H423" s="81">
        <f>SUMIF('2.생활용수(논산)'!$C$5:$C$28,$C423,'2.생활용수(논산)'!$Q$5:$Q$28)</f>
        <v>0</v>
      </c>
      <c r="I423" s="81">
        <f>SUMIF('2.생활용수(연무)'!$C$5:$C$123,$C423,'2.생활용수(연무)'!$Q$5:$Q$123)</f>
        <v>0</v>
      </c>
      <c r="J423" s="81">
        <f>SUMIF('2.생활용수(마산)'!$C$5:$C$115,$C423,'2.생활용수(마산)'!$Q$5:$Q$115)</f>
        <v>0</v>
      </c>
      <c r="K423" s="81">
        <f>SUMIF('2.생활용수(부적)'!$C$5:$C$75,$C423,'2.생활용수(부적)'!$Q$5:$Q$75)</f>
        <v>0</v>
      </c>
      <c r="L423" s="81">
        <f>SUMIF('2.생활용수(연산)'!$C$5:$C$220,$C423,'2.생활용수(연산)'!$Q$5:$Q$220)</f>
        <v>0</v>
      </c>
      <c r="M423" s="81">
        <f>SUMIF('2.생활용수(채운)'!$C$5:$C$63,$C423,'2.생활용수(채운)'!$Q$5:$Q$63)</f>
        <v>28</v>
      </c>
      <c r="N423" s="81">
        <f>SUMIF('2.생활용수(강경)'!$C$5:$C$60,$C423,'2.생활용수(강경)'!$Q$5:$Q$60)</f>
        <v>0</v>
      </c>
      <c r="O423" s="81"/>
    </row>
    <row r="424" spans="1:15" ht="20.100000000000001" customHeight="1">
      <c r="A424" s="442" t="s">
        <v>2349</v>
      </c>
      <c r="B424" s="442" t="s">
        <v>2379</v>
      </c>
      <c r="C424" s="443" t="s">
        <v>2382</v>
      </c>
      <c r="D424" s="81">
        <f t="shared" si="7"/>
        <v>25</v>
      </c>
      <c r="E424" s="81">
        <f>SUMIF('2.생활용수(광석)'!$C$5:$C$56,C424,'2.생활용수(광석)'!$Q$5:$Q$56)</f>
        <v>0</v>
      </c>
      <c r="F424" s="81">
        <f>SUMIF('2.생활용수(성동)'!$C$5:$C$60,$C424,'2.생활용수(성동)'!$Q$5:$Q$60)</f>
        <v>0</v>
      </c>
      <c r="G424" s="81">
        <f>SUMIF('2.생활용수(봉화)'!$C$5:$C$18,$C424,'2.생활용수(봉화)'!$Q$5:$Q$18)</f>
        <v>0</v>
      </c>
      <c r="H424" s="81">
        <f>SUMIF('2.생활용수(논산)'!$C$5:$C$28,$C424,'2.생활용수(논산)'!$Q$5:$Q$28)</f>
        <v>0</v>
      </c>
      <c r="I424" s="81">
        <f>SUMIF('2.생활용수(연무)'!$C$5:$C$123,$C424,'2.생활용수(연무)'!$Q$5:$Q$123)</f>
        <v>0</v>
      </c>
      <c r="J424" s="81">
        <f>SUMIF('2.생활용수(마산)'!$C$5:$C$115,$C424,'2.생활용수(마산)'!$Q$5:$Q$115)</f>
        <v>0</v>
      </c>
      <c r="K424" s="81">
        <f>SUMIF('2.생활용수(부적)'!$C$5:$C$75,$C424,'2.생활용수(부적)'!$Q$5:$Q$75)</f>
        <v>0</v>
      </c>
      <c r="L424" s="81">
        <f>SUMIF('2.생활용수(연산)'!$C$5:$C$220,$C424,'2.생활용수(연산)'!$Q$5:$Q$220)</f>
        <v>0</v>
      </c>
      <c r="M424" s="81">
        <f>SUMIF('2.생활용수(채운)'!$C$5:$C$63,$C424,'2.생활용수(채운)'!$Q$5:$Q$63)</f>
        <v>0</v>
      </c>
      <c r="N424" s="81">
        <f>SUMIF('2.생활용수(강경)'!$C$5:$C$60,$C424,'2.생활용수(강경)'!$Q$5:$Q$60)</f>
        <v>25</v>
      </c>
      <c r="O424" s="81"/>
    </row>
    <row r="425" spans="1:15" ht="20.100000000000001" customHeight="1">
      <c r="A425" s="442" t="s">
        <v>2383</v>
      </c>
      <c r="B425" s="442" t="s">
        <v>2384</v>
      </c>
      <c r="C425" s="442" t="s">
        <v>2384</v>
      </c>
      <c r="D425" s="81">
        <f t="shared" si="7"/>
        <v>1376</v>
      </c>
      <c r="E425" s="81">
        <f>SUMIF('2.생활용수(광석)'!$C$5:$C$56,C425,'2.생활용수(광석)'!$Q$5:$Q$56)</f>
        <v>0</v>
      </c>
      <c r="F425" s="81">
        <f>SUMIF('2.생활용수(성동)'!$C$5:$C$60,$C425,'2.생활용수(성동)'!$Q$5:$Q$60)</f>
        <v>0</v>
      </c>
      <c r="G425" s="81">
        <f>SUMIF('2.생활용수(봉화)'!$C$5:$C$18,$C425,'2.생활용수(봉화)'!$Q$5:$Q$18)</f>
        <v>325</v>
      </c>
      <c r="H425" s="81">
        <f>SUMIF('2.생활용수(논산)'!$C$5:$C$28,$C425,'2.생활용수(논산)'!$Q$5:$Q$28)</f>
        <v>1051</v>
      </c>
      <c r="I425" s="81">
        <f>SUMIF('2.생활용수(연무)'!$C$5:$C$123,$C425,'2.생활용수(연무)'!$Q$5:$Q$123)</f>
        <v>0</v>
      </c>
      <c r="J425" s="81">
        <f>SUMIF('2.생활용수(마산)'!$C$5:$C$115,$C425,'2.생활용수(마산)'!$Q$5:$Q$115)</f>
        <v>0</v>
      </c>
      <c r="K425" s="81">
        <f>SUMIF('2.생활용수(부적)'!$C$5:$C$75,$C425,'2.생활용수(부적)'!$Q$5:$Q$75)</f>
        <v>0</v>
      </c>
      <c r="L425" s="81">
        <f>SUMIF('2.생활용수(연산)'!$C$5:$C$220,$C425,'2.생활용수(연산)'!$Q$5:$Q$220)</f>
        <v>0</v>
      </c>
      <c r="M425" s="81">
        <f>SUMIF('2.생활용수(채운)'!$C$5:$C$63,$C425,'2.생활용수(채운)'!$Q$5:$Q$63)</f>
        <v>0</v>
      </c>
      <c r="N425" s="81">
        <f>SUMIF('2.생활용수(강경)'!$C$5:$C$60,$C425,'2.생활용수(강경)'!$Q$5:$Q$60)</f>
        <v>0</v>
      </c>
      <c r="O425" s="81"/>
    </row>
    <row r="426" spans="1:15" ht="20.100000000000001" customHeight="1">
      <c r="A426" s="442" t="s">
        <v>2383</v>
      </c>
      <c r="B426" s="442" t="s">
        <v>2384</v>
      </c>
      <c r="C426" s="443"/>
      <c r="D426" s="81">
        <f t="shared" si="7"/>
        <v>0</v>
      </c>
      <c r="E426" s="81">
        <f>SUMIF('2.생활용수(광석)'!$C$5:$C$56,C426,'2.생활용수(광석)'!$Q$5:$Q$56)</f>
        <v>0</v>
      </c>
      <c r="F426" s="81">
        <f>SUMIF('2.생활용수(성동)'!$C$5:$C$60,$C426,'2.생활용수(성동)'!$Q$5:$Q$60)</f>
        <v>0</v>
      </c>
      <c r="G426" s="81">
        <f>SUMIF('2.생활용수(봉화)'!$C$5:$C$18,$C426,'2.생활용수(봉화)'!$Q$5:$Q$18)</f>
        <v>0</v>
      </c>
      <c r="H426" s="81">
        <f>SUMIF('2.생활용수(논산)'!$C$5:$C$28,$C426,'2.생활용수(논산)'!$Q$5:$Q$28)</f>
        <v>0</v>
      </c>
      <c r="I426" s="81">
        <f>SUMIF('2.생활용수(연무)'!$C$5:$C$123,$C426,'2.생활용수(연무)'!$Q$5:$Q$123)</f>
        <v>0</v>
      </c>
      <c r="J426" s="81">
        <f>SUMIF('2.생활용수(마산)'!$C$5:$C$115,$C426,'2.생활용수(마산)'!$Q$5:$Q$115)</f>
        <v>0</v>
      </c>
      <c r="K426" s="81">
        <f>SUMIF('2.생활용수(부적)'!$C$5:$C$75,$C426,'2.생활용수(부적)'!$Q$5:$Q$75)</f>
        <v>0</v>
      </c>
      <c r="L426" s="81">
        <f>SUMIF('2.생활용수(연산)'!$C$5:$C$220,$C426,'2.생활용수(연산)'!$Q$5:$Q$220)</f>
        <v>0</v>
      </c>
      <c r="M426" s="81">
        <f>SUMIF('2.생활용수(채운)'!$C$5:$C$63,$C426,'2.생활용수(채운)'!$Q$5:$Q$63)</f>
        <v>0</v>
      </c>
      <c r="N426" s="81">
        <f>SUMIF('2.생활용수(강경)'!$C$5:$C$60,$C426,'2.생활용수(강경)'!$Q$5:$Q$60)</f>
        <v>0</v>
      </c>
      <c r="O426" s="81"/>
    </row>
    <row r="427" spans="1:15" ht="20.100000000000001" customHeight="1">
      <c r="A427" s="442" t="s">
        <v>2383</v>
      </c>
      <c r="B427" s="442" t="s">
        <v>2384</v>
      </c>
      <c r="C427" s="443"/>
      <c r="D427" s="81">
        <f t="shared" si="7"/>
        <v>0</v>
      </c>
      <c r="E427" s="81">
        <f>SUMIF('2.생활용수(광석)'!$C$5:$C$56,C427,'2.생활용수(광석)'!$Q$5:$Q$56)</f>
        <v>0</v>
      </c>
      <c r="F427" s="81">
        <f>SUMIF('2.생활용수(성동)'!$C$5:$C$60,$C427,'2.생활용수(성동)'!$Q$5:$Q$60)</f>
        <v>0</v>
      </c>
      <c r="G427" s="81">
        <f>SUMIF('2.생활용수(봉화)'!$C$5:$C$18,$C427,'2.생활용수(봉화)'!$Q$5:$Q$18)</f>
        <v>0</v>
      </c>
      <c r="H427" s="81">
        <f>SUMIF('2.생활용수(논산)'!$C$5:$C$28,$C427,'2.생활용수(논산)'!$Q$5:$Q$28)</f>
        <v>0</v>
      </c>
      <c r="I427" s="81">
        <f>SUMIF('2.생활용수(연무)'!$C$5:$C$123,$C427,'2.생활용수(연무)'!$Q$5:$Q$123)</f>
        <v>0</v>
      </c>
      <c r="J427" s="81">
        <f>SUMIF('2.생활용수(마산)'!$C$5:$C$115,$C427,'2.생활용수(마산)'!$Q$5:$Q$115)</f>
        <v>0</v>
      </c>
      <c r="K427" s="81">
        <f>SUMIF('2.생활용수(부적)'!$C$5:$C$75,$C427,'2.생활용수(부적)'!$Q$5:$Q$75)</f>
        <v>0</v>
      </c>
      <c r="L427" s="81">
        <f>SUMIF('2.생활용수(연산)'!$C$5:$C$220,$C427,'2.생활용수(연산)'!$Q$5:$Q$220)</f>
        <v>0</v>
      </c>
      <c r="M427" s="81">
        <f>SUMIF('2.생활용수(채운)'!$C$5:$C$63,$C427,'2.생활용수(채운)'!$Q$5:$Q$63)</f>
        <v>0</v>
      </c>
      <c r="N427" s="81">
        <f>SUMIF('2.생활용수(강경)'!$C$5:$C$60,$C427,'2.생활용수(강경)'!$Q$5:$Q$60)</f>
        <v>0</v>
      </c>
      <c r="O427" s="81"/>
    </row>
    <row r="428" spans="1:15" ht="20.100000000000001" customHeight="1">
      <c r="A428" s="442" t="s">
        <v>2383</v>
      </c>
      <c r="B428" s="442" t="s">
        <v>2384</v>
      </c>
      <c r="C428" s="443"/>
      <c r="D428" s="81">
        <f t="shared" si="7"/>
        <v>0</v>
      </c>
      <c r="E428" s="81">
        <f>SUMIF('2.생활용수(광석)'!$C$5:$C$56,C428,'2.생활용수(광석)'!$Q$5:$Q$56)</f>
        <v>0</v>
      </c>
      <c r="F428" s="81">
        <f>SUMIF('2.생활용수(성동)'!$C$5:$C$60,$C428,'2.생활용수(성동)'!$Q$5:$Q$60)</f>
        <v>0</v>
      </c>
      <c r="G428" s="81">
        <f>SUMIF('2.생활용수(봉화)'!$C$5:$C$18,$C428,'2.생활용수(봉화)'!$Q$5:$Q$18)</f>
        <v>0</v>
      </c>
      <c r="H428" s="81">
        <f>SUMIF('2.생활용수(논산)'!$C$5:$C$28,$C428,'2.생활용수(논산)'!$Q$5:$Q$28)</f>
        <v>0</v>
      </c>
      <c r="I428" s="81">
        <f>SUMIF('2.생활용수(연무)'!$C$5:$C$123,$C428,'2.생활용수(연무)'!$Q$5:$Q$123)</f>
        <v>0</v>
      </c>
      <c r="J428" s="81">
        <f>SUMIF('2.생활용수(마산)'!$C$5:$C$115,$C428,'2.생활용수(마산)'!$Q$5:$Q$115)</f>
        <v>0</v>
      </c>
      <c r="K428" s="81">
        <f>SUMIF('2.생활용수(부적)'!$C$5:$C$75,$C428,'2.생활용수(부적)'!$Q$5:$Q$75)</f>
        <v>0</v>
      </c>
      <c r="L428" s="81">
        <f>SUMIF('2.생활용수(연산)'!$C$5:$C$220,$C428,'2.생활용수(연산)'!$Q$5:$Q$220)</f>
        <v>0</v>
      </c>
      <c r="M428" s="81">
        <f>SUMIF('2.생활용수(채운)'!$C$5:$C$63,$C428,'2.생활용수(채운)'!$Q$5:$Q$63)</f>
        <v>0</v>
      </c>
      <c r="N428" s="81">
        <f>SUMIF('2.생활용수(강경)'!$C$5:$C$60,$C428,'2.생활용수(강경)'!$Q$5:$Q$60)</f>
        <v>0</v>
      </c>
      <c r="O428" s="81"/>
    </row>
    <row r="429" spans="1:15" ht="20.100000000000001" customHeight="1">
      <c r="A429" s="442" t="s">
        <v>2383</v>
      </c>
      <c r="B429" s="442" t="s">
        <v>2384</v>
      </c>
      <c r="C429" s="443"/>
      <c r="D429" s="81">
        <f t="shared" si="7"/>
        <v>0</v>
      </c>
      <c r="E429" s="81">
        <f>SUMIF('2.생활용수(광석)'!$C$5:$C$56,C429,'2.생활용수(광석)'!$Q$5:$Q$56)</f>
        <v>0</v>
      </c>
      <c r="F429" s="81">
        <f>SUMIF('2.생활용수(성동)'!$C$5:$C$60,$C429,'2.생활용수(성동)'!$Q$5:$Q$60)</f>
        <v>0</v>
      </c>
      <c r="G429" s="81">
        <f>SUMIF('2.생활용수(봉화)'!$C$5:$C$18,$C429,'2.생활용수(봉화)'!$Q$5:$Q$18)</f>
        <v>0</v>
      </c>
      <c r="H429" s="81">
        <f>SUMIF('2.생활용수(논산)'!$C$5:$C$28,$C429,'2.생활용수(논산)'!$Q$5:$Q$28)</f>
        <v>0</v>
      </c>
      <c r="I429" s="81">
        <f>SUMIF('2.생활용수(연무)'!$C$5:$C$123,$C429,'2.생활용수(연무)'!$Q$5:$Q$123)</f>
        <v>0</v>
      </c>
      <c r="J429" s="81">
        <f>SUMIF('2.생활용수(마산)'!$C$5:$C$115,$C429,'2.생활용수(마산)'!$Q$5:$Q$115)</f>
        <v>0</v>
      </c>
      <c r="K429" s="81">
        <f>SUMIF('2.생활용수(부적)'!$C$5:$C$75,$C429,'2.생활용수(부적)'!$Q$5:$Q$75)</f>
        <v>0</v>
      </c>
      <c r="L429" s="81">
        <f>SUMIF('2.생활용수(연산)'!$C$5:$C$220,$C429,'2.생활용수(연산)'!$Q$5:$Q$220)</f>
        <v>0</v>
      </c>
      <c r="M429" s="81">
        <f>SUMIF('2.생활용수(채운)'!$C$5:$C$63,$C429,'2.생활용수(채운)'!$Q$5:$Q$63)</f>
        <v>0</v>
      </c>
      <c r="N429" s="81">
        <f>SUMIF('2.생활용수(강경)'!$C$5:$C$60,$C429,'2.생활용수(강경)'!$Q$5:$Q$60)</f>
        <v>0</v>
      </c>
      <c r="O429" s="81"/>
    </row>
    <row r="430" spans="1:15" ht="20.100000000000001" customHeight="1">
      <c r="A430" s="442" t="s">
        <v>2383</v>
      </c>
      <c r="B430" s="442" t="s">
        <v>2385</v>
      </c>
      <c r="C430" s="442" t="s">
        <v>2385</v>
      </c>
      <c r="D430" s="81">
        <f t="shared" si="7"/>
        <v>965</v>
      </c>
      <c r="E430" s="81">
        <f>SUMIF('2.생활용수(광석)'!$C$5:$C$56,C430,'2.생활용수(광석)'!$Q$5:$Q$56)</f>
        <v>0</v>
      </c>
      <c r="F430" s="81">
        <f>SUMIF('2.생활용수(성동)'!$C$5:$C$60,$C430,'2.생활용수(성동)'!$Q$5:$Q$60)</f>
        <v>0</v>
      </c>
      <c r="G430" s="81">
        <f>SUMIF('2.생활용수(봉화)'!$C$5:$C$18,$C430,'2.생활용수(봉화)'!$Q$5:$Q$18)</f>
        <v>411</v>
      </c>
      <c r="H430" s="81">
        <f>SUMIF('2.생활용수(논산)'!$C$5:$C$28,$C430,'2.생활용수(논산)'!$Q$5:$Q$28)</f>
        <v>554</v>
      </c>
      <c r="I430" s="81">
        <f>SUMIF('2.생활용수(연무)'!$C$5:$C$123,$C430,'2.생활용수(연무)'!$Q$5:$Q$123)</f>
        <v>0</v>
      </c>
      <c r="J430" s="81">
        <f>SUMIF('2.생활용수(마산)'!$C$5:$C$115,$C430,'2.생활용수(마산)'!$Q$5:$Q$115)</f>
        <v>0</v>
      </c>
      <c r="K430" s="81">
        <f>SUMIF('2.생활용수(부적)'!$C$5:$C$75,$C430,'2.생활용수(부적)'!$Q$5:$Q$75)</f>
        <v>0</v>
      </c>
      <c r="L430" s="81">
        <f>SUMIF('2.생활용수(연산)'!$C$5:$C$220,$C430,'2.생활용수(연산)'!$Q$5:$Q$220)</f>
        <v>0</v>
      </c>
      <c r="M430" s="81">
        <f>SUMIF('2.생활용수(채운)'!$C$5:$C$63,$C430,'2.생활용수(채운)'!$Q$5:$Q$63)</f>
        <v>0</v>
      </c>
      <c r="N430" s="81">
        <f>SUMIF('2.생활용수(강경)'!$C$5:$C$60,$C430,'2.생활용수(강경)'!$Q$5:$Q$60)</f>
        <v>0</v>
      </c>
      <c r="O430" s="81"/>
    </row>
    <row r="431" spans="1:15" ht="20.100000000000001" customHeight="1">
      <c r="A431" s="442" t="s">
        <v>2383</v>
      </c>
      <c r="B431" s="442" t="s">
        <v>2385</v>
      </c>
      <c r="C431" s="443"/>
      <c r="D431" s="81">
        <f t="shared" si="7"/>
        <v>0</v>
      </c>
      <c r="E431" s="81">
        <f>SUMIF('2.생활용수(광석)'!$C$5:$C$56,C431,'2.생활용수(광석)'!$Q$5:$Q$56)</f>
        <v>0</v>
      </c>
      <c r="F431" s="81">
        <f>SUMIF('2.생활용수(성동)'!$C$5:$C$60,$C431,'2.생활용수(성동)'!$Q$5:$Q$60)</f>
        <v>0</v>
      </c>
      <c r="G431" s="81">
        <f>SUMIF('2.생활용수(봉화)'!$C$5:$C$18,$C431,'2.생활용수(봉화)'!$Q$5:$Q$18)</f>
        <v>0</v>
      </c>
      <c r="H431" s="81">
        <f>SUMIF('2.생활용수(논산)'!$C$5:$C$28,$C431,'2.생활용수(논산)'!$Q$5:$Q$28)</f>
        <v>0</v>
      </c>
      <c r="I431" s="81">
        <f>SUMIF('2.생활용수(연무)'!$C$5:$C$123,$C431,'2.생활용수(연무)'!$Q$5:$Q$123)</f>
        <v>0</v>
      </c>
      <c r="J431" s="81">
        <f>SUMIF('2.생활용수(마산)'!$C$5:$C$115,$C431,'2.생활용수(마산)'!$Q$5:$Q$115)</f>
        <v>0</v>
      </c>
      <c r="K431" s="81">
        <f>SUMIF('2.생활용수(부적)'!$C$5:$C$75,$C431,'2.생활용수(부적)'!$Q$5:$Q$75)</f>
        <v>0</v>
      </c>
      <c r="L431" s="81">
        <f>SUMIF('2.생활용수(연산)'!$C$5:$C$220,$C431,'2.생활용수(연산)'!$Q$5:$Q$220)</f>
        <v>0</v>
      </c>
      <c r="M431" s="81">
        <f>SUMIF('2.생활용수(채운)'!$C$5:$C$63,$C431,'2.생활용수(채운)'!$Q$5:$Q$63)</f>
        <v>0</v>
      </c>
      <c r="N431" s="81">
        <f>SUMIF('2.생활용수(강경)'!$C$5:$C$60,$C431,'2.생활용수(강경)'!$Q$5:$Q$60)</f>
        <v>0</v>
      </c>
      <c r="O431" s="81"/>
    </row>
    <row r="432" spans="1:15" ht="20.100000000000001" customHeight="1">
      <c r="A432" s="442" t="s">
        <v>2383</v>
      </c>
      <c r="B432" s="442" t="s">
        <v>2385</v>
      </c>
      <c r="C432" s="443"/>
      <c r="D432" s="81">
        <f t="shared" si="7"/>
        <v>0</v>
      </c>
      <c r="E432" s="81">
        <f>SUMIF('2.생활용수(광석)'!$C$5:$C$56,C432,'2.생활용수(광석)'!$Q$5:$Q$56)</f>
        <v>0</v>
      </c>
      <c r="F432" s="81">
        <f>SUMIF('2.생활용수(성동)'!$C$5:$C$60,$C432,'2.생활용수(성동)'!$Q$5:$Q$60)</f>
        <v>0</v>
      </c>
      <c r="G432" s="81">
        <f>SUMIF('2.생활용수(봉화)'!$C$5:$C$18,$C432,'2.생활용수(봉화)'!$Q$5:$Q$18)</f>
        <v>0</v>
      </c>
      <c r="H432" s="81">
        <f>SUMIF('2.생활용수(논산)'!$C$5:$C$28,$C432,'2.생활용수(논산)'!$Q$5:$Q$28)</f>
        <v>0</v>
      </c>
      <c r="I432" s="81">
        <f>SUMIF('2.생활용수(연무)'!$C$5:$C$123,$C432,'2.생활용수(연무)'!$Q$5:$Q$123)</f>
        <v>0</v>
      </c>
      <c r="J432" s="81">
        <f>SUMIF('2.생활용수(마산)'!$C$5:$C$115,$C432,'2.생활용수(마산)'!$Q$5:$Q$115)</f>
        <v>0</v>
      </c>
      <c r="K432" s="81">
        <f>SUMIF('2.생활용수(부적)'!$C$5:$C$75,$C432,'2.생활용수(부적)'!$Q$5:$Q$75)</f>
        <v>0</v>
      </c>
      <c r="L432" s="81">
        <f>SUMIF('2.생활용수(연산)'!$C$5:$C$220,$C432,'2.생활용수(연산)'!$Q$5:$Q$220)</f>
        <v>0</v>
      </c>
      <c r="M432" s="81">
        <f>SUMIF('2.생활용수(채운)'!$C$5:$C$63,$C432,'2.생활용수(채운)'!$Q$5:$Q$63)</f>
        <v>0</v>
      </c>
      <c r="N432" s="81">
        <f>SUMIF('2.생활용수(강경)'!$C$5:$C$60,$C432,'2.생활용수(강경)'!$Q$5:$Q$60)</f>
        <v>0</v>
      </c>
      <c r="O432" s="81"/>
    </row>
    <row r="433" spans="1:15" ht="20.100000000000001" customHeight="1">
      <c r="A433" s="442" t="s">
        <v>2383</v>
      </c>
      <c r="B433" s="442" t="s">
        <v>2386</v>
      </c>
      <c r="C433" s="442" t="s">
        <v>2386</v>
      </c>
      <c r="D433" s="81">
        <f t="shared" si="7"/>
        <v>5931</v>
      </c>
      <c r="E433" s="81">
        <f>SUMIF('2.생활용수(광석)'!$C$5:$C$56,C433,'2.생활용수(광석)'!$Q$5:$Q$56)</f>
        <v>0</v>
      </c>
      <c r="F433" s="81">
        <f>SUMIF('2.생활용수(성동)'!$C$5:$C$60,$C433,'2.생활용수(성동)'!$Q$5:$Q$60)</f>
        <v>0</v>
      </c>
      <c r="G433" s="81">
        <f>SUMIF('2.생활용수(봉화)'!$C$5:$C$18,$C433,'2.생활용수(봉화)'!$Q$5:$Q$18)</f>
        <v>0</v>
      </c>
      <c r="H433" s="81">
        <f>SUMIF('2.생활용수(논산)'!$C$5:$C$28,$C433,'2.생활용수(논산)'!$Q$5:$Q$28)</f>
        <v>5931</v>
      </c>
      <c r="I433" s="81">
        <f>SUMIF('2.생활용수(연무)'!$C$5:$C$123,$C433,'2.생활용수(연무)'!$Q$5:$Q$123)</f>
        <v>0</v>
      </c>
      <c r="J433" s="81">
        <f>SUMIF('2.생활용수(마산)'!$C$5:$C$115,$C433,'2.생활용수(마산)'!$Q$5:$Q$115)</f>
        <v>0</v>
      </c>
      <c r="K433" s="81">
        <f>SUMIF('2.생활용수(부적)'!$C$5:$C$75,$C433,'2.생활용수(부적)'!$Q$5:$Q$75)</f>
        <v>0</v>
      </c>
      <c r="L433" s="81">
        <f>SUMIF('2.생활용수(연산)'!$C$5:$C$220,$C433,'2.생활용수(연산)'!$Q$5:$Q$220)</f>
        <v>0</v>
      </c>
      <c r="M433" s="81">
        <f>SUMIF('2.생활용수(채운)'!$C$5:$C$63,$C433,'2.생활용수(채운)'!$Q$5:$Q$63)</f>
        <v>0</v>
      </c>
      <c r="N433" s="81">
        <f>SUMIF('2.생활용수(강경)'!$C$5:$C$60,$C433,'2.생활용수(강경)'!$Q$5:$Q$60)</f>
        <v>0</v>
      </c>
      <c r="O433" s="81"/>
    </row>
    <row r="434" spans="1:15" ht="20.100000000000001" customHeight="1">
      <c r="A434" s="442" t="s">
        <v>2383</v>
      </c>
      <c r="B434" s="442" t="s">
        <v>2386</v>
      </c>
      <c r="C434" s="443"/>
      <c r="D434" s="81">
        <f t="shared" si="7"/>
        <v>0</v>
      </c>
      <c r="E434" s="81">
        <f>SUMIF('2.생활용수(광석)'!$C$5:$C$56,C434,'2.생활용수(광석)'!$Q$5:$Q$56)</f>
        <v>0</v>
      </c>
      <c r="F434" s="81">
        <f>SUMIF('2.생활용수(성동)'!$C$5:$C$60,$C434,'2.생활용수(성동)'!$Q$5:$Q$60)</f>
        <v>0</v>
      </c>
      <c r="G434" s="81">
        <f>SUMIF('2.생활용수(봉화)'!$C$5:$C$18,$C434,'2.생활용수(봉화)'!$Q$5:$Q$18)</f>
        <v>0</v>
      </c>
      <c r="H434" s="81">
        <f>SUMIF('2.생활용수(논산)'!$C$5:$C$28,$C434,'2.생활용수(논산)'!$Q$5:$Q$28)</f>
        <v>0</v>
      </c>
      <c r="I434" s="81">
        <f>SUMIF('2.생활용수(연무)'!$C$5:$C$123,$C434,'2.생활용수(연무)'!$Q$5:$Q$123)</f>
        <v>0</v>
      </c>
      <c r="J434" s="81">
        <f>SUMIF('2.생활용수(마산)'!$C$5:$C$115,$C434,'2.생활용수(마산)'!$Q$5:$Q$115)</f>
        <v>0</v>
      </c>
      <c r="K434" s="81">
        <f>SUMIF('2.생활용수(부적)'!$C$5:$C$75,$C434,'2.생활용수(부적)'!$Q$5:$Q$75)</f>
        <v>0</v>
      </c>
      <c r="L434" s="81">
        <f>SUMIF('2.생활용수(연산)'!$C$5:$C$220,$C434,'2.생활용수(연산)'!$Q$5:$Q$220)</f>
        <v>0</v>
      </c>
      <c r="M434" s="81">
        <f>SUMIF('2.생활용수(채운)'!$C$5:$C$63,$C434,'2.생활용수(채운)'!$Q$5:$Q$63)</f>
        <v>0</v>
      </c>
      <c r="N434" s="81">
        <f>SUMIF('2.생활용수(강경)'!$C$5:$C$60,$C434,'2.생활용수(강경)'!$Q$5:$Q$60)</f>
        <v>0</v>
      </c>
      <c r="O434" s="81"/>
    </row>
    <row r="435" spans="1:15" ht="20.100000000000001" customHeight="1">
      <c r="A435" s="442" t="s">
        <v>2383</v>
      </c>
      <c r="B435" s="442" t="s">
        <v>2386</v>
      </c>
      <c r="C435" s="443"/>
      <c r="D435" s="81">
        <f t="shared" si="7"/>
        <v>0</v>
      </c>
      <c r="E435" s="81">
        <f>SUMIF('2.생활용수(광석)'!$C$5:$C$56,C435,'2.생활용수(광석)'!$Q$5:$Q$56)</f>
        <v>0</v>
      </c>
      <c r="F435" s="81">
        <f>SUMIF('2.생활용수(성동)'!$C$5:$C$60,$C435,'2.생활용수(성동)'!$Q$5:$Q$60)</f>
        <v>0</v>
      </c>
      <c r="G435" s="81">
        <f>SUMIF('2.생활용수(봉화)'!$C$5:$C$18,$C435,'2.생활용수(봉화)'!$Q$5:$Q$18)</f>
        <v>0</v>
      </c>
      <c r="H435" s="81">
        <f>SUMIF('2.생활용수(논산)'!$C$5:$C$28,$C435,'2.생활용수(논산)'!$Q$5:$Q$28)</f>
        <v>0</v>
      </c>
      <c r="I435" s="81">
        <f>SUMIF('2.생활용수(연무)'!$C$5:$C$123,$C435,'2.생활용수(연무)'!$Q$5:$Q$123)</f>
        <v>0</v>
      </c>
      <c r="J435" s="81">
        <f>SUMIF('2.생활용수(마산)'!$C$5:$C$115,$C435,'2.생활용수(마산)'!$Q$5:$Q$115)</f>
        <v>0</v>
      </c>
      <c r="K435" s="81">
        <f>SUMIF('2.생활용수(부적)'!$C$5:$C$75,$C435,'2.생활용수(부적)'!$Q$5:$Q$75)</f>
        <v>0</v>
      </c>
      <c r="L435" s="81">
        <f>SUMIF('2.생활용수(연산)'!$C$5:$C$220,$C435,'2.생활용수(연산)'!$Q$5:$Q$220)</f>
        <v>0</v>
      </c>
      <c r="M435" s="81">
        <f>SUMIF('2.생활용수(채운)'!$C$5:$C$63,$C435,'2.생활용수(채운)'!$Q$5:$Q$63)</f>
        <v>0</v>
      </c>
      <c r="N435" s="81">
        <f>SUMIF('2.생활용수(강경)'!$C$5:$C$60,$C435,'2.생활용수(강경)'!$Q$5:$Q$60)</f>
        <v>0</v>
      </c>
      <c r="O435" s="81"/>
    </row>
    <row r="436" spans="1:15" ht="20.100000000000001" customHeight="1">
      <c r="A436" s="442" t="s">
        <v>2383</v>
      </c>
      <c r="B436" s="442" t="s">
        <v>2386</v>
      </c>
      <c r="C436" s="443"/>
      <c r="D436" s="81">
        <f t="shared" si="7"/>
        <v>0</v>
      </c>
      <c r="E436" s="81">
        <f>SUMIF('2.생활용수(광석)'!$C$5:$C$56,C436,'2.생활용수(광석)'!$Q$5:$Q$56)</f>
        <v>0</v>
      </c>
      <c r="F436" s="81">
        <f>SUMIF('2.생활용수(성동)'!$C$5:$C$60,$C436,'2.생활용수(성동)'!$Q$5:$Q$60)</f>
        <v>0</v>
      </c>
      <c r="G436" s="81">
        <f>SUMIF('2.생활용수(봉화)'!$C$5:$C$18,$C436,'2.생활용수(봉화)'!$Q$5:$Q$18)</f>
        <v>0</v>
      </c>
      <c r="H436" s="81">
        <f>SUMIF('2.생활용수(논산)'!$C$5:$C$28,$C436,'2.생활용수(논산)'!$Q$5:$Q$28)</f>
        <v>0</v>
      </c>
      <c r="I436" s="81">
        <f>SUMIF('2.생활용수(연무)'!$C$5:$C$123,$C436,'2.생활용수(연무)'!$Q$5:$Q$123)</f>
        <v>0</v>
      </c>
      <c r="J436" s="81">
        <f>SUMIF('2.생활용수(마산)'!$C$5:$C$115,$C436,'2.생활용수(마산)'!$Q$5:$Q$115)</f>
        <v>0</v>
      </c>
      <c r="K436" s="81">
        <f>SUMIF('2.생활용수(부적)'!$C$5:$C$75,$C436,'2.생활용수(부적)'!$Q$5:$Q$75)</f>
        <v>0</v>
      </c>
      <c r="L436" s="81">
        <f>SUMIF('2.생활용수(연산)'!$C$5:$C$220,$C436,'2.생활용수(연산)'!$Q$5:$Q$220)</f>
        <v>0</v>
      </c>
      <c r="M436" s="81">
        <f>SUMIF('2.생활용수(채운)'!$C$5:$C$63,$C436,'2.생활용수(채운)'!$Q$5:$Q$63)</f>
        <v>0</v>
      </c>
      <c r="N436" s="81">
        <f>SUMIF('2.생활용수(강경)'!$C$5:$C$60,$C436,'2.생활용수(강경)'!$Q$5:$Q$60)</f>
        <v>0</v>
      </c>
      <c r="O436" s="81"/>
    </row>
    <row r="437" spans="1:15" ht="20.100000000000001" customHeight="1">
      <c r="A437" s="442" t="s">
        <v>2383</v>
      </c>
      <c r="B437" s="442" t="s">
        <v>2386</v>
      </c>
      <c r="C437" s="443"/>
      <c r="D437" s="81">
        <f t="shared" si="7"/>
        <v>0</v>
      </c>
      <c r="E437" s="81">
        <f>SUMIF('2.생활용수(광석)'!$C$5:$C$56,C437,'2.생활용수(광석)'!$Q$5:$Q$56)</f>
        <v>0</v>
      </c>
      <c r="F437" s="81">
        <f>SUMIF('2.생활용수(성동)'!$C$5:$C$60,$C437,'2.생활용수(성동)'!$Q$5:$Q$60)</f>
        <v>0</v>
      </c>
      <c r="G437" s="81">
        <f>SUMIF('2.생활용수(봉화)'!$C$5:$C$18,$C437,'2.생활용수(봉화)'!$Q$5:$Q$18)</f>
        <v>0</v>
      </c>
      <c r="H437" s="81">
        <f>SUMIF('2.생활용수(논산)'!$C$5:$C$28,$C437,'2.생활용수(논산)'!$Q$5:$Q$28)</f>
        <v>0</v>
      </c>
      <c r="I437" s="81">
        <f>SUMIF('2.생활용수(연무)'!$C$5:$C$123,$C437,'2.생활용수(연무)'!$Q$5:$Q$123)</f>
        <v>0</v>
      </c>
      <c r="J437" s="81">
        <f>SUMIF('2.생활용수(마산)'!$C$5:$C$115,$C437,'2.생활용수(마산)'!$Q$5:$Q$115)</f>
        <v>0</v>
      </c>
      <c r="K437" s="81">
        <f>SUMIF('2.생활용수(부적)'!$C$5:$C$75,$C437,'2.생활용수(부적)'!$Q$5:$Q$75)</f>
        <v>0</v>
      </c>
      <c r="L437" s="81">
        <f>SUMIF('2.생활용수(연산)'!$C$5:$C$220,$C437,'2.생활용수(연산)'!$Q$5:$Q$220)</f>
        <v>0</v>
      </c>
      <c r="M437" s="81">
        <f>SUMIF('2.생활용수(채운)'!$C$5:$C$63,$C437,'2.생활용수(채운)'!$Q$5:$Q$63)</f>
        <v>0</v>
      </c>
      <c r="N437" s="81">
        <f>SUMIF('2.생활용수(강경)'!$C$5:$C$60,$C437,'2.생활용수(강경)'!$Q$5:$Q$60)</f>
        <v>0</v>
      </c>
      <c r="O437" s="81"/>
    </row>
    <row r="438" spans="1:15" ht="20.100000000000001" customHeight="1">
      <c r="A438" s="442" t="s">
        <v>2383</v>
      </c>
      <c r="B438" s="442" t="s">
        <v>2386</v>
      </c>
      <c r="C438" s="443"/>
      <c r="D438" s="81">
        <f t="shared" si="7"/>
        <v>0</v>
      </c>
      <c r="E438" s="81">
        <f>SUMIF('2.생활용수(광석)'!$C$5:$C$56,C438,'2.생활용수(광석)'!$Q$5:$Q$56)</f>
        <v>0</v>
      </c>
      <c r="F438" s="81">
        <f>SUMIF('2.생활용수(성동)'!$C$5:$C$60,$C438,'2.생활용수(성동)'!$Q$5:$Q$60)</f>
        <v>0</v>
      </c>
      <c r="G438" s="81">
        <f>SUMIF('2.생활용수(봉화)'!$C$5:$C$18,$C438,'2.생활용수(봉화)'!$Q$5:$Q$18)</f>
        <v>0</v>
      </c>
      <c r="H438" s="81">
        <f>SUMIF('2.생활용수(논산)'!$C$5:$C$28,$C438,'2.생활용수(논산)'!$Q$5:$Q$28)</f>
        <v>0</v>
      </c>
      <c r="I438" s="81">
        <f>SUMIF('2.생활용수(연무)'!$C$5:$C$123,$C438,'2.생활용수(연무)'!$Q$5:$Q$123)</f>
        <v>0</v>
      </c>
      <c r="J438" s="81">
        <f>SUMIF('2.생활용수(마산)'!$C$5:$C$115,$C438,'2.생활용수(마산)'!$Q$5:$Q$115)</f>
        <v>0</v>
      </c>
      <c r="K438" s="81">
        <f>SUMIF('2.생활용수(부적)'!$C$5:$C$75,$C438,'2.생활용수(부적)'!$Q$5:$Q$75)</f>
        <v>0</v>
      </c>
      <c r="L438" s="81">
        <f>SUMIF('2.생활용수(연산)'!$C$5:$C$220,$C438,'2.생활용수(연산)'!$Q$5:$Q$220)</f>
        <v>0</v>
      </c>
      <c r="M438" s="81">
        <f>SUMIF('2.생활용수(채운)'!$C$5:$C$63,$C438,'2.생활용수(채운)'!$Q$5:$Q$63)</f>
        <v>0</v>
      </c>
      <c r="N438" s="81">
        <f>SUMIF('2.생활용수(강경)'!$C$5:$C$60,$C438,'2.생활용수(강경)'!$Q$5:$Q$60)</f>
        <v>0</v>
      </c>
      <c r="O438" s="81"/>
    </row>
    <row r="439" spans="1:15" ht="20.100000000000001" customHeight="1">
      <c r="A439" s="442" t="s">
        <v>2383</v>
      </c>
      <c r="B439" s="442" t="s">
        <v>2386</v>
      </c>
      <c r="C439" s="443"/>
      <c r="D439" s="81">
        <f t="shared" si="7"/>
        <v>0</v>
      </c>
      <c r="E439" s="81">
        <f>SUMIF('2.생활용수(광석)'!$C$5:$C$56,C439,'2.생활용수(광석)'!$Q$5:$Q$56)</f>
        <v>0</v>
      </c>
      <c r="F439" s="81">
        <f>SUMIF('2.생활용수(성동)'!$C$5:$C$60,$C439,'2.생활용수(성동)'!$Q$5:$Q$60)</f>
        <v>0</v>
      </c>
      <c r="G439" s="81">
        <f>SUMIF('2.생활용수(봉화)'!$C$5:$C$18,$C439,'2.생활용수(봉화)'!$Q$5:$Q$18)</f>
        <v>0</v>
      </c>
      <c r="H439" s="81">
        <f>SUMIF('2.생활용수(논산)'!$C$5:$C$28,$C439,'2.생활용수(논산)'!$Q$5:$Q$28)</f>
        <v>0</v>
      </c>
      <c r="I439" s="81">
        <f>SUMIF('2.생활용수(연무)'!$C$5:$C$123,$C439,'2.생활용수(연무)'!$Q$5:$Q$123)</f>
        <v>0</v>
      </c>
      <c r="J439" s="81">
        <f>SUMIF('2.생활용수(마산)'!$C$5:$C$115,$C439,'2.생활용수(마산)'!$Q$5:$Q$115)</f>
        <v>0</v>
      </c>
      <c r="K439" s="81">
        <f>SUMIF('2.생활용수(부적)'!$C$5:$C$75,$C439,'2.생활용수(부적)'!$Q$5:$Q$75)</f>
        <v>0</v>
      </c>
      <c r="L439" s="81">
        <f>SUMIF('2.생활용수(연산)'!$C$5:$C$220,$C439,'2.생활용수(연산)'!$Q$5:$Q$220)</f>
        <v>0</v>
      </c>
      <c r="M439" s="81">
        <f>SUMIF('2.생활용수(채운)'!$C$5:$C$63,$C439,'2.생활용수(채운)'!$Q$5:$Q$63)</f>
        <v>0</v>
      </c>
      <c r="N439" s="81">
        <f>SUMIF('2.생활용수(강경)'!$C$5:$C$60,$C439,'2.생활용수(강경)'!$Q$5:$Q$60)</f>
        <v>0</v>
      </c>
      <c r="O439" s="81"/>
    </row>
    <row r="440" spans="1:15" ht="20.100000000000001" customHeight="1">
      <c r="A440" s="442" t="s">
        <v>2383</v>
      </c>
      <c r="B440" s="442" t="s">
        <v>2386</v>
      </c>
      <c r="C440" s="443"/>
      <c r="D440" s="81">
        <f t="shared" si="7"/>
        <v>0</v>
      </c>
      <c r="E440" s="81">
        <f>SUMIF('2.생활용수(광석)'!$C$5:$C$56,C440,'2.생활용수(광석)'!$Q$5:$Q$56)</f>
        <v>0</v>
      </c>
      <c r="F440" s="81">
        <f>SUMIF('2.생활용수(성동)'!$C$5:$C$60,$C440,'2.생활용수(성동)'!$Q$5:$Q$60)</f>
        <v>0</v>
      </c>
      <c r="G440" s="81">
        <f>SUMIF('2.생활용수(봉화)'!$C$5:$C$18,$C440,'2.생활용수(봉화)'!$Q$5:$Q$18)</f>
        <v>0</v>
      </c>
      <c r="H440" s="81">
        <f>SUMIF('2.생활용수(논산)'!$C$5:$C$28,$C440,'2.생활용수(논산)'!$Q$5:$Q$28)</f>
        <v>0</v>
      </c>
      <c r="I440" s="81">
        <f>SUMIF('2.생활용수(연무)'!$C$5:$C$123,$C440,'2.생활용수(연무)'!$Q$5:$Q$123)</f>
        <v>0</v>
      </c>
      <c r="J440" s="81">
        <f>SUMIF('2.생활용수(마산)'!$C$5:$C$115,$C440,'2.생활용수(마산)'!$Q$5:$Q$115)</f>
        <v>0</v>
      </c>
      <c r="K440" s="81">
        <f>SUMIF('2.생활용수(부적)'!$C$5:$C$75,$C440,'2.생활용수(부적)'!$Q$5:$Q$75)</f>
        <v>0</v>
      </c>
      <c r="L440" s="81">
        <f>SUMIF('2.생활용수(연산)'!$C$5:$C$220,$C440,'2.생활용수(연산)'!$Q$5:$Q$220)</f>
        <v>0</v>
      </c>
      <c r="M440" s="81">
        <f>SUMIF('2.생활용수(채운)'!$C$5:$C$63,$C440,'2.생활용수(채운)'!$Q$5:$Q$63)</f>
        <v>0</v>
      </c>
      <c r="N440" s="81">
        <f>SUMIF('2.생활용수(강경)'!$C$5:$C$60,$C440,'2.생활용수(강경)'!$Q$5:$Q$60)</f>
        <v>0</v>
      </c>
      <c r="O440" s="81"/>
    </row>
    <row r="441" spans="1:15" ht="20.100000000000001" customHeight="1">
      <c r="A441" s="442" t="s">
        <v>2383</v>
      </c>
      <c r="B441" s="442" t="s">
        <v>2386</v>
      </c>
      <c r="C441" s="443"/>
      <c r="D441" s="81">
        <f t="shared" si="7"/>
        <v>0</v>
      </c>
      <c r="E441" s="81">
        <f>SUMIF('2.생활용수(광석)'!$C$5:$C$56,C441,'2.생활용수(광석)'!$Q$5:$Q$56)</f>
        <v>0</v>
      </c>
      <c r="F441" s="81">
        <f>SUMIF('2.생활용수(성동)'!$C$5:$C$60,$C441,'2.생활용수(성동)'!$Q$5:$Q$60)</f>
        <v>0</v>
      </c>
      <c r="G441" s="81">
        <f>SUMIF('2.생활용수(봉화)'!$C$5:$C$18,$C441,'2.생활용수(봉화)'!$Q$5:$Q$18)</f>
        <v>0</v>
      </c>
      <c r="H441" s="81">
        <f>SUMIF('2.생활용수(논산)'!$C$5:$C$28,$C441,'2.생활용수(논산)'!$Q$5:$Q$28)</f>
        <v>0</v>
      </c>
      <c r="I441" s="81">
        <f>SUMIF('2.생활용수(연무)'!$C$5:$C$123,$C441,'2.생활용수(연무)'!$Q$5:$Q$123)</f>
        <v>0</v>
      </c>
      <c r="J441" s="81">
        <f>SUMIF('2.생활용수(마산)'!$C$5:$C$115,$C441,'2.생활용수(마산)'!$Q$5:$Q$115)</f>
        <v>0</v>
      </c>
      <c r="K441" s="81">
        <f>SUMIF('2.생활용수(부적)'!$C$5:$C$75,$C441,'2.생활용수(부적)'!$Q$5:$Q$75)</f>
        <v>0</v>
      </c>
      <c r="L441" s="81">
        <f>SUMIF('2.생활용수(연산)'!$C$5:$C$220,$C441,'2.생활용수(연산)'!$Q$5:$Q$220)</f>
        <v>0</v>
      </c>
      <c r="M441" s="81">
        <f>SUMIF('2.생활용수(채운)'!$C$5:$C$63,$C441,'2.생활용수(채운)'!$Q$5:$Q$63)</f>
        <v>0</v>
      </c>
      <c r="N441" s="81">
        <f>SUMIF('2.생활용수(강경)'!$C$5:$C$60,$C441,'2.생활용수(강경)'!$Q$5:$Q$60)</f>
        <v>0</v>
      </c>
      <c r="O441" s="81"/>
    </row>
    <row r="442" spans="1:15" ht="20.100000000000001" customHeight="1">
      <c r="A442" s="442" t="s">
        <v>2383</v>
      </c>
      <c r="B442" s="442" t="s">
        <v>2386</v>
      </c>
      <c r="C442" s="443"/>
      <c r="D442" s="81">
        <f t="shared" si="7"/>
        <v>0</v>
      </c>
      <c r="E442" s="81">
        <f>SUMIF('2.생활용수(광석)'!$C$5:$C$56,C442,'2.생활용수(광석)'!$Q$5:$Q$56)</f>
        <v>0</v>
      </c>
      <c r="F442" s="81">
        <f>SUMIF('2.생활용수(성동)'!$C$5:$C$60,$C442,'2.생활용수(성동)'!$Q$5:$Q$60)</f>
        <v>0</v>
      </c>
      <c r="G442" s="81">
        <f>SUMIF('2.생활용수(봉화)'!$C$5:$C$18,$C442,'2.생활용수(봉화)'!$Q$5:$Q$18)</f>
        <v>0</v>
      </c>
      <c r="H442" s="81">
        <f>SUMIF('2.생활용수(논산)'!$C$5:$C$28,$C442,'2.생활용수(논산)'!$Q$5:$Q$28)</f>
        <v>0</v>
      </c>
      <c r="I442" s="81">
        <f>SUMIF('2.생활용수(연무)'!$C$5:$C$123,$C442,'2.생활용수(연무)'!$Q$5:$Q$123)</f>
        <v>0</v>
      </c>
      <c r="J442" s="81">
        <f>SUMIF('2.생활용수(마산)'!$C$5:$C$115,$C442,'2.생활용수(마산)'!$Q$5:$Q$115)</f>
        <v>0</v>
      </c>
      <c r="K442" s="81">
        <f>SUMIF('2.생활용수(부적)'!$C$5:$C$75,$C442,'2.생활용수(부적)'!$Q$5:$Q$75)</f>
        <v>0</v>
      </c>
      <c r="L442" s="81">
        <f>SUMIF('2.생활용수(연산)'!$C$5:$C$220,$C442,'2.생활용수(연산)'!$Q$5:$Q$220)</f>
        <v>0</v>
      </c>
      <c r="M442" s="81">
        <f>SUMIF('2.생활용수(채운)'!$C$5:$C$63,$C442,'2.생활용수(채운)'!$Q$5:$Q$63)</f>
        <v>0</v>
      </c>
      <c r="N442" s="81">
        <f>SUMIF('2.생활용수(강경)'!$C$5:$C$60,$C442,'2.생활용수(강경)'!$Q$5:$Q$60)</f>
        <v>0</v>
      </c>
      <c r="O442" s="81"/>
    </row>
    <row r="443" spans="1:15" ht="20.100000000000001" customHeight="1">
      <c r="A443" s="442" t="s">
        <v>2383</v>
      </c>
      <c r="B443" s="442" t="s">
        <v>2386</v>
      </c>
      <c r="C443" s="443"/>
      <c r="D443" s="81">
        <f t="shared" si="7"/>
        <v>0</v>
      </c>
      <c r="E443" s="81">
        <f>SUMIF('2.생활용수(광석)'!$C$5:$C$56,C443,'2.생활용수(광석)'!$Q$5:$Q$56)</f>
        <v>0</v>
      </c>
      <c r="F443" s="81">
        <f>SUMIF('2.생활용수(성동)'!$C$5:$C$60,$C443,'2.생활용수(성동)'!$Q$5:$Q$60)</f>
        <v>0</v>
      </c>
      <c r="G443" s="81">
        <f>SUMIF('2.생활용수(봉화)'!$C$5:$C$18,$C443,'2.생활용수(봉화)'!$Q$5:$Q$18)</f>
        <v>0</v>
      </c>
      <c r="H443" s="81">
        <f>SUMIF('2.생활용수(논산)'!$C$5:$C$28,$C443,'2.생활용수(논산)'!$Q$5:$Q$28)</f>
        <v>0</v>
      </c>
      <c r="I443" s="81">
        <f>SUMIF('2.생활용수(연무)'!$C$5:$C$123,$C443,'2.생활용수(연무)'!$Q$5:$Q$123)</f>
        <v>0</v>
      </c>
      <c r="J443" s="81">
        <f>SUMIF('2.생활용수(마산)'!$C$5:$C$115,$C443,'2.생활용수(마산)'!$Q$5:$Q$115)</f>
        <v>0</v>
      </c>
      <c r="K443" s="81">
        <f>SUMIF('2.생활용수(부적)'!$C$5:$C$75,$C443,'2.생활용수(부적)'!$Q$5:$Q$75)</f>
        <v>0</v>
      </c>
      <c r="L443" s="81">
        <f>SUMIF('2.생활용수(연산)'!$C$5:$C$220,$C443,'2.생활용수(연산)'!$Q$5:$Q$220)</f>
        <v>0</v>
      </c>
      <c r="M443" s="81">
        <f>SUMIF('2.생활용수(채운)'!$C$5:$C$63,$C443,'2.생활용수(채운)'!$Q$5:$Q$63)</f>
        <v>0</v>
      </c>
      <c r="N443" s="81">
        <f>SUMIF('2.생활용수(강경)'!$C$5:$C$60,$C443,'2.생활용수(강경)'!$Q$5:$Q$60)</f>
        <v>0</v>
      </c>
      <c r="O443" s="81"/>
    </row>
    <row r="444" spans="1:15" ht="20.100000000000001" customHeight="1">
      <c r="A444" s="442" t="s">
        <v>2383</v>
      </c>
      <c r="B444" s="442" t="s">
        <v>2386</v>
      </c>
      <c r="C444" s="443"/>
      <c r="D444" s="81">
        <f t="shared" si="7"/>
        <v>0</v>
      </c>
      <c r="E444" s="81">
        <f>SUMIF('2.생활용수(광석)'!$C$5:$C$56,C444,'2.생활용수(광석)'!$Q$5:$Q$56)</f>
        <v>0</v>
      </c>
      <c r="F444" s="81">
        <f>SUMIF('2.생활용수(성동)'!$C$5:$C$60,$C444,'2.생활용수(성동)'!$Q$5:$Q$60)</f>
        <v>0</v>
      </c>
      <c r="G444" s="81">
        <f>SUMIF('2.생활용수(봉화)'!$C$5:$C$18,$C444,'2.생활용수(봉화)'!$Q$5:$Q$18)</f>
        <v>0</v>
      </c>
      <c r="H444" s="81">
        <f>SUMIF('2.생활용수(논산)'!$C$5:$C$28,$C444,'2.생활용수(논산)'!$Q$5:$Q$28)</f>
        <v>0</v>
      </c>
      <c r="I444" s="81">
        <f>SUMIF('2.생활용수(연무)'!$C$5:$C$123,$C444,'2.생활용수(연무)'!$Q$5:$Q$123)</f>
        <v>0</v>
      </c>
      <c r="J444" s="81">
        <f>SUMIF('2.생활용수(마산)'!$C$5:$C$115,$C444,'2.생활용수(마산)'!$Q$5:$Q$115)</f>
        <v>0</v>
      </c>
      <c r="K444" s="81">
        <f>SUMIF('2.생활용수(부적)'!$C$5:$C$75,$C444,'2.생활용수(부적)'!$Q$5:$Q$75)</f>
        <v>0</v>
      </c>
      <c r="L444" s="81">
        <f>SUMIF('2.생활용수(연산)'!$C$5:$C$220,$C444,'2.생활용수(연산)'!$Q$5:$Q$220)</f>
        <v>0</v>
      </c>
      <c r="M444" s="81">
        <f>SUMIF('2.생활용수(채운)'!$C$5:$C$63,$C444,'2.생활용수(채운)'!$Q$5:$Q$63)</f>
        <v>0</v>
      </c>
      <c r="N444" s="81">
        <f>SUMIF('2.생활용수(강경)'!$C$5:$C$60,$C444,'2.생활용수(강경)'!$Q$5:$Q$60)</f>
        <v>0</v>
      </c>
      <c r="O444" s="81"/>
    </row>
    <row r="445" spans="1:15" ht="20.100000000000001" customHeight="1">
      <c r="A445" s="442" t="s">
        <v>2383</v>
      </c>
      <c r="B445" s="442" t="s">
        <v>2387</v>
      </c>
      <c r="C445" s="442" t="s">
        <v>2387</v>
      </c>
      <c r="D445" s="81">
        <f t="shared" si="7"/>
        <v>270</v>
      </c>
      <c r="E445" s="81">
        <f>SUMIF('2.생활용수(광석)'!$C$5:$C$56,C445,'2.생활용수(광석)'!$Q$5:$Q$56)</f>
        <v>0</v>
      </c>
      <c r="F445" s="81">
        <f>SUMIF('2.생활용수(성동)'!$C$5:$C$60,$C445,'2.생활용수(성동)'!$Q$5:$Q$60)</f>
        <v>0</v>
      </c>
      <c r="G445" s="81">
        <f>SUMIF('2.생활용수(봉화)'!$C$5:$C$18,$C445,'2.생활용수(봉화)'!$Q$5:$Q$18)</f>
        <v>0</v>
      </c>
      <c r="H445" s="81">
        <f>SUMIF('2.생활용수(논산)'!$C$5:$C$28,$C445,'2.생활용수(논산)'!$Q$5:$Q$28)</f>
        <v>270</v>
      </c>
      <c r="I445" s="81">
        <f>SUMIF('2.생활용수(연무)'!$C$5:$C$123,$C445,'2.생활용수(연무)'!$Q$5:$Q$123)</f>
        <v>0</v>
      </c>
      <c r="J445" s="81">
        <f>SUMIF('2.생활용수(마산)'!$C$5:$C$115,$C445,'2.생활용수(마산)'!$Q$5:$Q$115)</f>
        <v>0</v>
      </c>
      <c r="K445" s="81">
        <f>SUMIF('2.생활용수(부적)'!$C$5:$C$75,$C445,'2.생활용수(부적)'!$Q$5:$Q$75)</f>
        <v>0</v>
      </c>
      <c r="L445" s="81">
        <f>SUMIF('2.생활용수(연산)'!$C$5:$C$220,$C445,'2.생활용수(연산)'!$Q$5:$Q$220)</f>
        <v>0</v>
      </c>
      <c r="M445" s="81">
        <f>SUMIF('2.생활용수(채운)'!$C$5:$C$63,$C445,'2.생활용수(채운)'!$Q$5:$Q$63)</f>
        <v>0</v>
      </c>
      <c r="N445" s="81">
        <f>SUMIF('2.생활용수(강경)'!$C$5:$C$60,$C445,'2.생활용수(강경)'!$Q$5:$Q$60)</f>
        <v>0</v>
      </c>
      <c r="O445" s="81"/>
    </row>
    <row r="446" spans="1:15" ht="20.100000000000001" customHeight="1">
      <c r="A446" s="442" t="s">
        <v>2383</v>
      </c>
      <c r="B446" s="442" t="s">
        <v>2387</v>
      </c>
      <c r="C446" s="443"/>
      <c r="D446" s="81">
        <f t="shared" si="7"/>
        <v>0</v>
      </c>
      <c r="E446" s="81">
        <f>SUMIF('2.생활용수(광석)'!$C$5:$C$56,C446,'2.생활용수(광석)'!$Q$5:$Q$56)</f>
        <v>0</v>
      </c>
      <c r="F446" s="81">
        <f>SUMIF('2.생활용수(성동)'!$C$5:$C$60,$C446,'2.생활용수(성동)'!$Q$5:$Q$60)</f>
        <v>0</v>
      </c>
      <c r="G446" s="81">
        <f>SUMIF('2.생활용수(봉화)'!$C$5:$C$18,$C446,'2.생활용수(봉화)'!$Q$5:$Q$18)</f>
        <v>0</v>
      </c>
      <c r="H446" s="81">
        <f>SUMIF('2.생활용수(논산)'!$C$5:$C$28,$C446,'2.생활용수(논산)'!$Q$5:$Q$28)</f>
        <v>0</v>
      </c>
      <c r="I446" s="81">
        <f>SUMIF('2.생활용수(연무)'!$C$5:$C$123,$C446,'2.생활용수(연무)'!$Q$5:$Q$123)</f>
        <v>0</v>
      </c>
      <c r="J446" s="81">
        <f>SUMIF('2.생활용수(마산)'!$C$5:$C$115,$C446,'2.생활용수(마산)'!$Q$5:$Q$115)</f>
        <v>0</v>
      </c>
      <c r="K446" s="81">
        <f>SUMIF('2.생활용수(부적)'!$C$5:$C$75,$C446,'2.생활용수(부적)'!$Q$5:$Q$75)</f>
        <v>0</v>
      </c>
      <c r="L446" s="81">
        <f>SUMIF('2.생활용수(연산)'!$C$5:$C$220,$C446,'2.생활용수(연산)'!$Q$5:$Q$220)</f>
        <v>0</v>
      </c>
      <c r="M446" s="81">
        <f>SUMIF('2.생활용수(채운)'!$C$5:$C$63,$C446,'2.생활용수(채운)'!$Q$5:$Q$63)</f>
        <v>0</v>
      </c>
      <c r="N446" s="81">
        <f>SUMIF('2.생활용수(강경)'!$C$5:$C$60,$C446,'2.생활용수(강경)'!$Q$5:$Q$60)</f>
        <v>0</v>
      </c>
      <c r="O446" s="81"/>
    </row>
    <row r="447" spans="1:15" ht="20.100000000000001" customHeight="1">
      <c r="A447" s="442" t="s">
        <v>2383</v>
      </c>
      <c r="B447" s="442" t="s">
        <v>2387</v>
      </c>
      <c r="C447" s="443"/>
      <c r="D447" s="81">
        <f t="shared" si="7"/>
        <v>0</v>
      </c>
      <c r="E447" s="81">
        <f>SUMIF('2.생활용수(광석)'!$C$5:$C$56,C447,'2.생활용수(광석)'!$Q$5:$Q$56)</f>
        <v>0</v>
      </c>
      <c r="F447" s="81">
        <f>SUMIF('2.생활용수(성동)'!$C$5:$C$60,$C447,'2.생활용수(성동)'!$Q$5:$Q$60)</f>
        <v>0</v>
      </c>
      <c r="G447" s="81">
        <f>SUMIF('2.생활용수(봉화)'!$C$5:$C$18,$C447,'2.생활용수(봉화)'!$Q$5:$Q$18)</f>
        <v>0</v>
      </c>
      <c r="H447" s="81">
        <f>SUMIF('2.생활용수(논산)'!$C$5:$C$28,$C447,'2.생활용수(논산)'!$Q$5:$Q$28)</f>
        <v>0</v>
      </c>
      <c r="I447" s="81">
        <f>SUMIF('2.생활용수(연무)'!$C$5:$C$123,$C447,'2.생활용수(연무)'!$Q$5:$Q$123)</f>
        <v>0</v>
      </c>
      <c r="J447" s="81">
        <f>SUMIF('2.생활용수(마산)'!$C$5:$C$115,$C447,'2.생활용수(마산)'!$Q$5:$Q$115)</f>
        <v>0</v>
      </c>
      <c r="K447" s="81">
        <f>SUMIF('2.생활용수(부적)'!$C$5:$C$75,$C447,'2.생활용수(부적)'!$Q$5:$Q$75)</f>
        <v>0</v>
      </c>
      <c r="L447" s="81">
        <f>SUMIF('2.생활용수(연산)'!$C$5:$C$220,$C447,'2.생활용수(연산)'!$Q$5:$Q$220)</f>
        <v>0</v>
      </c>
      <c r="M447" s="81">
        <f>SUMIF('2.생활용수(채운)'!$C$5:$C$63,$C447,'2.생활용수(채운)'!$Q$5:$Q$63)</f>
        <v>0</v>
      </c>
      <c r="N447" s="81">
        <f>SUMIF('2.생활용수(강경)'!$C$5:$C$60,$C447,'2.생활용수(강경)'!$Q$5:$Q$60)</f>
        <v>0</v>
      </c>
      <c r="O447" s="81"/>
    </row>
    <row r="448" spans="1:15" ht="20.100000000000001" customHeight="1">
      <c r="A448" s="442" t="s">
        <v>2383</v>
      </c>
      <c r="B448" s="442" t="s">
        <v>2388</v>
      </c>
      <c r="C448" s="442" t="s">
        <v>2388</v>
      </c>
      <c r="D448" s="81">
        <f t="shared" si="7"/>
        <v>144</v>
      </c>
      <c r="E448" s="81">
        <f>SUMIF('2.생활용수(광석)'!$C$5:$C$56,C448,'2.생활용수(광석)'!$Q$5:$Q$56)</f>
        <v>0</v>
      </c>
      <c r="F448" s="81">
        <f>SUMIF('2.생활용수(성동)'!$C$5:$C$60,$C448,'2.생활용수(성동)'!$Q$5:$Q$60)</f>
        <v>0</v>
      </c>
      <c r="G448" s="81">
        <f>SUMIF('2.생활용수(봉화)'!$C$5:$C$18,$C448,'2.생활용수(봉화)'!$Q$5:$Q$18)</f>
        <v>0</v>
      </c>
      <c r="H448" s="81">
        <f>SUMIF('2.생활용수(논산)'!$C$5:$C$28,$C448,'2.생활용수(논산)'!$Q$5:$Q$28)</f>
        <v>144</v>
      </c>
      <c r="I448" s="81">
        <f>SUMIF('2.생활용수(연무)'!$C$5:$C$123,$C448,'2.생활용수(연무)'!$Q$5:$Q$123)</f>
        <v>0</v>
      </c>
      <c r="J448" s="81">
        <f>SUMIF('2.생활용수(마산)'!$C$5:$C$115,$C448,'2.생활용수(마산)'!$Q$5:$Q$115)</f>
        <v>0</v>
      </c>
      <c r="K448" s="81">
        <f>SUMIF('2.생활용수(부적)'!$C$5:$C$75,$C448,'2.생활용수(부적)'!$Q$5:$Q$75)</f>
        <v>0</v>
      </c>
      <c r="L448" s="81">
        <f>SUMIF('2.생활용수(연산)'!$C$5:$C$220,$C448,'2.생활용수(연산)'!$Q$5:$Q$220)</f>
        <v>0</v>
      </c>
      <c r="M448" s="81">
        <f>SUMIF('2.생활용수(채운)'!$C$5:$C$63,$C448,'2.생활용수(채운)'!$Q$5:$Q$63)</f>
        <v>0</v>
      </c>
      <c r="N448" s="81">
        <f>SUMIF('2.생활용수(강경)'!$C$5:$C$60,$C448,'2.생활용수(강경)'!$Q$5:$Q$60)</f>
        <v>0</v>
      </c>
      <c r="O448" s="81"/>
    </row>
    <row r="449" spans="1:15" ht="20.100000000000001" customHeight="1">
      <c r="A449" s="442" t="s">
        <v>2383</v>
      </c>
      <c r="B449" s="442" t="s">
        <v>2388</v>
      </c>
      <c r="C449" s="443"/>
      <c r="D449" s="81">
        <f t="shared" si="7"/>
        <v>0</v>
      </c>
      <c r="E449" s="81">
        <f>SUMIF('2.생활용수(광석)'!$C$5:$C$56,C449,'2.생활용수(광석)'!$Q$5:$Q$56)</f>
        <v>0</v>
      </c>
      <c r="F449" s="81">
        <f>SUMIF('2.생활용수(성동)'!$C$5:$C$60,$C449,'2.생활용수(성동)'!$Q$5:$Q$60)</f>
        <v>0</v>
      </c>
      <c r="G449" s="81">
        <f>SUMIF('2.생활용수(봉화)'!$C$5:$C$18,$C449,'2.생활용수(봉화)'!$Q$5:$Q$18)</f>
        <v>0</v>
      </c>
      <c r="H449" s="81">
        <f>SUMIF('2.생활용수(논산)'!$C$5:$C$28,$C449,'2.생활용수(논산)'!$Q$5:$Q$28)</f>
        <v>0</v>
      </c>
      <c r="I449" s="81">
        <f>SUMIF('2.생활용수(연무)'!$C$5:$C$123,$C449,'2.생활용수(연무)'!$Q$5:$Q$123)</f>
        <v>0</v>
      </c>
      <c r="J449" s="81">
        <f>SUMIF('2.생활용수(마산)'!$C$5:$C$115,$C449,'2.생활용수(마산)'!$Q$5:$Q$115)</f>
        <v>0</v>
      </c>
      <c r="K449" s="81">
        <f>SUMIF('2.생활용수(부적)'!$C$5:$C$75,$C449,'2.생활용수(부적)'!$Q$5:$Q$75)</f>
        <v>0</v>
      </c>
      <c r="L449" s="81">
        <f>SUMIF('2.생활용수(연산)'!$C$5:$C$220,$C449,'2.생활용수(연산)'!$Q$5:$Q$220)</f>
        <v>0</v>
      </c>
      <c r="M449" s="81">
        <f>SUMIF('2.생활용수(채운)'!$C$5:$C$63,$C449,'2.생활용수(채운)'!$Q$5:$Q$63)</f>
        <v>0</v>
      </c>
      <c r="N449" s="81">
        <f>SUMIF('2.생활용수(강경)'!$C$5:$C$60,$C449,'2.생활용수(강경)'!$Q$5:$Q$60)</f>
        <v>0</v>
      </c>
      <c r="O449" s="81"/>
    </row>
    <row r="450" spans="1:15" ht="20.100000000000001" customHeight="1">
      <c r="A450" s="442" t="s">
        <v>2383</v>
      </c>
      <c r="B450" s="442" t="s">
        <v>2389</v>
      </c>
      <c r="C450" s="442" t="s">
        <v>2389</v>
      </c>
      <c r="D450" s="81">
        <f t="shared" si="7"/>
        <v>4661</v>
      </c>
      <c r="E450" s="81">
        <f>SUMIF('2.생활용수(광석)'!$C$5:$C$56,C450,'2.생활용수(광석)'!$Q$5:$Q$56)</f>
        <v>0</v>
      </c>
      <c r="F450" s="81">
        <f>SUMIF('2.생활용수(성동)'!$C$5:$C$60,$C450,'2.생활용수(성동)'!$Q$5:$Q$60)</f>
        <v>0</v>
      </c>
      <c r="G450" s="81">
        <f>SUMIF('2.생활용수(봉화)'!$C$5:$C$18,$C450,'2.생활용수(봉화)'!$Q$5:$Q$18)</f>
        <v>0</v>
      </c>
      <c r="H450" s="81">
        <f>SUMIF('2.생활용수(논산)'!$C$5:$C$28,$C450,'2.생활용수(논산)'!$Q$5:$Q$28)</f>
        <v>3923</v>
      </c>
      <c r="I450" s="81">
        <f>SUMIF('2.생활용수(연무)'!$C$5:$C$123,$C450,'2.생활용수(연무)'!$Q$5:$Q$123)</f>
        <v>738</v>
      </c>
      <c r="J450" s="81">
        <f>SUMIF('2.생활용수(마산)'!$C$5:$C$115,$C450,'2.생활용수(마산)'!$Q$5:$Q$115)</f>
        <v>0</v>
      </c>
      <c r="K450" s="81">
        <f>SUMIF('2.생활용수(부적)'!$C$5:$C$75,$C450,'2.생활용수(부적)'!$Q$5:$Q$75)</f>
        <v>0</v>
      </c>
      <c r="L450" s="81">
        <f>SUMIF('2.생활용수(연산)'!$C$5:$C$220,$C450,'2.생활용수(연산)'!$Q$5:$Q$220)</f>
        <v>0</v>
      </c>
      <c r="M450" s="81">
        <f>SUMIF('2.생활용수(채운)'!$C$5:$C$63,$C450,'2.생활용수(채운)'!$Q$5:$Q$63)</f>
        <v>0</v>
      </c>
      <c r="N450" s="81">
        <f>SUMIF('2.생활용수(강경)'!$C$5:$C$60,$C450,'2.생활용수(강경)'!$Q$5:$Q$60)</f>
        <v>0</v>
      </c>
      <c r="O450" s="81"/>
    </row>
    <row r="451" spans="1:15" ht="20.100000000000001" customHeight="1">
      <c r="A451" s="442" t="s">
        <v>2383</v>
      </c>
      <c r="B451" s="442" t="s">
        <v>2389</v>
      </c>
      <c r="C451" s="447"/>
      <c r="D451" s="81">
        <f t="shared" si="7"/>
        <v>0</v>
      </c>
      <c r="E451" s="81">
        <f>SUMIF('2.생활용수(광석)'!$C$5:$C$56,C451,'2.생활용수(광석)'!$Q$5:$Q$56)</f>
        <v>0</v>
      </c>
      <c r="F451" s="81">
        <f>SUMIF('2.생활용수(성동)'!$C$5:$C$60,$C451,'2.생활용수(성동)'!$Q$5:$Q$60)</f>
        <v>0</v>
      </c>
      <c r="G451" s="81">
        <f>SUMIF('2.생활용수(봉화)'!$C$5:$C$18,$C451,'2.생활용수(봉화)'!$Q$5:$Q$18)</f>
        <v>0</v>
      </c>
      <c r="H451" s="81">
        <f>SUMIF('2.생활용수(논산)'!$C$5:$C$28,$C451,'2.생활용수(논산)'!$Q$5:$Q$28)</f>
        <v>0</v>
      </c>
      <c r="I451" s="81">
        <f>SUMIF('2.생활용수(연무)'!$C$5:$C$123,$C451,'2.생활용수(연무)'!$Q$5:$Q$123)</f>
        <v>0</v>
      </c>
      <c r="J451" s="81">
        <f>SUMIF('2.생활용수(마산)'!$C$5:$C$115,$C451,'2.생활용수(마산)'!$Q$5:$Q$115)</f>
        <v>0</v>
      </c>
      <c r="K451" s="81">
        <f>SUMIF('2.생활용수(부적)'!$C$5:$C$75,$C451,'2.생활용수(부적)'!$Q$5:$Q$75)</f>
        <v>0</v>
      </c>
      <c r="L451" s="81">
        <f>SUMIF('2.생활용수(연산)'!$C$5:$C$220,$C451,'2.생활용수(연산)'!$Q$5:$Q$220)</f>
        <v>0</v>
      </c>
      <c r="M451" s="81">
        <f>SUMIF('2.생활용수(채운)'!$C$5:$C$63,$C451,'2.생활용수(채운)'!$Q$5:$Q$63)</f>
        <v>0</v>
      </c>
      <c r="N451" s="81">
        <f>SUMIF('2.생활용수(강경)'!$C$5:$C$60,$C451,'2.생활용수(강경)'!$Q$5:$Q$60)</f>
        <v>0</v>
      </c>
      <c r="O451" s="81"/>
    </row>
    <row r="452" spans="1:15" ht="20.100000000000001" customHeight="1">
      <c r="A452" s="442" t="s">
        <v>2383</v>
      </c>
      <c r="B452" s="442" t="s">
        <v>2389</v>
      </c>
      <c r="C452" s="447"/>
      <c r="D452" s="81">
        <f t="shared" si="7"/>
        <v>0</v>
      </c>
      <c r="E452" s="81">
        <f>SUMIF('2.생활용수(광석)'!$C$5:$C$56,C452,'2.생활용수(광석)'!$Q$5:$Q$56)</f>
        <v>0</v>
      </c>
      <c r="F452" s="81">
        <f>SUMIF('2.생활용수(성동)'!$C$5:$C$60,$C452,'2.생활용수(성동)'!$Q$5:$Q$60)</f>
        <v>0</v>
      </c>
      <c r="G452" s="81">
        <f>SUMIF('2.생활용수(봉화)'!$C$5:$C$18,$C452,'2.생활용수(봉화)'!$Q$5:$Q$18)</f>
        <v>0</v>
      </c>
      <c r="H452" s="81">
        <f>SUMIF('2.생활용수(논산)'!$C$5:$C$28,$C452,'2.생활용수(논산)'!$Q$5:$Q$28)</f>
        <v>0</v>
      </c>
      <c r="I452" s="81">
        <f>SUMIF('2.생활용수(연무)'!$C$5:$C$123,$C452,'2.생활용수(연무)'!$Q$5:$Q$123)</f>
        <v>0</v>
      </c>
      <c r="J452" s="81">
        <f>SUMIF('2.생활용수(마산)'!$C$5:$C$115,$C452,'2.생활용수(마산)'!$Q$5:$Q$115)</f>
        <v>0</v>
      </c>
      <c r="K452" s="81">
        <f>SUMIF('2.생활용수(부적)'!$C$5:$C$75,$C452,'2.생활용수(부적)'!$Q$5:$Q$75)</f>
        <v>0</v>
      </c>
      <c r="L452" s="81">
        <f>SUMIF('2.생활용수(연산)'!$C$5:$C$220,$C452,'2.생활용수(연산)'!$Q$5:$Q$220)</f>
        <v>0</v>
      </c>
      <c r="M452" s="81">
        <f>SUMIF('2.생활용수(채운)'!$C$5:$C$63,$C452,'2.생활용수(채운)'!$Q$5:$Q$63)</f>
        <v>0</v>
      </c>
      <c r="N452" s="81">
        <f>SUMIF('2.생활용수(강경)'!$C$5:$C$60,$C452,'2.생활용수(강경)'!$Q$5:$Q$60)</f>
        <v>0</v>
      </c>
      <c r="O452" s="81"/>
    </row>
    <row r="453" spans="1:15" ht="20.100000000000001" customHeight="1">
      <c r="A453" s="442" t="s">
        <v>2383</v>
      </c>
      <c r="B453" s="442" t="s">
        <v>2389</v>
      </c>
      <c r="C453" s="447"/>
      <c r="D453" s="81">
        <f t="shared" ref="D453:D484" si="8">SUM(E453:O453)</f>
        <v>0</v>
      </c>
      <c r="E453" s="81">
        <f>SUMIF('2.생활용수(광석)'!$C$5:$C$56,C453,'2.생활용수(광석)'!$Q$5:$Q$56)</f>
        <v>0</v>
      </c>
      <c r="F453" s="81">
        <f>SUMIF('2.생활용수(성동)'!$C$5:$C$60,$C453,'2.생활용수(성동)'!$Q$5:$Q$60)</f>
        <v>0</v>
      </c>
      <c r="G453" s="81">
        <f>SUMIF('2.생활용수(봉화)'!$C$5:$C$18,$C453,'2.생활용수(봉화)'!$Q$5:$Q$18)</f>
        <v>0</v>
      </c>
      <c r="H453" s="81">
        <f>SUMIF('2.생활용수(논산)'!$C$5:$C$28,$C453,'2.생활용수(논산)'!$Q$5:$Q$28)</f>
        <v>0</v>
      </c>
      <c r="I453" s="81">
        <f>SUMIF('2.생활용수(연무)'!$C$5:$C$123,$C453,'2.생활용수(연무)'!$Q$5:$Q$123)</f>
        <v>0</v>
      </c>
      <c r="J453" s="81">
        <f>SUMIF('2.생활용수(마산)'!$C$5:$C$115,$C453,'2.생활용수(마산)'!$Q$5:$Q$115)</f>
        <v>0</v>
      </c>
      <c r="K453" s="81">
        <f>SUMIF('2.생활용수(부적)'!$C$5:$C$75,$C453,'2.생활용수(부적)'!$Q$5:$Q$75)</f>
        <v>0</v>
      </c>
      <c r="L453" s="81">
        <f>SUMIF('2.생활용수(연산)'!$C$5:$C$220,$C453,'2.생활용수(연산)'!$Q$5:$Q$220)</f>
        <v>0</v>
      </c>
      <c r="M453" s="81">
        <f>SUMIF('2.생활용수(채운)'!$C$5:$C$63,$C453,'2.생활용수(채운)'!$Q$5:$Q$63)</f>
        <v>0</v>
      </c>
      <c r="N453" s="81">
        <f>SUMIF('2.생활용수(강경)'!$C$5:$C$60,$C453,'2.생활용수(강경)'!$Q$5:$Q$60)</f>
        <v>0</v>
      </c>
      <c r="O453" s="81"/>
    </row>
    <row r="454" spans="1:15" ht="20.100000000000001" customHeight="1">
      <c r="A454" s="442" t="s">
        <v>2383</v>
      </c>
      <c r="B454" s="442" t="s">
        <v>2389</v>
      </c>
      <c r="C454" s="447"/>
      <c r="D454" s="81">
        <f t="shared" si="8"/>
        <v>0</v>
      </c>
      <c r="E454" s="81">
        <f>SUMIF('2.생활용수(광석)'!$C$5:$C$56,C454,'2.생활용수(광석)'!$Q$5:$Q$56)</f>
        <v>0</v>
      </c>
      <c r="F454" s="81">
        <f>SUMIF('2.생활용수(성동)'!$C$5:$C$60,$C454,'2.생활용수(성동)'!$Q$5:$Q$60)</f>
        <v>0</v>
      </c>
      <c r="G454" s="81">
        <f>SUMIF('2.생활용수(봉화)'!$C$5:$C$18,$C454,'2.생활용수(봉화)'!$Q$5:$Q$18)</f>
        <v>0</v>
      </c>
      <c r="H454" s="81">
        <f>SUMIF('2.생활용수(논산)'!$C$5:$C$28,$C454,'2.생활용수(논산)'!$Q$5:$Q$28)</f>
        <v>0</v>
      </c>
      <c r="I454" s="81">
        <f>SUMIF('2.생활용수(연무)'!$C$5:$C$123,$C454,'2.생활용수(연무)'!$Q$5:$Q$123)</f>
        <v>0</v>
      </c>
      <c r="J454" s="81">
        <f>SUMIF('2.생활용수(마산)'!$C$5:$C$115,$C454,'2.생활용수(마산)'!$Q$5:$Q$115)</f>
        <v>0</v>
      </c>
      <c r="K454" s="81">
        <f>SUMIF('2.생활용수(부적)'!$C$5:$C$75,$C454,'2.생활용수(부적)'!$Q$5:$Q$75)</f>
        <v>0</v>
      </c>
      <c r="L454" s="81">
        <f>SUMIF('2.생활용수(연산)'!$C$5:$C$220,$C454,'2.생활용수(연산)'!$Q$5:$Q$220)</f>
        <v>0</v>
      </c>
      <c r="M454" s="81">
        <f>SUMIF('2.생활용수(채운)'!$C$5:$C$63,$C454,'2.생활용수(채운)'!$Q$5:$Q$63)</f>
        <v>0</v>
      </c>
      <c r="N454" s="81">
        <f>SUMIF('2.생활용수(강경)'!$C$5:$C$60,$C454,'2.생활용수(강경)'!$Q$5:$Q$60)</f>
        <v>0</v>
      </c>
      <c r="O454" s="81"/>
    </row>
    <row r="455" spans="1:15" ht="20.100000000000001" customHeight="1">
      <c r="A455" s="442" t="s">
        <v>2383</v>
      </c>
      <c r="B455" s="442" t="s">
        <v>2389</v>
      </c>
      <c r="C455" s="447"/>
      <c r="D455" s="81">
        <f t="shared" si="8"/>
        <v>0</v>
      </c>
      <c r="E455" s="81">
        <f>SUMIF('2.생활용수(광석)'!$C$5:$C$56,C455,'2.생활용수(광석)'!$Q$5:$Q$56)</f>
        <v>0</v>
      </c>
      <c r="F455" s="81">
        <f>SUMIF('2.생활용수(성동)'!$C$5:$C$60,$C455,'2.생활용수(성동)'!$Q$5:$Q$60)</f>
        <v>0</v>
      </c>
      <c r="G455" s="81">
        <f>SUMIF('2.생활용수(봉화)'!$C$5:$C$18,$C455,'2.생활용수(봉화)'!$Q$5:$Q$18)</f>
        <v>0</v>
      </c>
      <c r="H455" s="81">
        <f>SUMIF('2.생활용수(논산)'!$C$5:$C$28,$C455,'2.생활용수(논산)'!$Q$5:$Q$28)</f>
        <v>0</v>
      </c>
      <c r="I455" s="81">
        <f>SUMIF('2.생활용수(연무)'!$C$5:$C$123,$C455,'2.생활용수(연무)'!$Q$5:$Q$123)</f>
        <v>0</v>
      </c>
      <c r="J455" s="81">
        <f>SUMIF('2.생활용수(마산)'!$C$5:$C$115,$C455,'2.생활용수(마산)'!$Q$5:$Q$115)</f>
        <v>0</v>
      </c>
      <c r="K455" s="81">
        <f>SUMIF('2.생활용수(부적)'!$C$5:$C$75,$C455,'2.생활용수(부적)'!$Q$5:$Q$75)</f>
        <v>0</v>
      </c>
      <c r="L455" s="81">
        <f>SUMIF('2.생활용수(연산)'!$C$5:$C$220,$C455,'2.생활용수(연산)'!$Q$5:$Q$220)</f>
        <v>0</v>
      </c>
      <c r="M455" s="81">
        <f>SUMIF('2.생활용수(채운)'!$C$5:$C$63,$C455,'2.생활용수(채운)'!$Q$5:$Q$63)</f>
        <v>0</v>
      </c>
      <c r="N455" s="81">
        <f>SUMIF('2.생활용수(강경)'!$C$5:$C$60,$C455,'2.생활용수(강경)'!$Q$5:$Q$60)</f>
        <v>0</v>
      </c>
      <c r="O455" s="81"/>
    </row>
    <row r="456" spans="1:15" ht="20.100000000000001" customHeight="1">
      <c r="A456" s="442" t="s">
        <v>2383</v>
      </c>
      <c r="B456" s="442" t="s">
        <v>2389</v>
      </c>
      <c r="C456" s="447"/>
      <c r="D456" s="81">
        <f t="shared" si="8"/>
        <v>0</v>
      </c>
      <c r="E456" s="81">
        <f>SUMIF('2.생활용수(광석)'!$C$5:$C$56,C456,'2.생활용수(광석)'!$Q$5:$Q$56)</f>
        <v>0</v>
      </c>
      <c r="F456" s="81">
        <f>SUMIF('2.생활용수(성동)'!$C$5:$C$60,$C456,'2.생활용수(성동)'!$Q$5:$Q$60)</f>
        <v>0</v>
      </c>
      <c r="G456" s="81">
        <f>SUMIF('2.생활용수(봉화)'!$C$5:$C$18,$C456,'2.생활용수(봉화)'!$Q$5:$Q$18)</f>
        <v>0</v>
      </c>
      <c r="H456" s="81">
        <f>SUMIF('2.생활용수(논산)'!$C$5:$C$28,$C456,'2.생활용수(논산)'!$Q$5:$Q$28)</f>
        <v>0</v>
      </c>
      <c r="I456" s="81">
        <f>SUMIF('2.생활용수(연무)'!$C$5:$C$123,$C456,'2.생활용수(연무)'!$Q$5:$Q$123)</f>
        <v>0</v>
      </c>
      <c r="J456" s="81">
        <f>SUMIF('2.생활용수(마산)'!$C$5:$C$115,$C456,'2.생활용수(마산)'!$Q$5:$Q$115)</f>
        <v>0</v>
      </c>
      <c r="K456" s="81">
        <f>SUMIF('2.생활용수(부적)'!$C$5:$C$75,$C456,'2.생활용수(부적)'!$Q$5:$Q$75)</f>
        <v>0</v>
      </c>
      <c r="L456" s="81">
        <f>SUMIF('2.생활용수(연산)'!$C$5:$C$220,$C456,'2.생활용수(연산)'!$Q$5:$Q$220)</f>
        <v>0</v>
      </c>
      <c r="M456" s="81">
        <f>SUMIF('2.생활용수(채운)'!$C$5:$C$63,$C456,'2.생활용수(채운)'!$Q$5:$Q$63)</f>
        <v>0</v>
      </c>
      <c r="N456" s="81">
        <f>SUMIF('2.생활용수(강경)'!$C$5:$C$60,$C456,'2.생활용수(강경)'!$Q$5:$Q$60)</f>
        <v>0</v>
      </c>
      <c r="O456" s="81"/>
    </row>
    <row r="457" spans="1:15" ht="20.100000000000001" customHeight="1">
      <c r="A457" s="442" t="s">
        <v>2383</v>
      </c>
      <c r="B457" s="442" t="s">
        <v>2389</v>
      </c>
      <c r="C457" s="447"/>
      <c r="D457" s="81">
        <f t="shared" si="8"/>
        <v>0</v>
      </c>
      <c r="E457" s="81">
        <f>SUMIF('2.생활용수(광석)'!$C$5:$C$56,C457,'2.생활용수(광석)'!$Q$5:$Q$56)</f>
        <v>0</v>
      </c>
      <c r="F457" s="81">
        <f>SUMIF('2.생활용수(성동)'!$C$5:$C$60,$C457,'2.생활용수(성동)'!$Q$5:$Q$60)</f>
        <v>0</v>
      </c>
      <c r="G457" s="81">
        <f>SUMIF('2.생활용수(봉화)'!$C$5:$C$18,$C457,'2.생활용수(봉화)'!$Q$5:$Q$18)</f>
        <v>0</v>
      </c>
      <c r="H457" s="81">
        <f>SUMIF('2.생활용수(논산)'!$C$5:$C$28,$C457,'2.생활용수(논산)'!$Q$5:$Q$28)</f>
        <v>0</v>
      </c>
      <c r="I457" s="81">
        <f>SUMIF('2.생활용수(연무)'!$C$5:$C$123,$C457,'2.생활용수(연무)'!$Q$5:$Q$123)</f>
        <v>0</v>
      </c>
      <c r="J457" s="81">
        <f>SUMIF('2.생활용수(마산)'!$C$5:$C$115,$C457,'2.생활용수(마산)'!$Q$5:$Q$115)</f>
        <v>0</v>
      </c>
      <c r="K457" s="81">
        <f>SUMIF('2.생활용수(부적)'!$C$5:$C$75,$C457,'2.생활용수(부적)'!$Q$5:$Q$75)</f>
        <v>0</v>
      </c>
      <c r="L457" s="81">
        <f>SUMIF('2.생활용수(연산)'!$C$5:$C$220,$C457,'2.생활용수(연산)'!$Q$5:$Q$220)</f>
        <v>0</v>
      </c>
      <c r="M457" s="81">
        <f>SUMIF('2.생활용수(채운)'!$C$5:$C$63,$C457,'2.생활용수(채운)'!$Q$5:$Q$63)</f>
        <v>0</v>
      </c>
      <c r="N457" s="81">
        <f>SUMIF('2.생활용수(강경)'!$C$5:$C$60,$C457,'2.생활용수(강경)'!$Q$5:$Q$60)</f>
        <v>0</v>
      </c>
      <c r="O457" s="81"/>
    </row>
    <row r="458" spans="1:15" ht="20.100000000000001" customHeight="1">
      <c r="A458" s="442" t="s">
        <v>2383</v>
      </c>
      <c r="B458" s="442" t="s">
        <v>2389</v>
      </c>
      <c r="C458" s="447"/>
      <c r="D458" s="81">
        <f t="shared" si="8"/>
        <v>0</v>
      </c>
      <c r="E458" s="81">
        <f>SUMIF('2.생활용수(광석)'!$C$5:$C$56,C458,'2.생활용수(광석)'!$Q$5:$Q$56)</f>
        <v>0</v>
      </c>
      <c r="F458" s="81">
        <f>SUMIF('2.생활용수(성동)'!$C$5:$C$60,$C458,'2.생활용수(성동)'!$Q$5:$Q$60)</f>
        <v>0</v>
      </c>
      <c r="G458" s="81">
        <f>SUMIF('2.생활용수(봉화)'!$C$5:$C$18,$C458,'2.생활용수(봉화)'!$Q$5:$Q$18)</f>
        <v>0</v>
      </c>
      <c r="H458" s="81">
        <f>SUMIF('2.생활용수(논산)'!$C$5:$C$28,$C458,'2.생활용수(논산)'!$Q$5:$Q$28)</f>
        <v>0</v>
      </c>
      <c r="I458" s="81">
        <f>SUMIF('2.생활용수(연무)'!$C$5:$C$123,$C458,'2.생활용수(연무)'!$Q$5:$Q$123)</f>
        <v>0</v>
      </c>
      <c r="J458" s="81">
        <f>SUMIF('2.생활용수(마산)'!$C$5:$C$115,$C458,'2.생활용수(마산)'!$Q$5:$Q$115)</f>
        <v>0</v>
      </c>
      <c r="K458" s="81">
        <f>SUMIF('2.생활용수(부적)'!$C$5:$C$75,$C458,'2.생활용수(부적)'!$Q$5:$Q$75)</f>
        <v>0</v>
      </c>
      <c r="L458" s="81">
        <f>SUMIF('2.생활용수(연산)'!$C$5:$C$220,$C458,'2.생활용수(연산)'!$Q$5:$Q$220)</f>
        <v>0</v>
      </c>
      <c r="M458" s="81">
        <f>SUMIF('2.생활용수(채운)'!$C$5:$C$63,$C458,'2.생활용수(채운)'!$Q$5:$Q$63)</f>
        <v>0</v>
      </c>
      <c r="N458" s="81">
        <f>SUMIF('2.생활용수(강경)'!$C$5:$C$60,$C458,'2.생활용수(강경)'!$Q$5:$Q$60)</f>
        <v>0</v>
      </c>
      <c r="O458" s="81"/>
    </row>
    <row r="459" spans="1:15" ht="20.100000000000001" customHeight="1">
      <c r="A459" s="442" t="s">
        <v>2383</v>
      </c>
      <c r="B459" s="442" t="s">
        <v>2390</v>
      </c>
      <c r="C459" s="442" t="s">
        <v>2390</v>
      </c>
      <c r="D459" s="81">
        <f t="shared" si="8"/>
        <v>227</v>
      </c>
      <c r="E459" s="81">
        <f>SUMIF('2.생활용수(광석)'!$C$5:$C$56,C459,'2.생활용수(광석)'!$Q$5:$Q$56)</f>
        <v>0</v>
      </c>
      <c r="F459" s="81">
        <f>SUMIF('2.생활용수(성동)'!$C$5:$C$60,$C459,'2.생활용수(성동)'!$Q$5:$Q$60)</f>
        <v>0</v>
      </c>
      <c r="G459" s="81">
        <f>SUMIF('2.생활용수(봉화)'!$C$5:$C$18,$C459,'2.생활용수(봉화)'!$Q$5:$Q$18)</f>
        <v>0</v>
      </c>
      <c r="H459" s="81">
        <f>SUMIF('2.생활용수(논산)'!$C$5:$C$28,$C459,'2.생활용수(논산)'!$Q$5:$Q$28)</f>
        <v>227</v>
      </c>
      <c r="I459" s="81">
        <f>SUMIF('2.생활용수(연무)'!$C$5:$C$123,$C459,'2.생활용수(연무)'!$Q$5:$Q$123)</f>
        <v>0</v>
      </c>
      <c r="J459" s="81">
        <f>SUMIF('2.생활용수(마산)'!$C$5:$C$115,$C459,'2.생활용수(마산)'!$Q$5:$Q$115)</f>
        <v>0</v>
      </c>
      <c r="K459" s="81">
        <f>SUMIF('2.생활용수(부적)'!$C$5:$C$75,$C459,'2.생활용수(부적)'!$Q$5:$Q$75)</f>
        <v>0</v>
      </c>
      <c r="L459" s="81">
        <f>SUMIF('2.생활용수(연산)'!$C$5:$C$220,$C459,'2.생활용수(연산)'!$Q$5:$Q$220)</f>
        <v>0</v>
      </c>
      <c r="M459" s="81">
        <f>SUMIF('2.생활용수(채운)'!$C$5:$C$63,$C459,'2.생활용수(채운)'!$Q$5:$Q$63)</f>
        <v>0</v>
      </c>
      <c r="N459" s="81">
        <f>SUMIF('2.생활용수(강경)'!$C$5:$C$60,$C459,'2.생활용수(강경)'!$Q$5:$Q$60)</f>
        <v>0</v>
      </c>
      <c r="O459" s="81"/>
    </row>
    <row r="460" spans="1:15" ht="20.100000000000001" customHeight="1">
      <c r="A460" s="442" t="s">
        <v>2383</v>
      </c>
      <c r="B460" s="442" t="s">
        <v>2390</v>
      </c>
      <c r="C460" s="443"/>
      <c r="D460" s="81">
        <f t="shared" si="8"/>
        <v>0</v>
      </c>
      <c r="E460" s="81">
        <f>SUMIF('2.생활용수(광석)'!$C$5:$C$56,C460,'2.생활용수(광석)'!$Q$5:$Q$56)</f>
        <v>0</v>
      </c>
      <c r="F460" s="81">
        <f>SUMIF('2.생활용수(성동)'!$C$5:$C$60,$C460,'2.생활용수(성동)'!$Q$5:$Q$60)</f>
        <v>0</v>
      </c>
      <c r="G460" s="81">
        <f>SUMIF('2.생활용수(봉화)'!$C$5:$C$18,$C460,'2.생활용수(봉화)'!$Q$5:$Q$18)</f>
        <v>0</v>
      </c>
      <c r="H460" s="81">
        <f>SUMIF('2.생활용수(논산)'!$C$5:$C$28,$C460,'2.생활용수(논산)'!$Q$5:$Q$28)</f>
        <v>0</v>
      </c>
      <c r="I460" s="81">
        <f>SUMIF('2.생활용수(연무)'!$C$5:$C$123,$C460,'2.생활용수(연무)'!$Q$5:$Q$123)</f>
        <v>0</v>
      </c>
      <c r="J460" s="81">
        <f>SUMIF('2.생활용수(마산)'!$C$5:$C$115,$C460,'2.생활용수(마산)'!$Q$5:$Q$115)</f>
        <v>0</v>
      </c>
      <c r="K460" s="81">
        <f>SUMIF('2.생활용수(부적)'!$C$5:$C$75,$C460,'2.생활용수(부적)'!$Q$5:$Q$75)</f>
        <v>0</v>
      </c>
      <c r="L460" s="81">
        <f>SUMIF('2.생활용수(연산)'!$C$5:$C$220,$C460,'2.생활용수(연산)'!$Q$5:$Q$220)</f>
        <v>0</v>
      </c>
      <c r="M460" s="81">
        <f>SUMIF('2.생활용수(채운)'!$C$5:$C$63,$C460,'2.생활용수(채운)'!$Q$5:$Q$63)</f>
        <v>0</v>
      </c>
      <c r="N460" s="81">
        <f>SUMIF('2.생활용수(강경)'!$C$5:$C$60,$C460,'2.생활용수(강경)'!$Q$5:$Q$60)</f>
        <v>0</v>
      </c>
      <c r="O460" s="81"/>
    </row>
    <row r="461" spans="1:15" ht="20.100000000000001" customHeight="1">
      <c r="A461" s="442" t="s">
        <v>2391</v>
      </c>
      <c r="B461" s="442" t="s">
        <v>2392</v>
      </c>
      <c r="C461" s="442" t="s">
        <v>2392</v>
      </c>
      <c r="D461" s="81">
        <f t="shared" si="8"/>
        <v>1484</v>
      </c>
      <c r="E461" s="81">
        <f>SUMIF('2.생활용수(광석)'!$C$5:$C$56,C461,'2.생활용수(광석)'!$Q$5:$Q$56)</f>
        <v>0</v>
      </c>
      <c r="F461" s="81">
        <f>SUMIF('2.생활용수(성동)'!$C$5:$C$60,$C461,'2.생활용수(성동)'!$Q$5:$Q$60)</f>
        <v>0</v>
      </c>
      <c r="G461" s="81">
        <f>SUMIF('2.생활용수(봉화)'!$C$5:$C$18,$C461,'2.생활용수(봉화)'!$Q$5:$Q$18)</f>
        <v>343</v>
      </c>
      <c r="H461" s="81">
        <f>SUMIF('2.생활용수(논산)'!$C$5:$C$28,$C461,'2.생활용수(논산)'!$Q$5:$Q$28)</f>
        <v>1141</v>
      </c>
      <c r="I461" s="81">
        <f>SUMIF('2.생활용수(연무)'!$C$5:$C$123,$C461,'2.생활용수(연무)'!$Q$5:$Q$123)</f>
        <v>0</v>
      </c>
      <c r="J461" s="81">
        <f>SUMIF('2.생활용수(마산)'!$C$5:$C$115,$C461,'2.생활용수(마산)'!$Q$5:$Q$115)</f>
        <v>0</v>
      </c>
      <c r="K461" s="81">
        <f>SUMIF('2.생활용수(부적)'!$C$5:$C$75,$C461,'2.생활용수(부적)'!$Q$5:$Q$75)</f>
        <v>0</v>
      </c>
      <c r="L461" s="81">
        <f>SUMIF('2.생활용수(연산)'!$C$5:$C$220,$C461,'2.생활용수(연산)'!$Q$5:$Q$220)</f>
        <v>0</v>
      </c>
      <c r="M461" s="81">
        <f>SUMIF('2.생활용수(채운)'!$C$5:$C$63,$C461,'2.생활용수(채운)'!$Q$5:$Q$63)</f>
        <v>0</v>
      </c>
      <c r="N461" s="81">
        <f>SUMIF('2.생활용수(강경)'!$C$5:$C$60,$C461,'2.생활용수(강경)'!$Q$5:$Q$60)</f>
        <v>0</v>
      </c>
      <c r="O461" s="81"/>
    </row>
    <row r="462" spans="1:15" ht="20.100000000000001" customHeight="1">
      <c r="A462" s="442" t="s">
        <v>2391</v>
      </c>
      <c r="B462" s="442" t="s">
        <v>2392</v>
      </c>
      <c r="C462" s="447"/>
      <c r="D462" s="81">
        <f t="shared" si="8"/>
        <v>0</v>
      </c>
      <c r="E462" s="81">
        <f>SUMIF('2.생활용수(광석)'!$C$5:$C$56,C462,'2.생활용수(광석)'!$Q$5:$Q$56)</f>
        <v>0</v>
      </c>
      <c r="F462" s="81">
        <f>SUMIF('2.생활용수(성동)'!$C$5:$C$60,$C462,'2.생활용수(성동)'!$Q$5:$Q$60)</f>
        <v>0</v>
      </c>
      <c r="G462" s="81">
        <f>SUMIF('2.생활용수(봉화)'!$C$5:$C$18,$C462,'2.생활용수(봉화)'!$Q$5:$Q$18)</f>
        <v>0</v>
      </c>
      <c r="H462" s="81">
        <f>SUMIF('2.생활용수(논산)'!$C$5:$C$28,$C462,'2.생활용수(논산)'!$Q$5:$Q$28)</f>
        <v>0</v>
      </c>
      <c r="I462" s="81">
        <f>SUMIF('2.생활용수(연무)'!$C$5:$C$123,$C462,'2.생활용수(연무)'!$Q$5:$Q$123)</f>
        <v>0</v>
      </c>
      <c r="J462" s="81">
        <f>SUMIF('2.생활용수(마산)'!$C$5:$C$115,$C462,'2.생활용수(마산)'!$Q$5:$Q$115)</f>
        <v>0</v>
      </c>
      <c r="K462" s="81">
        <f>SUMIF('2.생활용수(부적)'!$C$5:$C$75,$C462,'2.생활용수(부적)'!$Q$5:$Q$75)</f>
        <v>0</v>
      </c>
      <c r="L462" s="81">
        <f>SUMIF('2.생활용수(연산)'!$C$5:$C$220,$C462,'2.생활용수(연산)'!$Q$5:$Q$220)</f>
        <v>0</v>
      </c>
      <c r="M462" s="81">
        <f>SUMIF('2.생활용수(채운)'!$C$5:$C$63,$C462,'2.생활용수(채운)'!$Q$5:$Q$63)</f>
        <v>0</v>
      </c>
      <c r="N462" s="81">
        <f>SUMIF('2.생활용수(강경)'!$C$5:$C$60,$C462,'2.생활용수(강경)'!$Q$5:$Q$60)</f>
        <v>0</v>
      </c>
      <c r="O462" s="81"/>
    </row>
    <row r="463" spans="1:15" ht="20.100000000000001" customHeight="1">
      <c r="A463" s="442" t="s">
        <v>2391</v>
      </c>
      <c r="B463" s="442" t="s">
        <v>2392</v>
      </c>
      <c r="C463" s="447"/>
      <c r="D463" s="81">
        <f t="shared" si="8"/>
        <v>0</v>
      </c>
      <c r="E463" s="81">
        <f>SUMIF('2.생활용수(광석)'!$C$5:$C$56,C463,'2.생활용수(광석)'!$Q$5:$Q$56)</f>
        <v>0</v>
      </c>
      <c r="F463" s="81">
        <f>SUMIF('2.생활용수(성동)'!$C$5:$C$60,$C463,'2.생활용수(성동)'!$Q$5:$Q$60)</f>
        <v>0</v>
      </c>
      <c r="G463" s="81">
        <f>SUMIF('2.생활용수(봉화)'!$C$5:$C$18,$C463,'2.생활용수(봉화)'!$Q$5:$Q$18)</f>
        <v>0</v>
      </c>
      <c r="H463" s="81">
        <f>SUMIF('2.생활용수(논산)'!$C$5:$C$28,$C463,'2.생활용수(논산)'!$Q$5:$Q$28)</f>
        <v>0</v>
      </c>
      <c r="I463" s="81">
        <f>SUMIF('2.생활용수(연무)'!$C$5:$C$123,$C463,'2.생활용수(연무)'!$Q$5:$Q$123)</f>
        <v>0</v>
      </c>
      <c r="J463" s="81">
        <f>SUMIF('2.생활용수(마산)'!$C$5:$C$115,$C463,'2.생활용수(마산)'!$Q$5:$Q$115)</f>
        <v>0</v>
      </c>
      <c r="K463" s="81">
        <f>SUMIF('2.생활용수(부적)'!$C$5:$C$75,$C463,'2.생활용수(부적)'!$Q$5:$Q$75)</f>
        <v>0</v>
      </c>
      <c r="L463" s="81">
        <f>SUMIF('2.생활용수(연산)'!$C$5:$C$220,$C463,'2.생활용수(연산)'!$Q$5:$Q$220)</f>
        <v>0</v>
      </c>
      <c r="M463" s="81">
        <f>SUMIF('2.생활용수(채운)'!$C$5:$C$63,$C463,'2.생활용수(채운)'!$Q$5:$Q$63)</f>
        <v>0</v>
      </c>
      <c r="N463" s="81">
        <f>SUMIF('2.생활용수(강경)'!$C$5:$C$60,$C463,'2.생활용수(강경)'!$Q$5:$Q$60)</f>
        <v>0</v>
      </c>
      <c r="O463" s="81"/>
    </row>
    <row r="464" spans="1:15" ht="20.100000000000001" customHeight="1">
      <c r="A464" s="442" t="s">
        <v>2391</v>
      </c>
      <c r="B464" s="442" t="s">
        <v>2392</v>
      </c>
      <c r="C464" s="447"/>
      <c r="D464" s="81">
        <f t="shared" si="8"/>
        <v>0</v>
      </c>
      <c r="E464" s="81">
        <f>SUMIF('2.생활용수(광석)'!$C$5:$C$56,C464,'2.생활용수(광석)'!$Q$5:$Q$56)</f>
        <v>0</v>
      </c>
      <c r="F464" s="81">
        <f>SUMIF('2.생활용수(성동)'!$C$5:$C$60,$C464,'2.생활용수(성동)'!$Q$5:$Q$60)</f>
        <v>0</v>
      </c>
      <c r="G464" s="81">
        <f>SUMIF('2.생활용수(봉화)'!$C$5:$C$18,$C464,'2.생활용수(봉화)'!$Q$5:$Q$18)</f>
        <v>0</v>
      </c>
      <c r="H464" s="81">
        <f>SUMIF('2.생활용수(논산)'!$C$5:$C$28,$C464,'2.생활용수(논산)'!$Q$5:$Q$28)</f>
        <v>0</v>
      </c>
      <c r="I464" s="81">
        <f>SUMIF('2.생활용수(연무)'!$C$5:$C$123,$C464,'2.생활용수(연무)'!$Q$5:$Q$123)</f>
        <v>0</v>
      </c>
      <c r="J464" s="81">
        <f>SUMIF('2.생활용수(마산)'!$C$5:$C$115,$C464,'2.생활용수(마산)'!$Q$5:$Q$115)</f>
        <v>0</v>
      </c>
      <c r="K464" s="81">
        <f>SUMIF('2.생활용수(부적)'!$C$5:$C$75,$C464,'2.생활용수(부적)'!$Q$5:$Q$75)</f>
        <v>0</v>
      </c>
      <c r="L464" s="81">
        <f>SUMIF('2.생활용수(연산)'!$C$5:$C$220,$C464,'2.생활용수(연산)'!$Q$5:$Q$220)</f>
        <v>0</v>
      </c>
      <c r="M464" s="81">
        <f>SUMIF('2.생활용수(채운)'!$C$5:$C$63,$C464,'2.생활용수(채운)'!$Q$5:$Q$63)</f>
        <v>0</v>
      </c>
      <c r="N464" s="81">
        <f>SUMIF('2.생활용수(강경)'!$C$5:$C$60,$C464,'2.생활용수(강경)'!$Q$5:$Q$60)</f>
        <v>0</v>
      </c>
      <c r="O464" s="81"/>
    </row>
    <row r="465" spans="1:15" ht="20.100000000000001" customHeight="1">
      <c r="A465" s="442" t="s">
        <v>2391</v>
      </c>
      <c r="B465" s="442" t="s">
        <v>2392</v>
      </c>
      <c r="C465" s="447"/>
      <c r="D465" s="81">
        <f t="shared" si="8"/>
        <v>0</v>
      </c>
      <c r="E465" s="81">
        <f>SUMIF('2.생활용수(광석)'!$C$5:$C$56,C465,'2.생활용수(광석)'!$Q$5:$Q$56)</f>
        <v>0</v>
      </c>
      <c r="F465" s="81">
        <f>SUMIF('2.생활용수(성동)'!$C$5:$C$60,$C465,'2.생활용수(성동)'!$Q$5:$Q$60)</f>
        <v>0</v>
      </c>
      <c r="G465" s="81">
        <f>SUMIF('2.생활용수(봉화)'!$C$5:$C$18,$C465,'2.생활용수(봉화)'!$Q$5:$Q$18)</f>
        <v>0</v>
      </c>
      <c r="H465" s="81">
        <f>SUMIF('2.생활용수(논산)'!$C$5:$C$28,$C465,'2.생활용수(논산)'!$Q$5:$Q$28)</f>
        <v>0</v>
      </c>
      <c r="I465" s="81">
        <f>SUMIF('2.생활용수(연무)'!$C$5:$C$123,$C465,'2.생활용수(연무)'!$Q$5:$Q$123)</f>
        <v>0</v>
      </c>
      <c r="J465" s="81">
        <f>SUMIF('2.생활용수(마산)'!$C$5:$C$115,$C465,'2.생활용수(마산)'!$Q$5:$Q$115)</f>
        <v>0</v>
      </c>
      <c r="K465" s="81">
        <f>SUMIF('2.생활용수(부적)'!$C$5:$C$75,$C465,'2.생활용수(부적)'!$Q$5:$Q$75)</f>
        <v>0</v>
      </c>
      <c r="L465" s="81">
        <f>SUMIF('2.생활용수(연산)'!$C$5:$C$220,$C465,'2.생활용수(연산)'!$Q$5:$Q$220)</f>
        <v>0</v>
      </c>
      <c r="M465" s="81">
        <f>SUMIF('2.생활용수(채운)'!$C$5:$C$63,$C465,'2.생활용수(채운)'!$Q$5:$Q$63)</f>
        <v>0</v>
      </c>
      <c r="N465" s="81">
        <f>SUMIF('2.생활용수(강경)'!$C$5:$C$60,$C465,'2.생활용수(강경)'!$Q$5:$Q$60)</f>
        <v>0</v>
      </c>
      <c r="O465" s="81"/>
    </row>
    <row r="466" spans="1:15" ht="20.100000000000001" customHeight="1">
      <c r="A466" s="442" t="s">
        <v>2391</v>
      </c>
      <c r="B466" s="442" t="s">
        <v>2392</v>
      </c>
      <c r="C466" s="447"/>
      <c r="D466" s="81">
        <f t="shared" si="8"/>
        <v>0</v>
      </c>
      <c r="E466" s="81">
        <f>SUMIF('2.생활용수(광석)'!$C$5:$C$56,C466,'2.생활용수(광석)'!$Q$5:$Q$56)</f>
        <v>0</v>
      </c>
      <c r="F466" s="81">
        <f>SUMIF('2.생활용수(성동)'!$C$5:$C$60,$C466,'2.생활용수(성동)'!$Q$5:$Q$60)</f>
        <v>0</v>
      </c>
      <c r="G466" s="81">
        <f>SUMIF('2.생활용수(봉화)'!$C$5:$C$18,$C466,'2.생활용수(봉화)'!$Q$5:$Q$18)</f>
        <v>0</v>
      </c>
      <c r="H466" s="81">
        <f>SUMIF('2.생활용수(논산)'!$C$5:$C$28,$C466,'2.생활용수(논산)'!$Q$5:$Q$28)</f>
        <v>0</v>
      </c>
      <c r="I466" s="81">
        <f>SUMIF('2.생활용수(연무)'!$C$5:$C$123,$C466,'2.생활용수(연무)'!$Q$5:$Q$123)</f>
        <v>0</v>
      </c>
      <c r="J466" s="81">
        <f>SUMIF('2.생활용수(마산)'!$C$5:$C$115,$C466,'2.생활용수(마산)'!$Q$5:$Q$115)</f>
        <v>0</v>
      </c>
      <c r="K466" s="81">
        <f>SUMIF('2.생활용수(부적)'!$C$5:$C$75,$C466,'2.생활용수(부적)'!$Q$5:$Q$75)</f>
        <v>0</v>
      </c>
      <c r="L466" s="81">
        <f>SUMIF('2.생활용수(연산)'!$C$5:$C$220,$C466,'2.생활용수(연산)'!$Q$5:$Q$220)</f>
        <v>0</v>
      </c>
      <c r="M466" s="81">
        <f>SUMIF('2.생활용수(채운)'!$C$5:$C$63,$C466,'2.생활용수(채운)'!$Q$5:$Q$63)</f>
        <v>0</v>
      </c>
      <c r="N466" s="81">
        <f>SUMIF('2.생활용수(강경)'!$C$5:$C$60,$C466,'2.생활용수(강경)'!$Q$5:$Q$60)</f>
        <v>0</v>
      </c>
      <c r="O466" s="81"/>
    </row>
    <row r="467" spans="1:15" ht="20.100000000000001" customHeight="1">
      <c r="A467" s="442" t="s">
        <v>2391</v>
      </c>
      <c r="B467" s="442" t="s">
        <v>2391</v>
      </c>
      <c r="C467" s="442" t="s">
        <v>2391</v>
      </c>
      <c r="D467" s="81">
        <f t="shared" si="8"/>
        <v>2157</v>
      </c>
      <c r="E467" s="81">
        <f>SUMIF('2.생활용수(광석)'!$C$5:$C$56,C467,'2.생활용수(광석)'!$Q$5:$Q$56)</f>
        <v>0</v>
      </c>
      <c r="F467" s="81">
        <f>SUMIF('2.생활용수(성동)'!$C$5:$C$60,$C467,'2.생활용수(성동)'!$Q$5:$Q$60)</f>
        <v>0</v>
      </c>
      <c r="G467" s="81">
        <f>SUMIF('2.생활용수(봉화)'!$C$5:$C$18,$C467,'2.생활용수(봉화)'!$Q$5:$Q$18)</f>
        <v>692</v>
      </c>
      <c r="H467" s="81">
        <f>SUMIF('2.생활용수(논산)'!$C$5:$C$28,$C467,'2.생활용수(논산)'!$Q$5:$Q$28)</f>
        <v>1465</v>
      </c>
      <c r="I467" s="81">
        <f>SUMIF('2.생활용수(연무)'!$C$5:$C$123,$C467,'2.생활용수(연무)'!$Q$5:$Q$123)</f>
        <v>0</v>
      </c>
      <c r="J467" s="81">
        <f>SUMIF('2.생활용수(마산)'!$C$5:$C$115,$C467,'2.생활용수(마산)'!$Q$5:$Q$115)</f>
        <v>0</v>
      </c>
      <c r="K467" s="81">
        <f>SUMIF('2.생활용수(부적)'!$C$5:$C$75,$C467,'2.생활용수(부적)'!$Q$5:$Q$75)</f>
        <v>0</v>
      </c>
      <c r="L467" s="81">
        <f>SUMIF('2.생활용수(연산)'!$C$5:$C$220,$C467,'2.생활용수(연산)'!$Q$5:$Q$220)</f>
        <v>0</v>
      </c>
      <c r="M467" s="81">
        <f>SUMIF('2.생활용수(채운)'!$C$5:$C$63,$C467,'2.생활용수(채운)'!$Q$5:$Q$63)</f>
        <v>0</v>
      </c>
      <c r="N467" s="81">
        <f>SUMIF('2.생활용수(강경)'!$C$5:$C$60,$C467,'2.생활용수(강경)'!$Q$5:$Q$60)</f>
        <v>0</v>
      </c>
      <c r="O467" s="81"/>
    </row>
    <row r="468" spans="1:15" ht="20.100000000000001" customHeight="1">
      <c r="A468" s="442" t="s">
        <v>2391</v>
      </c>
      <c r="B468" s="442" t="s">
        <v>2391</v>
      </c>
      <c r="C468" s="443"/>
      <c r="D468" s="81">
        <f t="shared" si="8"/>
        <v>0</v>
      </c>
      <c r="E468" s="81">
        <f>SUMIF('2.생활용수(광석)'!$C$5:$C$56,C468,'2.생활용수(광석)'!$Q$5:$Q$56)</f>
        <v>0</v>
      </c>
      <c r="F468" s="81">
        <f>SUMIF('2.생활용수(성동)'!$C$5:$C$60,$C468,'2.생활용수(성동)'!$Q$5:$Q$60)</f>
        <v>0</v>
      </c>
      <c r="G468" s="81">
        <f>SUMIF('2.생활용수(봉화)'!$C$5:$C$18,$C468,'2.생활용수(봉화)'!$Q$5:$Q$18)</f>
        <v>0</v>
      </c>
      <c r="H468" s="81">
        <f>SUMIF('2.생활용수(논산)'!$C$5:$C$28,$C468,'2.생활용수(논산)'!$Q$5:$Q$28)</f>
        <v>0</v>
      </c>
      <c r="I468" s="81">
        <f>SUMIF('2.생활용수(연무)'!$C$5:$C$123,$C468,'2.생활용수(연무)'!$Q$5:$Q$123)</f>
        <v>0</v>
      </c>
      <c r="J468" s="81">
        <f>SUMIF('2.생활용수(마산)'!$C$5:$C$115,$C468,'2.생활용수(마산)'!$Q$5:$Q$115)</f>
        <v>0</v>
      </c>
      <c r="K468" s="81">
        <f>SUMIF('2.생활용수(부적)'!$C$5:$C$75,$C468,'2.생활용수(부적)'!$Q$5:$Q$75)</f>
        <v>0</v>
      </c>
      <c r="L468" s="81">
        <f>SUMIF('2.생활용수(연산)'!$C$5:$C$220,$C468,'2.생활용수(연산)'!$Q$5:$Q$220)</f>
        <v>0</v>
      </c>
      <c r="M468" s="81">
        <f>SUMIF('2.생활용수(채운)'!$C$5:$C$63,$C468,'2.생활용수(채운)'!$Q$5:$Q$63)</f>
        <v>0</v>
      </c>
      <c r="N468" s="81">
        <f>SUMIF('2.생활용수(강경)'!$C$5:$C$60,$C468,'2.생활용수(강경)'!$Q$5:$Q$60)</f>
        <v>0</v>
      </c>
      <c r="O468" s="81"/>
    </row>
    <row r="469" spans="1:15" ht="20.100000000000001" customHeight="1">
      <c r="A469" s="442" t="s">
        <v>2391</v>
      </c>
      <c r="B469" s="442" t="s">
        <v>2391</v>
      </c>
      <c r="C469" s="443"/>
      <c r="D469" s="81">
        <f t="shared" si="8"/>
        <v>0</v>
      </c>
      <c r="E469" s="81">
        <f>SUMIF('2.생활용수(광석)'!$C$5:$C$56,C469,'2.생활용수(광석)'!$Q$5:$Q$56)</f>
        <v>0</v>
      </c>
      <c r="F469" s="81">
        <f>SUMIF('2.생활용수(성동)'!$C$5:$C$60,$C469,'2.생활용수(성동)'!$Q$5:$Q$60)</f>
        <v>0</v>
      </c>
      <c r="G469" s="81">
        <f>SUMIF('2.생활용수(봉화)'!$C$5:$C$18,$C469,'2.생활용수(봉화)'!$Q$5:$Q$18)</f>
        <v>0</v>
      </c>
      <c r="H469" s="81">
        <f>SUMIF('2.생활용수(논산)'!$C$5:$C$28,$C469,'2.생활용수(논산)'!$Q$5:$Q$28)</f>
        <v>0</v>
      </c>
      <c r="I469" s="81">
        <f>SUMIF('2.생활용수(연무)'!$C$5:$C$123,$C469,'2.생활용수(연무)'!$Q$5:$Q$123)</f>
        <v>0</v>
      </c>
      <c r="J469" s="81">
        <f>SUMIF('2.생활용수(마산)'!$C$5:$C$115,$C469,'2.생활용수(마산)'!$Q$5:$Q$115)</f>
        <v>0</v>
      </c>
      <c r="K469" s="81">
        <f>SUMIF('2.생활용수(부적)'!$C$5:$C$75,$C469,'2.생활용수(부적)'!$Q$5:$Q$75)</f>
        <v>0</v>
      </c>
      <c r="L469" s="81">
        <f>SUMIF('2.생활용수(연산)'!$C$5:$C$220,$C469,'2.생활용수(연산)'!$Q$5:$Q$220)</f>
        <v>0</v>
      </c>
      <c r="M469" s="81">
        <f>SUMIF('2.생활용수(채운)'!$C$5:$C$63,$C469,'2.생활용수(채운)'!$Q$5:$Q$63)</f>
        <v>0</v>
      </c>
      <c r="N469" s="81">
        <f>SUMIF('2.생활용수(강경)'!$C$5:$C$60,$C469,'2.생활용수(강경)'!$Q$5:$Q$60)</f>
        <v>0</v>
      </c>
      <c r="O469" s="81"/>
    </row>
    <row r="470" spans="1:15" ht="20.100000000000001" customHeight="1">
      <c r="A470" s="442" t="s">
        <v>2391</v>
      </c>
      <c r="B470" s="442" t="s">
        <v>2391</v>
      </c>
      <c r="C470" s="443"/>
      <c r="D470" s="81">
        <f t="shared" si="8"/>
        <v>0</v>
      </c>
      <c r="E470" s="81">
        <f>SUMIF('2.생활용수(광석)'!$C$5:$C$56,C470,'2.생활용수(광석)'!$Q$5:$Q$56)</f>
        <v>0</v>
      </c>
      <c r="F470" s="81">
        <f>SUMIF('2.생활용수(성동)'!$C$5:$C$60,$C470,'2.생활용수(성동)'!$Q$5:$Q$60)</f>
        <v>0</v>
      </c>
      <c r="G470" s="81">
        <f>SUMIF('2.생활용수(봉화)'!$C$5:$C$18,$C470,'2.생활용수(봉화)'!$Q$5:$Q$18)</f>
        <v>0</v>
      </c>
      <c r="H470" s="81">
        <f>SUMIF('2.생활용수(논산)'!$C$5:$C$28,$C470,'2.생활용수(논산)'!$Q$5:$Q$28)</f>
        <v>0</v>
      </c>
      <c r="I470" s="81">
        <f>SUMIF('2.생활용수(연무)'!$C$5:$C$123,$C470,'2.생활용수(연무)'!$Q$5:$Q$123)</f>
        <v>0</v>
      </c>
      <c r="J470" s="81">
        <f>SUMIF('2.생활용수(마산)'!$C$5:$C$115,$C470,'2.생활용수(마산)'!$Q$5:$Q$115)</f>
        <v>0</v>
      </c>
      <c r="K470" s="81">
        <f>SUMIF('2.생활용수(부적)'!$C$5:$C$75,$C470,'2.생활용수(부적)'!$Q$5:$Q$75)</f>
        <v>0</v>
      </c>
      <c r="L470" s="81">
        <f>SUMIF('2.생활용수(연산)'!$C$5:$C$220,$C470,'2.생활용수(연산)'!$Q$5:$Q$220)</f>
        <v>0</v>
      </c>
      <c r="M470" s="81">
        <f>SUMIF('2.생활용수(채운)'!$C$5:$C$63,$C470,'2.생활용수(채운)'!$Q$5:$Q$63)</f>
        <v>0</v>
      </c>
      <c r="N470" s="81">
        <f>SUMIF('2.생활용수(강경)'!$C$5:$C$60,$C470,'2.생활용수(강경)'!$Q$5:$Q$60)</f>
        <v>0</v>
      </c>
      <c r="O470" s="81"/>
    </row>
    <row r="471" spans="1:15" ht="20.100000000000001" customHeight="1">
      <c r="A471" s="442" t="s">
        <v>2391</v>
      </c>
      <c r="B471" s="442" t="s">
        <v>2391</v>
      </c>
      <c r="C471" s="443"/>
      <c r="D471" s="81">
        <f t="shared" si="8"/>
        <v>0</v>
      </c>
      <c r="E471" s="81">
        <f>SUMIF('2.생활용수(광석)'!$C$5:$C$56,C471,'2.생활용수(광석)'!$Q$5:$Q$56)</f>
        <v>0</v>
      </c>
      <c r="F471" s="81">
        <f>SUMIF('2.생활용수(성동)'!$C$5:$C$60,$C471,'2.생활용수(성동)'!$Q$5:$Q$60)</f>
        <v>0</v>
      </c>
      <c r="G471" s="81">
        <f>SUMIF('2.생활용수(봉화)'!$C$5:$C$18,$C471,'2.생활용수(봉화)'!$Q$5:$Q$18)</f>
        <v>0</v>
      </c>
      <c r="H471" s="81">
        <f>SUMIF('2.생활용수(논산)'!$C$5:$C$28,$C471,'2.생활용수(논산)'!$Q$5:$Q$28)</f>
        <v>0</v>
      </c>
      <c r="I471" s="81">
        <f>SUMIF('2.생활용수(연무)'!$C$5:$C$123,$C471,'2.생활용수(연무)'!$Q$5:$Q$123)</f>
        <v>0</v>
      </c>
      <c r="J471" s="81">
        <f>SUMIF('2.생활용수(마산)'!$C$5:$C$115,$C471,'2.생활용수(마산)'!$Q$5:$Q$115)</f>
        <v>0</v>
      </c>
      <c r="K471" s="81">
        <f>SUMIF('2.생활용수(부적)'!$C$5:$C$75,$C471,'2.생활용수(부적)'!$Q$5:$Q$75)</f>
        <v>0</v>
      </c>
      <c r="L471" s="81">
        <f>SUMIF('2.생활용수(연산)'!$C$5:$C$220,$C471,'2.생활용수(연산)'!$Q$5:$Q$220)</f>
        <v>0</v>
      </c>
      <c r="M471" s="81">
        <f>SUMIF('2.생활용수(채운)'!$C$5:$C$63,$C471,'2.생활용수(채운)'!$Q$5:$Q$63)</f>
        <v>0</v>
      </c>
      <c r="N471" s="81">
        <f>SUMIF('2.생활용수(강경)'!$C$5:$C$60,$C471,'2.생활용수(강경)'!$Q$5:$Q$60)</f>
        <v>0</v>
      </c>
      <c r="O471" s="81"/>
    </row>
    <row r="472" spans="1:15" ht="20.100000000000001" customHeight="1">
      <c r="A472" s="442" t="s">
        <v>2391</v>
      </c>
      <c r="B472" s="442" t="s">
        <v>2391</v>
      </c>
      <c r="C472" s="443"/>
      <c r="D472" s="81">
        <f t="shared" si="8"/>
        <v>0</v>
      </c>
      <c r="E472" s="81">
        <f>SUMIF('2.생활용수(광석)'!$C$5:$C$56,C472,'2.생활용수(광석)'!$Q$5:$Q$56)</f>
        <v>0</v>
      </c>
      <c r="F472" s="81">
        <f>SUMIF('2.생활용수(성동)'!$C$5:$C$60,$C472,'2.생활용수(성동)'!$Q$5:$Q$60)</f>
        <v>0</v>
      </c>
      <c r="G472" s="81">
        <f>SUMIF('2.생활용수(봉화)'!$C$5:$C$18,$C472,'2.생활용수(봉화)'!$Q$5:$Q$18)</f>
        <v>0</v>
      </c>
      <c r="H472" s="81">
        <f>SUMIF('2.생활용수(논산)'!$C$5:$C$28,$C472,'2.생활용수(논산)'!$Q$5:$Q$28)</f>
        <v>0</v>
      </c>
      <c r="I472" s="81">
        <f>SUMIF('2.생활용수(연무)'!$C$5:$C$123,$C472,'2.생활용수(연무)'!$Q$5:$Q$123)</f>
        <v>0</v>
      </c>
      <c r="J472" s="81">
        <f>SUMIF('2.생활용수(마산)'!$C$5:$C$115,$C472,'2.생활용수(마산)'!$Q$5:$Q$115)</f>
        <v>0</v>
      </c>
      <c r="K472" s="81">
        <f>SUMIF('2.생활용수(부적)'!$C$5:$C$75,$C472,'2.생활용수(부적)'!$Q$5:$Q$75)</f>
        <v>0</v>
      </c>
      <c r="L472" s="81">
        <f>SUMIF('2.생활용수(연산)'!$C$5:$C$220,$C472,'2.생활용수(연산)'!$Q$5:$Q$220)</f>
        <v>0</v>
      </c>
      <c r="M472" s="81">
        <f>SUMIF('2.생활용수(채운)'!$C$5:$C$63,$C472,'2.생활용수(채운)'!$Q$5:$Q$63)</f>
        <v>0</v>
      </c>
      <c r="N472" s="81">
        <f>SUMIF('2.생활용수(강경)'!$C$5:$C$60,$C472,'2.생활용수(강경)'!$Q$5:$Q$60)</f>
        <v>0</v>
      </c>
      <c r="O472" s="81"/>
    </row>
    <row r="473" spans="1:15" ht="20.100000000000001" customHeight="1">
      <c r="A473" s="442" t="s">
        <v>2391</v>
      </c>
      <c r="B473" s="442" t="s">
        <v>2391</v>
      </c>
      <c r="C473" s="443"/>
      <c r="D473" s="81">
        <f t="shared" si="8"/>
        <v>0</v>
      </c>
      <c r="E473" s="81">
        <f>SUMIF('2.생활용수(광석)'!$C$5:$C$56,C473,'2.생활용수(광석)'!$Q$5:$Q$56)</f>
        <v>0</v>
      </c>
      <c r="F473" s="81">
        <f>SUMIF('2.생활용수(성동)'!$C$5:$C$60,$C473,'2.생활용수(성동)'!$Q$5:$Q$60)</f>
        <v>0</v>
      </c>
      <c r="G473" s="81">
        <f>SUMIF('2.생활용수(봉화)'!$C$5:$C$18,$C473,'2.생활용수(봉화)'!$Q$5:$Q$18)</f>
        <v>0</v>
      </c>
      <c r="H473" s="81">
        <f>SUMIF('2.생활용수(논산)'!$C$5:$C$28,$C473,'2.생활용수(논산)'!$Q$5:$Q$28)</f>
        <v>0</v>
      </c>
      <c r="I473" s="81">
        <f>SUMIF('2.생활용수(연무)'!$C$5:$C$123,$C473,'2.생활용수(연무)'!$Q$5:$Q$123)</f>
        <v>0</v>
      </c>
      <c r="J473" s="81">
        <f>SUMIF('2.생활용수(마산)'!$C$5:$C$115,$C473,'2.생활용수(마산)'!$Q$5:$Q$115)</f>
        <v>0</v>
      </c>
      <c r="K473" s="81">
        <f>SUMIF('2.생활용수(부적)'!$C$5:$C$75,$C473,'2.생활용수(부적)'!$Q$5:$Q$75)</f>
        <v>0</v>
      </c>
      <c r="L473" s="81">
        <f>SUMIF('2.생활용수(연산)'!$C$5:$C$220,$C473,'2.생활용수(연산)'!$Q$5:$Q$220)</f>
        <v>0</v>
      </c>
      <c r="M473" s="81">
        <f>SUMIF('2.생활용수(채운)'!$C$5:$C$63,$C473,'2.생활용수(채운)'!$Q$5:$Q$63)</f>
        <v>0</v>
      </c>
      <c r="N473" s="81">
        <f>SUMIF('2.생활용수(강경)'!$C$5:$C$60,$C473,'2.생활용수(강경)'!$Q$5:$Q$60)</f>
        <v>0</v>
      </c>
      <c r="O473" s="81"/>
    </row>
    <row r="474" spans="1:15" ht="20.100000000000001" customHeight="1">
      <c r="A474" s="442" t="s">
        <v>2391</v>
      </c>
      <c r="B474" s="442" t="s">
        <v>2391</v>
      </c>
      <c r="C474" s="443"/>
      <c r="D474" s="81">
        <f t="shared" si="8"/>
        <v>0</v>
      </c>
      <c r="E474" s="81">
        <f>SUMIF('2.생활용수(광석)'!$C$5:$C$56,C474,'2.생활용수(광석)'!$Q$5:$Q$56)</f>
        <v>0</v>
      </c>
      <c r="F474" s="81">
        <f>SUMIF('2.생활용수(성동)'!$C$5:$C$60,$C474,'2.생활용수(성동)'!$Q$5:$Q$60)</f>
        <v>0</v>
      </c>
      <c r="G474" s="81">
        <f>SUMIF('2.생활용수(봉화)'!$C$5:$C$18,$C474,'2.생활용수(봉화)'!$Q$5:$Q$18)</f>
        <v>0</v>
      </c>
      <c r="H474" s="81">
        <f>SUMIF('2.생활용수(논산)'!$C$5:$C$28,$C474,'2.생활용수(논산)'!$Q$5:$Q$28)</f>
        <v>0</v>
      </c>
      <c r="I474" s="81">
        <f>SUMIF('2.생활용수(연무)'!$C$5:$C$123,$C474,'2.생활용수(연무)'!$Q$5:$Q$123)</f>
        <v>0</v>
      </c>
      <c r="J474" s="81">
        <f>SUMIF('2.생활용수(마산)'!$C$5:$C$115,$C474,'2.생활용수(마산)'!$Q$5:$Q$115)</f>
        <v>0</v>
      </c>
      <c r="K474" s="81">
        <f>SUMIF('2.생활용수(부적)'!$C$5:$C$75,$C474,'2.생활용수(부적)'!$Q$5:$Q$75)</f>
        <v>0</v>
      </c>
      <c r="L474" s="81">
        <f>SUMIF('2.생활용수(연산)'!$C$5:$C$220,$C474,'2.생활용수(연산)'!$Q$5:$Q$220)</f>
        <v>0</v>
      </c>
      <c r="M474" s="81">
        <f>SUMIF('2.생활용수(채운)'!$C$5:$C$63,$C474,'2.생활용수(채운)'!$Q$5:$Q$63)</f>
        <v>0</v>
      </c>
      <c r="N474" s="81">
        <f>SUMIF('2.생활용수(강경)'!$C$5:$C$60,$C474,'2.생활용수(강경)'!$Q$5:$Q$60)</f>
        <v>0</v>
      </c>
      <c r="O474" s="81"/>
    </row>
    <row r="475" spans="1:15" ht="20.100000000000001" customHeight="1">
      <c r="A475" s="442" t="s">
        <v>2391</v>
      </c>
      <c r="B475" s="442" t="s">
        <v>2393</v>
      </c>
      <c r="C475" s="442" t="s">
        <v>2393</v>
      </c>
      <c r="D475" s="81">
        <f t="shared" si="8"/>
        <v>85</v>
      </c>
      <c r="E475" s="81">
        <f>SUMIF('2.생활용수(광석)'!$C$5:$C$56,C475,'2.생활용수(광석)'!$Q$5:$Q$56)</f>
        <v>0</v>
      </c>
      <c r="F475" s="81">
        <f>SUMIF('2.생활용수(성동)'!$C$5:$C$60,$C475,'2.생활용수(성동)'!$Q$5:$Q$60)</f>
        <v>0</v>
      </c>
      <c r="G475" s="81">
        <f>SUMIF('2.생활용수(봉화)'!$C$5:$C$18,$C475,'2.생활용수(봉화)'!$Q$5:$Q$18)</f>
        <v>85</v>
      </c>
      <c r="H475" s="81">
        <f>SUMIF('2.생활용수(논산)'!$C$5:$C$28,$C475,'2.생활용수(논산)'!$Q$5:$Q$28)</f>
        <v>0</v>
      </c>
      <c r="I475" s="81">
        <f>SUMIF('2.생활용수(연무)'!$C$5:$C$123,$C475,'2.생활용수(연무)'!$Q$5:$Q$123)</f>
        <v>0</v>
      </c>
      <c r="J475" s="81">
        <f>SUMIF('2.생활용수(마산)'!$C$5:$C$115,$C475,'2.생활용수(마산)'!$Q$5:$Q$115)</f>
        <v>0</v>
      </c>
      <c r="K475" s="81">
        <f>SUMIF('2.생활용수(부적)'!$C$5:$C$75,$C475,'2.생활용수(부적)'!$Q$5:$Q$75)</f>
        <v>0</v>
      </c>
      <c r="L475" s="81">
        <f>SUMIF('2.생활용수(연산)'!$C$5:$C$220,$C475,'2.생활용수(연산)'!$Q$5:$Q$220)</f>
        <v>0</v>
      </c>
      <c r="M475" s="81">
        <f>SUMIF('2.생활용수(채운)'!$C$5:$C$63,$C475,'2.생활용수(채운)'!$Q$5:$Q$63)</f>
        <v>0</v>
      </c>
      <c r="N475" s="81">
        <f>SUMIF('2.생활용수(강경)'!$C$5:$C$60,$C475,'2.생활용수(강경)'!$Q$5:$Q$60)</f>
        <v>0</v>
      </c>
      <c r="O475" s="81"/>
    </row>
    <row r="476" spans="1:15" ht="20.100000000000001" customHeight="1">
      <c r="A476" s="442" t="s">
        <v>2394</v>
      </c>
      <c r="B476" s="442" t="s">
        <v>2393</v>
      </c>
      <c r="C476" s="443"/>
      <c r="D476" s="81">
        <f t="shared" si="8"/>
        <v>0</v>
      </c>
      <c r="E476" s="81">
        <f>SUMIF('2.생활용수(광석)'!$C$5:$C$56,C476,'2.생활용수(광석)'!$Q$5:$Q$56)</f>
        <v>0</v>
      </c>
      <c r="F476" s="81">
        <f>SUMIF('2.생활용수(성동)'!$C$5:$C$60,$C476,'2.생활용수(성동)'!$Q$5:$Q$60)</f>
        <v>0</v>
      </c>
      <c r="G476" s="81">
        <f>SUMIF('2.생활용수(봉화)'!$C$5:$C$18,$C476,'2.생활용수(봉화)'!$Q$5:$Q$18)</f>
        <v>0</v>
      </c>
      <c r="H476" s="81">
        <f>SUMIF('2.생활용수(논산)'!$C$5:$C$28,$C476,'2.생활용수(논산)'!$Q$5:$Q$28)</f>
        <v>0</v>
      </c>
      <c r="I476" s="81">
        <f>SUMIF('2.생활용수(연무)'!$C$5:$C$123,$C476,'2.생활용수(연무)'!$Q$5:$Q$123)</f>
        <v>0</v>
      </c>
      <c r="J476" s="81">
        <f>SUMIF('2.생활용수(마산)'!$C$5:$C$115,$C476,'2.생활용수(마산)'!$Q$5:$Q$115)</f>
        <v>0</v>
      </c>
      <c r="K476" s="81">
        <f>SUMIF('2.생활용수(부적)'!$C$5:$C$75,$C476,'2.생활용수(부적)'!$Q$5:$Q$75)</f>
        <v>0</v>
      </c>
      <c r="L476" s="81">
        <f>SUMIF('2.생활용수(연산)'!$C$5:$C$220,$C476,'2.생활용수(연산)'!$Q$5:$Q$220)</f>
        <v>0</v>
      </c>
      <c r="M476" s="81">
        <f>SUMIF('2.생활용수(채운)'!$C$5:$C$63,$C476,'2.생활용수(채운)'!$Q$5:$Q$63)</f>
        <v>0</v>
      </c>
      <c r="N476" s="81">
        <f>SUMIF('2.생활용수(강경)'!$C$5:$C$60,$C476,'2.생활용수(강경)'!$Q$5:$Q$60)</f>
        <v>0</v>
      </c>
      <c r="O476" s="81"/>
    </row>
    <row r="477" spans="1:15" ht="20.100000000000001" customHeight="1">
      <c r="A477" s="442" t="s">
        <v>2394</v>
      </c>
      <c r="B477" s="442" t="s">
        <v>2395</v>
      </c>
      <c r="C477" s="442" t="s">
        <v>2395</v>
      </c>
      <c r="D477" s="81">
        <f t="shared" si="8"/>
        <v>2054</v>
      </c>
      <c r="E477" s="81">
        <f>SUMIF('2.생활용수(광석)'!$C$5:$C$56,C477,'2.생활용수(광석)'!$Q$5:$Q$56)</f>
        <v>0</v>
      </c>
      <c r="F477" s="81">
        <f>SUMIF('2.생활용수(성동)'!$C$5:$C$60,$C477,'2.생활용수(성동)'!$Q$5:$Q$60)</f>
        <v>0</v>
      </c>
      <c r="G477" s="81">
        <f>SUMIF('2.생활용수(봉화)'!$C$5:$C$18,$C477,'2.생활용수(봉화)'!$Q$5:$Q$18)</f>
        <v>20</v>
      </c>
      <c r="H477" s="81">
        <f>SUMIF('2.생활용수(논산)'!$C$5:$C$28,$C477,'2.생활용수(논산)'!$Q$5:$Q$28)</f>
        <v>2034</v>
      </c>
      <c r="I477" s="81">
        <f>SUMIF('2.생활용수(연무)'!$C$5:$C$123,$C477,'2.생활용수(연무)'!$Q$5:$Q$123)</f>
        <v>0</v>
      </c>
      <c r="J477" s="81">
        <f>SUMIF('2.생활용수(마산)'!$C$5:$C$115,$C477,'2.생활용수(마산)'!$Q$5:$Q$115)</f>
        <v>0</v>
      </c>
      <c r="K477" s="81">
        <f>SUMIF('2.생활용수(부적)'!$C$5:$C$75,$C477,'2.생활용수(부적)'!$Q$5:$Q$75)</f>
        <v>0</v>
      </c>
      <c r="L477" s="81">
        <f>SUMIF('2.생활용수(연산)'!$C$5:$C$220,$C477,'2.생활용수(연산)'!$Q$5:$Q$220)</f>
        <v>0</v>
      </c>
      <c r="M477" s="81">
        <f>SUMIF('2.생활용수(채운)'!$C$5:$C$63,$C477,'2.생활용수(채운)'!$Q$5:$Q$63)</f>
        <v>0</v>
      </c>
      <c r="N477" s="81">
        <f>SUMIF('2.생활용수(강경)'!$C$5:$C$60,$C477,'2.생활용수(강경)'!$Q$5:$Q$60)</f>
        <v>0</v>
      </c>
      <c r="O477" s="81"/>
    </row>
    <row r="478" spans="1:15" ht="20.100000000000001" customHeight="1">
      <c r="A478" s="442" t="s">
        <v>2394</v>
      </c>
      <c r="B478" s="442" t="s">
        <v>2395</v>
      </c>
      <c r="C478" s="443"/>
      <c r="D478" s="81">
        <f t="shared" si="8"/>
        <v>0</v>
      </c>
      <c r="E478" s="81">
        <f>SUMIF('2.생활용수(광석)'!$C$5:$C$56,C478,'2.생활용수(광석)'!$Q$5:$Q$56)</f>
        <v>0</v>
      </c>
      <c r="F478" s="81">
        <f>SUMIF('2.생활용수(성동)'!$C$5:$C$60,$C478,'2.생활용수(성동)'!$Q$5:$Q$60)</f>
        <v>0</v>
      </c>
      <c r="G478" s="81">
        <f>SUMIF('2.생활용수(봉화)'!$C$5:$C$18,$C478,'2.생활용수(봉화)'!$Q$5:$Q$18)</f>
        <v>0</v>
      </c>
      <c r="H478" s="81">
        <f>SUMIF('2.생활용수(논산)'!$C$5:$C$28,$C478,'2.생활용수(논산)'!$Q$5:$Q$28)</f>
        <v>0</v>
      </c>
      <c r="I478" s="81">
        <f>SUMIF('2.생활용수(연무)'!$C$5:$C$123,$C478,'2.생활용수(연무)'!$Q$5:$Q$123)</f>
        <v>0</v>
      </c>
      <c r="J478" s="81">
        <f>SUMIF('2.생활용수(마산)'!$C$5:$C$115,$C478,'2.생활용수(마산)'!$Q$5:$Q$115)</f>
        <v>0</v>
      </c>
      <c r="K478" s="81">
        <f>SUMIF('2.생활용수(부적)'!$C$5:$C$75,$C478,'2.생활용수(부적)'!$Q$5:$Q$75)</f>
        <v>0</v>
      </c>
      <c r="L478" s="81">
        <f>SUMIF('2.생활용수(연산)'!$C$5:$C$220,$C478,'2.생활용수(연산)'!$Q$5:$Q$220)</f>
        <v>0</v>
      </c>
      <c r="M478" s="81">
        <f>SUMIF('2.생활용수(채운)'!$C$5:$C$63,$C478,'2.생활용수(채운)'!$Q$5:$Q$63)</f>
        <v>0</v>
      </c>
      <c r="N478" s="81">
        <f>SUMIF('2.생활용수(강경)'!$C$5:$C$60,$C478,'2.생활용수(강경)'!$Q$5:$Q$60)</f>
        <v>0</v>
      </c>
      <c r="O478" s="81"/>
    </row>
    <row r="479" spans="1:15" ht="20.100000000000001" customHeight="1">
      <c r="A479" s="442" t="s">
        <v>2394</v>
      </c>
      <c r="B479" s="442" t="s">
        <v>2395</v>
      </c>
      <c r="C479" s="443"/>
      <c r="D479" s="81">
        <f t="shared" si="8"/>
        <v>0</v>
      </c>
      <c r="E479" s="81">
        <f>SUMIF('2.생활용수(광석)'!$C$5:$C$56,C479,'2.생활용수(광석)'!$Q$5:$Q$56)</f>
        <v>0</v>
      </c>
      <c r="F479" s="81">
        <f>SUMIF('2.생활용수(성동)'!$C$5:$C$60,$C479,'2.생활용수(성동)'!$Q$5:$Q$60)</f>
        <v>0</v>
      </c>
      <c r="G479" s="81">
        <f>SUMIF('2.생활용수(봉화)'!$C$5:$C$18,$C479,'2.생활용수(봉화)'!$Q$5:$Q$18)</f>
        <v>0</v>
      </c>
      <c r="H479" s="81">
        <f>SUMIF('2.생활용수(논산)'!$C$5:$C$28,$C479,'2.생활용수(논산)'!$Q$5:$Q$28)</f>
        <v>0</v>
      </c>
      <c r="I479" s="81">
        <f>SUMIF('2.생활용수(연무)'!$C$5:$C$123,$C479,'2.생활용수(연무)'!$Q$5:$Q$123)</f>
        <v>0</v>
      </c>
      <c r="J479" s="81">
        <f>SUMIF('2.생활용수(마산)'!$C$5:$C$115,$C479,'2.생활용수(마산)'!$Q$5:$Q$115)</f>
        <v>0</v>
      </c>
      <c r="K479" s="81">
        <f>SUMIF('2.생활용수(부적)'!$C$5:$C$75,$C479,'2.생활용수(부적)'!$Q$5:$Q$75)</f>
        <v>0</v>
      </c>
      <c r="L479" s="81">
        <f>SUMIF('2.생활용수(연산)'!$C$5:$C$220,$C479,'2.생활용수(연산)'!$Q$5:$Q$220)</f>
        <v>0</v>
      </c>
      <c r="M479" s="81">
        <f>SUMIF('2.생활용수(채운)'!$C$5:$C$63,$C479,'2.생활용수(채운)'!$Q$5:$Q$63)</f>
        <v>0</v>
      </c>
      <c r="N479" s="81">
        <f>SUMIF('2.생활용수(강경)'!$C$5:$C$60,$C479,'2.생활용수(강경)'!$Q$5:$Q$60)</f>
        <v>0</v>
      </c>
      <c r="O479" s="81"/>
    </row>
    <row r="480" spans="1:15" ht="20.100000000000001" customHeight="1">
      <c r="A480" s="442" t="s">
        <v>2394</v>
      </c>
      <c r="B480" s="442" t="s">
        <v>2395</v>
      </c>
      <c r="C480" s="443"/>
      <c r="D480" s="81">
        <f t="shared" si="8"/>
        <v>0</v>
      </c>
      <c r="E480" s="81">
        <f>SUMIF('2.생활용수(광석)'!$C$5:$C$56,C480,'2.생활용수(광석)'!$Q$5:$Q$56)</f>
        <v>0</v>
      </c>
      <c r="F480" s="81">
        <f>SUMIF('2.생활용수(성동)'!$C$5:$C$60,$C480,'2.생활용수(성동)'!$Q$5:$Q$60)</f>
        <v>0</v>
      </c>
      <c r="G480" s="81">
        <f>SUMIF('2.생활용수(봉화)'!$C$5:$C$18,$C480,'2.생활용수(봉화)'!$Q$5:$Q$18)</f>
        <v>0</v>
      </c>
      <c r="H480" s="81">
        <f>SUMIF('2.생활용수(논산)'!$C$5:$C$28,$C480,'2.생활용수(논산)'!$Q$5:$Q$28)</f>
        <v>0</v>
      </c>
      <c r="I480" s="81">
        <f>SUMIF('2.생활용수(연무)'!$C$5:$C$123,$C480,'2.생활용수(연무)'!$Q$5:$Q$123)</f>
        <v>0</v>
      </c>
      <c r="J480" s="81">
        <f>SUMIF('2.생활용수(마산)'!$C$5:$C$115,$C480,'2.생활용수(마산)'!$Q$5:$Q$115)</f>
        <v>0</v>
      </c>
      <c r="K480" s="81">
        <f>SUMIF('2.생활용수(부적)'!$C$5:$C$75,$C480,'2.생활용수(부적)'!$Q$5:$Q$75)</f>
        <v>0</v>
      </c>
      <c r="L480" s="81">
        <f>SUMIF('2.생활용수(연산)'!$C$5:$C$220,$C480,'2.생활용수(연산)'!$Q$5:$Q$220)</f>
        <v>0</v>
      </c>
      <c r="M480" s="81">
        <f>SUMIF('2.생활용수(채운)'!$C$5:$C$63,$C480,'2.생활용수(채운)'!$Q$5:$Q$63)</f>
        <v>0</v>
      </c>
      <c r="N480" s="81">
        <f>SUMIF('2.생활용수(강경)'!$C$5:$C$60,$C480,'2.생활용수(강경)'!$Q$5:$Q$60)</f>
        <v>0</v>
      </c>
      <c r="O480" s="81"/>
    </row>
    <row r="481" spans="1:15" ht="20.100000000000001" customHeight="1">
      <c r="A481" s="442" t="s">
        <v>2394</v>
      </c>
      <c r="B481" s="442" t="s">
        <v>2395</v>
      </c>
      <c r="C481" s="443"/>
      <c r="D481" s="81">
        <f t="shared" si="8"/>
        <v>0</v>
      </c>
      <c r="E481" s="81">
        <f>SUMIF('2.생활용수(광석)'!$C$5:$C$56,C481,'2.생활용수(광석)'!$Q$5:$Q$56)</f>
        <v>0</v>
      </c>
      <c r="F481" s="81">
        <f>SUMIF('2.생활용수(성동)'!$C$5:$C$60,$C481,'2.생활용수(성동)'!$Q$5:$Q$60)</f>
        <v>0</v>
      </c>
      <c r="G481" s="81">
        <f>SUMIF('2.생활용수(봉화)'!$C$5:$C$18,$C481,'2.생활용수(봉화)'!$Q$5:$Q$18)</f>
        <v>0</v>
      </c>
      <c r="H481" s="81">
        <f>SUMIF('2.생활용수(논산)'!$C$5:$C$28,$C481,'2.생활용수(논산)'!$Q$5:$Q$28)</f>
        <v>0</v>
      </c>
      <c r="I481" s="81">
        <f>SUMIF('2.생활용수(연무)'!$C$5:$C$123,$C481,'2.생활용수(연무)'!$Q$5:$Q$123)</f>
        <v>0</v>
      </c>
      <c r="J481" s="81">
        <f>SUMIF('2.생활용수(마산)'!$C$5:$C$115,$C481,'2.생활용수(마산)'!$Q$5:$Q$115)</f>
        <v>0</v>
      </c>
      <c r="K481" s="81">
        <f>SUMIF('2.생활용수(부적)'!$C$5:$C$75,$C481,'2.생활용수(부적)'!$Q$5:$Q$75)</f>
        <v>0</v>
      </c>
      <c r="L481" s="81">
        <f>SUMIF('2.생활용수(연산)'!$C$5:$C$220,$C481,'2.생활용수(연산)'!$Q$5:$Q$220)</f>
        <v>0</v>
      </c>
      <c r="M481" s="81">
        <f>SUMIF('2.생활용수(채운)'!$C$5:$C$63,$C481,'2.생활용수(채운)'!$Q$5:$Q$63)</f>
        <v>0</v>
      </c>
      <c r="N481" s="81">
        <f>SUMIF('2.생활용수(강경)'!$C$5:$C$60,$C481,'2.생활용수(강경)'!$Q$5:$Q$60)</f>
        <v>0</v>
      </c>
      <c r="O481" s="81"/>
    </row>
    <row r="482" spans="1:15" ht="20.100000000000001" customHeight="1">
      <c r="A482" s="442" t="s">
        <v>2394</v>
      </c>
      <c r="B482" s="442" t="s">
        <v>2395</v>
      </c>
      <c r="C482" s="443"/>
      <c r="D482" s="81">
        <f t="shared" si="8"/>
        <v>0</v>
      </c>
      <c r="E482" s="81">
        <f>SUMIF('2.생활용수(광석)'!$C$5:$C$56,C482,'2.생활용수(광석)'!$Q$5:$Q$56)</f>
        <v>0</v>
      </c>
      <c r="F482" s="81">
        <f>SUMIF('2.생활용수(성동)'!$C$5:$C$60,$C482,'2.생활용수(성동)'!$Q$5:$Q$60)</f>
        <v>0</v>
      </c>
      <c r="G482" s="81">
        <f>SUMIF('2.생활용수(봉화)'!$C$5:$C$18,$C482,'2.생활용수(봉화)'!$Q$5:$Q$18)</f>
        <v>0</v>
      </c>
      <c r="H482" s="81">
        <f>SUMIF('2.생활용수(논산)'!$C$5:$C$28,$C482,'2.생활용수(논산)'!$Q$5:$Q$28)</f>
        <v>0</v>
      </c>
      <c r="I482" s="81">
        <f>SUMIF('2.생활용수(연무)'!$C$5:$C$123,$C482,'2.생활용수(연무)'!$Q$5:$Q$123)</f>
        <v>0</v>
      </c>
      <c r="J482" s="81">
        <f>SUMIF('2.생활용수(마산)'!$C$5:$C$115,$C482,'2.생활용수(마산)'!$Q$5:$Q$115)</f>
        <v>0</v>
      </c>
      <c r="K482" s="81">
        <f>SUMIF('2.생활용수(부적)'!$C$5:$C$75,$C482,'2.생활용수(부적)'!$Q$5:$Q$75)</f>
        <v>0</v>
      </c>
      <c r="L482" s="81">
        <f>SUMIF('2.생활용수(연산)'!$C$5:$C$220,$C482,'2.생활용수(연산)'!$Q$5:$Q$220)</f>
        <v>0</v>
      </c>
      <c r="M482" s="81">
        <f>SUMIF('2.생활용수(채운)'!$C$5:$C$63,$C482,'2.생활용수(채운)'!$Q$5:$Q$63)</f>
        <v>0</v>
      </c>
      <c r="N482" s="81">
        <f>SUMIF('2.생활용수(강경)'!$C$5:$C$60,$C482,'2.생활용수(강경)'!$Q$5:$Q$60)</f>
        <v>0</v>
      </c>
      <c r="O482" s="81"/>
    </row>
    <row r="483" spans="1:15" ht="20.100000000000001" customHeight="1">
      <c r="A483" s="442" t="s">
        <v>2394</v>
      </c>
      <c r="B483" s="442" t="s">
        <v>2395</v>
      </c>
      <c r="C483" s="443"/>
      <c r="D483" s="81">
        <f t="shared" si="8"/>
        <v>0</v>
      </c>
      <c r="E483" s="81">
        <f>SUMIF('2.생활용수(광석)'!$C$5:$C$56,C483,'2.생활용수(광석)'!$Q$5:$Q$56)</f>
        <v>0</v>
      </c>
      <c r="F483" s="81">
        <f>SUMIF('2.생활용수(성동)'!$C$5:$C$60,$C483,'2.생활용수(성동)'!$Q$5:$Q$60)</f>
        <v>0</v>
      </c>
      <c r="G483" s="81">
        <f>SUMIF('2.생활용수(봉화)'!$C$5:$C$18,$C483,'2.생활용수(봉화)'!$Q$5:$Q$18)</f>
        <v>0</v>
      </c>
      <c r="H483" s="81">
        <f>SUMIF('2.생활용수(논산)'!$C$5:$C$28,$C483,'2.생활용수(논산)'!$Q$5:$Q$28)</f>
        <v>0</v>
      </c>
      <c r="I483" s="81">
        <f>SUMIF('2.생활용수(연무)'!$C$5:$C$123,$C483,'2.생활용수(연무)'!$Q$5:$Q$123)</f>
        <v>0</v>
      </c>
      <c r="J483" s="81">
        <f>SUMIF('2.생활용수(마산)'!$C$5:$C$115,$C483,'2.생활용수(마산)'!$Q$5:$Q$115)</f>
        <v>0</v>
      </c>
      <c r="K483" s="81">
        <f>SUMIF('2.생활용수(부적)'!$C$5:$C$75,$C483,'2.생활용수(부적)'!$Q$5:$Q$75)</f>
        <v>0</v>
      </c>
      <c r="L483" s="81">
        <f>SUMIF('2.생활용수(연산)'!$C$5:$C$220,$C483,'2.생활용수(연산)'!$Q$5:$Q$220)</f>
        <v>0</v>
      </c>
      <c r="M483" s="81">
        <f>SUMIF('2.생활용수(채운)'!$C$5:$C$63,$C483,'2.생활용수(채운)'!$Q$5:$Q$63)</f>
        <v>0</v>
      </c>
      <c r="N483" s="81">
        <f>SUMIF('2.생활용수(강경)'!$C$5:$C$60,$C483,'2.생활용수(강경)'!$Q$5:$Q$60)</f>
        <v>0</v>
      </c>
      <c r="O483" s="81"/>
    </row>
    <row r="484" spans="1:15" ht="20.100000000000001" customHeight="1">
      <c r="A484" s="442" t="s">
        <v>2394</v>
      </c>
      <c r="B484" s="442" t="s">
        <v>2395</v>
      </c>
      <c r="C484" s="443"/>
      <c r="D484" s="81">
        <f t="shared" si="8"/>
        <v>0</v>
      </c>
      <c r="E484" s="81">
        <f>SUMIF('2.생활용수(광석)'!$C$5:$C$56,C484,'2.생활용수(광석)'!$Q$5:$Q$56)</f>
        <v>0</v>
      </c>
      <c r="F484" s="81">
        <f>SUMIF('2.생활용수(성동)'!$C$5:$C$60,$C484,'2.생활용수(성동)'!$Q$5:$Q$60)</f>
        <v>0</v>
      </c>
      <c r="G484" s="81">
        <f>SUMIF('2.생활용수(봉화)'!$C$5:$C$18,$C484,'2.생활용수(봉화)'!$Q$5:$Q$18)</f>
        <v>0</v>
      </c>
      <c r="H484" s="81">
        <f>SUMIF('2.생활용수(논산)'!$C$5:$C$28,$C484,'2.생활용수(논산)'!$Q$5:$Q$28)</f>
        <v>0</v>
      </c>
      <c r="I484" s="81">
        <f>SUMIF('2.생활용수(연무)'!$C$5:$C$123,$C484,'2.생활용수(연무)'!$Q$5:$Q$123)</f>
        <v>0</v>
      </c>
      <c r="J484" s="81">
        <f>SUMIF('2.생활용수(마산)'!$C$5:$C$115,$C484,'2.생활용수(마산)'!$Q$5:$Q$115)</f>
        <v>0</v>
      </c>
      <c r="K484" s="81">
        <f>SUMIF('2.생활용수(부적)'!$C$5:$C$75,$C484,'2.생활용수(부적)'!$Q$5:$Q$75)</f>
        <v>0</v>
      </c>
      <c r="L484" s="81">
        <f>SUMIF('2.생활용수(연산)'!$C$5:$C$220,$C484,'2.생활용수(연산)'!$Q$5:$Q$220)</f>
        <v>0</v>
      </c>
      <c r="M484" s="81">
        <f>SUMIF('2.생활용수(채운)'!$C$5:$C$63,$C484,'2.생활용수(채운)'!$Q$5:$Q$63)</f>
        <v>0</v>
      </c>
      <c r="N484" s="81">
        <f>SUMIF('2.생활용수(강경)'!$C$5:$C$60,$C484,'2.생활용수(강경)'!$Q$5:$Q$60)</f>
        <v>0</v>
      </c>
      <c r="O484" s="81"/>
    </row>
  </sheetData>
  <autoFilter ref="A2:O484">
    <filterColumn colId="8"/>
  </autoFilter>
  <mergeCells count="1">
    <mergeCell ref="A3:C3"/>
  </mergeCells>
  <phoneticPr fontId="3" type="noConversion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>
  <dimension ref="A2:F20"/>
  <sheetViews>
    <sheetView workbookViewId="0"/>
  </sheetViews>
  <sheetFormatPr defaultColWidth="10.77734375" defaultRowHeight="20.100000000000001" customHeight="1"/>
  <cols>
    <col min="1" max="16384" width="10.77734375" style="329"/>
  </cols>
  <sheetData>
    <row r="2" spans="1:6" ht="20.100000000000001" customHeight="1">
      <c r="A2" s="328"/>
      <c r="B2" s="616" t="s">
        <v>1450</v>
      </c>
      <c r="C2" s="616"/>
      <c r="D2" s="616" t="s">
        <v>1463</v>
      </c>
      <c r="E2" s="616"/>
      <c r="F2" s="616" t="s">
        <v>1464</v>
      </c>
    </row>
    <row r="3" spans="1:6" ht="20.100000000000001" customHeight="1">
      <c r="A3" s="328"/>
      <c r="B3" s="328" t="s">
        <v>1451</v>
      </c>
      <c r="C3" s="328" t="s">
        <v>1452</v>
      </c>
      <c r="D3" s="328" t="s">
        <v>1451</v>
      </c>
      <c r="E3" s="328" t="s">
        <v>1452</v>
      </c>
      <c r="F3" s="616"/>
    </row>
    <row r="4" spans="1:6" ht="20.100000000000001" customHeight="1">
      <c r="A4" s="328" t="s">
        <v>1461</v>
      </c>
      <c r="B4" s="229">
        <f>SUM(B5:B20)</f>
        <v>7045</v>
      </c>
      <c r="C4" s="229">
        <f>SUM(C5:C20)</f>
        <v>10870</v>
      </c>
      <c r="D4" s="229"/>
      <c r="E4" s="229">
        <f>SUM(E5:E20)</f>
        <v>33594</v>
      </c>
      <c r="F4" s="342"/>
    </row>
    <row r="5" spans="1:6" ht="20.100000000000001" customHeight="1">
      <c r="A5" s="328" t="s">
        <v>1444</v>
      </c>
      <c r="B5" s="229">
        <f>'[4]일평균 수요량'!$L$9</f>
        <v>2668</v>
      </c>
      <c r="C5" s="229">
        <f>ROUND(B5/0.849*1.31,0)</f>
        <v>4117</v>
      </c>
      <c r="D5" s="229"/>
      <c r="E5" s="229">
        <v>3860</v>
      </c>
      <c r="F5" s="342">
        <f>ROUND(C5/E5,2)</f>
        <v>1.07</v>
      </c>
    </row>
    <row r="6" spans="1:6" ht="20.100000000000001" customHeight="1">
      <c r="A6" s="328" t="s">
        <v>1445</v>
      </c>
      <c r="B6" s="229">
        <f>'[4]일평균 수요량'!$L$14-'[4]일평균 수요량'!$L$18</f>
        <v>-1036</v>
      </c>
      <c r="C6" s="229">
        <f t="shared" ref="C6:C20" si="0">ROUND(B6/0.849*1.31,0)</f>
        <v>-1599</v>
      </c>
      <c r="D6" s="229"/>
      <c r="E6" s="229">
        <v>5092</v>
      </c>
      <c r="F6" s="342">
        <f>ROUND(C6/E6,2)</f>
        <v>-0.31</v>
      </c>
    </row>
    <row r="7" spans="1:6" ht="20.100000000000001" customHeight="1">
      <c r="A7" s="328" t="s">
        <v>1446</v>
      </c>
      <c r="B7" s="229">
        <f>'[4]일평균 수요량'!$L$19</f>
        <v>4510</v>
      </c>
      <c r="C7" s="229">
        <f t="shared" si="0"/>
        <v>6959</v>
      </c>
      <c r="D7" s="229"/>
      <c r="E7" s="229">
        <v>990</v>
      </c>
      <c r="F7" s="342">
        <f t="shared" ref="F7:F19" si="1">ROUND(C7/E7,2)</f>
        <v>7.03</v>
      </c>
    </row>
    <row r="8" spans="1:6" ht="20.100000000000001" customHeight="1">
      <c r="A8" s="328" t="s">
        <v>1447</v>
      </c>
      <c r="B8" s="229">
        <f>'[4]일평균 수요량'!$L$24</f>
        <v>230</v>
      </c>
      <c r="C8" s="229">
        <f t="shared" si="0"/>
        <v>355</v>
      </c>
      <c r="D8" s="229"/>
      <c r="E8" s="229">
        <v>496</v>
      </c>
      <c r="F8" s="342">
        <f t="shared" si="1"/>
        <v>0.72</v>
      </c>
    </row>
    <row r="9" spans="1:6" ht="20.100000000000001" customHeight="1">
      <c r="A9" s="328" t="s">
        <v>1448</v>
      </c>
      <c r="B9" s="229">
        <f>'[4]일평균 수요량'!$L$29</f>
        <v>0</v>
      </c>
      <c r="C9" s="229">
        <f t="shared" si="0"/>
        <v>0</v>
      </c>
      <c r="D9" s="229"/>
      <c r="E9" s="229">
        <v>0</v>
      </c>
      <c r="F9" s="342">
        <v>1</v>
      </c>
    </row>
    <row r="10" spans="1:6" ht="20.100000000000001" customHeight="1">
      <c r="A10" s="328" t="s">
        <v>1449</v>
      </c>
      <c r="B10" s="229">
        <f>'[4]일평균 수요량'!$L$34</f>
        <v>0</v>
      </c>
      <c r="C10" s="229">
        <f t="shared" si="0"/>
        <v>0</v>
      </c>
      <c r="D10" s="229"/>
      <c r="E10" s="229">
        <v>0</v>
      </c>
      <c r="F10" s="342">
        <v>1</v>
      </c>
    </row>
    <row r="11" spans="1:6" ht="20.100000000000001" customHeight="1">
      <c r="A11" s="328" t="s">
        <v>1453</v>
      </c>
      <c r="B11" s="229">
        <f>'[4]일평균 수요량'!$L$39</f>
        <v>0</v>
      </c>
      <c r="C11" s="229">
        <f t="shared" si="0"/>
        <v>0</v>
      </c>
      <c r="D11" s="229"/>
      <c r="E11" s="229">
        <v>798</v>
      </c>
      <c r="F11" s="342">
        <f t="shared" si="1"/>
        <v>0</v>
      </c>
    </row>
    <row r="12" spans="1:6" ht="20.100000000000001" customHeight="1">
      <c r="A12" s="328" t="s">
        <v>1454</v>
      </c>
      <c r="B12" s="229">
        <f>'[4]일평균 수요량'!$L$44</f>
        <v>0</v>
      </c>
      <c r="C12" s="229">
        <f t="shared" si="0"/>
        <v>0</v>
      </c>
      <c r="D12" s="229"/>
      <c r="E12" s="229">
        <v>610</v>
      </c>
      <c r="F12" s="342">
        <f t="shared" si="1"/>
        <v>0</v>
      </c>
    </row>
    <row r="13" spans="1:6" ht="20.100000000000001" customHeight="1">
      <c r="A13" s="328" t="s">
        <v>1455</v>
      </c>
      <c r="B13" s="229">
        <f>'[4]일평균 수요량'!$L$49</f>
        <v>0</v>
      </c>
      <c r="C13" s="229">
        <f t="shared" si="0"/>
        <v>0</v>
      </c>
      <c r="D13" s="229"/>
      <c r="E13" s="229">
        <v>0</v>
      </c>
      <c r="F13" s="342">
        <v>1</v>
      </c>
    </row>
    <row r="14" spans="1:6" ht="20.100000000000001" customHeight="1">
      <c r="A14" s="328" t="s">
        <v>1456</v>
      </c>
      <c r="B14" s="229">
        <f>'[4]일평균 수요량'!$L$54</f>
        <v>197</v>
      </c>
      <c r="C14" s="229">
        <f t="shared" si="0"/>
        <v>304</v>
      </c>
      <c r="D14" s="229"/>
      <c r="E14" s="229">
        <v>188</v>
      </c>
      <c r="F14" s="342">
        <f t="shared" si="1"/>
        <v>1.62</v>
      </c>
    </row>
    <row r="15" spans="1:6" ht="20.100000000000001" customHeight="1">
      <c r="A15" s="328" t="s">
        <v>1457</v>
      </c>
      <c r="B15" s="229">
        <f>'[4]일평균 수요량'!$L$59</f>
        <v>0</v>
      </c>
      <c r="C15" s="229">
        <f t="shared" si="0"/>
        <v>0</v>
      </c>
      <c r="D15" s="229"/>
      <c r="E15" s="229">
        <v>162</v>
      </c>
      <c r="F15" s="342">
        <f t="shared" si="1"/>
        <v>0</v>
      </c>
    </row>
    <row r="16" spans="1:6" ht="20.100000000000001" customHeight="1">
      <c r="A16" s="328" t="s">
        <v>1386</v>
      </c>
      <c r="B16" s="229">
        <f>'[4]일평균 수요량'!$L$64</f>
        <v>26</v>
      </c>
      <c r="C16" s="229">
        <f t="shared" si="0"/>
        <v>40</v>
      </c>
      <c r="D16" s="229"/>
      <c r="E16" s="229">
        <v>750</v>
      </c>
      <c r="F16" s="342">
        <f t="shared" si="1"/>
        <v>0.05</v>
      </c>
    </row>
    <row r="17" spans="1:6" ht="20.100000000000001" customHeight="1">
      <c r="A17" s="328" t="s">
        <v>1458</v>
      </c>
      <c r="B17" s="229">
        <f>'[4]일평균 수요량'!$L$69</f>
        <v>172</v>
      </c>
      <c r="C17" s="229">
        <f t="shared" si="0"/>
        <v>265</v>
      </c>
      <c r="D17" s="229"/>
      <c r="E17" s="229">
        <v>568</v>
      </c>
      <c r="F17" s="342">
        <f t="shared" si="1"/>
        <v>0.47</v>
      </c>
    </row>
    <row r="18" spans="1:6" ht="20.100000000000001" customHeight="1">
      <c r="A18" s="328" t="s">
        <v>1459</v>
      </c>
      <c r="B18" s="229">
        <f>'[4]일평균 수요량'!$L$79</f>
        <v>0</v>
      </c>
      <c r="C18" s="229">
        <f t="shared" si="0"/>
        <v>0</v>
      </c>
      <c r="D18" s="229"/>
      <c r="E18" s="229">
        <v>12442</v>
      </c>
      <c r="F18" s="342">
        <f t="shared" si="1"/>
        <v>0</v>
      </c>
    </row>
    <row r="19" spans="1:6" ht="20.100000000000001" customHeight="1">
      <c r="A19" s="328" t="s">
        <v>1460</v>
      </c>
      <c r="B19" s="229">
        <f>'[4]일평균 수요량'!$L$84</f>
        <v>53</v>
      </c>
      <c r="C19" s="229">
        <f t="shared" si="0"/>
        <v>82</v>
      </c>
      <c r="D19" s="229"/>
      <c r="E19" s="229">
        <v>7638</v>
      </c>
      <c r="F19" s="342">
        <f t="shared" si="1"/>
        <v>0.01</v>
      </c>
    </row>
    <row r="20" spans="1:6" ht="20.100000000000001" customHeight="1">
      <c r="A20" s="328" t="s">
        <v>1462</v>
      </c>
      <c r="B20" s="229">
        <f>'[4]일평균 수요량'!$L$89</f>
        <v>225</v>
      </c>
      <c r="C20" s="229">
        <f t="shared" si="0"/>
        <v>347</v>
      </c>
      <c r="D20" s="229"/>
      <c r="E20" s="229">
        <v>0</v>
      </c>
      <c r="F20" s="342">
        <v>1</v>
      </c>
    </row>
  </sheetData>
  <mergeCells count="3">
    <mergeCell ref="B2:C2"/>
    <mergeCell ref="D2:E2"/>
    <mergeCell ref="F2:F3"/>
  </mergeCells>
  <phoneticPr fontId="3" type="noConversion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>
  <dimension ref="A2:G381"/>
  <sheetViews>
    <sheetView topLeftCell="A304" workbookViewId="0">
      <selection activeCell="G318" sqref="G318"/>
    </sheetView>
  </sheetViews>
  <sheetFormatPr defaultColWidth="10.77734375" defaultRowHeight="20.100000000000001" customHeight="1"/>
  <cols>
    <col min="1" max="1" width="3.77734375" style="485" customWidth="1"/>
    <col min="2" max="16384" width="10.77734375" style="485"/>
  </cols>
  <sheetData>
    <row r="2" spans="1:7" ht="20.100000000000001" customHeight="1">
      <c r="A2" s="908"/>
      <c r="B2" s="908"/>
    </row>
    <row r="3" spans="1:7" ht="20.100000000000001" customHeight="1">
      <c r="A3" s="900" t="s">
        <v>410</v>
      </c>
      <c r="B3" s="900"/>
      <c r="C3" s="900"/>
      <c r="D3" s="900"/>
      <c r="E3" s="900">
        <v>2013</v>
      </c>
      <c r="F3" s="900"/>
      <c r="G3" s="900" t="s">
        <v>413</v>
      </c>
    </row>
    <row r="4" spans="1:7" ht="20.100000000000001" customHeight="1">
      <c r="A4" s="900"/>
      <c r="B4" s="900"/>
      <c r="C4" s="900"/>
      <c r="D4" s="900"/>
      <c r="E4" s="480" t="s">
        <v>102</v>
      </c>
      <c r="F4" s="480" t="s">
        <v>2459</v>
      </c>
      <c r="G4" s="900"/>
    </row>
    <row r="5" spans="1:7" ht="20.100000000000001" customHeight="1">
      <c r="A5" s="906" t="s">
        <v>1913</v>
      </c>
      <c r="B5" s="906"/>
      <c r="C5" s="906"/>
      <c r="D5" s="906"/>
      <c r="E5" s="492"/>
      <c r="F5" s="492">
        <f>F6</f>
        <v>287</v>
      </c>
      <c r="G5" s="481" t="b">
        <f>F5='[4]급수구역별 용수량정리'!$H$6</f>
        <v>1</v>
      </c>
    </row>
    <row r="6" spans="1:7" ht="20.100000000000001" customHeight="1">
      <c r="A6" s="900"/>
      <c r="B6" s="900" t="s">
        <v>1447</v>
      </c>
      <c r="C6" s="900" t="s">
        <v>1447</v>
      </c>
      <c r="D6" s="900"/>
      <c r="E6" s="493">
        <f>E7+E11+E14+E17+E20+E22+E25</f>
        <v>1648</v>
      </c>
      <c r="F6" s="493">
        <f>F7+F11+F14+F17+F20+F22+F25</f>
        <v>287</v>
      </c>
      <c r="G6" s="480"/>
    </row>
    <row r="7" spans="1:7" ht="20.100000000000001" customHeight="1">
      <c r="A7" s="900"/>
      <c r="B7" s="900"/>
      <c r="C7" s="900" t="s">
        <v>2452</v>
      </c>
      <c r="D7" s="480" t="s">
        <v>2472</v>
      </c>
      <c r="E7" s="493">
        <f>SUM(E8:E10)</f>
        <v>469</v>
      </c>
      <c r="F7" s="493">
        <f>VLOOKUP(D7,'[4]급수구역별 용수량정리'!$D$7:$H$35,5,FALSE)</f>
        <v>75</v>
      </c>
      <c r="G7" s="480"/>
    </row>
    <row r="8" spans="1:7" ht="20.100000000000001" customHeight="1">
      <c r="A8" s="900"/>
      <c r="B8" s="900"/>
      <c r="C8" s="900"/>
      <c r="D8" s="496" t="s">
        <v>1671</v>
      </c>
      <c r="E8" s="493">
        <f>VLOOKUP(D8,'[2]2.행정구역별 급수인구'!$C$7:$X$997,17,FALSE)</f>
        <v>225</v>
      </c>
      <c r="F8" s="493">
        <f>ROUND($F$7*E8/$E$7,0)</f>
        <v>36</v>
      </c>
      <c r="G8" s="480"/>
    </row>
    <row r="9" spans="1:7" ht="20.100000000000001" customHeight="1">
      <c r="A9" s="900"/>
      <c r="B9" s="900"/>
      <c r="C9" s="900"/>
      <c r="D9" s="496" t="s">
        <v>1672</v>
      </c>
      <c r="E9" s="493">
        <f>VLOOKUP(D9,'[2]2.행정구역별 급수인구'!$C$7:$X$997,17,FALSE)</f>
        <v>128</v>
      </c>
      <c r="F9" s="493">
        <f>ROUND($F$7*E9/$E$7,)</f>
        <v>20</v>
      </c>
      <c r="G9" s="480"/>
    </row>
    <row r="10" spans="1:7" ht="20.100000000000001" customHeight="1">
      <c r="A10" s="900"/>
      <c r="B10" s="900"/>
      <c r="C10" s="900"/>
      <c r="D10" s="496" t="s">
        <v>1673</v>
      </c>
      <c r="E10" s="493">
        <f>VLOOKUP(D10,'[2]2.행정구역별 급수인구'!$C$7:$X$997,17,FALSE)</f>
        <v>116</v>
      </c>
      <c r="F10" s="493">
        <f>F7-F8-F9</f>
        <v>19</v>
      </c>
      <c r="G10" s="480"/>
    </row>
    <row r="11" spans="1:7" ht="20.100000000000001" customHeight="1">
      <c r="A11" s="900"/>
      <c r="B11" s="900"/>
      <c r="C11" s="900" t="s">
        <v>2453</v>
      </c>
      <c r="D11" s="480" t="s">
        <v>2453</v>
      </c>
      <c r="E11" s="493">
        <f>SUM(E12:E13)</f>
        <v>181</v>
      </c>
      <c r="F11" s="493">
        <f>VLOOKUP(D11,'[4]급수구역별 용수량정리'!$D$7:$H$35,5,FALSE)</f>
        <v>29</v>
      </c>
      <c r="G11" s="480"/>
    </row>
    <row r="12" spans="1:7" ht="20.100000000000001" customHeight="1">
      <c r="A12" s="900"/>
      <c r="B12" s="900"/>
      <c r="C12" s="900"/>
      <c r="D12" s="496" t="s">
        <v>1674</v>
      </c>
      <c r="E12" s="493">
        <f>VLOOKUP(D12,'[2]2.행정구역별 급수인구'!$C$7:$X$997,17,FALSE)</f>
        <v>94</v>
      </c>
      <c r="F12" s="493">
        <f>ROUND($F$11*E12/$E$11,0)</f>
        <v>15</v>
      </c>
      <c r="G12" s="480"/>
    </row>
    <row r="13" spans="1:7" ht="20.100000000000001" customHeight="1">
      <c r="A13" s="900"/>
      <c r="B13" s="900"/>
      <c r="C13" s="900"/>
      <c r="D13" s="496" t="s">
        <v>1675</v>
      </c>
      <c r="E13" s="493">
        <f>VLOOKUP(D13,'[2]2.행정구역별 급수인구'!$C$7:$X$997,17,FALSE)</f>
        <v>87</v>
      </c>
      <c r="F13" s="493">
        <f>F11-F12</f>
        <v>14</v>
      </c>
      <c r="G13" s="480"/>
    </row>
    <row r="14" spans="1:7" ht="20.100000000000001" customHeight="1">
      <c r="A14" s="900"/>
      <c r="B14" s="900"/>
      <c r="C14" s="900" t="s">
        <v>2454</v>
      </c>
      <c r="D14" s="480" t="s">
        <v>2454</v>
      </c>
      <c r="E14" s="493">
        <f>SUM(E15:E16)</f>
        <v>281</v>
      </c>
      <c r="F14" s="493">
        <f>VLOOKUP(D14,'[4]급수구역별 용수량정리'!$D$7:$H$35,5,FALSE)</f>
        <v>7</v>
      </c>
      <c r="G14" s="480"/>
    </row>
    <row r="15" spans="1:7" ht="20.100000000000001" customHeight="1">
      <c r="A15" s="900"/>
      <c r="B15" s="900"/>
      <c r="C15" s="900"/>
      <c r="D15" s="496" t="s">
        <v>1676</v>
      </c>
      <c r="E15" s="493">
        <f>VLOOKUP(D15,'[2]2.행정구역별 급수인구'!$C$7:$X$997,17,FALSE)</f>
        <v>144</v>
      </c>
      <c r="F15" s="493">
        <f>ROUND($F$14*E15/$E$14,0)</f>
        <v>4</v>
      </c>
      <c r="G15" s="480"/>
    </row>
    <row r="16" spans="1:7" ht="20.100000000000001" customHeight="1">
      <c r="A16" s="900"/>
      <c r="B16" s="900"/>
      <c r="C16" s="900"/>
      <c r="D16" s="496" t="s">
        <v>1678</v>
      </c>
      <c r="E16" s="493">
        <f>VLOOKUP(D16,'[2]2.행정구역별 급수인구'!$C$7:$X$997,17,FALSE)</f>
        <v>137</v>
      </c>
      <c r="F16" s="493">
        <f>F14-F15</f>
        <v>3</v>
      </c>
      <c r="G16" s="480"/>
    </row>
    <row r="17" spans="1:7" ht="20.100000000000001" customHeight="1">
      <c r="A17" s="900"/>
      <c r="B17" s="900"/>
      <c r="C17" s="900" t="s">
        <v>2455</v>
      </c>
      <c r="D17" s="480" t="s">
        <v>2455</v>
      </c>
      <c r="E17" s="493">
        <f>SUM(E18:E19)</f>
        <v>286</v>
      </c>
      <c r="F17" s="493">
        <f>VLOOKUP(D17,'[4]급수구역별 용수량정리'!$D$7:$H$35,5,FALSE)</f>
        <v>54</v>
      </c>
      <c r="G17" s="480"/>
    </row>
    <row r="18" spans="1:7" ht="20.100000000000001" customHeight="1">
      <c r="A18" s="900"/>
      <c r="B18" s="900"/>
      <c r="C18" s="900"/>
      <c r="D18" s="496" t="s">
        <v>1679</v>
      </c>
      <c r="E18" s="493">
        <f>VLOOKUP(D18,'[2]2.행정구역별 급수인구'!$C$7:$X$997,17,FALSE)</f>
        <v>163</v>
      </c>
      <c r="F18" s="493">
        <f>ROUND($F$17*E18/$E$17,0)</f>
        <v>31</v>
      </c>
      <c r="G18" s="480"/>
    </row>
    <row r="19" spans="1:7" ht="20.100000000000001" customHeight="1">
      <c r="A19" s="900"/>
      <c r="B19" s="900"/>
      <c r="C19" s="900"/>
      <c r="D19" s="496" t="s">
        <v>1680</v>
      </c>
      <c r="E19" s="493">
        <f>VLOOKUP(D19,'[2]2.행정구역별 급수인구'!$C$7:$X$997,17,FALSE)</f>
        <v>123</v>
      </c>
      <c r="F19" s="493">
        <f>F17-F18</f>
        <v>23</v>
      </c>
      <c r="G19" s="480"/>
    </row>
    <row r="20" spans="1:7" ht="20.100000000000001" customHeight="1">
      <c r="A20" s="900"/>
      <c r="B20" s="900"/>
      <c r="C20" s="900" t="s">
        <v>2456</v>
      </c>
      <c r="D20" s="480" t="s">
        <v>2473</v>
      </c>
      <c r="E20" s="493">
        <f>SUM(E21)</f>
        <v>117</v>
      </c>
      <c r="F20" s="493">
        <f>VLOOKUP(D20,'[4]급수구역별 용수량정리'!$D$7:$H$35,5,FALSE)</f>
        <v>16</v>
      </c>
      <c r="G20" s="480"/>
    </row>
    <row r="21" spans="1:7" ht="20.100000000000001" customHeight="1">
      <c r="A21" s="900"/>
      <c r="B21" s="900"/>
      <c r="C21" s="900"/>
      <c r="D21" s="496" t="s">
        <v>1681</v>
      </c>
      <c r="E21" s="493">
        <f>VLOOKUP(D21,'[2]2.행정구역별 급수인구'!$C$7:$X$997,17,FALSE)</f>
        <v>117</v>
      </c>
      <c r="F21" s="493">
        <f>ROUND($F$20*E21/$E$20,0)</f>
        <v>16</v>
      </c>
      <c r="G21" s="480"/>
    </row>
    <row r="22" spans="1:7" ht="20.100000000000001" customHeight="1">
      <c r="A22" s="900"/>
      <c r="B22" s="900"/>
      <c r="C22" s="900" t="s">
        <v>2457</v>
      </c>
      <c r="D22" s="480" t="s">
        <v>2457</v>
      </c>
      <c r="E22" s="493">
        <f>SUM(E23:E24)</f>
        <v>266</v>
      </c>
      <c r="F22" s="493">
        <f>VLOOKUP(D22,'[4]급수구역별 용수량정리'!$D$7:$H$35,5,FALSE)</f>
        <v>90</v>
      </c>
      <c r="G22" s="480"/>
    </row>
    <row r="23" spans="1:7" ht="20.100000000000001" customHeight="1">
      <c r="A23" s="900"/>
      <c r="B23" s="900"/>
      <c r="C23" s="900"/>
      <c r="D23" s="496" t="s">
        <v>1682</v>
      </c>
      <c r="E23" s="493">
        <f>VLOOKUP(D23,'[2]2.행정구역별 급수인구'!$C$7:$X$997,17,FALSE)</f>
        <v>186</v>
      </c>
      <c r="F23" s="493">
        <f>ROUND($F$22*E23/$E$22,0)</f>
        <v>63</v>
      </c>
      <c r="G23" s="480"/>
    </row>
    <row r="24" spans="1:7" ht="20.100000000000001" customHeight="1">
      <c r="A24" s="900"/>
      <c r="B24" s="900"/>
      <c r="C24" s="900"/>
      <c r="D24" s="496" t="s">
        <v>1683</v>
      </c>
      <c r="E24" s="493">
        <f>VLOOKUP(D24,'[2]2.행정구역별 급수인구'!$C$7:$X$997,17,FALSE)</f>
        <v>80</v>
      </c>
      <c r="F24" s="493">
        <f>F22-F23</f>
        <v>27</v>
      </c>
      <c r="G24" s="480"/>
    </row>
    <row r="25" spans="1:7" ht="20.100000000000001" customHeight="1">
      <c r="A25" s="900"/>
      <c r="B25" s="900"/>
      <c r="C25" s="900" t="s">
        <v>2458</v>
      </c>
      <c r="D25" s="480" t="s">
        <v>2474</v>
      </c>
      <c r="E25" s="493">
        <f>SUM(E26)</f>
        <v>48</v>
      </c>
      <c r="F25" s="493">
        <f>VLOOKUP(D25,'[4]급수구역별 용수량정리'!$D$7:$H$35,5,FALSE)</f>
        <v>16</v>
      </c>
      <c r="G25" s="480"/>
    </row>
    <row r="26" spans="1:7" ht="20.100000000000001" customHeight="1">
      <c r="A26" s="900"/>
      <c r="B26" s="900"/>
      <c r="C26" s="900"/>
      <c r="D26" s="496" t="s">
        <v>1685</v>
      </c>
      <c r="E26" s="493">
        <f>VLOOKUP(D26,'[2]2.행정구역별 급수인구'!$C$7:$X$997,17,FALSE)</f>
        <v>48</v>
      </c>
      <c r="F26" s="493">
        <f>ROUND($F$25*E26/$E$25,0)</f>
        <v>16</v>
      </c>
      <c r="G26" s="480"/>
    </row>
    <row r="27" spans="1:7" ht="20.100000000000001" customHeight="1">
      <c r="A27" s="906" t="s">
        <v>1874</v>
      </c>
      <c r="B27" s="906"/>
      <c r="C27" s="906"/>
      <c r="D27" s="906"/>
      <c r="E27" s="492"/>
      <c r="F27" s="492">
        <f>F28+F67</f>
        <v>1357</v>
      </c>
      <c r="G27" s="486" t="b">
        <f>F27='[4]급수구역별 용수량정리'!$H$36</f>
        <v>1</v>
      </c>
    </row>
    <row r="28" spans="1:7" ht="20.100000000000001" customHeight="1">
      <c r="A28" s="900"/>
      <c r="B28" s="900" t="s">
        <v>1446</v>
      </c>
      <c r="C28" s="900" t="s">
        <v>1446</v>
      </c>
      <c r="D28" s="900"/>
      <c r="E28" s="493">
        <f>E29+E32+E34+E36+E40+E45+E49+E53+E58+E63+E65</f>
        <v>3680</v>
      </c>
      <c r="F28" s="493">
        <f>F29+F32+F34+F36+F40+F45+F49+F53+F58+F63+F65</f>
        <v>1248</v>
      </c>
      <c r="G28" s="480"/>
    </row>
    <row r="29" spans="1:7" ht="20.100000000000001" customHeight="1">
      <c r="A29" s="900"/>
      <c r="B29" s="900"/>
      <c r="C29" s="900" t="s">
        <v>2460</v>
      </c>
      <c r="D29" s="480" t="s">
        <v>2460</v>
      </c>
      <c r="E29" s="493">
        <f>SUM(E30:E31)</f>
        <v>290</v>
      </c>
      <c r="F29" s="493">
        <f>VLOOKUP(D29,'[4]급수구역별 용수량정리'!$D$36:$H$62,5,FALSE)</f>
        <v>84</v>
      </c>
      <c r="G29" s="480"/>
    </row>
    <row r="30" spans="1:7" ht="20.100000000000001" customHeight="1">
      <c r="A30" s="900"/>
      <c r="B30" s="900"/>
      <c r="C30" s="900"/>
      <c r="D30" s="496" t="s">
        <v>1640</v>
      </c>
      <c r="E30" s="493">
        <f>VLOOKUP(D30,'[2]2.행정구역별 급수인구'!$C$7:$X$997,17,FALSE)</f>
        <v>178</v>
      </c>
      <c r="F30" s="493">
        <f>ROUND($F$29*E30/$E$29,0)</f>
        <v>52</v>
      </c>
      <c r="G30" s="480"/>
    </row>
    <row r="31" spans="1:7" ht="20.100000000000001" customHeight="1">
      <c r="A31" s="900"/>
      <c r="B31" s="900"/>
      <c r="C31" s="900"/>
      <c r="D31" s="496" t="s">
        <v>1641</v>
      </c>
      <c r="E31" s="493">
        <f>VLOOKUP(D31,'[2]2.행정구역별 급수인구'!$C$7:$X$997,17,FALSE)</f>
        <v>112</v>
      </c>
      <c r="F31" s="493">
        <f>F29-F30</f>
        <v>32</v>
      </c>
      <c r="G31" s="480"/>
    </row>
    <row r="32" spans="1:7" ht="20.100000000000001" customHeight="1">
      <c r="A32" s="900"/>
      <c r="B32" s="900"/>
      <c r="C32" s="900" t="s">
        <v>2461</v>
      </c>
      <c r="D32" s="480" t="s">
        <v>2461</v>
      </c>
      <c r="E32" s="493">
        <f>SUM(E33)</f>
        <v>118</v>
      </c>
      <c r="F32" s="493">
        <f>VLOOKUP(D32,'[4]급수구역별 용수량정리'!$D$36:$H$62,5,FALSE)</f>
        <v>48</v>
      </c>
      <c r="G32" s="480"/>
    </row>
    <row r="33" spans="1:7" ht="20.100000000000001" customHeight="1">
      <c r="A33" s="900"/>
      <c r="B33" s="900"/>
      <c r="C33" s="900"/>
      <c r="D33" s="496" t="s">
        <v>1644</v>
      </c>
      <c r="E33" s="493">
        <f>VLOOKUP(D33,'[2]2.행정구역별 급수인구'!$C$7:$X$997,17,FALSE)</f>
        <v>118</v>
      </c>
      <c r="F33" s="493">
        <f>ROUND($F$32*E33/$E$32,0)</f>
        <v>48</v>
      </c>
      <c r="G33" s="480"/>
    </row>
    <row r="34" spans="1:7" ht="20.100000000000001" customHeight="1">
      <c r="A34" s="900"/>
      <c r="B34" s="900"/>
      <c r="C34" s="900" t="s">
        <v>2462</v>
      </c>
      <c r="D34" s="480" t="s">
        <v>2462</v>
      </c>
      <c r="E34" s="493">
        <f>SUM(E35)</f>
        <v>44</v>
      </c>
      <c r="F34" s="493">
        <f>VLOOKUP(D34,'[4]급수구역별 용수량정리'!$D$36:$H$62,5,FALSE)</f>
        <v>20</v>
      </c>
      <c r="G34" s="480"/>
    </row>
    <row r="35" spans="1:7" ht="20.100000000000001" customHeight="1">
      <c r="A35" s="900"/>
      <c r="B35" s="900"/>
      <c r="C35" s="900"/>
      <c r="D35" s="496" t="s">
        <v>1646</v>
      </c>
      <c r="E35" s="493">
        <f>VLOOKUP(D35,'[2]2.행정구역별 급수인구'!$C$7:$X$997,17,FALSE)</f>
        <v>44</v>
      </c>
      <c r="F35" s="493">
        <f>ROUND($F$34*E35/$E$34,0)</f>
        <v>20</v>
      </c>
      <c r="G35" s="480"/>
    </row>
    <row r="36" spans="1:7" ht="20.100000000000001" customHeight="1">
      <c r="A36" s="900"/>
      <c r="B36" s="900"/>
      <c r="C36" s="900" t="s">
        <v>2463</v>
      </c>
      <c r="D36" s="480" t="s">
        <v>2463</v>
      </c>
      <c r="E36" s="493">
        <f>SUM(E37:E39)</f>
        <v>457</v>
      </c>
      <c r="F36" s="493">
        <f>VLOOKUP(D36,'[4]급수구역별 용수량정리'!$D$36:$H$62,5,FALSE)</f>
        <v>165</v>
      </c>
      <c r="G36" s="480"/>
    </row>
    <row r="37" spans="1:7" ht="20.100000000000001" customHeight="1">
      <c r="A37" s="900"/>
      <c r="B37" s="900"/>
      <c r="C37" s="900"/>
      <c r="D37" s="496" t="s">
        <v>1647</v>
      </c>
      <c r="E37" s="493">
        <f>VLOOKUP(D37,'[2]2.행정구역별 급수인구'!$C$7:$X$997,17,FALSE)</f>
        <v>196</v>
      </c>
      <c r="F37" s="493">
        <f>ROUND($F$36*E37/$E$36,0)</f>
        <v>71</v>
      </c>
      <c r="G37" s="480"/>
    </row>
    <row r="38" spans="1:7" ht="20.100000000000001" customHeight="1">
      <c r="A38" s="900"/>
      <c r="B38" s="900"/>
      <c r="C38" s="900"/>
      <c r="D38" s="496" t="s">
        <v>1648</v>
      </c>
      <c r="E38" s="493">
        <f>VLOOKUP(D38,'[2]2.행정구역별 급수인구'!$C$7:$X$997,17,FALSE)</f>
        <v>107</v>
      </c>
      <c r="F38" s="493">
        <f>ROUND($F$36*E38/$E$36,0)</f>
        <v>39</v>
      </c>
      <c r="G38" s="480"/>
    </row>
    <row r="39" spans="1:7" ht="20.100000000000001" customHeight="1">
      <c r="A39" s="900"/>
      <c r="B39" s="900"/>
      <c r="C39" s="900"/>
      <c r="D39" s="496" t="s">
        <v>1649</v>
      </c>
      <c r="E39" s="493">
        <f>VLOOKUP(D39,'[2]2.행정구역별 급수인구'!$C$7:$X$997,17,FALSE)</f>
        <v>154</v>
      </c>
      <c r="F39" s="493">
        <f>F36-F37-F38</f>
        <v>55</v>
      </c>
      <c r="G39" s="480"/>
    </row>
    <row r="40" spans="1:7" ht="20.100000000000001" customHeight="1">
      <c r="A40" s="900"/>
      <c r="B40" s="900"/>
      <c r="C40" s="900" t="s">
        <v>2464</v>
      </c>
      <c r="D40" s="480" t="s">
        <v>2464</v>
      </c>
      <c r="E40" s="493">
        <f>SUM(E41:E44)</f>
        <v>557</v>
      </c>
      <c r="F40" s="493">
        <f>VLOOKUP(D40,'[4]급수구역별 용수량정리'!$D$36:$H$62,5,FALSE)</f>
        <v>394</v>
      </c>
      <c r="G40" s="480"/>
    </row>
    <row r="41" spans="1:7" ht="20.100000000000001" customHeight="1">
      <c r="A41" s="900"/>
      <c r="B41" s="900"/>
      <c r="C41" s="900"/>
      <c r="D41" s="496" t="s">
        <v>1650</v>
      </c>
      <c r="E41" s="493">
        <f>VLOOKUP(D41,'[2]2.행정구역별 급수인구'!$C$7:$X$997,17,FALSE)</f>
        <v>170</v>
      </c>
      <c r="F41" s="493">
        <f>ROUND($F$40*E41/$E$40,0)</f>
        <v>120</v>
      </c>
      <c r="G41" s="480"/>
    </row>
    <row r="42" spans="1:7" ht="20.100000000000001" customHeight="1">
      <c r="A42" s="900"/>
      <c r="B42" s="900"/>
      <c r="C42" s="900"/>
      <c r="D42" s="496" t="s">
        <v>1651</v>
      </c>
      <c r="E42" s="493">
        <f>VLOOKUP(D42,'[2]2.행정구역별 급수인구'!$C$7:$X$997,17,FALSE)</f>
        <v>123</v>
      </c>
      <c r="F42" s="493">
        <f t="shared" ref="F42:F43" si="0">ROUND($F$40*E42/$E$40,0)</f>
        <v>87</v>
      </c>
      <c r="G42" s="480"/>
    </row>
    <row r="43" spans="1:7" ht="20.100000000000001" customHeight="1">
      <c r="A43" s="900"/>
      <c r="B43" s="900"/>
      <c r="C43" s="900"/>
      <c r="D43" s="496" t="s">
        <v>1652</v>
      </c>
      <c r="E43" s="493">
        <f>VLOOKUP(D43,'[2]2.행정구역별 급수인구'!$C$7:$X$997,17,FALSE)</f>
        <v>92</v>
      </c>
      <c r="F43" s="493">
        <f t="shared" si="0"/>
        <v>65</v>
      </c>
      <c r="G43" s="480"/>
    </row>
    <row r="44" spans="1:7" ht="20.100000000000001" customHeight="1">
      <c r="A44" s="900"/>
      <c r="B44" s="900"/>
      <c r="C44" s="900"/>
      <c r="D44" s="496" t="s">
        <v>1653</v>
      </c>
      <c r="E44" s="493">
        <f>VLOOKUP(D44,'[2]2.행정구역별 급수인구'!$C$7:$X$997,17,FALSE)</f>
        <v>172</v>
      </c>
      <c r="F44" s="493">
        <f>F40-F41-F42-F43</f>
        <v>122</v>
      </c>
      <c r="G44" s="480"/>
    </row>
    <row r="45" spans="1:7" ht="20.100000000000001" customHeight="1">
      <c r="A45" s="900"/>
      <c r="B45" s="900"/>
      <c r="C45" s="900" t="s">
        <v>2465</v>
      </c>
      <c r="D45" s="480" t="s">
        <v>2465</v>
      </c>
      <c r="E45" s="493">
        <f>SUM(E46:E48)</f>
        <v>377</v>
      </c>
      <c r="F45" s="493">
        <f>VLOOKUP(D45,'[4]급수구역별 용수량정리'!$D$36:$H$62,5,FALSE)</f>
        <v>43</v>
      </c>
      <c r="G45" s="480"/>
    </row>
    <row r="46" spans="1:7" ht="20.100000000000001" customHeight="1">
      <c r="A46" s="900"/>
      <c r="B46" s="900"/>
      <c r="C46" s="900"/>
      <c r="D46" s="496" t="s">
        <v>1654</v>
      </c>
      <c r="E46" s="493">
        <f>VLOOKUP(D46,'[2]2.행정구역별 급수인구'!$C$7:$X$997,17,FALSE)</f>
        <v>220</v>
      </c>
      <c r="F46" s="493">
        <f>ROUND($F$45*E46/$E$45,0)</f>
        <v>25</v>
      </c>
      <c r="G46" s="480"/>
    </row>
    <row r="47" spans="1:7" ht="20.100000000000001" customHeight="1">
      <c r="A47" s="900"/>
      <c r="B47" s="900"/>
      <c r="C47" s="900"/>
      <c r="D47" s="496" t="s">
        <v>1655</v>
      </c>
      <c r="E47" s="493">
        <f>VLOOKUP(D47,'[2]2.행정구역별 급수인구'!$C$7:$X$997,17,FALSE)</f>
        <v>69</v>
      </c>
      <c r="F47" s="493">
        <f>ROUND($F$45*E47/$E$45,0)</f>
        <v>8</v>
      </c>
      <c r="G47" s="480"/>
    </row>
    <row r="48" spans="1:7" ht="20.100000000000001" customHeight="1">
      <c r="A48" s="900"/>
      <c r="B48" s="900"/>
      <c r="C48" s="900"/>
      <c r="D48" s="496" t="s">
        <v>1656</v>
      </c>
      <c r="E48" s="493">
        <f>VLOOKUP(D48,'[2]2.행정구역별 급수인구'!$C$7:$X$997,17,FALSE)</f>
        <v>88</v>
      </c>
      <c r="F48" s="493">
        <f>F45-F46-F47</f>
        <v>10</v>
      </c>
      <c r="G48" s="480"/>
    </row>
    <row r="49" spans="1:7" ht="20.100000000000001" customHeight="1">
      <c r="A49" s="900"/>
      <c r="B49" s="900"/>
      <c r="C49" s="900" t="s">
        <v>2466</v>
      </c>
      <c r="D49" s="480" t="s">
        <v>2466</v>
      </c>
      <c r="E49" s="493">
        <f>SUM(E50:E52)</f>
        <v>455</v>
      </c>
      <c r="F49" s="493">
        <f>VLOOKUP(D49,'[4]급수구역별 용수량정리'!$D$36:$H$62,5,FALSE)</f>
        <v>136</v>
      </c>
      <c r="G49" s="480"/>
    </row>
    <row r="50" spans="1:7" ht="20.100000000000001" customHeight="1">
      <c r="A50" s="900"/>
      <c r="B50" s="900"/>
      <c r="C50" s="900"/>
      <c r="D50" s="496" t="s">
        <v>1657</v>
      </c>
      <c r="E50" s="493">
        <f>VLOOKUP(D50,'[2]2.행정구역별 급수인구'!$C$7:$X$997,17,FALSE)</f>
        <v>185</v>
      </c>
      <c r="F50" s="493">
        <f>ROUND($F$49*E50/$E$49,0)</f>
        <v>55</v>
      </c>
      <c r="G50" s="480"/>
    </row>
    <row r="51" spans="1:7" ht="20.100000000000001" customHeight="1">
      <c r="A51" s="900"/>
      <c r="B51" s="900"/>
      <c r="C51" s="900"/>
      <c r="D51" s="496" t="s">
        <v>1658</v>
      </c>
      <c r="E51" s="493">
        <f>VLOOKUP(D51,'[2]2.행정구역별 급수인구'!$C$7:$X$997,17,FALSE)</f>
        <v>141</v>
      </c>
      <c r="F51" s="493">
        <f>ROUND($F$49*E51/$E$49,0)</f>
        <v>42</v>
      </c>
      <c r="G51" s="480"/>
    </row>
    <row r="52" spans="1:7" ht="20.100000000000001" customHeight="1">
      <c r="A52" s="900"/>
      <c r="B52" s="900"/>
      <c r="C52" s="900"/>
      <c r="D52" s="496" t="s">
        <v>1659</v>
      </c>
      <c r="E52" s="493">
        <f>VLOOKUP(D52,'[2]2.행정구역별 급수인구'!$C$7:$X$997,17,FALSE)</f>
        <v>129</v>
      </c>
      <c r="F52" s="493">
        <f>F49-F50-F51</f>
        <v>39</v>
      </c>
      <c r="G52" s="480"/>
    </row>
    <row r="53" spans="1:7" ht="20.100000000000001" customHeight="1">
      <c r="A53" s="900"/>
      <c r="B53" s="900"/>
      <c r="C53" s="900" t="s">
        <v>2467</v>
      </c>
      <c r="D53" s="480" t="s">
        <v>2467</v>
      </c>
      <c r="E53" s="493">
        <f>SUM(E54:E57)</f>
        <v>600</v>
      </c>
      <c r="F53" s="493">
        <f>VLOOKUP(D53,'[4]급수구역별 용수량정리'!$D$36:$H$62,5,FALSE)</f>
        <v>139</v>
      </c>
      <c r="G53" s="480"/>
    </row>
    <row r="54" spans="1:7" ht="20.100000000000001" customHeight="1">
      <c r="A54" s="900"/>
      <c r="B54" s="900"/>
      <c r="C54" s="900"/>
      <c r="D54" s="496" t="s">
        <v>1660</v>
      </c>
      <c r="E54" s="493">
        <f>VLOOKUP(D54,'[2]2.행정구역별 급수인구'!$C$7:$X$997,17,FALSE)</f>
        <v>207</v>
      </c>
      <c r="F54" s="493">
        <f>ROUND($F$53*E54/$E$53,0)</f>
        <v>48</v>
      </c>
      <c r="G54" s="480"/>
    </row>
    <row r="55" spans="1:7" ht="20.100000000000001" customHeight="1">
      <c r="A55" s="900"/>
      <c r="B55" s="900"/>
      <c r="C55" s="900"/>
      <c r="D55" s="496" t="s">
        <v>1661</v>
      </c>
      <c r="E55" s="493">
        <f>VLOOKUP(D55,'[2]2.행정구역별 급수인구'!$C$7:$X$997,17,FALSE)</f>
        <v>128</v>
      </c>
      <c r="F55" s="493">
        <f>ROUND($F$53*E55/$E$53,0)</f>
        <v>30</v>
      </c>
      <c r="G55" s="480"/>
    </row>
    <row r="56" spans="1:7" ht="20.100000000000001" customHeight="1">
      <c r="A56" s="900"/>
      <c r="B56" s="900"/>
      <c r="C56" s="900"/>
      <c r="D56" s="496" t="s">
        <v>1662</v>
      </c>
      <c r="E56" s="493">
        <f>VLOOKUP(D56,'[2]2.행정구역별 급수인구'!$C$7:$X$997,17,FALSE)</f>
        <v>159</v>
      </c>
      <c r="F56" s="493">
        <f>ROUND($F$53*E56/$E$53,0)</f>
        <v>37</v>
      </c>
      <c r="G56" s="480"/>
    </row>
    <row r="57" spans="1:7" ht="20.100000000000001" customHeight="1">
      <c r="A57" s="900"/>
      <c r="B57" s="900"/>
      <c r="C57" s="900"/>
      <c r="D57" s="496" t="s">
        <v>1663</v>
      </c>
      <c r="E57" s="493">
        <f>VLOOKUP(D57,'[2]2.행정구역별 급수인구'!$C$7:$X$997,17,FALSE)</f>
        <v>106</v>
      </c>
      <c r="F57" s="493">
        <f>F53-F54-F55-F56</f>
        <v>24</v>
      </c>
      <c r="G57" s="480"/>
    </row>
    <row r="58" spans="1:7" ht="20.100000000000001" customHeight="1">
      <c r="A58" s="900"/>
      <c r="B58" s="900"/>
      <c r="C58" s="900" t="s">
        <v>2468</v>
      </c>
      <c r="D58" s="480" t="s">
        <v>2468</v>
      </c>
      <c r="E58" s="493">
        <f>SUM(E59:E62)</f>
        <v>557</v>
      </c>
      <c r="F58" s="493">
        <f>VLOOKUP(D58,'[4]급수구역별 용수량정리'!$D$36:$H$62,5,FALSE)</f>
        <v>172</v>
      </c>
      <c r="G58" s="480"/>
    </row>
    <row r="59" spans="1:7" ht="20.100000000000001" customHeight="1">
      <c r="A59" s="900"/>
      <c r="B59" s="900"/>
      <c r="C59" s="900"/>
      <c r="D59" s="496" t="s">
        <v>1664</v>
      </c>
      <c r="E59" s="493">
        <f>VLOOKUP(D59,'[2]2.행정구역별 급수인구'!$C$7:$X$997,17,FALSE)</f>
        <v>122</v>
      </c>
      <c r="F59" s="493">
        <f>ROUND($F$58*E59/$E$58,0)</f>
        <v>38</v>
      </c>
      <c r="G59" s="480"/>
    </row>
    <row r="60" spans="1:7" ht="20.100000000000001" customHeight="1">
      <c r="A60" s="900"/>
      <c r="B60" s="900"/>
      <c r="C60" s="900"/>
      <c r="D60" s="496" t="s">
        <v>1665</v>
      </c>
      <c r="E60" s="493">
        <f>VLOOKUP(D60,'[2]2.행정구역별 급수인구'!$C$7:$X$997,17,FALSE)</f>
        <v>134</v>
      </c>
      <c r="F60" s="493">
        <f t="shared" ref="F60:F61" si="1">ROUND($F$58*E60/$E$58,0)</f>
        <v>41</v>
      </c>
      <c r="G60" s="480"/>
    </row>
    <row r="61" spans="1:7" ht="20.100000000000001" customHeight="1">
      <c r="A61" s="900"/>
      <c r="B61" s="900"/>
      <c r="C61" s="900"/>
      <c r="D61" s="496" t="s">
        <v>1666</v>
      </c>
      <c r="E61" s="493">
        <f>VLOOKUP(D61,'[2]2.행정구역별 급수인구'!$C$7:$X$997,17,FALSE)</f>
        <v>159</v>
      </c>
      <c r="F61" s="493">
        <f t="shared" si="1"/>
        <v>49</v>
      </c>
      <c r="G61" s="480"/>
    </row>
    <row r="62" spans="1:7" ht="20.100000000000001" customHeight="1">
      <c r="A62" s="900"/>
      <c r="B62" s="900"/>
      <c r="C62" s="900"/>
      <c r="D62" s="496" t="s">
        <v>1667</v>
      </c>
      <c r="E62" s="493">
        <f>VLOOKUP(D62,'[2]2.행정구역별 급수인구'!$C$7:$X$997,17,FALSE)</f>
        <v>142</v>
      </c>
      <c r="F62" s="493">
        <f>F58-F59-F60-F61</f>
        <v>44</v>
      </c>
      <c r="G62" s="480"/>
    </row>
    <row r="63" spans="1:7" ht="20.100000000000001" customHeight="1">
      <c r="A63" s="900"/>
      <c r="B63" s="900"/>
      <c r="C63" s="900" t="s">
        <v>2469</v>
      </c>
      <c r="D63" s="480" t="s">
        <v>2469</v>
      </c>
      <c r="E63" s="493">
        <f>SUM(E64)</f>
        <v>118</v>
      </c>
      <c r="F63" s="493">
        <f>VLOOKUP(D63,'[4]급수구역별 용수량정리'!$D$36:$H$62,5,FALSE)</f>
        <v>12</v>
      </c>
      <c r="G63" s="480"/>
    </row>
    <row r="64" spans="1:7" ht="20.100000000000001" customHeight="1">
      <c r="A64" s="900"/>
      <c r="B64" s="900"/>
      <c r="C64" s="900"/>
      <c r="D64" s="496" t="s">
        <v>1669</v>
      </c>
      <c r="E64" s="493">
        <f>VLOOKUP(D64,'[2]2.행정구역별 급수인구'!$C$7:$X$997,17,FALSE)</f>
        <v>118</v>
      </c>
      <c r="F64" s="493">
        <f>$F$63*E64/$E$63</f>
        <v>12</v>
      </c>
      <c r="G64" s="480"/>
    </row>
    <row r="65" spans="1:7" ht="20.100000000000001" customHeight="1">
      <c r="A65" s="900"/>
      <c r="B65" s="900"/>
      <c r="C65" s="900" t="s">
        <v>2470</v>
      </c>
      <c r="D65" s="480" t="s">
        <v>2470</v>
      </c>
      <c r="E65" s="493">
        <f>SUM(E66)</f>
        <v>107</v>
      </c>
      <c r="F65" s="493">
        <f>VLOOKUP(D65,'[4]급수구역별 용수량정리'!$D$36:$H$62,5,FALSE)</f>
        <v>35</v>
      </c>
      <c r="G65" s="480"/>
    </row>
    <row r="66" spans="1:7" ht="20.100000000000001" customHeight="1">
      <c r="A66" s="900"/>
      <c r="B66" s="900"/>
      <c r="C66" s="900"/>
      <c r="D66" s="496" t="s">
        <v>1670</v>
      </c>
      <c r="E66" s="493">
        <f>VLOOKUP(D66,'[2]2.행정구역별 급수인구'!$C$7:$X$997,17,FALSE)</f>
        <v>107</v>
      </c>
      <c r="F66" s="493">
        <f>$F$65*E66/$E$65</f>
        <v>35</v>
      </c>
      <c r="G66" s="480"/>
    </row>
    <row r="67" spans="1:7" ht="20.100000000000001" customHeight="1">
      <c r="A67" s="900"/>
      <c r="B67" s="900" t="s">
        <v>1447</v>
      </c>
      <c r="C67" s="900" t="s">
        <v>1447</v>
      </c>
      <c r="D67" s="900"/>
      <c r="E67" s="493"/>
      <c r="F67" s="493">
        <f>F68+F70</f>
        <v>109</v>
      </c>
      <c r="G67" s="480"/>
    </row>
    <row r="68" spans="1:7" ht="20.100000000000001" customHeight="1">
      <c r="A68" s="900"/>
      <c r="B68" s="900"/>
      <c r="C68" s="900" t="s">
        <v>1684</v>
      </c>
      <c r="D68" s="480" t="s">
        <v>1684</v>
      </c>
      <c r="E68" s="493">
        <f>SUM(E69)</f>
        <v>140</v>
      </c>
      <c r="F68" s="493">
        <f>VLOOKUP(D68,'[4]급수구역별 용수량정리'!$D$36:$H$62,5,FALSE)</f>
        <v>80</v>
      </c>
      <c r="G68" s="480"/>
    </row>
    <row r="69" spans="1:7" ht="20.100000000000001" customHeight="1">
      <c r="A69" s="900"/>
      <c r="B69" s="900"/>
      <c r="C69" s="900"/>
      <c r="D69" s="496" t="s">
        <v>1684</v>
      </c>
      <c r="E69" s="493">
        <f>VLOOKUP(D69,'[2]2.행정구역별 급수인구'!$C$7:$X$997,18,FALSE)</f>
        <v>140</v>
      </c>
      <c r="F69" s="493">
        <f>$F$68*E69/$E$68</f>
        <v>80</v>
      </c>
      <c r="G69" s="480"/>
    </row>
    <row r="70" spans="1:7" ht="20.100000000000001" customHeight="1">
      <c r="A70" s="900"/>
      <c r="B70" s="900"/>
      <c r="C70" s="900" t="s">
        <v>2471</v>
      </c>
      <c r="D70" s="480" t="s">
        <v>2471</v>
      </c>
      <c r="E70" s="493">
        <f>SUM(E71)</f>
        <v>53</v>
      </c>
      <c r="F70" s="493">
        <f>VLOOKUP(D70,'[4]급수구역별 용수량정리'!$D$36:$H$62,5,FALSE)</f>
        <v>29</v>
      </c>
      <c r="G70" s="480"/>
    </row>
    <row r="71" spans="1:7" ht="20.100000000000001" customHeight="1">
      <c r="A71" s="900"/>
      <c r="B71" s="900"/>
      <c r="C71" s="900"/>
      <c r="D71" s="496" t="s">
        <v>1686</v>
      </c>
      <c r="E71" s="493">
        <f>VLOOKUP(D71,'[2]2.행정구역별 급수인구'!$C$7:$X$997,18,FALSE)</f>
        <v>53</v>
      </c>
      <c r="F71" s="493">
        <f>$F$70*E71/$E$70</f>
        <v>29</v>
      </c>
      <c r="G71" s="480"/>
    </row>
    <row r="72" spans="1:7" ht="20.100000000000001" customHeight="1">
      <c r="A72" s="906" t="s">
        <v>1875</v>
      </c>
      <c r="B72" s="906"/>
      <c r="C72" s="906"/>
      <c r="D72" s="906"/>
      <c r="E72" s="492"/>
      <c r="F72" s="492">
        <f>F73+F77</f>
        <v>1876</v>
      </c>
      <c r="G72" s="486" t="b">
        <f>F72='[4]급수구역별 용수량정리'!$H$63</f>
        <v>1</v>
      </c>
    </row>
    <row r="73" spans="1:7" ht="20.100000000000001" customHeight="1">
      <c r="A73" s="900"/>
      <c r="B73" s="900" t="s">
        <v>1459</v>
      </c>
      <c r="C73" s="900" t="s">
        <v>1459</v>
      </c>
      <c r="D73" s="900"/>
      <c r="E73" s="493"/>
      <c r="F73" s="493">
        <f>F74+F75+F76</f>
        <v>736</v>
      </c>
      <c r="G73" s="480"/>
    </row>
    <row r="74" spans="1:7" ht="20.100000000000001" customHeight="1">
      <c r="A74" s="900"/>
      <c r="B74" s="900"/>
      <c r="C74" s="900"/>
      <c r="D74" s="480" t="s">
        <v>2476</v>
      </c>
      <c r="E74" s="493"/>
      <c r="F74" s="493">
        <f>VLOOKUP(D74,'[4]급수구역별 용수량정리'!$D$63:$H$76,5,FALSE)</f>
        <v>325</v>
      </c>
      <c r="G74" s="480"/>
    </row>
    <row r="75" spans="1:7" ht="20.100000000000001" customHeight="1">
      <c r="A75" s="900"/>
      <c r="B75" s="900"/>
      <c r="C75" s="900"/>
      <c r="D75" s="480" t="s">
        <v>2477</v>
      </c>
      <c r="E75" s="493"/>
      <c r="F75" s="493">
        <f>VLOOKUP(D75,'[4]급수구역별 용수량정리'!$D$63:$H$76,5,FALSE)</f>
        <v>411</v>
      </c>
      <c r="G75" s="480"/>
    </row>
    <row r="76" spans="1:7" ht="20.100000000000001" customHeight="1">
      <c r="A76" s="900"/>
      <c r="B76" s="900"/>
      <c r="C76" s="900"/>
      <c r="D76" s="480" t="s">
        <v>1459</v>
      </c>
      <c r="E76" s="493"/>
      <c r="F76" s="493">
        <f>VLOOKUP(D76,'[4]급수구역별 용수량정리'!$D$63:$H$76,5,FALSE)</f>
        <v>0</v>
      </c>
      <c r="G76" s="480"/>
    </row>
    <row r="77" spans="1:7" ht="20.100000000000001" customHeight="1">
      <c r="A77" s="900"/>
      <c r="B77" s="900" t="s">
        <v>1460</v>
      </c>
      <c r="C77" s="900" t="s">
        <v>1460</v>
      </c>
      <c r="D77" s="900"/>
      <c r="E77" s="493"/>
      <c r="F77" s="493">
        <f>F78+F79+F80+F81</f>
        <v>1140</v>
      </c>
      <c r="G77" s="480"/>
    </row>
    <row r="78" spans="1:7" ht="20.100000000000001" customHeight="1">
      <c r="A78" s="900"/>
      <c r="B78" s="900"/>
      <c r="C78" s="900"/>
      <c r="D78" s="480" t="s">
        <v>2392</v>
      </c>
      <c r="E78" s="493"/>
      <c r="F78" s="493">
        <f>VLOOKUP(D78,'[4]급수구역별 용수량정리'!$D$63:$H$76,5,FALSE)</f>
        <v>343</v>
      </c>
      <c r="G78" s="480"/>
    </row>
    <row r="79" spans="1:7" ht="20.100000000000001" customHeight="1">
      <c r="A79" s="900"/>
      <c r="B79" s="900"/>
      <c r="C79" s="900"/>
      <c r="D79" s="480" t="s">
        <v>1460</v>
      </c>
      <c r="E79" s="493"/>
      <c r="F79" s="493">
        <f>VLOOKUP(D79,'[4]급수구역별 용수량정리'!$D$63:$H$76,5,FALSE)</f>
        <v>692</v>
      </c>
      <c r="G79" s="480"/>
    </row>
    <row r="80" spans="1:7" ht="20.100000000000001" customHeight="1">
      <c r="A80" s="900"/>
      <c r="B80" s="900"/>
      <c r="C80" s="900"/>
      <c r="D80" s="480" t="s">
        <v>2393</v>
      </c>
      <c r="E80" s="493"/>
      <c r="F80" s="493">
        <f>VLOOKUP(D80,'[4]급수구역별 용수량정리'!$D$63:$H$76,5,FALSE)</f>
        <v>85</v>
      </c>
      <c r="G80" s="480"/>
    </row>
    <row r="81" spans="1:7" ht="20.100000000000001" customHeight="1">
      <c r="A81" s="900"/>
      <c r="B81" s="900"/>
      <c r="C81" s="900"/>
      <c r="D81" s="480" t="s">
        <v>2395</v>
      </c>
      <c r="E81" s="493"/>
      <c r="F81" s="493">
        <f>VLOOKUP(D81,'[4]급수구역별 용수량정리'!$D$63:$H$76,5,FALSE)</f>
        <v>20</v>
      </c>
      <c r="G81" s="480"/>
    </row>
    <row r="82" spans="1:7" ht="20.100000000000001" customHeight="1">
      <c r="A82" s="906" t="s">
        <v>1764</v>
      </c>
      <c r="B82" s="906"/>
      <c r="C82" s="906"/>
      <c r="D82" s="906"/>
      <c r="E82" s="492"/>
      <c r="F82" s="492">
        <f>F83+F100</f>
        <v>16771</v>
      </c>
      <c r="G82" s="481" t="b">
        <f>F82='[4]급수구역별 용수량정리'!$H$77</f>
        <v>1</v>
      </c>
    </row>
    <row r="83" spans="1:7" ht="20.100000000000001" customHeight="1">
      <c r="A83" s="900"/>
      <c r="B83" s="907" t="s">
        <v>1765</v>
      </c>
      <c r="C83" s="907"/>
      <c r="D83" s="907"/>
      <c r="E83" s="494"/>
      <c r="F83" s="494">
        <f>F84+F92+F97</f>
        <v>12459</v>
      </c>
      <c r="G83" s="487"/>
    </row>
    <row r="84" spans="1:7" ht="20.100000000000001" customHeight="1">
      <c r="A84" s="900"/>
      <c r="B84" s="900" t="s">
        <v>1459</v>
      </c>
      <c r="C84" s="900" t="s">
        <v>1459</v>
      </c>
      <c r="D84" s="900"/>
      <c r="E84" s="493"/>
      <c r="F84" s="493">
        <f>F85+F86+F87+F88+F89+F90+F91</f>
        <v>7788</v>
      </c>
      <c r="G84" s="480"/>
    </row>
    <row r="85" spans="1:7" ht="20.100000000000001" customHeight="1">
      <c r="A85" s="900"/>
      <c r="B85" s="900"/>
      <c r="C85" s="900"/>
      <c r="D85" s="480" t="s">
        <v>2476</v>
      </c>
      <c r="E85" s="493"/>
      <c r="F85" s="493">
        <f>VLOOKUP(D85,'[4]급수구역별 용수량정리'!$D$77:$H$102,5,FALSE)</f>
        <v>1051</v>
      </c>
      <c r="G85" s="480"/>
    </row>
    <row r="86" spans="1:7" ht="20.100000000000001" customHeight="1">
      <c r="A86" s="900"/>
      <c r="B86" s="900"/>
      <c r="C86" s="900"/>
      <c r="D86" s="480" t="s">
        <v>2477</v>
      </c>
      <c r="E86" s="493"/>
      <c r="F86" s="493">
        <f>VLOOKUP(D86,'[4]급수구역별 용수량정리'!$D$77:$H$102,5,FALSE)</f>
        <v>554</v>
      </c>
      <c r="G86" s="480"/>
    </row>
    <row r="87" spans="1:7" ht="20.100000000000001" customHeight="1">
      <c r="A87" s="900"/>
      <c r="B87" s="900"/>
      <c r="C87" s="900"/>
      <c r="D87" s="480" t="s">
        <v>1459</v>
      </c>
      <c r="E87" s="493"/>
      <c r="F87" s="493">
        <f>VLOOKUP(D87,'[4]급수구역별 용수량정리'!$D$77:$H$102,5,FALSE)</f>
        <v>5292</v>
      </c>
      <c r="G87" s="480"/>
    </row>
    <row r="88" spans="1:7" ht="20.100000000000001" customHeight="1">
      <c r="A88" s="900"/>
      <c r="B88" s="900"/>
      <c r="C88" s="900"/>
      <c r="D88" s="480" t="s">
        <v>1849</v>
      </c>
      <c r="E88" s="493"/>
      <c r="F88" s="493">
        <f>VLOOKUP(D88,'[4]급수구역별 용수량정리'!$D$77:$H$102,5,FALSE)</f>
        <v>270</v>
      </c>
      <c r="G88" s="480"/>
    </row>
    <row r="89" spans="1:7" ht="20.100000000000001" customHeight="1">
      <c r="A89" s="900"/>
      <c r="B89" s="900"/>
      <c r="C89" s="900"/>
      <c r="D89" s="480" t="s">
        <v>1850</v>
      </c>
      <c r="E89" s="493"/>
      <c r="F89" s="493">
        <f>VLOOKUP(D89,'[4]급수구역별 용수량정리'!$D$77:$H$102,5,FALSE)</f>
        <v>144</v>
      </c>
      <c r="G89" s="480"/>
    </row>
    <row r="90" spans="1:7" ht="20.100000000000001" customHeight="1">
      <c r="A90" s="900"/>
      <c r="B90" s="900"/>
      <c r="C90" s="900"/>
      <c r="D90" s="480" t="s">
        <v>1851</v>
      </c>
      <c r="E90" s="493"/>
      <c r="F90" s="493">
        <f>VLOOKUP(D90,'[4]급수구역별 용수량정리'!$D$77:$H$102,5,FALSE)</f>
        <v>250</v>
      </c>
      <c r="G90" s="480"/>
    </row>
    <row r="91" spans="1:7" ht="20.100000000000001" customHeight="1">
      <c r="A91" s="900"/>
      <c r="B91" s="900"/>
      <c r="C91" s="900"/>
      <c r="D91" s="480" t="s">
        <v>1852</v>
      </c>
      <c r="E91" s="493"/>
      <c r="F91" s="493">
        <f>VLOOKUP(D91,'[4]급수구역별 용수량정리'!$D$77:$H$102,5,FALSE)</f>
        <v>227</v>
      </c>
      <c r="G91" s="480"/>
    </row>
    <row r="92" spans="1:7" ht="20.100000000000001" customHeight="1">
      <c r="A92" s="900"/>
      <c r="B92" s="900" t="s">
        <v>1460</v>
      </c>
      <c r="C92" s="900" t="s">
        <v>1460</v>
      </c>
      <c r="D92" s="900"/>
      <c r="E92" s="493"/>
      <c r="F92" s="493">
        <f>F93+F94+F95+F96</f>
        <v>4640</v>
      </c>
      <c r="G92" s="480"/>
    </row>
    <row r="93" spans="1:7" ht="20.100000000000001" customHeight="1">
      <c r="A93" s="900"/>
      <c r="B93" s="900"/>
      <c r="C93" s="900"/>
      <c r="D93" s="480" t="s">
        <v>2392</v>
      </c>
      <c r="E93" s="493"/>
      <c r="F93" s="493">
        <f>VLOOKUP(D93,'[4]급수구역별 용수량정리'!$D$77:$H$102,5,FALSE)</f>
        <v>1141</v>
      </c>
      <c r="G93" s="480"/>
    </row>
    <row r="94" spans="1:7" ht="20.100000000000001" customHeight="1">
      <c r="A94" s="900"/>
      <c r="B94" s="900"/>
      <c r="C94" s="900"/>
      <c r="D94" s="480" t="s">
        <v>1460</v>
      </c>
      <c r="E94" s="493"/>
      <c r="F94" s="493">
        <f>VLOOKUP(D94,'[4]급수구역별 용수량정리'!$D$77:$H$102,5,FALSE)</f>
        <v>1465</v>
      </c>
      <c r="G94" s="480"/>
    </row>
    <row r="95" spans="1:7" ht="20.100000000000001" customHeight="1">
      <c r="A95" s="900"/>
      <c r="B95" s="900"/>
      <c r="C95" s="900"/>
      <c r="D95" s="480" t="s">
        <v>2393</v>
      </c>
      <c r="E95" s="493"/>
      <c r="F95" s="493">
        <f>VLOOKUP(D95,'[4]급수구역별 용수량정리'!$D$77:$H$102,5,FALSE)</f>
        <v>0</v>
      </c>
      <c r="G95" s="480"/>
    </row>
    <row r="96" spans="1:7" ht="20.100000000000001" customHeight="1">
      <c r="A96" s="900"/>
      <c r="B96" s="900"/>
      <c r="C96" s="900"/>
      <c r="D96" s="480" t="s">
        <v>2395</v>
      </c>
      <c r="E96" s="493"/>
      <c r="F96" s="493">
        <f>VLOOKUP(D96,'[4]급수구역별 용수량정리'!$D$77:$H$102,5,FALSE)</f>
        <v>2034</v>
      </c>
      <c r="G96" s="480"/>
    </row>
    <row r="97" spans="1:7" ht="20.100000000000001" customHeight="1">
      <c r="A97" s="900"/>
      <c r="B97" s="900" t="s">
        <v>1773</v>
      </c>
      <c r="C97" s="900" t="s">
        <v>1773</v>
      </c>
      <c r="D97" s="900"/>
      <c r="E97" s="493"/>
      <c r="F97" s="493">
        <f>F98</f>
        <v>31</v>
      </c>
      <c r="G97" s="480"/>
    </row>
    <row r="98" spans="1:7" ht="20.100000000000001" customHeight="1">
      <c r="A98" s="900"/>
      <c r="B98" s="900"/>
      <c r="C98" s="900" t="s">
        <v>2487</v>
      </c>
      <c r="D98" s="480" t="s">
        <v>2487</v>
      </c>
      <c r="E98" s="493">
        <f>SUM(E99)</f>
        <v>203</v>
      </c>
      <c r="F98" s="493">
        <f>VLOOKUP(D98,'[4]급수구역별 용수량정리'!$D$77:$H$102,5,FALSE)</f>
        <v>31</v>
      </c>
      <c r="G98" s="480"/>
    </row>
    <row r="99" spans="1:7" ht="20.100000000000001" customHeight="1">
      <c r="A99" s="900"/>
      <c r="B99" s="900"/>
      <c r="C99" s="900"/>
      <c r="D99" s="496" t="s">
        <v>2562</v>
      </c>
      <c r="E99" s="493">
        <f>VLOOKUP(D99,'[2]2.행정구역별 급수인구'!$C$7:$X$997,18,FALSE)</f>
        <v>203</v>
      </c>
      <c r="F99" s="493">
        <f>$F$98*E99/$E$98</f>
        <v>31</v>
      </c>
      <c r="G99" s="480"/>
    </row>
    <row r="100" spans="1:7" ht="20.100000000000001" customHeight="1">
      <c r="A100" s="900"/>
      <c r="B100" s="907" t="s">
        <v>2488</v>
      </c>
      <c r="C100" s="907"/>
      <c r="D100" s="907"/>
      <c r="E100" s="494"/>
      <c r="F100" s="494">
        <f>F101</f>
        <v>4312</v>
      </c>
      <c r="G100" s="487"/>
    </row>
    <row r="101" spans="1:7" ht="20.100000000000001" customHeight="1">
      <c r="A101" s="900"/>
      <c r="B101" s="900" t="s">
        <v>1459</v>
      </c>
      <c r="C101" s="900" t="s">
        <v>1459</v>
      </c>
      <c r="D101" s="900"/>
      <c r="E101" s="493"/>
      <c r="F101" s="493">
        <f>F102+F103</f>
        <v>4312</v>
      </c>
      <c r="G101" s="480"/>
    </row>
    <row r="102" spans="1:7" ht="20.100000000000001" customHeight="1">
      <c r="A102" s="900"/>
      <c r="B102" s="900"/>
      <c r="C102" s="900"/>
      <c r="D102" s="480" t="s">
        <v>1459</v>
      </c>
      <c r="E102" s="493"/>
      <c r="F102" s="493">
        <f>VLOOKUP(D102,'[4]급수구역별 용수량정리'!$D$103:$H$111,5,FALSE)</f>
        <v>639</v>
      </c>
      <c r="G102" s="480"/>
    </row>
    <row r="103" spans="1:7" ht="20.100000000000001" customHeight="1">
      <c r="A103" s="900"/>
      <c r="B103" s="900"/>
      <c r="C103" s="900"/>
      <c r="D103" s="480" t="s">
        <v>1851</v>
      </c>
      <c r="E103" s="493"/>
      <c r="F103" s="493">
        <f>VLOOKUP(D103,'[4]급수구역별 용수량정리'!$D$103:$H$111,5,FALSE)</f>
        <v>3673</v>
      </c>
      <c r="G103" s="480"/>
    </row>
    <row r="104" spans="1:7" ht="20.100000000000001" customHeight="1">
      <c r="A104" s="909" t="s">
        <v>2431</v>
      </c>
      <c r="B104" s="909"/>
      <c r="C104" s="909"/>
      <c r="D104" s="909"/>
      <c r="E104" s="495"/>
      <c r="F104" s="495">
        <f>F105+F136+F139+F123</f>
        <v>3549</v>
      </c>
      <c r="G104" s="488" t="b">
        <f>F104='[4]급수구역별 용수량정리'!$H$121</f>
        <v>1</v>
      </c>
    </row>
    <row r="105" spans="1:7" ht="20.100000000000001" customHeight="1">
      <c r="A105" s="900"/>
      <c r="B105" s="901" t="s">
        <v>1773</v>
      </c>
      <c r="C105" s="900" t="s">
        <v>1773</v>
      </c>
      <c r="D105" s="900"/>
      <c r="E105" s="493"/>
      <c r="F105" s="493">
        <f>F106+F108+F111+F115+F119+F121</f>
        <v>656</v>
      </c>
      <c r="G105" s="480"/>
    </row>
    <row r="106" spans="1:7" ht="20.100000000000001" customHeight="1">
      <c r="A106" s="900"/>
      <c r="B106" s="902"/>
      <c r="C106" s="900" t="s">
        <v>2489</v>
      </c>
      <c r="D106" s="480" t="s">
        <v>2489</v>
      </c>
      <c r="E106" s="493">
        <f>SUM(E107)</f>
        <v>722</v>
      </c>
      <c r="F106" s="493">
        <f>VLOOKUP(D106,'[4]급수구역별 용수량정리'!$D$121:$H$169,5,FALSE)</f>
        <v>373</v>
      </c>
      <c r="G106" s="480"/>
    </row>
    <row r="107" spans="1:7" ht="20.100000000000001" customHeight="1">
      <c r="A107" s="900"/>
      <c r="B107" s="902"/>
      <c r="C107" s="900"/>
      <c r="D107" s="496" t="s">
        <v>2489</v>
      </c>
      <c r="E107" s="493">
        <f>VLOOKUP(D107,'[2]2.행정구역별 급수인구'!$C$7:$X$997,18,FALSE)</f>
        <v>722</v>
      </c>
      <c r="F107" s="493">
        <f>$F$106*E107/$E$106</f>
        <v>373</v>
      </c>
      <c r="G107" s="480"/>
    </row>
    <row r="108" spans="1:7" ht="20.100000000000001" customHeight="1">
      <c r="A108" s="900"/>
      <c r="B108" s="902"/>
      <c r="C108" s="900" t="s">
        <v>1755</v>
      </c>
      <c r="D108" s="480" t="s">
        <v>1755</v>
      </c>
      <c r="E108" s="493">
        <f>SUM(E109:E110)</f>
        <v>209</v>
      </c>
      <c r="F108" s="493">
        <f>VLOOKUP(D108,'[4]급수구역별 용수량정리'!$D$121:$H$169,5,FALSE)</f>
        <v>48</v>
      </c>
      <c r="G108" s="480"/>
    </row>
    <row r="109" spans="1:7" ht="20.100000000000001" customHeight="1">
      <c r="A109" s="900"/>
      <c r="B109" s="902"/>
      <c r="C109" s="900"/>
      <c r="D109" s="496" t="s">
        <v>2563</v>
      </c>
      <c r="E109" s="493">
        <f>VLOOKUP(D109,'[2]2.행정구역별 급수인구'!$C$7:$X$997,18,FALSE)</f>
        <v>129</v>
      </c>
      <c r="F109" s="493">
        <f>ROUND($F$108*E109/$E$108,0)</f>
        <v>30</v>
      </c>
      <c r="G109" s="480"/>
    </row>
    <row r="110" spans="1:7" ht="20.100000000000001" customHeight="1">
      <c r="A110" s="900"/>
      <c r="B110" s="902"/>
      <c r="C110" s="900"/>
      <c r="D110" s="496" t="s">
        <v>2564</v>
      </c>
      <c r="E110" s="493">
        <f>VLOOKUP(D110,'[2]2.행정구역별 급수인구'!$C$7:$X$997,18,FALSE)</f>
        <v>80</v>
      </c>
      <c r="F110" s="493">
        <f>F108-F109</f>
        <v>18</v>
      </c>
      <c r="G110" s="480"/>
    </row>
    <row r="111" spans="1:7" ht="20.100000000000001" customHeight="1">
      <c r="A111" s="900"/>
      <c r="B111" s="902"/>
      <c r="C111" s="900" t="s">
        <v>2490</v>
      </c>
      <c r="D111" s="480" t="s">
        <v>2490</v>
      </c>
      <c r="E111" s="493">
        <f>SUM(E112:E114)</f>
        <v>396</v>
      </c>
      <c r="F111" s="493">
        <f>VLOOKUP(D111,'[4]급수구역별 용수량정리'!$D$121:$H$169,5,FALSE)</f>
        <v>97</v>
      </c>
      <c r="G111" s="480"/>
    </row>
    <row r="112" spans="1:7" ht="20.100000000000001" customHeight="1">
      <c r="A112" s="900"/>
      <c r="B112" s="902"/>
      <c r="C112" s="900"/>
      <c r="D112" s="496" t="s">
        <v>2565</v>
      </c>
      <c r="E112" s="493">
        <f>VLOOKUP(D112,'[2]2.행정구역별 급수인구'!$C$7:$X$997,18,FALSE)</f>
        <v>171</v>
      </c>
      <c r="F112" s="493">
        <f>ROUND($F$111*E112/$E$111,0)</f>
        <v>42</v>
      </c>
      <c r="G112" s="480"/>
    </row>
    <row r="113" spans="1:7" ht="20.100000000000001" customHeight="1">
      <c r="A113" s="900"/>
      <c r="B113" s="902"/>
      <c r="C113" s="900"/>
      <c r="D113" s="496" t="s">
        <v>1306</v>
      </c>
      <c r="E113" s="493">
        <f>VLOOKUP(D113,'[2]2.행정구역별 급수인구'!$C$7:$X$997,18,FALSE)</f>
        <v>143</v>
      </c>
      <c r="F113" s="493">
        <f>ROUND($F$111*E113/$E$111,0)</f>
        <v>35</v>
      </c>
      <c r="G113" s="480"/>
    </row>
    <row r="114" spans="1:7" ht="20.100000000000001" customHeight="1">
      <c r="A114" s="900"/>
      <c r="B114" s="902"/>
      <c r="C114" s="900"/>
      <c r="D114" s="496" t="s">
        <v>1307</v>
      </c>
      <c r="E114" s="493">
        <f>VLOOKUP(D114,'[2]2.행정구역별 급수인구'!$C$7:$X$997,18,FALSE)</f>
        <v>82</v>
      </c>
      <c r="F114" s="493">
        <f>F111-F112-F113</f>
        <v>20</v>
      </c>
      <c r="G114" s="480"/>
    </row>
    <row r="115" spans="1:7" ht="20.100000000000001" customHeight="1">
      <c r="A115" s="900"/>
      <c r="B115" s="902"/>
      <c r="C115" s="900" t="s">
        <v>2491</v>
      </c>
      <c r="D115" s="480" t="s">
        <v>2491</v>
      </c>
      <c r="E115" s="493">
        <f>SUM(E116:E118)</f>
        <v>258</v>
      </c>
      <c r="F115" s="493">
        <f>VLOOKUP(D115,'[4]급수구역별 용수량정리'!$D$121:$H$169,5,FALSE)</f>
        <v>12</v>
      </c>
      <c r="G115" s="480"/>
    </row>
    <row r="116" spans="1:7" ht="20.100000000000001" customHeight="1">
      <c r="A116" s="900"/>
      <c r="B116" s="902"/>
      <c r="C116" s="900"/>
      <c r="D116" s="496" t="s">
        <v>2566</v>
      </c>
      <c r="E116" s="493">
        <f>VLOOKUP(D116,'[2]2.행정구역별 급수인구'!$C$7:$X$997,18,FALSE)</f>
        <v>89</v>
      </c>
      <c r="F116" s="493">
        <f>ROUND($F$115*E116/$E$115,0)</f>
        <v>4</v>
      </c>
      <c r="G116" s="480"/>
    </row>
    <row r="117" spans="1:7" ht="20.100000000000001" customHeight="1">
      <c r="A117" s="900"/>
      <c r="B117" s="902"/>
      <c r="C117" s="900"/>
      <c r="D117" s="496" t="s">
        <v>1309</v>
      </c>
      <c r="E117" s="493">
        <f>VLOOKUP(D117,'[2]2.행정구역별 급수인구'!$C$7:$X$997,18,FALSE)</f>
        <v>115</v>
      </c>
      <c r="F117" s="493">
        <f>ROUND($F$115*E117/$E$115,0)</f>
        <v>5</v>
      </c>
      <c r="G117" s="480"/>
    </row>
    <row r="118" spans="1:7" ht="20.100000000000001" customHeight="1">
      <c r="A118" s="900"/>
      <c r="B118" s="902"/>
      <c r="C118" s="900"/>
      <c r="D118" s="496" t="s">
        <v>1310</v>
      </c>
      <c r="E118" s="493">
        <f>VLOOKUP(D118,'[2]2.행정구역별 급수인구'!$C$7:$X$997,18,FALSE)</f>
        <v>54</v>
      </c>
      <c r="F118" s="493">
        <f>F115-F116-F117</f>
        <v>3</v>
      </c>
      <c r="G118" s="480"/>
    </row>
    <row r="119" spans="1:7" ht="20.100000000000001" customHeight="1">
      <c r="A119" s="900"/>
      <c r="B119" s="902"/>
      <c r="C119" s="900" t="s">
        <v>2492</v>
      </c>
      <c r="D119" s="480" t="s">
        <v>2492</v>
      </c>
      <c r="E119" s="493">
        <f>SUM(E120)</f>
        <v>18</v>
      </c>
      <c r="F119" s="493">
        <f>VLOOKUP(D119,'[4]급수구역별 용수량정리'!$D$121:$H$169,5,FALSE)</f>
        <v>102</v>
      </c>
      <c r="G119" s="480"/>
    </row>
    <row r="120" spans="1:7" ht="20.100000000000001" customHeight="1">
      <c r="A120" s="900"/>
      <c r="B120" s="902"/>
      <c r="C120" s="900"/>
      <c r="D120" s="496" t="s">
        <v>2567</v>
      </c>
      <c r="E120" s="493">
        <f>VLOOKUP(D120,'[2]2.행정구역별 급수인구'!$C$7:$X$997,18,FALSE)</f>
        <v>18</v>
      </c>
      <c r="F120" s="493">
        <f>$F$119*E120/$E$119</f>
        <v>102</v>
      </c>
      <c r="G120" s="480"/>
    </row>
    <row r="121" spans="1:7" ht="20.100000000000001" customHeight="1">
      <c r="A121" s="900"/>
      <c r="B121" s="902"/>
      <c r="C121" s="901" t="s">
        <v>2543</v>
      </c>
      <c r="D121" s="480" t="s">
        <v>2543</v>
      </c>
      <c r="E121" s="493">
        <f>SUM(E122)</f>
        <v>53</v>
      </c>
      <c r="F121" s="493">
        <f>VLOOKUP(D121,'[4]급수구역별 용수량정리'!$D$121:$H$169,5,FALSE)</f>
        <v>24</v>
      </c>
      <c r="G121" s="480"/>
    </row>
    <row r="122" spans="1:7" ht="20.100000000000001" customHeight="1">
      <c r="A122" s="900"/>
      <c r="B122" s="903"/>
      <c r="C122" s="903"/>
      <c r="D122" s="497" t="s">
        <v>1490</v>
      </c>
      <c r="E122" s="493">
        <f>VLOOKUP(D122,'[2]2.행정구역별 급수인구'!$C$7:$X$997,18,FALSE)</f>
        <v>53</v>
      </c>
      <c r="F122" s="493">
        <f>$F$121*E122/$E$121</f>
        <v>24</v>
      </c>
      <c r="G122" s="480"/>
    </row>
    <row r="123" spans="1:7" ht="20.100000000000001" customHeight="1">
      <c r="A123" s="900"/>
      <c r="B123" s="900" t="s">
        <v>1445</v>
      </c>
      <c r="C123" s="900" t="s">
        <v>1445</v>
      </c>
      <c r="D123" s="900"/>
      <c r="E123" s="493"/>
      <c r="F123" s="493">
        <f>F124+F126+F133</f>
        <v>2152</v>
      </c>
      <c r="G123" s="480"/>
    </row>
    <row r="124" spans="1:7" ht="20.100000000000001" customHeight="1">
      <c r="A124" s="900"/>
      <c r="B124" s="900"/>
      <c r="C124" s="900" t="s">
        <v>2493</v>
      </c>
      <c r="D124" s="480" t="s">
        <v>2493</v>
      </c>
      <c r="E124" s="493">
        <f>SUM(E125)</f>
        <v>43</v>
      </c>
      <c r="F124" s="493">
        <f>VLOOKUP(D124,'[4]급수구역별 용수량정리'!$D$121:$H$169,5,FALSE)</f>
        <v>9</v>
      </c>
      <c r="G124" s="480"/>
    </row>
    <row r="125" spans="1:7" ht="20.100000000000001" customHeight="1">
      <c r="A125" s="900"/>
      <c r="B125" s="900"/>
      <c r="C125" s="900"/>
      <c r="D125" s="496" t="s">
        <v>1320</v>
      </c>
      <c r="E125" s="493">
        <f>VLOOKUP(D125,'[2]2.행정구역별 급수인구'!$C$7:$X$997,18,FALSE)</f>
        <v>43</v>
      </c>
      <c r="F125" s="493">
        <f>$F$124*E125/$E$124</f>
        <v>9</v>
      </c>
      <c r="G125" s="480"/>
    </row>
    <row r="126" spans="1:7" ht="20.100000000000001" customHeight="1">
      <c r="A126" s="900"/>
      <c r="B126" s="900"/>
      <c r="C126" s="900" t="s">
        <v>2494</v>
      </c>
      <c r="D126" s="480" t="s">
        <v>2494</v>
      </c>
      <c r="E126" s="493">
        <f>SUM(E127:E132)</f>
        <v>2950</v>
      </c>
      <c r="F126" s="493">
        <f>VLOOKUP(D126,'[4]급수구역별 용수량정리'!$D$121:$H$169,5,FALSE)</f>
        <v>1510</v>
      </c>
      <c r="G126" s="480"/>
    </row>
    <row r="127" spans="1:7" ht="20.100000000000001" customHeight="1">
      <c r="A127" s="900"/>
      <c r="B127" s="900"/>
      <c r="C127" s="900"/>
      <c r="D127" s="496" t="s">
        <v>2568</v>
      </c>
      <c r="E127" s="493">
        <f>VLOOKUP(D127,'[2]2.행정구역별 급수인구'!$C$7:$X$997,18,FALSE)</f>
        <v>161</v>
      </c>
      <c r="F127" s="493">
        <f>ROUND($F$126*E127/$E$126,0)</f>
        <v>82</v>
      </c>
      <c r="G127" s="480"/>
    </row>
    <row r="128" spans="1:7" ht="20.100000000000001" customHeight="1">
      <c r="A128" s="900"/>
      <c r="B128" s="900"/>
      <c r="C128" s="900"/>
      <c r="D128" s="496" t="s">
        <v>1322</v>
      </c>
      <c r="E128" s="493">
        <f>VLOOKUP(D128,'[2]2.행정구역별 급수인구'!$C$7:$X$997,18,FALSE)</f>
        <v>316</v>
      </c>
      <c r="F128" s="493">
        <f t="shared" ref="F128:F131" si="2">ROUND($F$126*E128/$E$126,0)</f>
        <v>162</v>
      </c>
      <c r="G128" s="480"/>
    </row>
    <row r="129" spans="1:7" ht="20.100000000000001" customHeight="1">
      <c r="A129" s="900"/>
      <c r="B129" s="900"/>
      <c r="C129" s="900"/>
      <c r="D129" s="496" t="s">
        <v>1323</v>
      </c>
      <c r="E129" s="493">
        <f>VLOOKUP(D129,'[2]2.행정구역별 급수인구'!$C$7:$X$997,18,FALSE)</f>
        <v>569</v>
      </c>
      <c r="F129" s="493">
        <f t="shared" si="2"/>
        <v>291</v>
      </c>
      <c r="G129" s="480"/>
    </row>
    <row r="130" spans="1:7" ht="20.100000000000001" customHeight="1">
      <c r="A130" s="900"/>
      <c r="B130" s="900"/>
      <c r="C130" s="900"/>
      <c r="D130" s="496" t="s">
        <v>1324</v>
      </c>
      <c r="E130" s="493">
        <f>VLOOKUP(D130,'[2]2.행정구역별 급수인구'!$C$7:$X$997,18,FALSE)</f>
        <v>177</v>
      </c>
      <c r="F130" s="493">
        <f t="shared" si="2"/>
        <v>91</v>
      </c>
      <c r="G130" s="480"/>
    </row>
    <row r="131" spans="1:7" ht="20.100000000000001" customHeight="1">
      <c r="A131" s="900"/>
      <c r="B131" s="900"/>
      <c r="C131" s="900"/>
      <c r="D131" s="496" t="s">
        <v>1327</v>
      </c>
      <c r="E131" s="493">
        <f>VLOOKUP(D131,'[2]2.행정구역별 급수인구'!$C$7:$X$997,18,FALSE)</f>
        <v>672</v>
      </c>
      <c r="F131" s="493">
        <f t="shared" si="2"/>
        <v>344</v>
      </c>
      <c r="G131" s="480"/>
    </row>
    <row r="132" spans="1:7" ht="20.100000000000001" customHeight="1">
      <c r="A132" s="900"/>
      <c r="B132" s="900"/>
      <c r="C132" s="900"/>
      <c r="D132" s="496" t="s">
        <v>2569</v>
      </c>
      <c r="E132" s="493">
        <f>VLOOKUP(D132,'[2]2.행정구역별 급수인구'!$C$7:$X$997,18,FALSE)</f>
        <v>1055</v>
      </c>
      <c r="F132" s="493">
        <f>F126-F127-F128-F129-F130-F131</f>
        <v>540</v>
      </c>
      <c r="G132" s="480"/>
    </row>
    <row r="133" spans="1:7" ht="20.100000000000001" customHeight="1">
      <c r="A133" s="900"/>
      <c r="B133" s="900"/>
      <c r="C133" s="900" t="s">
        <v>2495</v>
      </c>
      <c r="D133" s="480" t="s">
        <v>2495</v>
      </c>
      <c r="E133" s="493">
        <f>SUM(E134:E135)</f>
        <v>1714</v>
      </c>
      <c r="F133" s="493">
        <f>VLOOKUP(D133,'[4]급수구역별 용수량정리'!$D$121:$H$169,5,FALSE)</f>
        <v>633</v>
      </c>
      <c r="G133" s="480"/>
    </row>
    <row r="134" spans="1:7" ht="20.100000000000001" customHeight="1">
      <c r="A134" s="900"/>
      <c r="B134" s="900"/>
      <c r="C134" s="900"/>
      <c r="D134" s="496" t="s">
        <v>2570</v>
      </c>
      <c r="E134" s="493">
        <f>VLOOKUP(D134,'[2]2.행정구역별 급수인구'!$C$7:$X$997,18,FALSE)</f>
        <v>769</v>
      </c>
      <c r="F134" s="493">
        <f>ROUND($F$133*E134/$E$133,0)</f>
        <v>284</v>
      </c>
      <c r="G134" s="480"/>
    </row>
    <row r="135" spans="1:7" ht="20.100000000000001" customHeight="1">
      <c r="A135" s="900"/>
      <c r="B135" s="900"/>
      <c r="C135" s="900"/>
      <c r="D135" s="496" t="s">
        <v>2571</v>
      </c>
      <c r="E135" s="493">
        <f>VLOOKUP(D135,'[2]2.행정구역별 급수인구'!$C$7:$X$997,18,FALSE)</f>
        <v>945</v>
      </c>
      <c r="F135" s="493">
        <f>F133-F134</f>
        <v>349</v>
      </c>
      <c r="G135" s="480"/>
    </row>
    <row r="136" spans="1:7" ht="20.100000000000001" customHeight="1">
      <c r="A136" s="900"/>
      <c r="B136" s="900" t="s">
        <v>1457</v>
      </c>
      <c r="C136" s="900" t="s">
        <v>1457</v>
      </c>
      <c r="D136" s="900"/>
      <c r="E136" s="493"/>
      <c r="F136" s="493">
        <f>F137</f>
        <v>3</v>
      </c>
      <c r="G136" s="480"/>
    </row>
    <row r="137" spans="1:7" ht="20.100000000000001" customHeight="1">
      <c r="A137" s="900"/>
      <c r="B137" s="900"/>
      <c r="C137" s="900" t="s">
        <v>2496</v>
      </c>
      <c r="D137" s="480" t="s">
        <v>2496</v>
      </c>
      <c r="E137" s="493">
        <f>SUM(E138)</f>
        <v>89</v>
      </c>
      <c r="F137" s="493">
        <f>VLOOKUP(D137,'[4]급수구역별 용수량정리'!$D$121:$H$169,5,FALSE)</f>
        <v>3</v>
      </c>
      <c r="G137" s="480"/>
    </row>
    <row r="138" spans="1:7" ht="20.100000000000001" customHeight="1">
      <c r="A138" s="900"/>
      <c r="B138" s="900"/>
      <c r="C138" s="900"/>
      <c r="D138" s="496" t="s">
        <v>2572</v>
      </c>
      <c r="E138" s="493">
        <f>VLOOKUP(D138,'[2]2.행정구역별 급수인구'!$C$7:$X$997,18,FALSE)</f>
        <v>89</v>
      </c>
      <c r="F138" s="493">
        <f>$F$137*E138/$E$137</f>
        <v>3</v>
      </c>
      <c r="G138" s="480"/>
    </row>
    <row r="139" spans="1:7" ht="20.100000000000001" customHeight="1">
      <c r="A139" s="900"/>
      <c r="B139" s="900" t="s">
        <v>1459</v>
      </c>
      <c r="C139" s="900" t="s">
        <v>1459</v>
      </c>
      <c r="D139" s="900"/>
      <c r="E139" s="493"/>
      <c r="F139" s="493">
        <f>F140</f>
        <v>738</v>
      </c>
      <c r="G139" s="480"/>
    </row>
    <row r="140" spans="1:7" ht="20.100000000000001" customHeight="1">
      <c r="A140" s="900"/>
      <c r="B140" s="900"/>
      <c r="C140" s="480"/>
      <c r="D140" s="480" t="s">
        <v>1851</v>
      </c>
      <c r="E140" s="493"/>
      <c r="F140" s="493">
        <f>VLOOKUP(D140,'[4]급수구역별 용수량정리'!$D$121:$H$169,5,FALSE)</f>
        <v>738</v>
      </c>
      <c r="G140" s="480"/>
    </row>
    <row r="141" spans="1:7" ht="20.100000000000001" customHeight="1">
      <c r="A141" s="906" t="s">
        <v>1878</v>
      </c>
      <c r="B141" s="906"/>
      <c r="C141" s="906"/>
      <c r="D141" s="906"/>
      <c r="E141" s="492"/>
      <c r="F141" s="492">
        <f>F142</f>
        <v>3062</v>
      </c>
      <c r="G141" s="481" t="b">
        <f>F141='[4]급수구역별 용수량정리'!$H$170</f>
        <v>1</v>
      </c>
    </row>
    <row r="142" spans="1:7" ht="20.100000000000001" customHeight="1">
      <c r="A142" s="901"/>
      <c r="B142" s="907" t="s">
        <v>1879</v>
      </c>
      <c r="C142" s="907"/>
      <c r="D142" s="907"/>
      <c r="E142" s="494"/>
      <c r="F142" s="494">
        <f>F143+F191</f>
        <v>3062</v>
      </c>
      <c r="G142" s="487"/>
    </row>
    <row r="143" spans="1:7" ht="20.100000000000001" customHeight="1">
      <c r="A143" s="902"/>
      <c r="B143" s="900" t="s">
        <v>1445</v>
      </c>
      <c r="C143" s="900" t="s">
        <v>1445</v>
      </c>
      <c r="D143" s="900"/>
      <c r="E143" s="493"/>
      <c r="F143" s="493">
        <f>F144+F152+F154+F156+F161+F166+F168+F172+F174+F179+F185</f>
        <v>2972</v>
      </c>
      <c r="G143" s="480"/>
    </row>
    <row r="144" spans="1:7" ht="20.100000000000001" customHeight="1">
      <c r="A144" s="902"/>
      <c r="B144" s="900"/>
      <c r="C144" s="900" t="s">
        <v>2495</v>
      </c>
      <c r="D144" s="480" t="s">
        <v>2495</v>
      </c>
      <c r="E144" s="493">
        <f>SUM(E145:E151)</f>
        <v>3661</v>
      </c>
      <c r="F144" s="493">
        <f>VLOOKUP(D144,'[4]급수구역별 용수량정리'!$D$171:$H$217,5,FALSE)</f>
        <v>1229</v>
      </c>
      <c r="G144" s="480"/>
    </row>
    <row r="145" spans="1:7" ht="20.100000000000001" customHeight="1">
      <c r="A145" s="902"/>
      <c r="B145" s="900"/>
      <c r="C145" s="900"/>
      <c r="D145" s="496" t="s">
        <v>2573</v>
      </c>
      <c r="E145" s="493">
        <f>VLOOKUP(D145,'[2]2.행정구역별 급수인구'!$C$7:$X$997,18,FALSE)</f>
        <v>779</v>
      </c>
      <c r="F145" s="493">
        <f>ROUND($F$144*E145/$E$144,0)</f>
        <v>262</v>
      </c>
      <c r="G145" s="480"/>
    </row>
    <row r="146" spans="1:7" ht="20.100000000000001" customHeight="1">
      <c r="A146" s="902"/>
      <c r="B146" s="900"/>
      <c r="C146" s="900"/>
      <c r="D146" s="496" t="s">
        <v>1333</v>
      </c>
      <c r="E146" s="493">
        <f>VLOOKUP(D146,'[2]2.행정구역별 급수인구'!$C$7:$X$997,18,FALSE)</f>
        <v>452</v>
      </c>
      <c r="F146" s="493">
        <f t="shared" ref="F146:F150" si="3">ROUND($F$144*E146/$E$144,0)</f>
        <v>152</v>
      </c>
      <c r="G146" s="480"/>
    </row>
    <row r="147" spans="1:7" ht="20.100000000000001" customHeight="1">
      <c r="A147" s="902"/>
      <c r="B147" s="900"/>
      <c r="C147" s="900"/>
      <c r="D147" s="496" t="s">
        <v>1334</v>
      </c>
      <c r="E147" s="493">
        <f>VLOOKUP(D147,'[2]2.행정구역별 급수인구'!$C$7:$X$997,18,FALSE)</f>
        <v>142</v>
      </c>
      <c r="F147" s="493">
        <f t="shared" si="3"/>
        <v>48</v>
      </c>
      <c r="G147" s="480"/>
    </row>
    <row r="148" spans="1:7" ht="20.100000000000001" customHeight="1">
      <c r="A148" s="902"/>
      <c r="B148" s="900"/>
      <c r="C148" s="900"/>
      <c r="D148" s="496" t="s">
        <v>1335</v>
      </c>
      <c r="E148" s="493">
        <f>VLOOKUP(D148,'[2]2.행정구역별 급수인구'!$C$7:$X$997,18,FALSE)</f>
        <v>251</v>
      </c>
      <c r="F148" s="493">
        <f t="shared" si="3"/>
        <v>84</v>
      </c>
      <c r="G148" s="480"/>
    </row>
    <row r="149" spans="1:7" ht="20.100000000000001" customHeight="1">
      <c r="A149" s="902"/>
      <c r="B149" s="900"/>
      <c r="C149" s="900"/>
      <c r="D149" s="496" t="s">
        <v>1336</v>
      </c>
      <c r="E149" s="493">
        <f>VLOOKUP(D149,'[2]2.행정구역별 급수인구'!$C$7:$X$997,18,FALSE)</f>
        <v>206</v>
      </c>
      <c r="F149" s="493">
        <f t="shared" si="3"/>
        <v>69</v>
      </c>
      <c r="G149" s="480"/>
    </row>
    <row r="150" spans="1:7" ht="20.100000000000001" customHeight="1">
      <c r="A150" s="902"/>
      <c r="B150" s="900"/>
      <c r="C150" s="900"/>
      <c r="D150" s="496" t="s">
        <v>1337</v>
      </c>
      <c r="E150" s="493">
        <f>VLOOKUP(D150,'[2]2.행정구역별 급수인구'!$C$7:$X$997,18,FALSE)</f>
        <v>152</v>
      </c>
      <c r="F150" s="493">
        <f t="shared" si="3"/>
        <v>51</v>
      </c>
      <c r="G150" s="480"/>
    </row>
    <row r="151" spans="1:7" ht="20.100000000000001" customHeight="1">
      <c r="A151" s="902"/>
      <c r="B151" s="900"/>
      <c r="C151" s="900"/>
      <c r="D151" s="496" t="s">
        <v>2574</v>
      </c>
      <c r="E151" s="493">
        <f>VLOOKUP(D151,'[2]2.행정구역별 급수인구'!$C$7:$X$997,18,FALSE)</f>
        <v>1679</v>
      </c>
      <c r="F151" s="493">
        <f>F144-F145-F146-F147-F148-F149-F150</f>
        <v>563</v>
      </c>
      <c r="G151" s="480"/>
    </row>
    <row r="152" spans="1:7" ht="20.100000000000001" customHeight="1">
      <c r="A152" s="902"/>
      <c r="B152" s="900"/>
      <c r="C152" s="900" t="s">
        <v>2494</v>
      </c>
      <c r="D152" s="480" t="s">
        <v>2494</v>
      </c>
      <c r="E152" s="493">
        <f>SUM(E153)</f>
        <v>205</v>
      </c>
      <c r="F152" s="493">
        <f>VLOOKUP(D152,'[4]급수구역별 용수량정리'!$D$171:$H$217,5,FALSE)</f>
        <v>59</v>
      </c>
      <c r="G152" s="480"/>
    </row>
    <row r="153" spans="1:7" ht="20.100000000000001" customHeight="1">
      <c r="A153" s="902"/>
      <c r="B153" s="900"/>
      <c r="C153" s="900"/>
      <c r="D153" s="496" t="s">
        <v>2575</v>
      </c>
      <c r="E153" s="493">
        <f>VLOOKUP(D153,'[2]2.행정구역별 급수인구'!$C$7:$X$997,18,FALSE)</f>
        <v>205</v>
      </c>
      <c r="F153" s="493">
        <f>$F$152*E153/$E$152</f>
        <v>59</v>
      </c>
      <c r="G153" s="480"/>
    </row>
    <row r="154" spans="1:7" ht="20.100000000000001" customHeight="1">
      <c r="A154" s="902"/>
      <c r="B154" s="900"/>
      <c r="C154" s="900" t="s">
        <v>2497</v>
      </c>
      <c r="D154" s="480" t="s">
        <v>2497</v>
      </c>
      <c r="E154" s="493">
        <f>SUM(E155)</f>
        <v>103</v>
      </c>
      <c r="F154" s="493">
        <f>VLOOKUP(D154,'[4]급수구역별 용수량정리'!$D$171:$H$217,5,FALSE)</f>
        <v>69</v>
      </c>
      <c r="G154" s="480"/>
    </row>
    <row r="155" spans="1:7" ht="20.100000000000001" customHeight="1">
      <c r="A155" s="902"/>
      <c r="B155" s="900"/>
      <c r="C155" s="900"/>
      <c r="D155" s="496" t="s">
        <v>2576</v>
      </c>
      <c r="E155" s="493">
        <f>VLOOKUP(D155,'[2]2.행정구역별 급수인구'!$C$7:$X$997,18,FALSE)</f>
        <v>103</v>
      </c>
      <c r="F155" s="493">
        <f>$F$154*E155/$E$154</f>
        <v>69</v>
      </c>
      <c r="G155" s="480"/>
    </row>
    <row r="156" spans="1:7" ht="20.100000000000001" customHeight="1">
      <c r="A156" s="902"/>
      <c r="B156" s="900"/>
      <c r="C156" s="900" t="s">
        <v>2498</v>
      </c>
      <c r="D156" s="480" t="s">
        <v>2498</v>
      </c>
      <c r="E156" s="493">
        <f>SUM(E157:E160)</f>
        <v>1617</v>
      </c>
      <c r="F156" s="493">
        <f>VLOOKUP(D156,'[4]급수구역별 용수량정리'!$D$171:$H$217,5,FALSE)</f>
        <v>591</v>
      </c>
      <c r="G156" s="480"/>
    </row>
    <row r="157" spans="1:7" ht="20.100000000000001" customHeight="1">
      <c r="A157" s="902"/>
      <c r="B157" s="900"/>
      <c r="C157" s="900"/>
      <c r="D157" s="496" t="s">
        <v>2577</v>
      </c>
      <c r="E157" s="493">
        <f>VLOOKUP(D157,'[2]2.행정구역별 급수인구'!$C$7:$X$997,18,FALSE)</f>
        <v>711</v>
      </c>
      <c r="F157" s="493">
        <f>ROUND($F$156*E157/$E$156,0)</f>
        <v>260</v>
      </c>
      <c r="G157" s="480"/>
    </row>
    <row r="158" spans="1:7" ht="20.100000000000001" customHeight="1">
      <c r="A158" s="902"/>
      <c r="B158" s="900"/>
      <c r="C158" s="900"/>
      <c r="D158" s="496" t="s">
        <v>1343</v>
      </c>
      <c r="E158" s="493">
        <f>VLOOKUP(D158,'[2]2.행정구역별 급수인구'!$C$7:$X$997,18,FALSE)</f>
        <v>352</v>
      </c>
      <c r="F158" s="493">
        <f t="shared" ref="F158:F159" si="4">ROUND($F$156*E158/$E$156,0)</f>
        <v>129</v>
      </c>
      <c r="G158" s="480"/>
    </row>
    <row r="159" spans="1:7" ht="20.100000000000001" customHeight="1">
      <c r="A159" s="902"/>
      <c r="B159" s="900"/>
      <c r="C159" s="900"/>
      <c r="D159" s="496" t="s">
        <v>1344</v>
      </c>
      <c r="E159" s="493">
        <f>VLOOKUP(D159,'[2]2.행정구역별 급수인구'!$C$7:$X$997,18,FALSE)</f>
        <v>322</v>
      </c>
      <c r="F159" s="493">
        <f t="shared" si="4"/>
        <v>118</v>
      </c>
      <c r="G159" s="480"/>
    </row>
    <row r="160" spans="1:7" ht="20.100000000000001" customHeight="1">
      <c r="A160" s="902"/>
      <c r="B160" s="900"/>
      <c r="C160" s="900"/>
      <c r="D160" s="496" t="s">
        <v>1345</v>
      </c>
      <c r="E160" s="493">
        <f>VLOOKUP(D160,'[2]2.행정구역별 급수인구'!$C$7:$X$997,18,FALSE)</f>
        <v>232</v>
      </c>
      <c r="F160" s="493">
        <f>F156-F157-F158-F159</f>
        <v>84</v>
      </c>
      <c r="G160" s="480"/>
    </row>
    <row r="161" spans="1:7" ht="20.100000000000001" customHeight="1">
      <c r="A161" s="902"/>
      <c r="B161" s="900"/>
      <c r="C161" s="900" t="s">
        <v>2499</v>
      </c>
      <c r="D161" s="480" t="s">
        <v>2499</v>
      </c>
      <c r="E161" s="493">
        <f>SUM(E162:E165)</f>
        <v>1018</v>
      </c>
      <c r="F161" s="493">
        <f>VLOOKUP(D161,'[4]급수구역별 용수량정리'!$D$171:$H$217,5,FALSE)</f>
        <v>452</v>
      </c>
      <c r="G161" s="480"/>
    </row>
    <row r="162" spans="1:7" ht="20.100000000000001" customHeight="1">
      <c r="A162" s="902"/>
      <c r="B162" s="900"/>
      <c r="C162" s="900"/>
      <c r="D162" s="496" t="s">
        <v>2578</v>
      </c>
      <c r="E162" s="493">
        <f>VLOOKUP(D162,'[2]2.행정구역별 급수인구'!$C$7:$X$997,18,FALSE)</f>
        <v>355</v>
      </c>
      <c r="F162" s="493">
        <f>ROUND($F$161*E162/$E$161,0)</f>
        <v>158</v>
      </c>
      <c r="G162" s="480"/>
    </row>
    <row r="163" spans="1:7" ht="20.100000000000001" customHeight="1">
      <c r="A163" s="902"/>
      <c r="B163" s="900"/>
      <c r="C163" s="900"/>
      <c r="D163" s="496" t="s">
        <v>1347</v>
      </c>
      <c r="E163" s="493">
        <f>VLOOKUP(D163,'[2]2.행정구역별 급수인구'!$C$7:$X$997,18,FALSE)</f>
        <v>294</v>
      </c>
      <c r="F163" s="493">
        <f t="shared" ref="F163:F164" si="5">ROUND($F$161*E163/$E$161,0)</f>
        <v>131</v>
      </c>
      <c r="G163" s="480"/>
    </row>
    <row r="164" spans="1:7" ht="20.100000000000001" customHeight="1">
      <c r="A164" s="902"/>
      <c r="B164" s="900"/>
      <c r="C164" s="900"/>
      <c r="D164" s="496" t="s">
        <v>1348</v>
      </c>
      <c r="E164" s="493">
        <f>VLOOKUP(D164,'[2]2.행정구역별 급수인구'!$C$7:$X$997,18,FALSE)</f>
        <v>222</v>
      </c>
      <c r="F164" s="493">
        <f t="shared" si="5"/>
        <v>99</v>
      </c>
      <c r="G164" s="480"/>
    </row>
    <row r="165" spans="1:7" ht="20.100000000000001" customHeight="1">
      <c r="A165" s="902"/>
      <c r="B165" s="900"/>
      <c r="C165" s="900"/>
      <c r="D165" s="496" t="s">
        <v>1349</v>
      </c>
      <c r="E165" s="493">
        <f>VLOOKUP(D165,'[2]2.행정구역별 급수인구'!$C$7:$X$997,18,FALSE)</f>
        <v>147</v>
      </c>
      <c r="F165" s="493">
        <f>F161-F162-F163-F164</f>
        <v>64</v>
      </c>
      <c r="G165" s="480"/>
    </row>
    <row r="166" spans="1:7" ht="20.100000000000001" customHeight="1">
      <c r="A166" s="902"/>
      <c r="B166" s="900"/>
      <c r="C166" s="900" t="s">
        <v>2500</v>
      </c>
      <c r="D166" s="480" t="s">
        <v>2500</v>
      </c>
      <c r="E166" s="493">
        <f>SUM(E167)</f>
        <v>145</v>
      </c>
      <c r="F166" s="493">
        <f>VLOOKUP(D166,'[4]급수구역별 용수량정리'!$D$171:$H$217,5,FALSE)</f>
        <v>64</v>
      </c>
      <c r="G166" s="480"/>
    </row>
    <row r="167" spans="1:7" ht="20.100000000000001" customHeight="1">
      <c r="A167" s="902"/>
      <c r="B167" s="900"/>
      <c r="C167" s="900"/>
      <c r="D167" s="496" t="s">
        <v>2579</v>
      </c>
      <c r="E167" s="493">
        <f>VLOOKUP(D167,'[2]2.행정구역별 급수인구'!$C$7:$X$997,18,FALSE)</f>
        <v>145</v>
      </c>
      <c r="F167" s="493">
        <f>$F$166*E167/$E$166</f>
        <v>64</v>
      </c>
      <c r="G167" s="480"/>
    </row>
    <row r="168" spans="1:7" ht="20.100000000000001" customHeight="1">
      <c r="A168" s="902"/>
      <c r="B168" s="900"/>
      <c r="C168" s="900" t="s">
        <v>2501</v>
      </c>
      <c r="D168" s="480" t="s">
        <v>2501</v>
      </c>
      <c r="E168" s="493">
        <f>SUM(E169:E171)</f>
        <v>541</v>
      </c>
      <c r="F168" s="493">
        <f>VLOOKUP(D168,'[4]급수구역별 용수량정리'!$D$171:$H$217,5,FALSE)</f>
        <v>117</v>
      </c>
      <c r="G168" s="480"/>
    </row>
    <row r="169" spans="1:7" ht="20.100000000000001" customHeight="1">
      <c r="A169" s="902"/>
      <c r="B169" s="900"/>
      <c r="C169" s="900"/>
      <c r="D169" s="496" t="s">
        <v>1353</v>
      </c>
      <c r="E169" s="493">
        <f>VLOOKUP(D169,'[2]2.행정구역별 급수인구'!$C$7:$X$997,18,FALSE)</f>
        <v>138</v>
      </c>
      <c r="F169" s="493">
        <f>ROUND($F$168*E169/$E$168,0)</f>
        <v>30</v>
      </c>
      <c r="G169" s="480"/>
    </row>
    <row r="170" spans="1:7" ht="20.100000000000001" customHeight="1">
      <c r="A170" s="902"/>
      <c r="B170" s="900"/>
      <c r="C170" s="900"/>
      <c r="D170" s="496" t="s">
        <v>1354</v>
      </c>
      <c r="E170" s="493">
        <f>VLOOKUP(D170,'[2]2.행정구역별 급수인구'!$C$7:$X$997,18,FALSE)</f>
        <v>287</v>
      </c>
      <c r="F170" s="493">
        <f>ROUND($F$168*E170/$E$168,0)</f>
        <v>62</v>
      </c>
      <c r="G170" s="480"/>
    </row>
    <row r="171" spans="1:7" ht="20.100000000000001" customHeight="1">
      <c r="A171" s="902"/>
      <c r="B171" s="900"/>
      <c r="C171" s="900"/>
      <c r="D171" s="496" t="s">
        <v>1355</v>
      </c>
      <c r="E171" s="493">
        <f>VLOOKUP(D171,'[2]2.행정구역별 급수인구'!$C$7:$X$997,18,FALSE)</f>
        <v>116</v>
      </c>
      <c r="F171" s="493">
        <f>F168-F169-F170</f>
        <v>25</v>
      </c>
      <c r="G171" s="480"/>
    </row>
    <row r="172" spans="1:7" ht="20.100000000000001" customHeight="1">
      <c r="A172" s="902"/>
      <c r="B172" s="900"/>
      <c r="C172" s="901" t="s">
        <v>2502</v>
      </c>
      <c r="D172" s="480" t="s">
        <v>2502</v>
      </c>
      <c r="E172" s="493">
        <f>SUM(E173)</f>
        <v>264</v>
      </c>
      <c r="F172" s="493">
        <f>VLOOKUP(D172,'[4]급수구역별 용수량정리'!$D$171:$H$217,5,FALSE)</f>
        <v>35</v>
      </c>
      <c r="G172" s="480"/>
    </row>
    <row r="173" spans="1:7" ht="20.100000000000001" customHeight="1">
      <c r="A173" s="902"/>
      <c r="B173" s="900"/>
      <c r="C173" s="903"/>
      <c r="D173" s="480" t="s">
        <v>2502</v>
      </c>
      <c r="E173" s="493">
        <f>VLOOKUP(D173,'[2]2.행정구역별 급수인구'!$C$7:$X$997,18,FALSE)</f>
        <v>264</v>
      </c>
      <c r="F173" s="493">
        <f>$F$172*E173/$E$172</f>
        <v>35</v>
      </c>
      <c r="G173" s="480"/>
    </row>
    <row r="174" spans="1:7" ht="20.100000000000001" customHeight="1">
      <c r="A174" s="902"/>
      <c r="B174" s="900"/>
      <c r="C174" s="900" t="s">
        <v>2503</v>
      </c>
      <c r="D174" s="480" t="s">
        <v>2503</v>
      </c>
      <c r="E174" s="493">
        <f>SUM(E175:E178)</f>
        <v>474</v>
      </c>
      <c r="F174" s="493">
        <f>VLOOKUP(D174,'[4]급수구역별 용수량정리'!$D$171:$H$217,5,FALSE)</f>
        <v>145</v>
      </c>
      <c r="G174" s="480"/>
    </row>
    <row r="175" spans="1:7" ht="20.100000000000001" customHeight="1">
      <c r="A175" s="902"/>
      <c r="B175" s="900"/>
      <c r="C175" s="900"/>
      <c r="D175" s="496" t="s">
        <v>2580</v>
      </c>
      <c r="E175" s="493">
        <f>VLOOKUP(D175,'[2]2.행정구역별 급수인구'!$C$7:$X$997,18,FALSE)</f>
        <v>239</v>
      </c>
      <c r="F175" s="493">
        <f>ROUND($F$174*E175/$E$174,0)</f>
        <v>73</v>
      </c>
      <c r="G175" s="480"/>
    </row>
    <row r="176" spans="1:7" ht="20.100000000000001" customHeight="1">
      <c r="A176" s="902"/>
      <c r="B176" s="900"/>
      <c r="C176" s="900"/>
      <c r="D176" s="496" t="s">
        <v>1360</v>
      </c>
      <c r="E176" s="493">
        <f>VLOOKUP(D176,'[2]2.행정구역별 급수인구'!$C$7:$X$997,18,FALSE)</f>
        <v>101</v>
      </c>
      <c r="F176" s="493">
        <f>ROUND($F$174*E176/$E$174,0)</f>
        <v>31</v>
      </c>
      <c r="G176" s="480"/>
    </row>
    <row r="177" spans="1:7" ht="20.100000000000001" customHeight="1">
      <c r="A177" s="902"/>
      <c r="B177" s="900"/>
      <c r="C177" s="900"/>
      <c r="D177" s="496" t="s">
        <v>1361</v>
      </c>
      <c r="E177" s="493">
        <f>VLOOKUP(D177,'[2]2.행정구역별 급수인구'!$C$7:$X$997,18,FALSE)</f>
        <v>77</v>
      </c>
      <c r="F177" s="493">
        <f>ROUND($F$174*E177/$E$174,0)</f>
        <v>24</v>
      </c>
      <c r="G177" s="480"/>
    </row>
    <row r="178" spans="1:7" ht="20.100000000000001" customHeight="1">
      <c r="A178" s="902"/>
      <c r="B178" s="900"/>
      <c r="C178" s="900"/>
      <c r="D178" s="496" t="s">
        <v>1362</v>
      </c>
      <c r="E178" s="493">
        <f>VLOOKUP(D178,'[2]2.행정구역별 급수인구'!$C$7:$X$997,18,FALSE)</f>
        <v>57</v>
      </c>
      <c r="F178" s="493">
        <f>F174-F175-F176-F177</f>
        <v>17</v>
      </c>
      <c r="G178" s="480"/>
    </row>
    <row r="179" spans="1:7" ht="20.100000000000001" customHeight="1">
      <c r="A179" s="902"/>
      <c r="B179" s="900"/>
      <c r="C179" s="900" t="s">
        <v>2504</v>
      </c>
      <c r="D179" s="480" t="s">
        <v>2504</v>
      </c>
      <c r="E179" s="493">
        <f>SUM(E180:E184)</f>
        <v>525</v>
      </c>
      <c r="F179" s="493">
        <f>VLOOKUP(D179,'[4]급수구역별 용수량정리'!$D$171:$H$217,5,FALSE)</f>
        <v>115</v>
      </c>
      <c r="G179" s="480"/>
    </row>
    <row r="180" spans="1:7" ht="20.100000000000001" customHeight="1">
      <c r="A180" s="902"/>
      <c r="B180" s="900"/>
      <c r="C180" s="900"/>
      <c r="D180" s="496" t="s">
        <v>1364</v>
      </c>
      <c r="E180" s="493">
        <f>VLOOKUP(D180,'[2]2.행정구역별 급수인구'!$C$7:$X$997,18,FALSE)</f>
        <v>120</v>
      </c>
      <c r="F180" s="493">
        <f>ROUND($F$179*E180/$E$179,0)</f>
        <v>26</v>
      </c>
      <c r="G180" s="480"/>
    </row>
    <row r="181" spans="1:7" ht="20.100000000000001" customHeight="1">
      <c r="A181" s="902"/>
      <c r="B181" s="900"/>
      <c r="C181" s="900"/>
      <c r="D181" s="496" t="s">
        <v>1365</v>
      </c>
      <c r="E181" s="493">
        <f>VLOOKUP(D181,'[2]2.행정구역별 급수인구'!$C$7:$X$997,18,FALSE)</f>
        <v>124</v>
      </c>
      <c r="F181" s="493">
        <f t="shared" ref="F181:F183" si="6">ROUND($F$179*E181/$E$179,0)</f>
        <v>27</v>
      </c>
      <c r="G181" s="480"/>
    </row>
    <row r="182" spans="1:7" ht="20.100000000000001" customHeight="1">
      <c r="A182" s="902"/>
      <c r="B182" s="900"/>
      <c r="C182" s="900"/>
      <c r="D182" s="496" t="s">
        <v>1366</v>
      </c>
      <c r="E182" s="493">
        <f>VLOOKUP(D182,'[2]2.행정구역별 급수인구'!$C$7:$X$997,18,FALSE)</f>
        <v>43</v>
      </c>
      <c r="F182" s="493">
        <f t="shared" si="6"/>
        <v>9</v>
      </c>
      <c r="G182" s="480"/>
    </row>
    <row r="183" spans="1:7" ht="20.100000000000001" customHeight="1">
      <c r="A183" s="902"/>
      <c r="B183" s="900"/>
      <c r="C183" s="900"/>
      <c r="D183" s="496" t="s">
        <v>1367</v>
      </c>
      <c r="E183" s="493">
        <f>VLOOKUP(D183,'[2]2.행정구역별 급수인구'!$C$7:$X$997,18,FALSE)</f>
        <v>68</v>
      </c>
      <c r="F183" s="493">
        <f t="shared" si="6"/>
        <v>15</v>
      </c>
      <c r="G183" s="480"/>
    </row>
    <row r="184" spans="1:7" ht="20.100000000000001" customHeight="1">
      <c r="A184" s="902"/>
      <c r="B184" s="900"/>
      <c r="C184" s="900"/>
      <c r="D184" s="496" t="s">
        <v>1368</v>
      </c>
      <c r="E184" s="493">
        <f>VLOOKUP(D184,'[2]2.행정구역별 급수인구'!$C$7:$X$997,18,FALSE)</f>
        <v>170</v>
      </c>
      <c r="F184" s="493">
        <f>F179-F180-F181-F182-F183</f>
        <v>38</v>
      </c>
      <c r="G184" s="480"/>
    </row>
    <row r="185" spans="1:7" ht="20.100000000000001" customHeight="1">
      <c r="A185" s="902"/>
      <c r="B185" s="900"/>
      <c r="C185" s="900" t="s">
        <v>2505</v>
      </c>
      <c r="D185" s="480" t="s">
        <v>2505</v>
      </c>
      <c r="E185" s="493">
        <f>SUM(E186:E190)</f>
        <v>509</v>
      </c>
      <c r="F185" s="493">
        <f>VLOOKUP(D185,'[4]급수구역별 용수량정리'!$D$171:$H$217,5,FALSE)</f>
        <v>96</v>
      </c>
      <c r="G185" s="480"/>
    </row>
    <row r="186" spans="1:7" ht="20.100000000000001" customHeight="1">
      <c r="A186" s="902"/>
      <c r="B186" s="900"/>
      <c r="C186" s="900"/>
      <c r="D186" s="496" t="s">
        <v>2581</v>
      </c>
      <c r="E186" s="493">
        <f>VLOOKUP(D186,'[2]2.행정구역별 급수인구'!$C$7:$X$997,18,FALSE)</f>
        <v>140</v>
      </c>
      <c r="F186" s="493">
        <f>ROUND($F$185*E186/$E$185,0)</f>
        <v>26</v>
      </c>
      <c r="G186" s="480"/>
    </row>
    <row r="187" spans="1:7" ht="20.100000000000001" customHeight="1">
      <c r="A187" s="902"/>
      <c r="B187" s="900"/>
      <c r="C187" s="900"/>
      <c r="D187" s="496" t="s">
        <v>1370</v>
      </c>
      <c r="E187" s="493">
        <f>VLOOKUP(D187,'[2]2.행정구역별 급수인구'!$C$7:$X$997,18,FALSE)</f>
        <v>98</v>
      </c>
      <c r="F187" s="493">
        <f t="shared" ref="F187:F189" si="7">ROUND($F$185*E187/$E$185,0)</f>
        <v>18</v>
      </c>
      <c r="G187" s="480"/>
    </row>
    <row r="188" spans="1:7" ht="20.100000000000001" customHeight="1">
      <c r="A188" s="902"/>
      <c r="B188" s="900"/>
      <c r="C188" s="900"/>
      <c r="D188" s="496" t="s">
        <v>1372</v>
      </c>
      <c r="E188" s="493">
        <f>VLOOKUP(D188,'[2]2.행정구역별 급수인구'!$C$7:$X$997,18,FALSE)</f>
        <v>145</v>
      </c>
      <c r="F188" s="493">
        <f t="shared" si="7"/>
        <v>27</v>
      </c>
      <c r="G188" s="480"/>
    </row>
    <row r="189" spans="1:7" ht="20.100000000000001" customHeight="1">
      <c r="A189" s="902"/>
      <c r="B189" s="900"/>
      <c r="C189" s="900"/>
      <c r="D189" s="496" t="s">
        <v>1373</v>
      </c>
      <c r="E189" s="493">
        <f>VLOOKUP(D189,'[2]2.행정구역별 급수인구'!$C$7:$X$997,18,FALSE)</f>
        <v>64</v>
      </c>
      <c r="F189" s="493">
        <f t="shared" si="7"/>
        <v>12</v>
      </c>
      <c r="G189" s="480"/>
    </row>
    <row r="190" spans="1:7" ht="20.100000000000001" customHeight="1">
      <c r="A190" s="902"/>
      <c r="B190" s="900"/>
      <c r="C190" s="900"/>
      <c r="D190" s="496" t="s">
        <v>1374</v>
      </c>
      <c r="E190" s="493">
        <f>VLOOKUP(D190,'[2]2.행정구역별 급수인구'!$C$7:$X$997,18,FALSE)</f>
        <v>62</v>
      </c>
      <c r="F190" s="493">
        <f>F185-F186-F187-F188-F189</f>
        <v>13</v>
      </c>
      <c r="G190" s="480"/>
    </row>
    <row r="191" spans="1:7" ht="20.100000000000001" customHeight="1">
      <c r="A191" s="902"/>
      <c r="B191" s="901" t="s">
        <v>1457</v>
      </c>
      <c r="C191" s="900" t="s">
        <v>1457</v>
      </c>
      <c r="D191" s="900"/>
      <c r="E191" s="493"/>
      <c r="F191" s="493">
        <f>F192</f>
        <v>90</v>
      </c>
      <c r="G191" s="480"/>
    </row>
    <row r="192" spans="1:7" ht="20.100000000000001" customHeight="1">
      <c r="A192" s="902"/>
      <c r="B192" s="902"/>
      <c r="C192" s="900" t="s">
        <v>2506</v>
      </c>
      <c r="D192" s="480" t="s">
        <v>2506</v>
      </c>
      <c r="E192" s="493">
        <f>SUM(E193:E194)</f>
        <v>421</v>
      </c>
      <c r="F192" s="493">
        <f>VLOOKUP(D192,'[4]급수구역별 용수량정리'!$D$171:$H$217,5,FALSE)</f>
        <v>90</v>
      </c>
      <c r="G192" s="480"/>
    </row>
    <row r="193" spans="1:7" ht="20.100000000000001" customHeight="1">
      <c r="A193" s="902"/>
      <c r="B193" s="902"/>
      <c r="C193" s="900"/>
      <c r="D193" s="496" t="s">
        <v>2582</v>
      </c>
      <c r="E193" s="493">
        <f>VLOOKUP(D193,'[2]2.행정구역별 급수인구'!$C$7:$X$997,18,FALSE)</f>
        <v>149</v>
      </c>
      <c r="F193" s="493">
        <f>ROUND($F$192*E193/$E$192,0)</f>
        <v>32</v>
      </c>
      <c r="G193" s="480"/>
    </row>
    <row r="194" spans="1:7" ht="20.100000000000001" customHeight="1">
      <c r="A194" s="903"/>
      <c r="B194" s="903"/>
      <c r="C194" s="900"/>
      <c r="D194" s="496" t="s">
        <v>2583</v>
      </c>
      <c r="E194" s="493">
        <f>VLOOKUP(D194,'[2]2.행정구역별 급수인구'!$C$7:$X$997,18,FALSE)</f>
        <v>272</v>
      </c>
      <c r="F194" s="493">
        <f>F192-F193</f>
        <v>58</v>
      </c>
      <c r="G194" s="480"/>
    </row>
    <row r="195" spans="1:7" ht="20.100000000000001" customHeight="1">
      <c r="A195" s="906" t="s">
        <v>1832</v>
      </c>
      <c r="B195" s="906"/>
      <c r="C195" s="906"/>
      <c r="D195" s="906"/>
      <c r="E195" s="492"/>
      <c r="F195" s="492">
        <f>F196+F233</f>
        <v>941</v>
      </c>
      <c r="G195" s="481" t="b">
        <f>F195='[4]급수구역별 용수량정리'!$H$218</f>
        <v>1</v>
      </c>
    </row>
    <row r="196" spans="1:7" ht="20.100000000000001" customHeight="1">
      <c r="A196" s="900"/>
      <c r="B196" s="907" t="s">
        <v>1881</v>
      </c>
      <c r="C196" s="907"/>
      <c r="D196" s="907"/>
      <c r="E196" s="494"/>
      <c r="F196" s="494">
        <f>F197</f>
        <v>765</v>
      </c>
      <c r="G196" s="487"/>
    </row>
    <row r="197" spans="1:7" ht="20.100000000000001" customHeight="1">
      <c r="A197" s="900"/>
      <c r="B197" s="900" t="s">
        <v>2508</v>
      </c>
      <c r="C197" s="900" t="s">
        <v>2508</v>
      </c>
      <c r="D197" s="900"/>
      <c r="E197" s="493"/>
      <c r="F197" s="493">
        <f>F198+F204+F208+F212+F216+F220+F224+F228+F231</f>
        <v>765</v>
      </c>
      <c r="G197" s="480"/>
    </row>
    <row r="198" spans="1:7" ht="20.100000000000001" customHeight="1">
      <c r="A198" s="900"/>
      <c r="B198" s="900"/>
      <c r="C198" s="900" t="s">
        <v>2507</v>
      </c>
      <c r="D198" s="480" t="s">
        <v>2507</v>
      </c>
      <c r="E198" s="493">
        <f>SUM(E199:E203)</f>
        <v>598</v>
      </c>
      <c r="F198" s="493">
        <f>VLOOKUP(D198,'[4]급수구역별 용수량정리'!$D$218:$H$231,5,FALSE)</f>
        <v>225</v>
      </c>
      <c r="G198" s="480"/>
    </row>
    <row r="199" spans="1:7" ht="20.100000000000001" customHeight="1">
      <c r="A199" s="900"/>
      <c r="B199" s="900"/>
      <c r="C199" s="900"/>
      <c r="D199" s="496" t="s">
        <v>1497</v>
      </c>
      <c r="E199" s="493">
        <f>VLOOKUP(D199,'[2]2.행정구역별 급수인구'!$C$7:$X$997,18,FALSE)</f>
        <v>67</v>
      </c>
      <c r="F199" s="493">
        <f>ROUND($F$198*E199/$E$198,0)</f>
        <v>25</v>
      </c>
      <c r="G199" s="480"/>
    </row>
    <row r="200" spans="1:7" ht="20.100000000000001" customHeight="1">
      <c r="A200" s="900"/>
      <c r="B200" s="900"/>
      <c r="C200" s="900"/>
      <c r="D200" s="496" t="s">
        <v>1498</v>
      </c>
      <c r="E200" s="493">
        <f>VLOOKUP(D200,'[2]2.행정구역별 급수인구'!$C$7:$X$997,18,FALSE)</f>
        <v>56</v>
      </c>
      <c r="F200" s="493">
        <f t="shared" ref="F200:F202" si="8">ROUND($F$198*E200/$E$198,0)</f>
        <v>21</v>
      </c>
      <c r="G200" s="480"/>
    </row>
    <row r="201" spans="1:7" ht="20.100000000000001" customHeight="1">
      <c r="A201" s="900"/>
      <c r="B201" s="900"/>
      <c r="C201" s="900"/>
      <c r="D201" s="496" t="s">
        <v>1499</v>
      </c>
      <c r="E201" s="493">
        <f>VLOOKUP(D201,'[2]2.행정구역별 급수인구'!$C$7:$X$997,18,FALSE)</f>
        <v>332</v>
      </c>
      <c r="F201" s="493">
        <f t="shared" si="8"/>
        <v>125</v>
      </c>
      <c r="G201" s="480"/>
    </row>
    <row r="202" spans="1:7" ht="20.100000000000001" customHeight="1">
      <c r="A202" s="900"/>
      <c r="B202" s="900"/>
      <c r="C202" s="900"/>
      <c r="D202" s="496" t="s">
        <v>1500</v>
      </c>
      <c r="E202" s="493">
        <f>VLOOKUP(D202,'[2]2.행정구역별 급수인구'!$C$7:$X$997,18,FALSE)</f>
        <v>66</v>
      </c>
      <c r="F202" s="493">
        <f t="shared" si="8"/>
        <v>25</v>
      </c>
      <c r="G202" s="480"/>
    </row>
    <row r="203" spans="1:7" ht="20.100000000000001" customHeight="1">
      <c r="A203" s="900"/>
      <c r="B203" s="900"/>
      <c r="C203" s="900"/>
      <c r="D203" s="496" t="s">
        <v>1501</v>
      </c>
      <c r="E203" s="493">
        <f>VLOOKUP(D203,'[2]2.행정구역별 급수인구'!$C$7:$X$997,18,FALSE)</f>
        <v>77</v>
      </c>
      <c r="F203" s="493">
        <f>F198-F199-F200-F201-F202</f>
        <v>29</v>
      </c>
      <c r="G203" s="480"/>
    </row>
    <row r="204" spans="1:7" ht="20.100000000000001" customHeight="1">
      <c r="A204" s="900"/>
      <c r="B204" s="900"/>
      <c r="C204" s="900" t="s">
        <v>2509</v>
      </c>
      <c r="D204" s="480" t="s">
        <v>2509</v>
      </c>
      <c r="E204" s="493">
        <f>SUM(E205:E207)</f>
        <v>289</v>
      </c>
      <c r="F204" s="493">
        <f>VLOOKUP(D204,'[4]급수구역별 용수량정리'!$D$218:$H$231,5,FALSE)</f>
        <v>86</v>
      </c>
      <c r="G204" s="480"/>
    </row>
    <row r="205" spans="1:7" ht="20.100000000000001" customHeight="1">
      <c r="A205" s="900"/>
      <c r="B205" s="900"/>
      <c r="C205" s="900"/>
      <c r="D205" s="496" t="s">
        <v>1502</v>
      </c>
      <c r="E205" s="493">
        <f>VLOOKUP(D205,'[2]2.행정구역별 급수인구'!$C$7:$X$997,18,FALSE)</f>
        <v>124</v>
      </c>
      <c r="F205" s="493">
        <f>ROUND($F$204*E205/$E$204,0)</f>
        <v>37</v>
      </c>
      <c r="G205" s="480"/>
    </row>
    <row r="206" spans="1:7" ht="20.100000000000001" customHeight="1">
      <c r="A206" s="900"/>
      <c r="B206" s="900"/>
      <c r="C206" s="900"/>
      <c r="D206" s="496" t="s">
        <v>1503</v>
      </c>
      <c r="E206" s="493">
        <f>VLOOKUP(D206,'[2]2.행정구역별 급수인구'!$C$7:$X$997,18,FALSE)</f>
        <v>128</v>
      </c>
      <c r="F206" s="493">
        <f>ROUND($F$204*E206/$E$204,0)</f>
        <v>38</v>
      </c>
      <c r="G206" s="480"/>
    </row>
    <row r="207" spans="1:7" ht="20.100000000000001" customHeight="1">
      <c r="A207" s="900"/>
      <c r="B207" s="900"/>
      <c r="C207" s="900"/>
      <c r="D207" s="496" t="s">
        <v>1504</v>
      </c>
      <c r="E207" s="493">
        <f>VLOOKUP(D207,'[2]2.행정구역별 급수인구'!$C$7:$X$997,18,FALSE)</f>
        <v>37</v>
      </c>
      <c r="F207" s="493">
        <f>F204-F205-F206</f>
        <v>11</v>
      </c>
      <c r="G207" s="480"/>
    </row>
    <row r="208" spans="1:7" ht="20.100000000000001" customHeight="1">
      <c r="A208" s="900"/>
      <c r="B208" s="900"/>
      <c r="C208" s="900" t="s">
        <v>2510</v>
      </c>
      <c r="D208" s="480" t="s">
        <v>2510</v>
      </c>
      <c r="E208" s="493">
        <f>SUM(E209:E211)</f>
        <v>170</v>
      </c>
      <c r="F208" s="493">
        <f>VLOOKUP(D208,'[4]급수구역별 용수량정리'!$D$218:$H$231,5,FALSE)</f>
        <v>63</v>
      </c>
      <c r="G208" s="480"/>
    </row>
    <row r="209" spans="1:7" ht="20.100000000000001" customHeight="1">
      <c r="A209" s="900"/>
      <c r="B209" s="900"/>
      <c r="C209" s="900"/>
      <c r="D209" s="496" t="s">
        <v>1505</v>
      </c>
      <c r="E209" s="493">
        <f>VLOOKUP(D209,'[2]2.행정구역별 급수인구'!$C$7:$X$997,18,FALSE)</f>
        <v>59</v>
      </c>
      <c r="F209" s="493">
        <f>ROUND($F$208*E209/$E$208,0)</f>
        <v>22</v>
      </c>
      <c r="G209" s="480"/>
    </row>
    <row r="210" spans="1:7" ht="20.100000000000001" customHeight="1">
      <c r="A210" s="900"/>
      <c r="B210" s="900"/>
      <c r="C210" s="900"/>
      <c r="D210" s="496" t="s">
        <v>1506</v>
      </c>
      <c r="E210" s="493">
        <f>VLOOKUP(D210,'[2]2.행정구역별 급수인구'!$C$7:$X$997,18,FALSE)</f>
        <v>56</v>
      </c>
      <c r="F210" s="493">
        <f>ROUND($F$208*E210/$E$208,0)</f>
        <v>21</v>
      </c>
      <c r="G210" s="480"/>
    </row>
    <row r="211" spans="1:7" ht="20.100000000000001" customHeight="1">
      <c r="A211" s="900"/>
      <c r="B211" s="900"/>
      <c r="C211" s="900"/>
      <c r="D211" s="496" t="s">
        <v>1507</v>
      </c>
      <c r="E211" s="493">
        <f>VLOOKUP(D211,'[2]2.행정구역별 급수인구'!$C$7:$X$997,18,FALSE)</f>
        <v>55</v>
      </c>
      <c r="F211" s="493">
        <f>F208-F209-F210</f>
        <v>20</v>
      </c>
      <c r="G211" s="480"/>
    </row>
    <row r="212" spans="1:7" ht="20.100000000000001" customHeight="1">
      <c r="A212" s="900"/>
      <c r="B212" s="900"/>
      <c r="C212" s="900" t="s">
        <v>2511</v>
      </c>
      <c r="D212" s="480" t="s">
        <v>2511</v>
      </c>
      <c r="E212" s="493">
        <f>SUM(E213:E215)</f>
        <v>280</v>
      </c>
      <c r="F212" s="493">
        <f>ROUND(VLOOKUP(D212,'[4]급수구역별 용수량정리'!$D$218:$H$231,5,FALSE)*0.69,0)</f>
        <v>62</v>
      </c>
      <c r="G212" s="480"/>
    </row>
    <row r="213" spans="1:7" ht="20.100000000000001" customHeight="1">
      <c r="A213" s="900"/>
      <c r="B213" s="900"/>
      <c r="C213" s="900"/>
      <c r="D213" s="496" t="s">
        <v>1508</v>
      </c>
      <c r="E213" s="493">
        <f>VLOOKUP(D213,'[2]2.행정구역별 급수인구'!$C$7:$X$997,18,FALSE)</f>
        <v>104</v>
      </c>
      <c r="F213" s="493">
        <f>ROUND($F$212*E213/$E$212,0)</f>
        <v>23</v>
      </c>
      <c r="G213" s="480"/>
    </row>
    <row r="214" spans="1:7" ht="20.100000000000001" customHeight="1">
      <c r="A214" s="900"/>
      <c r="B214" s="900"/>
      <c r="C214" s="900"/>
      <c r="D214" s="496" t="s">
        <v>1509</v>
      </c>
      <c r="E214" s="493">
        <f>VLOOKUP(D214,'[2]2.행정구역별 급수인구'!$C$7:$X$997,18,FALSE)</f>
        <v>100</v>
      </c>
      <c r="F214" s="493">
        <f>ROUND($F$212*E214/$E$212,0)</f>
        <v>22</v>
      </c>
      <c r="G214" s="480"/>
    </row>
    <row r="215" spans="1:7" ht="20.100000000000001" customHeight="1">
      <c r="A215" s="900"/>
      <c r="B215" s="900"/>
      <c r="C215" s="900"/>
      <c r="D215" s="496" t="s">
        <v>1510</v>
      </c>
      <c r="E215" s="493">
        <f>VLOOKUP(D215,'[2]2.행정구역별 급수인구'!$C$7:$X$997,18,FALSE)</f>
        <v>76</v>
      </c>
      <c r="F215" s="493">
        <f>F212-F213-F214</f>
        <v>17</v>
      </c>
      <c r="G215" s="480"/>
    </row>
    <row r="216" spans="1:7" ht="20.100000000000001" customHeight="1">
      <c r="A216" s="900"/>
      <c r="B216" s="900"/>
      <c r="C216" s="900" t="s">
        <v>2513</v>
      </c>
      <c r="D216" s="480" t="s">
        <v>2513</v>
      </c>
      <c r="E216" s="493">
        <f>SUM(E217:E219)</f>
        <v>197</v>
      </c>
      <c r="F216" s="493">
        <f>VLOOKUP(D216,'[4]급수구역별 용수량정리'!$D$218:$H$231,5,FALSE)</f>
        <v>55</v>
      </c>
      <c r="G216" s="480"/>
    </row>
    <row r="217" spans="1:7" ht="20.100000000000001" customHeight="1">
      <c r="A217" s="900"/>
      <c r="B217" s="900"/>
      <c r="C217" s="900"/>
      <c r="D217" s="496" t="s">
        <v>1516</v>
      </c>
      <c r="E217" s="493">
        <f>VLOOKUP(D217,'[2]2.행정구역별 급수인구'!$C$7:$X$997,18,FALSE)</f>
        <v>59</v>
      </c>
      <c r="F217" s="493">
        <f>ROUND($F$216*E217/$E$216,0)</f>
        <v>16</v>
      </c>
      <c r="G217" s="480"/>
    </row>
    <row r="218" spans="1:7" ht="20.100000000000001" customHeight="1">
      <c r="A218" s="900"/>
      <c r="B218" s="900"/>
      <c r="C218" s="900"/>
      <c r="D218" s="496" t="s">
        <v>1517</v>
      </c>
      <c r="E218" s="493">
        <f>VLOOKUP(D218,'[2]2.행정구역별 급수인구'!$C$7:$X$997,18,FALSE)</f>
        <v>81</v>
      </c>
      <c r="F218" s="493">
        <f>ROUND($F$216*E218/$E$216,0)</f>
        <v>23</v>
      </c>
      <c r="G218" s="480"/>
    </row>
    <row r="219" spans="1:7" ht="20.100000000000001" customHeight="1">
      <c r="A219" s="900"/>
      <c r="B219" s="900"/>
      <c r="C219" s="900"/>
      <c r="D219" s="496" t="s">
        <v>1518</v>
      </c>
      <c r="E219" s="493">
        <f>VLOOKUP(D219,'[2]2.행정구역별 급수인구'!$C$7:$X$997,18,FALSE)</f>
        <v>57</v>
      </c>
      <c r="F219" s="493">
        <f>F216-F217-F218</f>
        <v>16</v>
      </c>
      <c r="G219" s="480"/>
    </row>
    <row r="220" spans="1:7" ht="20.100000000000001" customHeight="1">
      <c r="A220" s="900"/>
      <c r="B220" s="900"/>
      <c r="C220" s="900" t="s">
        <v>2514</v>
      </c>
      <c r="D220" s="480" t="s">
        <v>2514</v>
      </c>
      <c r="E220" s="493">
        <f>SUM(E221:E223)</f>
        <v>397</v>
      </c>
      <c r="F220" s="493">
        <f>VLOOKUP(D220,'[4]급수구역별 용수량정리'!$D$218:$H$231,5,FALSE)</f>
        <v>81</v>
      </c>
      <c r="G220" s="480"/>
    </row>
    <row r="221" spans="1:7" ht="20.100000000000001" customHeight="1">
      <c r="A221" s="900"/>
      <c r="B221" s="900"/>
      <c r="C221" s="900"/>
      <c r="D221" s="496" t="s">
        <v>1519</v>
      </c>
      <c r="E221" s="493">
        <f>VLOOKUP(D221,'[2]2.행정구역별 급수인구'!$C$7:$X$997,18,FALSE)</f>
        <v>136</v>
      </c>
      <c r="F221" s="493">
        <f>ROUND($F$220*E221/$E$220,0)</f>
        <v>28</v>
      </c>
      <c r="G221" s="480"/>
    </row>
    <row r="222" spans="1:7" ht="20.100000000000001" customHeight="1">
      <c r="A222" s="900"/>
      <c r="B222" s="900"/>
      <c r="C222" s="900"/>
      <c r="D222" s="496" t="s">
        <v>1520</v>
      </c>
      <c r="E222" s="493">
        <f>VLOOKUP(D222,'[2]2.행정구역별 급수인구'!$C$7:$X$997,18,FALSE)</f>
        <v>163</v>
      </c>
      <c r="F222" s="493">
        <f>ROUND($F$220*E222/$E$220,0)</f>
        <v>33</v>
      </c>
      <c r="G222" s="480"/>
    </row>
    <row r="223" spans="1:7" ht="20.100000000000001" customHeight="1">
      <c r="A223" s="900"/>
      <c r="B223" s="900"/>
      <c r="C223" s="900"/>
      <c r="D223" s="496" t="s">
        <v>1521</v>
      </c>
      <c r="E223" s="493">
        <f>VLOOKUP(D223,'[2]2.행정구역별 급수인구'!$C$7:$X$997,18,FALSE)</f>
        <v>98</v>
      </c>
      <c r="F223" s="493">
        <f>F220-F221-F222</f>
        <v>20</v>
      </c>
      <c r="G223" s="480"/>
    </row>
    <row r="224" spans="1:7" ht="20.100000000000001" customHeight="1">
      <c r="A224" s="900"/>
      <c r="B224" s="900"/>
      <c r="C224" s="900" t="s">
        <v>2515</v>
      </c>
      <c r="D224" s="480" t="s">
        <v>2515</v>
      </c>
      <c r="E224" s="493">
        <f>SUM(E225:E227)</f>
        <v>379</v>
      </c>
      <c r="F224" s="493">
        <f>VLOOKUP(D224,'[4]급수구역별 용수량정리'!$D$218:$H$231,5,FALSE)</f>
        <v>123</v>
      </c>
      <c r="G224" s="480"/>
    </row>
    <row r="225" spans="1:7" ht="20.100000000000001" customHeight="1">
      <c r="A225" s="900"/>
      <c r="B225" s="900"/>
      <c r="C225" s="900"/>
      <c r="D225" s="496" t="s">
        <v>1522</v>
      </c>
      <c r="E225" s="493">
        <f>VLOOKUP(D225,'[2]2.행정구역별 급수인구'!$C$7:$X$997,18,FALSE)</f>
        <v>104</v>
      </c>
      <c r="F225" s="493">
        <f>ROUND($F$224*E225/$E$224,0)</f>
        <v>34</v>
      </c>
      <c r="G225" s="480"/>
    </row>
    <row r="226" spans="1:7" ht="20.100000000000001" customHeight="1">
      <c r="A226" s="900"/>
      <c r="B226" s="900"/>
      <c r="C226" s="900"/>
      <c r="D226" s="496" t="s">
        <v>1523</v>
      </c>
      <c r="E226" s="493">
        <f>VLOOKUP(D226,'[2]2.행정구역별 급수인구'!$C$7:$X$997,18,FALSE)</f>
        <v>196</v>
      </c>
      <c r="F226" s="493">
        <f>ROUND($F$224*E226/$E$224,0)</f>
        <v>64</v>
      </c>
      <c r="G226" s="480"/>
    </row>
    <row r="227" spans="1:7" ht="20.100000000000001" customHeight="1">
      <c r="A227" s="900"/>
      <c r="B227" s="900"/>
      <c r="C227" s="900"/>
      <c r="D227" s="496" t="s">
        <v>1524</v>
      </c>
      <c r="E227" s="493">
        <f>VLOOKUP(D227,'[2]2.행정구역별 급수인구'!$C$7:$X$997,18,FALSE)</f>
        <v>79</v>
      </c>
      <c r="F227" s="493">
        <f>F224-F225-F226</f>
        <v>25</v>
      </c>
      <c r="G227" s="480"/>
    </row>
    <row r="228" spans="1:7" ht="20.100000000000001" customHeight="1">
      <c r="A228" s="900"/>
      <c r="B228" s="900"/>
      <c r="C228" s="900" t="s">
        <v>2516</v>
      </c>
      <c r="D228" s="480" t="s">
        <v>2516</v>
      </c>
      <c r="E228" s="493">
        <f>SUM(E229:E230)</f>
        <v>226</v>
      </c>
      <c r="F228" s="493">
        <f>VLOOKUP(D228,'[4]급수구역별 용수량정리'!$D$218:$H$231,5,FALSE)</f>
        <v>50</v>
      </c>
      <c r="G228" s="480"/>
    </row>
    <row r="229" spans="1:7" ht="20.100000000000001" customHeight="1">
      <c r="A229" s="900"/>
      <c r="B229" s="900"/>
      <c r="C229" s="900"/>
      <c r="D229" s="496" t="s">
        <v>1525</v>
      </c>
      <c r="E229" s="493">
        <f>VLOOKUP(D229,'[2]2.행정구역별 급수인구'!$C$7:$X$997,18,FALSE)</f>
        <v>151</v>
      </c>
      <c r="F229" s="493">
        <f>ROUND($F$228*E229/$E$228,0)</f>
        <v>33</v>
      </c>
      <c r="G229" s="480"/>
    </row>
    <row r="230" spans="1:7" ht="20.100000000000001" customHeight="1">
      <c r="A230" s="900"/>
      <c r="B230" s="900"/>
      <c r="C230" s="900"/>
      <c r="D230" s="496" t="s">
        <v>1526</v>
      </c>
      <c r="E230" s="493">
        <f>VLOOKUP(D230,'[2]2.행정구역별 급수인구'!$C$7:$X$997,18,FALSE)</f>
        <v>75</v>
      </c>
      <c r="F230" s="493">
        <f>F228-F229</f>
        <v>17</v>
      </c>
      <c r="G230" s="480"/>
    </row>
    <row r="231" spans="1:7" ht="20.100000000000001" customHeight="1">
      <c r="A231" s="900"/>
      <c r="B231" s="900"/>
      <c r="C231" s="900" t="s">
        <v>2517</v>
      </c>
      <c r="D231" s="480" t="s">
        <v>2517</v>
      </c>
      <c r="E231" s="493">
        <f>SUM(E232)</f>
        <v>44</v>
      </c>
      <c r="F231" s="493">
        <f>VLOOKUP(D231,'[4]급수구역별 용수량정리'!$D$218:$H$231,5,FALSE)</f>
        <v>20</v>
      </c>
      <c r="G231" s="480"/>
    </row>
    <row r="232" spans="1:7" ht="20.100000000000001" customHeight="1">
      <c r="A232" s="900"/>
      <c r="B232" s="900"/>
      <c r="C232" s="900"/>
      <c r="D232" s="496" t="s">
        <v>1527</v>
      </c>
      <c r="E232" s="493">
        <f>VLOOKUP(D232,'[2]2.행정구역별 급수인구'!$C$7:$X$997,18,FALSE)</f>
        <v>44</v>
      </c>
      <c r="F232" s="493">
        <f>$F$231*E232/$E$231</f>
        <v>20</v>
      </c>
      <c r="G232" s="480"/>
    </row>
    <row r="233" spans="1:7" ht="20.100000000000001" customHeight="1">
      <c r="A233" s="900"/>
      <c r="B233" s="907" t="s">
        <v>1882</v>
      </c>
      <c r="C233" s="907"/>
      <c r="D233" s="907"/>
      <c r="E233" s="494"/>
      <c r="F233" s="494">
        <f>F234</f>
        <v>176</v>
      </c>
      <c r="G233" s="487"/>
    </row>
    <row r="234" spans="1:7" ht="20.100000000000001" customHeight="1">
      <c r="A234" s="900"/>
      <c r="B234" s="900" t="s">
        <v>2508</v>
      </c>
      <c r="C234" s="900" t="s">
        <v>2508</v>
      </c>
      <c r="D234" s="900"/>
      <c r="E234" s="493"/>
      <c r="F234" s="493">
        <f>F235+F239+F242</f>
        <v>176</v>
      </c>
      <c r="G234" s="480"/>
    </row>
    <row r="235" spans="1:7" ht="20.100000000000001" customHeight="1">
      <c r="A235" s="900"/>
      <c r="B235" s="900"/>
      <c r="C235" s="900" t="s">
        <v>2511</v>
      </c>
      <c r="D235" s="480" t="s">
        <v>2511</v>
      </c>
      <c r="E235" s="493">
        <f>SUM(E236:E238)</f>
        <v>280</v>
      </c>
      <c r="F235" s="493">
        <f>VLOOKUP(D235,'[4]급수구역별 용수량정리'!$D$218:$H$231,5,FALSE)-F212</f>
        <v>28</v>
      </c>
      <c r="G235" s="480"/>
    </row>
    <row r="236" spans="1:7" ht="20.100000000000001" customHeight="1">
      <c r="A236" s="900"/>
      <c r="B236" s="900"/>
      <c r="C236" s="900"/>
      <c r="D236" s="496" t="s">
        <v>1508</v>
      </c>
      <c r="E236" s="493">
        <f>VLOOKUP(D236,'[2]2.행정구역별 급수인구'!$C$7:$X$997,18,FALSE)</f>
        <v>104</v>
      </c>
      <c r="F236" s="493">
        <f>ROUND($F$235*E236/$E$235,0)</f>
        <v>10</v>
      </c>
      <c r="G236" s="480"/>
    </row>
    <row r="237" spans="1:7" ht="20.100000000000001" customHeight="1">
      <c r="A237" s="900"/>
      <c r="B237" s="900"/>
      <c r="C237" s="900"/>
      <c r="D237" s="496" t="s">
        <v>1509</v>
      </c>
      <c r="E237" s="493">
        <f>VLOOKUP(D237,'[2]2.행정구역별 급수인구'!$C$7:$X$997,18,FALSE)</f>
        <v>100</v>
      </c>
      <c r="F237" s="493">
        <f>ROUND($F$235*E237/$E$235,0)</f>
        <v>10</v>
      </c>
      <c r="G237" s="480"/>
    </row>
    <row r="238" spans="1:7" ht="20.100000000000001" customHeight="1">
      <c r="A238" s="900"/>
      <c r="B238" s="900"/>
      <c r="C238" s="900"/>
      <c r="D238" s="496" t="s">
        <v>1510</v>
      </c>
      <c r="E238" s="493">
        <f>VLOOKUP(D238,'[2]2.행정구역별 급수인구'!$C$7:$X$997,18,FALSE)</f>
        <v>76</v>
      </c>
      <c r="F238" s="493">
        <f>F235-F236-F237</f>
        <v>8</v>
      </c>
      <c r="G238" s="480"/>
    </row>
    <row r="239" spans="1:7" ht="20.100000000000001" customHeight="1">
      <c r="A239" s="900"/>
      <c r="B239" s="900"/>
      <c r="C239" s="900" t="s">
        <v>2512</v>
      </c>
      <c r="D239" s="480" t="s">
        <v>2512</v>
      </c>
      <c r="E239" s="493">
        <f>SUM(E240:E241)</f>
        <v>206</v>
      </c>
      <c r="F239" s="493">
        <f>VLOOKUP(D239,'[4]급수구역별 용수량정리'!$D$218:$H$231,5,FALSE)</f>
        <v>79</v>
      </c>
      <c r="G239" s="480"/>
    </row>
    <row r="240" spans="1:7" ht="20.100000000000001" customHeight="1">
      <c r="A240" s="900"/>
      <c r="B240" s="900"/>
      <c r="C240" s="900"/>
      <c r="D240" s="496" t="s">
        <v>1511</v>
      </c>
      <c r="E240" s="493">
        <f>VLOOKUP(D240,'[2]2.행정구역별 급수인구'!$C$7:$X$997,18,FALSE)</f>
        <v>71</v>
      </c>
      <c r="F240" s="493">
        <f>ROUND($F$239*E240/$E$239,0)</f>
        <v>27</v>
      </c>
      <c r="G240" s="480"/>
    </row>
    <row r="241" spans="1:7" ht="20.100000000000001" customHeight="1">
      <c r="A241" s="900"/>
      <c r="B241" s="900"/>
      <c r="C241" s="900"/>
      <c r="D241" s="496" t="s">
        <v>1512</v>
      </c>
      <c r="E241" s="493">
        <f>VLOOKUP(D241,'[2]2.행정구역별 급수인구'!$C$7:$X$997,18,FALSE)</f>
        <v>135</v>
      </c>
      <c r="F241" s="493">
        <f>F239-F240</f>
        <v>52</v>
      </c>
      <c r="G241" s="480"/>
    </row>
    <row r="242" spans="1:7" ht="20.100000000000001" customHeight="1">
      <c r="A242" s="900"/>
      <c r="B242" s="900"/>
      <c r="C242" s="900" t="s">
        <v>2518</v>
      </c>
      <c r="D242" s="480" t="s">
        <v>2518</v>
      </c>
      <c r="E242" s="493">
        <f>SUM(E243:E244)</f>
        <v>179</v>
      </c>
      <c r="F242" s="493">
        <f>VLOOKUP(D242,'[4]급수구역별 용수량정리'!$D$218:$H$231,5,FALSE)</f>
        <v>69</v>
      </c>
      <c r="G242" s="480"/>
    </row>
    <row r="243" spans="1:7" ht="20.100000000000001" customHeight="1">
      <c r="A243" s="900"/>
      <c r="B243" s="900"/>
      <c r="C243" s="900"/>
      <c r="D243" s="496" t="s">
        <v>1513</v>
      </c>
      <c r="E243" s="493">
        <f>VLOOKUP(D243,'[2]2.행정구역별 급수인구'!$C$7:$X$997,18,FALSE)</f>
        <v>70</v>
      </c>
      <c r="F243" s="493">
        <f>ROUND($F$242*E243/$E$242,0)</f>
        <v>27</v>
      </c>
      <c r="G243" s="480"/>
    </row>
    <row r="244" spans="1:7" ht="20.100000000000001" customHeight="1">
      <c r="A244" s="900"/>
      <c r="B244" s="900"/>
      <c r="C244" s="900"/>
      <c r="D244" s="496" t="s">
        <v>1514</v>
      </c>
      <c r="E244" s="493">
        <f>VLOOKUP(D244,'[2]2.행정구역별 급수인구'!$C$7:$X$997,18,FALSE)</f>
        <v>109</v>
      </c>
      <c r="F244" s="493">
        <f>F242-F243</f>
        <v>42</v>
      </c>
      <c r="G244" s="480"/>
    </row>
    <row r="245" spans="1:7" ht="20.100000000000001" customHeight="1">
      <c r="A245" s="906" t="s">
        <v>1769</v>
      </c>
      <c r="B245" s="906"/>
      <c r="C245" s="906"/>
      <c r="D245" s="906"/>
      <c r="E245" s="492"/>
      <c r="F245" s="492"/>
      <c r="G245" s="481"/>
    </row>
    <row r="246" spans="1:7" ht="20.100000000000001" customHeight="1">
      <c r="A246" s="900"/>
      <c r="B246" s="907" t="s">
        <v>1884</v>
      </c>
      <c r="C246" s="907"/>
      <c r="D246" s="907"/>
      <c r="E246" s="494"/>
      <c r="F246" s="494">
        <f>F247</f>
        <v>1158</v>
      </c>
      <c r="G246" s="487"/>
    </row>
    <row r="247" spans="1:7" ht="20.100000000000001" customHeight="1">
      <c r="A247" s="900"/>
      <c r="B247" s="900" t="s">
        <v>2519</v>
      </c>
      <c r="C247" s="900" t="s">
        <v>2519</v>
      </c>
      <c r="D247" s="900"/>
      <c r="E247" s="493"/>
      <c r="F247" s="493">
        <f>F248+F253+F258+F261+F263+F265+F267+F270</f>
        <v>1158</v>
      </c>
      <c r="G247" s="480"/>
    </row>
    <row r="248" spans="1:7" ht="20.100000000000001" customHeight="1">
      <c r="A248" s="900"/>
      <c r="B248" s="900"/>
      <c r="C248" s="900" t="s">
        <v>2520</v>
      </c>
      <c r="D248" s="480" t="s">
        <v>2520</v>
      </c>
      <c r="E248" s="493">
        <f>SUM(E249:E252)</f>
        <v>844</v>
      </c>
      <c r="F248" s="493">
        <f>VLOOKUP(D248,'[4]급수구역별 용수량정리'!$D$233:$H$255,5,FALSE)</f>
        <v>498</v>
      </c>
      <c r="G248" s="480"/>
    </row>
    <row r="249" spans="1:7" ht="20.100000000000001" customHeight="1">
      <c r="A249" s="900"/>
      <c r="B249" s="900"/>
      <c r="C249" s="900"/>
      <c r="D249" s="496" t="s">
        <v>1537</v>
      </c>
      <c r="E249" s="493">
        <f>VLOOKUP(D249,'[2]2.행정구역별 급수인구'!$C$7:$X$997,18,FALSE)</f>
        <v>114</v>
      </c>
      <c r="F249" s="493">
        <f>ROUND($F$248*E249/$E$248,0)</f>
        <v>67</v>
      </c>
      <c r="G249" s="480"/>
    </row>
    <row r="250" spans="1:7" ht="20.100000000000001" customHeight="1">
      <c r="A250" s="900"/>
      <c r="B250" s="900"/>
      <c r="C250" s="900"/>
      <c r="D250" s="496" t="s">
        <v>1538</v>
      </c>
      <c r="E250" s="493">
        <f>VLOOKUP(D250,'[2]2.행정구역별 급수인구'!$C$7:$X$997,18,FALSE)</f>
        <v>304</v>
      </c>
      <c r="F250" s="493">
        <f>ROUND($F$248*E250/$E$248,0)</f>
        <v>179</v>
      </c>
      <c r="G250" s="480"/>
    </row>
    <row r="251" spans="1:7" ht="20.100000000000001" customHeight="1">
      <c r="A251" s="900"/>
      <c r="B251" s="900"/>
      <c r="C251" s="900"/>
      <c r="D251" s="496" t="s">
        <v>1539</v>
      </c>
      <c r="E251" s="493">
        <f>VLOOKUP(D251,'[2]2.행정구역별 급수인구'!$C$7:$X$997,18,FALSE)</f>
        <v>280</v>
      </c>
      <c r="F251" s="493">
        <f>ROUND($F$248*E251/$E$248,0)</f>
        <v>165</v>
      </c>
      <c r="G251" s="480"/>
    </row>
    <row r="252" spans="1:7" ht="20.100000000000001" customHeight="1">
      <c r="A252" s="900"/>
      <c r="B252" s="900"/>
      <c r="C252" s="900"/>
      <c r="D252" s="496" t="s">
        <v>1540</v>
      </c>
      <c r="E252" s="493">
        <f>VLOOKUP(D252,'[2]2.행정구역별 급수인구'!$C$7:$X$997,18,FALSE)</f>
        <v>146</v>
      </c>
      <c r="F252" s="493">
        <f>F248-F249-F250-F251</f>
        <v>87</v>
      </c>
      <c r="G252" s="480"/>
    </row>
    <row r="253" spans="1:7" ht="20.100000000000001" customHeight="1">
      <c r="A253" s="900"/>
      <c r="B253" s="900"/>
      <c r="C253" s="900" t="s">
        <v>2584</v>
      </c>
      <c r="D253" s="480" t="s">
        <v>2584</v>
      </c>
      <c r="E253" s="493">
        <f>SUM(E254:E257)</f>
        <v>570</v>
      </c>
      <c r="F253" s="493">
        <f>VLOOKUP(D253,'[4]급수구역별 용수량정리'!$D$233:$H$255,5,FALSE)</f>
        <v>297</v>
      </c>
      <c r="G253" s="480"/>
    </row>
    <row r="254" spans="1:7" ht="20.100000000000001" customHeight="1">
      <c r="A254" s="900"/>
      <c r="B254" s="900"/>
      <c r="C254" s="900"/>
      <c r="D254" s="496" t="s">
        <v>1541</v>
      </c>
      <c r="E254" s="493">
        <f>VLOOKUP(D254,'[2]2.행정구역별 급수인구'!$C$7:$X$997,18,FALSE)</f>
        <v>92</v>
      </c>
      <c r="F254" s="493">
        <f>ROUND($F$253*E254/$E$253,0)</f>
        <v>48</v>
      </c>
      <c r="G254" s="480"/>
    </row>
    <row r="255" spans="1:7" ht="20.100000000000001" customHeight="1">
      <c r="A255" s="900"/>
      <c r="B255" s="900"/>
      <c r="C255" s="900"/>
      <c r="D255" s="496" t="s">
        <v>1542</v>
      </c>
      <c r="E255" s="493">
        <f>VLOOKUP(D255,'[2]2.행정구역별 급수인구'!$C$7:$X$997,18,FALSE)</f>
        <v>239</v>
      </c>
      <c r="F255" s="493">
        <f>ROUND($F$253*E255/$E$253,0)</f>
        <v>125</v>
      </c>
      <c r="G255" s="480"/>
    </row>
    <row r="256" spans="1:7" ht="20.100000000000001" customHeight="1">
      <c r="A256" s="900"/>
      <c r="B256" s="900"/>
      <c r="C256" s="900"/>
      <c r="D256" s="496" t="s">
        <v>1543</v>
      </c>
      <c r="E256" s="493">
        <f>VLOOKUP(D256,'[2]2.행정구역별 급수인구'!$C$7:$X$997,18,FALSE)</f>
        <v>91</v>
      </c>
      <c r="F256" s="493">
        <f>ROUND($F$253*E256/$E$253,0)</f>
        <v>47</v>
      </c>
      <c r="G256" s="480"/>
    </row>
    <row r="257" spans="1:7" ht="20.100000000000001" customHeight="1">
      <c r="A257" s="900"/>
      <c r="B257" s="900"/>
      <c r="C257" s="900"/>
      <c r="D257" s="496" t="s">
        <v>1544</v>
      </c>
      <c r="E257" s="493">
        <f>VLOOKUP(D257,'[2]2.행정구역별 급수인구'!$C$7:$X$997,18,FALSE)</f>
        <v>148</v>
      </c>
      <c r="F257" s="493">
        <f>F253-F254-F255-F256</f>
        <v>77</v>
      </c>
      <c r="G257" s="480"/>
    </row>
    <row r="258" spans="1:7" ht="20.100000000000001" customHeight="1">
      <c r="A258" s="900"/>
      <c r="B258" s="900"/>
      <c r="C258" s="900" t="s">
        <v>2521</v>
      </c>
      <c r="D258" s="480" t="s">
        <v>2521</v>
      </c>
      <c r="E258" s="493">
        <f>SUM(E259:E260)</f>
        <v>279</v>
      </c>
      <c r="F258" s="493">
        <f>VLOOKUP(D258,'[4]급수구역별 용수량정리'!$D$233:$H$255,5,FALSE)</f>
        <v>52</v>
      </c>
      <c r="G258" s="480"/>
    </row>
    <row r="259" spans="1:7" ht="20.100000000000001" customHeight="1">
      <c r="A259" s="900"/>
      <c r="B259" s="900"/>
      <c r="C259" s="900"/>
      <c r="D259" s="496" t="s">
        <v>1546</v>
      </c>
      <c r="E259" s="493">
        <f>VLOOKUP(D259,'[2]2.행정구역별 급수인구'!$C$7:$X$997,18,FALSE)</f>
        <v>54</v>
      </c>
      <c r="F259" s="493">
        <f>ROUND($F$258*E259/$E$258,0)</f>
        <v>10</v>
      </c>
      <c r="G259" s="480"/>
    </row>
    <row r="260" spans="1:7" ht="20.100000000000001" customHeight="1">
      <c r="A260" s="900"/>
      <c r="B260" s="900"/>
      <c r="C260" s="900"/>
      <c r="D260" s="496" t="s">
        <v>1547</v>
      </c>
      <c r="E260" s="493">
        <f>VLOOKUP(D260,'[2]2.행정구역별 급수인구'!$C$7:$X$997,18,FALSE)</f>
        <v>225</v>
      </c>
      <c r="F260" s="493">
        <f>F258-F259</f>
        <v>42</v>
      </c>
      <c r="G260" s="480"/>
    </row>
    <row r="261" spans="1:7" ht="20.100000000000001" customHeight="1">
      <c r="A261" s="900"/>
      <c r="B261" s="900"/>
      <c r="C261" s="900" t="s">
        <v>2522</v>
      </c>
      <c r="D261" s="480" t="s">
        <v>2522</v>
      </c>
      <c r="E261" s="493">
        <f>SUM(E262)</f>
        <v>132</v>
      </c>
      <c r="F261" s="493">
        <f>VLOOKUP(D261,'[4]급수구역별 용수량정리'!$D$233:$H$255,5,FALSE)</f>
        <v>31</v>
      </c>
      <c r="G261" s="480"/>
    </row>
    <row r="262" spans="1:7" ht="20.100000000000001" customHeight="1">
      <c r="A262" s="900"/>
      <c r="B262" s="900"/>
      <c r="C262" s="900"/>
      <c r="D262" s="496" t="s">
        <v>1552</v>
      </c>
      <c r="E262" s="493">
        <f>VLOOKUP(D262,'[2]2.행정구역별 급수인구'!$C$7:$X$997,18,FALSE)</f>
        <v>132</v>
      </c>
      <c r="F262" s="493">
        <f>ROUND($F$261*E262/$E$261,0)</f>
        <v>31</v>
      </c>
      <c r="G262" s="480"/>
    </row>
    <row r="263" spans="1:7" ht="20.100000000000001" customHeight="1">
      <c r="A263" s="900"/>
      <c r="B263" s="900"/>
      <c r="C263" s="900" t="s">
        <v>2585</v>
      </c>
      <c r="D263" s="480" t="s">
        <v>2585</v>
      </c>
      <c r="E263" s="493">
        <f>SUM(E264)</f>
        <v>154</v>
      </c>
      <c r="F263" s="493">
        <f>VLOOKUP(D263,'[4]급수구역별 용수량정리'!$D$233:$H$255,5,FALSE)</f>
        <v>84</v>
      </c>
      <c r="G263" s="480"/>
    </row>
    <row r="264" spans="1:7" ht="20.100000000000001" customHeight="1">
      <c r="A264" s="900"/>
      <c r="B264" s="900"/>
      <c r="C264" s="900"/>
      <c r="D264" s="496" t="s">
        <v>1557</v>
      </c>
      <c r="E264" s="493">
        <f>VLOOKUP(D264,'[2]2.행정구역별 급수인구'!$C$7:$X$997,18,FALSE)</f>
        <v>154</v>
      </c>
      <c r="F264" s="493">
        <f>ROUND($F$263*E264/$E$263,0)</f>
        <v>84</v>
      </c>
      <c r="G264" s="480"/>
    </row>
    <row r="265" spans="1:7" ht="20.100000000000001" customHeight="1">
      <c r="A265" s="900"/>
      <c r="B265" s="900"/>
      <c r="C265" s="900" t="s">
        <v>2523</v>
      </c>
      <c r="D265" s="480" t="s">
        <v>2523</v>
      </c>
      <c r="E265" s="493">
        <f>SUM(E266)</f>
        <v>0</v>
      </c>
      <c r="F265" s="493">
        <f>VLOOKUP(D265,'[4]급수구역별 용수량정리'!$D$233:$H$255,5,FALSE)</f>
        <v>0</v>
      </c>
      <c r="G265" s="480"/>
    </row>
    <row r="266" spans="1:7" ht="20.100000000000001" customHeight="1">
      <c r="A266" s="900"/>
      <c r="B266" s="900"/>
      <c r="C266" s="900"/>
      <c r="D266" s="496" t="s">
        <v>1566</v>
      </c>
      <c r="E266" s="493">
        <f>VLOOKUP(D266,'[2]2.행정구역별 급수인구'!$C$7:$X$997,18,FALSE)</f>
        <v>0</v>
      </c>
      <c r="F266" s="493">
        <v>0</v>
      </c>
      <c r="G266" s="480"/>
    </row>
    <row r="267" spans="1:7" ht="20.100000000000001" customHeight="1">
      <c r="A267" s="900"/>
      <c r="B267" s="900"/>
      <c r="C267" s="900" t="s">
        <v>2524</v>
      </c>
      <c r="D267" s="480" t="s">
        <v>2524</v>
      </c>
      <c r="E267" s="493">
        <f>SUM(E268:E269)</f>
        <v>151</v>
      </c>
      <c r="F267" s="493">
        <f>VLOOKUP(D267,'[4]급수구역별 용수량정리'!$D$233:$H$255,5,FALSE)</f>
        <v>121</v>
      </c>
      <c r="G267" s="480"/>
    </row>
    <row r="268" spans="1:7" ht="20.100000000000001" customHeight="1">
      <c r="A268" s="900"/>
      <c r="B268" s="900"/>
      <c r="C268" s="900"/>
      <c r="D268" s="496" t="s">
        <v>1567</v>
      </c>
      <c r="E268" s="493">
        <f>VLOOKUP(D268,'[2]2.행정구역별 급수인구'!$C$7:$X$997,18,FALSE)</f>
        <v>100</v>
      </c>
      <c r="F268" s="493">
        <f>ROUND($F$267*E268/$E$267,0)</f>
        <v>80</v>
      </c>
      <c r="G268" s="480"/>
    </row>
    <row r="269" spans="1:7" ht="20.100000000000001" customHeight="1">
      <c r="A269" s="900"/>
      <c r="B269" s="900"/>
      <c r="C269" s="900"/>
      <c r="D269" s="496" t="s">
        <v>1568</v>
      </c>
      <c r="E269" s="493">
        <f>VLOOKUP(D269,'[2]2.행정구역별 급수인구'!$C$7:$X$997,18,FALSE)</f>
        <v>51</v>
      </c>
      <c r="F269" s="493">
        <f>F267-F268</f>
        <v>41</v>
      </c>
      <c r="G269" s="480"/>
    </row>
    <row r="270" spans="1:7" ht="20.100000000000001" customHeight="1">
      <c r="A270" s="900"/>
      <c r="B270" s="900"/>
      <c r="C270" s="900" t="s">
        <v>2525</v>
      </c>
      <c r="D270" s="480" t="s">
        <v>2525</v>
      </c>
      <c r="E270" s="493">
        <f>SUM(E271)</f>
        <v>111</v>
      </c>
      <c r="F270" s="493">
        <f>VLOOKUP(D270,'[4]급수구역별 용수량정리'!$D$233:$H$255,5,FALSE)</f>
        <v>75</v>
      </c>
      <c r="G270" s="480"/>
    </row>
    <row r="271" spans="1:7" ht="20.100000000000001" customHeight="1">
      <c r="A271" s="900"/>
      <c r="B271" s="900"/>
      <c r="C271" s="900"/>
      <c r="D271" s="496" t="s">
        <v>1569</v>
      </c>
      <c r="E271" s="493">
        <f>VLOOKUP(D271,'[2]2.행정구역별 급수인구'!$C$7:$X$997,18,FALSE)</f>
        <v>111</v>
      </c>
      <c r="F271" s="493">
        <f>ROUND($F$270*E271/$E$270,0)</f>
        <v>75</v>
      </c>
      <c r="G271" s="480"/>
    </row>
    <row r="272" spans="1:7" ht="20.100000000000001" customHeight="1">
      <c r="A272" s="900"/>
      <c r="B272" s="907" t="s">
        <v>1572</v>
      </c>
      <c r="C272" s="907"/>
      <c r="D272" s="907"/>
      <c r="E272" s="494"/>
      <c r="F272" s="494">
        <f>F273+F281</f>
        <v>94</v>
      </c>
      <c r="G272" s="487"/>
    </row>
    <row r="273" spans="1:7" ht="20.100000000000001" customHeight="1">
      <c r="A273" s="900"/>
      <c r="B273" s="900" t="s">
        <v>2526</v>
      </c>
      <c r="C273" s="900" t="s">
        <v>2526</v>
      </c>
      <c r="D273" s="900"/>
      <c r="E273" s="493"/>
      <c r="F273" s="493">
        <f>F274+F277+F279</f>
        <v>82</v>
      </c>
      <c r="G273" s="480"/>
    </row>
    <row r="274" spans="1:7" ht="20.100000000000001" customHeight="1">
      <c r="A274" s="900"/>
      <c r="B274" s="900"/>
      <c r="C274" s="900" t="s">
        <v>2527</v>
      </c>
      <c r="D274" s="480" t="s">
        <v>2527</v>
      </c>
      <c r="E274" s="493">
        <f>SUM(E275:E276)</f>
        <v>503</v>
      </c>
      <c r="F274" s="493">
        <f>VLOOKUP(D274,'[4]급수구역별 용수량정리'!$D$258:$H$291,5,FALSE)</f>
        <v>62</v>
      </c>
      <c r="G274" s="480"/>
    </row>
    <row r="275" spans="1:7" ht="20.100000000000001" customHeight="1">
      <c r="A275" s="900"/>
      <c r="B275" s="900"/>
      <c r="C275" s="900"/>
      <c r="D275" s="496" t="s">
        <v>1573</v>
      </c>
      <c r="E275" s="493">
        <f>VLOOKUP(D275,'[2]2.행정구역별 급수인구'!$C$7:$X$997,18,FALSE)</f>
        <v>307</v>
      </c>
      <c r="F275" s="493">
        <f>ROUND($F$274*E275/$E$274,0)</f>
        <v>38</v>
      </c>
      <c r="G275" s="480"/>
    </row>
    <row r="276" spans="1:7" ht="20.100000000000001" customHeight="1">
      <c r="A276" s="900"/>
      <c r="B276" s="900"/>
      <c r="C276" s="900"/>
      <c r="D276" s="496" t="s">
        <v>1574</v>
      </c>
      <c r="E276" s="493">
        <f>VLOOKUP(D276,'[2]2.행정구역별 급수인구'!$C$7:$X$997,18,FALSE)</f>
        <v>196</v>
      </c>
      <c r="F276" s="493">
        <f>F274-F275</f>
        <v>24</v>
      </c>
      <c r="G276" s="480"/>
    </row>
    <row r="277" spans="1:7" ht="20.100000000000001" customHeight="1">
      <c r="A277" s="900"/>
      <c r="B277" s="900"/>
      <c r="C277" s="900" t="s">
        <v>2528</v>
      </c>
      <c r="D277" s="480" t="s">
        <v>2528</v>
      </c>
      <c r="E277" s="493">
        <f>SUM(E278)</f>
        <v>108</v>
      </c>
      <c r="F277" s="493">
        <f>VLOOKUP(D277,'[4]급수구역별 용수량정리'!$D$258:$H$291,5,FALSE)</f>
        <v>4</v>
      </c>
      <c r="G277" s="480"/>
    </row>
    <row r="278" spans="1:7" ht="20.100000000000001" customHeight="1">
      <c r="A278" s="900"/>
      <c r="B278" s="900"/>
      <c r="C278" s="900"/>
      <c r="D278" s="496" t="s">
        <v>1579</v>
      </c>
      <c r="E278" s="493">
        <f>VLOOKUP(D278,'[2]2.행정구역별 급수인구'!$C$7:$X$997,18,FALSE)</f>
        <v>108</v>
      </c>
      <c r="F278" s="493">
        <f>ROUND($F$277*E278/$E$277,0)</f>
        <v>4</v>
      </c>
      <c r="G278" s="480"/>
    </row>
    <row r="279" spans="1:7" ht="20.100000000000001" customHeight="1">
      <c r="A279" s="900"/>
      <c r="B279" s="900"/>
      <c r="C279" s="900" t="s">
        <v>2529</v>
      </c>
      <c r="D279" s="480" t="s">
        <v>2529</v>
      </c>
      <c r="E279" s="493">
        <f>SUM(E280)</f>
        <v>88</v>
      </c>
      <c r="F279" s="493">
        <f>VLOOKUP(D279,'[4]급수구역별 용수량정리'!$D$258:$H$291,5,FALSE)</f>
        <v>16</v>
      </c>
      <c r="G279" s="480"/>
    </row>
    <row r="280" spans="1:7" ht="20.100000000000001" customHeight="1">
      <c r="A280" s="900"/>
      <c r="B280" s="900"/>
      <c r="C280" s="900"/>
      <c r="D280" s="496" t="s">
        <v>1599</v>
      </c>
      <c r="E280" s="493">
        <f>VLOOKUP(D280,'[2]2.행정구역별 급수인구'!$C$7:$X$997,18,FALSE)</f>
        <v>88</v>
      </c>
      <c r="F280" s="493">
        <f>ROUND($F$279*E280/$E$279,0)</f>
        <v>16</v>
      </c>
      <c r="G280" s="480"/>
    </row>
    <row r="281" spans="1:7" ht="20.100000000000001" customHeight="1">
      <c r="A281" s="900"/>
      <c r="B281" s="900" t="s">
        <v>1457</v>
      </c>
      <c r="C281" s="900" t="s">
        <v>2530</v>
      </c>
      <c r="D281" s="900"/>
      <c r="E281" s="493"/>
      <c r="F281" s="493">
        <f>F282</f>
        <v>12</v>
      </c>
      <c r="G281" s="480"/>
    </row>
    <row r="282" spans="1:7" ht="20.100000000000001" customHeight="1">
      <c r="A282" s="900"/>
      <c r="B282" s="900"/>
      <c r="C282" s="900" t="s">
        <v>2531</v>
      </c>
      <c r="D282" s="480" t="s">
        <v>2531</v>
      </c>
      <c r="E282" s="493">
        <f>SUM(E283)</f>
        <v>92</v>
      </c>
      <c r="F282" s="493">
        <f>VLOOKUP(D282,'[4]급수구역별 용수량정리'!$D$258:$H$291,5,FALSE)</f>
        <v>12</v>
      </c>
      <c r="G282" s="480"/>
    </row>
    <row r="283" spans="1:7" ht="20.100000000000001" customHeight="1">
      <c r="A283" s="900"/>
      <c r="B283" s="900"/>
      <c r="C283" s="900"/>
      <c r="D283" s="496" t="s">
        <v>1618</v>
      </c>
      <c r="E283" s="493">
        <f>VLOOKUP(D283,'[2]2.행정구역별 급수인구'!$C$7:$X$997,18,FALSE)</f>
        <v>92</v>
      </c>
      <c r="F283" s="493">
        <f>ROUND($F$282*E283/$E$282,0)</f>
        <v>12</v>
      </c>
      <c r="G283" s="480"/>
    </row>
    <row r="284" spans="1:7" ht="20.100000000000001" customHeight="1">
      <c r="A284" s="906" t="s">
        <v>1768</v>
      </c>
      <c r="B284" s="906"/>
      <c r="C284" s="906"/>
      <c r="D284" s="906"/>
      <c r="E284" s="492"/>
      <c r="F284" s="492">
        <f>F285+F307+F321</f>
        <v>724</v>
      </c>
      <c r="G284" s="481" t="b">
        <f>F284='[4]급수구역별 용수량정리'!$H$295</f>
        <v>1</v>
      </c>
    </row>
    <row r="285" spans="1:7" ht="20.100000000000001" customHeight="1">
      <c r="A285" s="900"/>
      <c r="B285" s="900" t="s">
        <v>2532</v>
      </c>
      <c r="C285" s="900" t="s">
        <v>2532</v>
      </c>
      <c r="D285" s="900"/>
      <c r="E285" s="493"/>
      <c r="F285" s="493">
        <f>F286+F290+F295+F299+F301+F304</f>
        <v>462</v>
      </c>
      <c r="G285" s="480"/>
    </row>
    <row r="286" spans="1:7" ht="20.100000000000001" customHeight="1">
      <c r="A286" s="900"/>
      <c r="B286" s="900"/>
      <c r="C286" s="900" t="s">
        <v>2533</v>
      </c>
      <c r="D286" s="480" t="s">
        <v>2533</v>
      </c>
      <c r="E286" s="493">
        <f>SUM(E287:E289)</f>
        <v>445</v>
      </c>
      <c r="F286" s="493">
        <f>VLOOKUP(D286,'[4]급수구역별 용수량정리'!$D$295:$H$329,5,FALSE)</f>
        <v>160</v>
      </c>
      <c r="G286" s="480"/>
    </row>
    <row r="287" spans="1:7" ht="20.100000000000001" customHeight="1">
      <c r="A287" s="900"/>
      <c r="B287" s="900"/>
      <c r="C287" s="900"/>
      <c r="D287" s="496" t="s">
        <v>1467</v>
      </c>
      <c r="E287" s="493">
        <f>VLOOKUP(D287,'[2]2.행정구역별 급수인구'!$C$7:$X$997,18,FALSE)</f>
        <v>178</v>
      </c>
      <c r="F287" s="493">
        <f>ROUND($F$286*E287/$E$286,0)</f>
        <v>64</v>
      </c>
      <c r="G287" s="480"/>
    </row>
    <row r="288" spans="1:7" ht="20.100000000000001" customHeight="1">
      <c r="A288" s="900"/>
      <c r="B288" s="900"/>
      <c r="C288" s="900"/>
      <c r="D288" s="496" t="s">
        <v>1468</v>
      </c>
      <c r="E288" s="493">
        <f>VLOOKUP(D288,'[2]2.행정구역별 급수인구'!$C$7:$X$997,18,FALSE)</f>
        <v>169</v>
      </c>
      <c r="F288" s="493">
        <f>ROUND($F$286*E288/$E$286,0)</f>
        <v>61</v>
      </c>
      <c r="G288" s="480"/>
    </row>
    <row r="289" spans="1:7" ht="20.100000000000001" customHeight="1">
      <c r="A289" s="900"/>
      <c r="B289" s="900"/>
      <c r="C289" s="900"/>
      <c r="D289" s="496" t="s">
        <v>1469</v>
      </c>
      <c r="E289" s="493">
        <f>VLOOKUP(D289,'[2]2.행정구역별 급수인구'!$C$7:$X$997,18,FALSE)</f>
        <v>98</v>
      </c>
      <c r="F289" s="493">
        <f>F286-F287-F288</f>
        <v>35</v>
      </c>
      <c r="G289" s="480"/>
    </row>
    <row r="290" spans="1:7" ht="20.100000000000001" customHeight="1">
      <c r="A290" s="900"/>
      <c r="B290" s="900"/>
      <c r="C290" s="900" t="s">
        <v>2534</v>
      </c>
      <c r="D290" s="480" t="s">
        <v>2534</v>
      </c>
      <c r="E290" s="493">
        <f>SUM(E291:E294)</f>
        <v>387</v>
      </c>
      <c r="F290" s="493">
        <f>VLOOKUP(D290,'[4]급수구역별 용수량정리'!$D$295:$H$329,5,FALSE)</f>
        <v>90</v>
      </c>
      <c r="G290" s="480"/>
    </row>
    <row r="291" spans="1:7" ht="20.100000000000001" customHeight="1">
      <c r="A291" s="900"/>
      <c r="B291" s="900"/>
      <c r="C291" s="900"/>
      <c r="D291" s="496" t="s">
        <v>1470</v>
      </c>
      <c r="E291" s="493">
        <f>VLOOKUP(D291,'[2]2.행정구역별 급수인구'!$C$7:$X$997,18,FALSE)</f>
        <v>112</v>
      </c>
      <c r="F291" s="493">
        <f>ROUND($F$290*E291/$E$290,0)</f>
        <v>26</v>
      </c>
      <c r="G291" s="480"/>
    </row>
    <row r="292" spans="1:7" ht="20.100000000000001" customHeight="1">
      <c r="A292" s="900"/>
      <c r="B292" s="900"/>
      <c r="C292" s="900"/>
      <c r="D292" s="496" t="s">
        <v>1471</v>
      </c>
      <c r="E292" s="493">
        <f>VLOOKUP(D292,'[2]2.행정구역별 급수인구'!$C$7:$X$997,18,FALSE)</f>
        <v>109</v>
      </c>
      <c r="F292" s="493">
        <f>ROUND($F$290*E292/$E$290,0)</f>
        <v>25</v>
      </c>
      <c r="G292" s="480"/>
    </row>
    <row r="293" spans="1:7" ht="20.100000000000001" customHeight="1">
      <c r="A293" s="900"/>
      <c r="B293" s="900"/>
      <c r="C293" s="900"/>
      <c r="D293" s="496" t="s">
        <v>1472</v>
      </c>
      <c r="E293" s="493">
        <f>VLOOKUP(D293,'[2]2.행정구역별 급수인구'!$C$7:$X$997,18,FALSE)</f>
        <v>116</v>
      </c>
      <c r="F293" s="493">
        <f>ROUND($F$290*E293/$E$290,0)</f>
        <v>27</v>
      </c>
      <c r="G293" s="480"/>
    </row>
    <row r="294" spans="1:7" ht="20.100000000000001" customHeight="1">
      <c r="A294" s="900"/>
      <c r="B294" s="900"/>
      <c r="C294" s="900"/>
      <c r="D294" s="496" t="s">
        <v>1473</v>
      </c>
      <c r="E294" s="493">
        <f>VLOOKUP(D294,'[2]2.행정구역별 급수인구'!$C$7:$X$997,18,FALSE)</f>
        <v>50</v>
      </c>
      <c r="F294" s="493">
        <f>F290-F291-F292-F293</f>
        <v>12</v>
      </c>
      <c r="G294" s="480"/>
    </row>
    <row r="295" spans="1:7" ht="20.100000000000001" customHeight="1">
      <c r="A295" s="900"/>
      <c r="B295" s="900"/>
      <c r="C295" s="900" t="s">
        <v>2535</v>
      </c>
      <c r="D295" s="480" t="s">
        <v>2535</v>
      </c>
      <c r="E295" s="493">
        <f>SUM(E296:E298)</f>
        <v>384</v>
      </c>
      <c r="F295" s="493">
        <f>VLOOKUP(D295,'[4]급수구역별 용수량정리'!$D$295:$H$329,5,FALSE)</f>
        <v>64</v>
      </c>
      <c r="G295" s="480"/>
    </row>
    <row r="296" spans="1:7" ht="20.100000000000001" customHeight="1">
      <c r="A296" s="900"/>
      <c r="B296" s="900"/>
      <c r="C296" s="900"/>
      <c r="D296" s="496" t="s">
        <v>1474</v>
      </c>
      <c r="E296" s="493">
        <f>VLOOKUP(D296,'[2]2.행정구역별 급수인구'!$C$7:$X$997,18,FALSE)</f>
        <v>182</v>
      </c>
      <c r="F296" s="493">
        <f>ROUND($F$295*E296/$E$295,0)</f>
        <v>30</v>
      </c>
      <c r="G296" s="480"/>
    </row>
    <row r="297" spans="1:7" ht="20.100000000000001" customHeight="1">
      <c r="A297" s="900"/>
      <c r="B297" s="900"/>
      <c r="C297" s="900"/>
      <c r="D297" s="496" t="s">
        <v>1475</v>
      </c>
      <c r="E297" s="493">
        <f>VLOOKUP(D297,'[2]2.행정구역별 급수인구'!$C$7:$X$997,18,FALSE)</f>
        <v>122</v>
      </c>
      <c r="F297" s="493">
        <f>ROUND($F$295*E297/$E$295,0)</f>
        <v>20</v>
      </c>
      <c r="G297" s="480"/>
    </row>
    <row r="298" spans="1:7" ht="20.100000000000001" customHeight="1">
      <c r="A298" s="900"/>
      <c r="B298" s="900"/>
      <c r="C298" s="900"/>
      <c r="D298" s="496" t="s">
        <v>1476</v>
      </c>
      <c r="E298" s="493">
        <f>VLOOKUP(D298,'[2]2.행정구역별 급수인구'!$C$7:$X$997,18,FALSE)</f>
        <v>80</v>
      </c>
      <c r="F298" s="493">
        <f>F295-F296-F297</f>
        <v>14</v>
      </c>
      <c r="G298" s="480"/>
    </row>
    <row r="299" spans="1:7" ht="20.100000000000001" customHeight="1">
      <c r="A299" s="900"/>
      <c r="B299" s="900"/>
      <c r="C299" s="900" t="s">
        <v>2536</v>
      </c>
      <c r="D299" s="480" t="s">
        <v>2536</v>
      </c>
      <c r="E299" s="493">
        <f>SUM(E300)</f>
        <v>132</v>
      </c>
      <c r="F299" s="493">
        <f>VLOOKUP(D299,'[4]급수구역별 용수량정리'!$D$295:$H$329,5,FALSE)</f>
        <v>24</v>
      </c>
      <c r="G299" s="480"/>
    </row>
    <row r="300" spans="1:7" ht="20.100000000000001" customHeight="1">
      <c r="A300" s="900"/>
      <c r="B300" s="900"/>
      <c r="C300" s="900"/>
      <c r="D300" s="496" t="s">
        <v>1477</v>
      </c>
      <c r="E300" s="493">
        <f>VLOOKUP(D300,'[2]2.행정구역별 급수인구'!$C$7:$X$997,18,FALSE)</f>
        <v>132</v>
      </c>
      <c r="F300" s="493">
        <f>ROUND($F$299*E300/$E$299,0)</f>
        <v>24</v>
      </c>
      <c r="G300" s="480"/>
    </row>
    <row r="301" spans="1:7" ht="20.100000000000001" customHeight="1">
      <c r="A301" s="900"/>
      <c r="B301" s="900"/>
      <c r="C301" s="900" t="s">
        <v>2537</v>
      </c>
      <c r="D301" s="480" t="s">
        <v>2537</v>
      </c>
      <c r="E301" s="493">
        <f>SUM(E302:E303)</f>
        <v>246</v>
      </c>
      <c r="F301" s="493">
        <f>VLOOKUP(D301,'[4]급수구역별 용수량정리'!$D$295:$H$329,5,FALSE)</f>
        <v>64</v>
      </c>
      <c r="G301" s="480"/>
    </row>
    <row r="302" spans="1:7" ht="20.100000000000001" customHeight="1">
      <c r="A302" s="900"/>
      <c r="B302" s="900"/>
      <c r="C302" s="900"/>
      <c r="D302" s="496" t="s">
        <v>1478</v>
      </c>
      <c r="E302" s="493">
        <f>VLOOKUP(D302,'[2]2.행정구역별 급수인구'!$C$7:$X$997,18,FALSE)</f>
        <v>111</v>
      </c>
      <c r="F302" s="493">
        <f>ROUND($F$301*E302/$E$301,0)</f>
        <v>29</v>
      </c>
      <c r="G302" s="480"/>
    </row>
    <row r="303" spans="1:7" ht="20.100000000000001" customHeight="1">
      <c r="A303" s="900"/>
      <c r="B303" s="900"/>
      <c r="C303" s="900"/>
      <c r="D303" s="496" t="s">
        <v>1479</v>
      </c>
      <c r="E303" s="493">
        <f>VLOOKUP(D303,'[2]2.행정구역별 급수인구'!$C$7:$X$997,18,FALSE)</f>
        <v>135</v>
      </c>
      <c r="F303" s="493">
        <f>F301-F302</f>
        <v>35</v>
      </c>
      <c r="G303" s="480"/>
    </row>
    <row r="304" spans="1:7" ht="20.100000000000001" customHeight="1">
      <c r="A304" s="900"/>
      <c r="B304" s="900"/>
      <c r="C304" s="900" t="s">
        <v>2538</v>
      </c>
      <c r="D304" s="480" t="s">
        <v>2538</v>
      </c>
      <c r="E304" s="493">
        <f>SUM(E305:E306)</f>
        <v>195</v>
      </c>
      <c r="F304" s="493">
        <f>VLOOKUP(D304,'[4]급수구역별 용수량정리'!$D$295:$H$329,5,FALSE)</f>
        <v>60</v>
      </c>
      <c r="G304" s="480"/>
    </row>
    <row r="305" spans="1:7" ht="20.100000000000001" customHeight="1">
      <c r="A305" s="900"/>
      <c r="B305" s="900"/>
      <c r="C305" s="900"/>
      <c r="D305" s="496" t="s">
        <v>1480</v>
      </c>
      <c r="E305" s="493">
        <f>VLOOKUP(D305,'[2]2.행정구역별 급수인구'!$C$7:$X$997,18,FALSE)</f>
        <v>104</v>
      </c>
      <c r="F305" s="493">
        <f>ROUND($F$304*E305/$E$304,0)</f>
        <v>32</v>
      </c>
      <c r="G305" s="480"/>
    </row>
    <row r="306" spans="1:7" ht="20.100000000000001" customHeight="1">
      <c r="A306" s="900"/>
      <c r="B306" s="900"/>
      <c r="C306" s="900"/>
      <c r="D306" s="496" t="s">
        <v>1481</v>
      </c>
      <c r="E306" s="493">
        <f>VLOOKUP(D306,'[2]2.행정구역별 급수인구'!$C$7:$X$997,18,FALSE)</f>
        <v>91</v>
      </c>
      <c r="F306" s="493">
        <f>F304-F305</f>
        <v>28</v>
      </c>
      <c r="G306" s="480"/>
    </row>
    <row r="307" spans="1:7" ht="20.100000000000001" customHeight="1">
      <c r="A307" s="900"/>
      <c r="B307" s="900" t="s">
        <v>2539</v>
      </c>
      <c r="C307" s="900" t="s">
        <v>2539</v>
      </c>
      <c r="D307" s="900"/>
      <c r="E307" s="493"/>
      <c r="F307" s="493">
        <f>F308+F312+F317+F319</f>
        <v>187</v>
      </c>
      <c r="G307" s="480"/>
    </row>
    <row r="308" spans="1:7" ht="20.100000000000001" customHeight="1">
      <c r="A308" s="900"/>
      <c r="B308" s="900"/>
      <c r="C308" s="900" t="s">
        <v>2540</v>
      </c>
      <c r="D308" s="480" t="s">
        <v>2540</v>
      </c>
      <c r="E308" s="493">
        <f>SUM(E309:E311)</f>
        <v>319</v>
      </c>
      <c r="F308" s="493">
        <f>VLOOKUP(D308,'[4]급수구역별 용수량정리'!$D$295:$H$329,5,FALSE)</f>
        <v>21</v>
      </c>
      <c r="G308" s="480"/>
    </row>
    <row r="309" spans="1:7" ht="20.100000000000001" customHeight="1">
      <c r="A309" s="900"/>
      <c r="B309" s="900"/>
      <c r="C309" s="900"/>
      <c r="D309" s="496" t="s">
        <v>1482</v>
      </c>
      <c r="E309" s="493">
        <f>VLOOKUP(D309,'[2]2.행정구역별 급수인구'!$C$7:$X$997,18,FALSE)</f>
        <v>150</v>
      </c>
      <c r="F309" s="493">
        <f>ROUND($F$308*E309/$E$308,0)</f>
        <v>10</v>
      </c>
      <c r="G309" s="480"/>
    </row>
    <row r="310" spans="1:7" ht="20.100000000000001" customHeight="1">
      <c r="A310" s="900"/>
      <c r="B310" s="900"/>
      <c r="C310" s="900"/>
      <c r="D310" s="496" t="s">
        <v>1483</v>
      </c>
      <c r="E310" s="493">
        <f>VLOOKUP(D310,'[2]2.행정구역별 급수인구'!$C$7:$X$997,18,FALSE)</f>
        <v>68</v>
      </c>
      <c r="F310" s="493">
        <f>ROUND($F$308*E310/$E$308,0)</f>
        <v>4</v>
      </c>
      <c r="G310" s="480"/>
    </row>
    <row r="311" spans="1:7" ht="20.100000000000001" customHeight="1">
      <c r="A311" s="900"/>
      <c r="B311" s="900"/>
      <c r="C311" s="900"/>
      <c r="D311" s="496" t="s">
        <v>1484</v>
      </c>
      <c r="E311" s="493">
        <f>VLOOKUP(D311,'[2]2.행정구역별 급수인구'!$C$7:$X$997,18,FALSE)</f>
        <v>101</v>
      </c>
      <c r="F311" s="493">
        <f>F308-F309-F310</f>
        <v>7</v>
      </c>
      <c r="G311" s="480"/>
    </row>
    <row r="312" spans="1:7" ht="20.100000000000001" customHeight="1">
      <c r="A312" s="900"/>
      <c r="B312" s="900"/>
      <c r="C312" s="900" t="s">
        <v>2541</v>
      </c>
      <c r="D312" s="480" t="s">
        <v>2541</v>
      </c>
      <c r="E312" s="493">
        <f>SUM(E313:E316)</f>
        <v>356</v>
      </c>
      <c r="F312" s="493">
        <f>VLOOKUP(D312,'[4]급수구역별 용수량정리'!$D$295:$H$329,5,FALSE)</f>
        <v>86</v>
      </c>
      <c r="G312" s="480"/>
    </row>
    <row r="313" spans="1:7" ht="20.100000000000001" customHeight="1">
      <c r="A313" s="900"/>
      <c r="B313" s="900"/>
      <c r="C313" s="900"/>
      <c r="D313" s="496" t="s">
        <v>1485</v>
      </c>
      <c r="E313" s="493">
        <f>VLOOKUP(D313,'[2]2.행정구역별 급수인구'!$C$7:$X$997,18,FALSE)</f>
        <v>85</v>
      </c>
      <c r="F313" s="493">
        <f>ROUND($F$312*E313/$E$312,0)</f>
        <v>21</v>
      </c>
      <c r="G313" s="480"/>
    </row>
    <row r="314" spans="1:7" ht="20.100000000000001" customHeight="1">
      <c r="A314" s="900"/>
      <c r="B314" s="900"/>
      <c r="C314" s="900"/>
      <c r="D314" s="496" t="s">
        <v>1486</v>
      </c>
      <c r="E314" s="493">
        <f>VLOOKUP(D314,'[2]2.행정구역별 급수인구'!$C$7:$X$997,18,FALSE)</f>
        <v>68</v>
      </c>
      <c r="F314" s="493">
        <f>ROUND($F$312*E314/$E$312,0)</f>
        <v>16</v>
      </c>
      <c r="G314" s="480"/>
    </row>
    <row r="315" spans="1:7" ht="20.100000000000001" customHeight="1">
      <c r="A315" s="900"/>
      <c r="B315" s="900"/>
      <c r="C315" s="900"/>
      <c r="D315" s="496" t="s">
        <v>1487</v>
      </c>
      <c r="E315" s="493">
        <f>VLOOKUP(D315,'[2]2.행정구역별 급수인구'!$C$7:$X$997,18,FALSE)</f>
        <v>114</v>
      </c>
      <c r="F315" s="493">
        <f>ROUND($F$312*E315/$E$312,0)</f>
        <v>28</v>
      </c>
      <c r="G315" s="480"/>
    </row>
    <row r="316" spans="1:7" ht="20.100000000000001" customHeight="1">
      <c r="A316" s="900"/>
      <c r="B316" s="900"/>
      <c r="C316" s="900"/>
      <c r="D316" s="496" t="s">
        <v>1488</v>
      </c>
      <c r="E316" s="493">
        <f>VLOOKUP(D316,'[2]2.행정구역별 급수인구'!$C$7:$X$997,18,FALSE)</f>
        <v>89</v>
      </c>
      <c r="F316" s="493">
        <f>F312-F313-F314-F315</f>
        <v>21</v>
      </c>
      <c r="G316" s="480"/>
    </row>
    <row r="317" spans="1:7" ht="20.100000000000001" customHeight="1">
      <c r="A317" s="900"/>
      <c r="B317" s="900"/>
      <c r="C317" s="900" t="s">
        <v>2542</v>
      </c>
      <c r="D317" s="480" t="s">
        <v>2542</v>
      </c>
      <c r="E317" s="493">
        <f>SUM(E318)</f>
        <v>254</v>
      </c>
      <c r="F317" s="493">
        <f>VLOOKUP(D317,'[4]급수구역별 용수량정리'!$D$295:$H$329,5,FALSE)</f>
        <v>75</v>
      </c>
      <c r="G317" s="480"/>
    </row>
    <row r="318" spans="1:7" ht="20.100000000000001" customHeight="1">
      <c r="A318" s="900"/>
      <c r="B318" s="900"/>
      <c r="C318" s="900"/>
      <c r="D318" s="496" t="s">
        <v>1489</v>
      </c>
      <c r="E318" s="493">
        <f>VLOOKUP(D318,'[2]2.행정구역별 급수인구'!$C$7:$X$997,18,FALSE)</f>
        <v>254</v>
      </c>
      <c r="F318" s="493">
        <f>ROUND($F$317*E318/$E$317,0)</f>
        <v>75</v>
      </c>
      <c r="G318" s="480"/>
    </row>
    <row r="319" spans="1:7" ht="20.100000000000001" customHeight="1">
      <c r="A319" s="900"/>
      <c r="B319" s="900"/>
      <c r="C319" s="900" t="s">
        <v>2543</v>
      </c>
      <c r="D319" s="480" t="s">
        <v>2543</v>
      </c>
      <c r="E319" s="493">
        <f>SUM(E320)</f>
        <v>53</v>
      </c>
      <c r="F319" s="493">
        <f>VLOOKUP(D319,'[4]급수구역별 용수량정리'!$D$295:$H$329,5,FALSE)</f>
        <v>5</v>
      </c>
      <c r="G319" s="480"/>
    </row>
    <row r="320" spans="1:7" ht="20.100000000000001" customHeight="1">
      <c r="A320" s="900"/>
      <c r="B320" s="900"/>
      <c r="C320" s="900"/>
      <c r="D320" s="496" t="s">
        <v>1490</v>
      </c>
      <c r="E320" s="493">
        <f>VLOOKUP(D320,'[2]2.행정구역별 급수인구'!$C$7:$X$997,18,FALSE)</f>
        <v>53</v>
      </c>
      <c r="F320" s="493">
        <f>ROUND($F$319*E320/$E$319,0)</f>
        <v>5</v>
      </c>
      <c r="G320" s="480"/>
    </row>
    <row r="321" spans="1:7" ht="20.100000000000001" customHeight="1">
      <c r="A321" s="900"/>
      <c r="B321" s="900" t="s">
        <v>2544</v>
      </c>
      <c r="C321" s="900" t="s">
        <v>2544</v>
      </c>
      <c r="D321" s="900"/>
      <c r="E321" s="493"/>
      <c r="F321" s="493">
        <f>F322</f>
        <v>75</v>
      </c>
      <c r="G321" s="480"/>
    </row>
    <row r="322" spans="1:7" ht="20.100000000000001" customHeight="1">
      <c r="A322" s="900"/>
      <c r="B322" s="900"/>
      <c r="C322" s="900" t="s">
        <v>2545</v>
      </c>
      <c r="D322" s="480" t="s">
        <v>2545</v>
      </c>
      <c r="E322" s="493">
        <f>SUM(E323:E325)</f>
        <v>365</v>
      </c>
      <c r="F322" s="493">
        <f>VLOOKUP(D322,'[4]급수구역별 용수량정리'!$D$295:$H$329,5,FALSE)</f>
        <v>75</v>
      </c>
      <c r="G322" s="480"/>
    </row>
    <row r="323" spans="1:7" ht="20.100000000000001" customHeight="1">
      <c r="A323" s="900"/>
      <c r="B323" s="900"/>
      <c r="C323" s="900"/>
      <c r="D323" s="496" t="s">
        <v>1492</v>
      </c>
      <c r="E323" s="493">
        <f>VLOOKUP(D323,'[2]2.행정구역별 급수인구'!$C$7:$X$997,18,FALSE)</f>
        <v>186</v>
      </c>
      <c r="F323" s="493">
        <f>ROUND($F$322*E323/$E$322,0)</f>
        <v>38</v>
      </c>
      <c r="G323" s="480"/>
    </row>
    <row r="324" spans="1:7" ht="20.100000000000001" customHeight="1">
      <c r="A324" s="900"/>
      <c r="B324" s="900"/>
      <c r="C324" s="900"/>
      <c r="D324" s="496" t="s">
        <v>1491</v>
      </c>
      <c r="E324" s="493">
        <f>VLOOKUP(D324,'[2]2.행정구역별 급수인구'!$C$7:$X$997,18,FALSE)</f>
        <v>98</v>
      </c>
      <c r="F324" s="493">
        <f>ROUND($F$322*E324/$E$322,0)</f>
        <v>20</v>
      </c>
      <c r="G324" s="480"/>
    </row>
    <row r="325" spans="1:7" ht="20.100000000000001" customHeight="1">
      <c r="A325" s="900"/>
      <c r="B325" s="900"/>
      <c r="C325" s="900"/>
      <c r="D325" s="496" t="s">
        <v>1493</v>
      </c>
      <c r="E325" s="493">
        <f>VLOOKUP(D325,'[2]2.행정구역별 급수인구'!$C$7:$X$997,18,FALSE)</f>
        <v>81</v>
      </c>
      <c r="F325" s="493">
        <f>F322-F323-F324</f>
        <v>17</v>
      </c>
      <c r="G325" s="480"/>
    </row>
    <row r="326" spans="1:7" ht="20.100000000000001" customHeight="1">
      <c r="A326" s="906" t="s">
        <v>1767</v>
      </c>
      <c r="B326" s="906"/>
      <c r="C326" s="906"/>
      <c r="D326" s="906"/>
      <c r="E326" s="492"/>
      <c r="F326" s="492">
        <f>F327+F369</f>
        <v>4473</v>
      </c>
      <c r="G326" s="481" t="b">
        <f>F326='[4]급수구역별 용수량정리'!$H$330</f>
        <v>1</v>
      </c>
    </row>
    <row r="327" spans="1:7" ht="20.100000000000001" customHeight="1">
      <c r="A327" s="900"/>
      <c r="B327" s="900" t="s">
        <v>2546</v>
      </c>
      <c r="C327" s="900" t="s">
        <v>2546</v>
      </c>
      <c r="D327" s="900"/>
      <c r="E327" s="493"/>
      <c r="F327" s="493">
        <f>F328+F330+F333+F335+F337+F339+F342+F344+F346+F350+F356+F362+F366</f>
        <v>4330</v>
      </c>
      <c r="G327" s="480"/>
    </row>
    <row r="328" spans="1:7" ht="20.100000000000001" customHeight="1">
      <c r="A328" s="900"/>
      <c r="B328" s="900"/>
      <c r="C328" s="901" t="s">
        <v>2547</v>
      </c>
      <c r="D328" s="480" t="s">
        <v>2547</v>
      </c>
      <c r="E328" s="493">
        <f>SUM(E329)</f>
        <v>522</v>
      </c>
      <c r="F328" s="493">
        <f>VLOOKUP(D328,'[4]급수구역별 용수량정리'!$D$330:$H$353,5,FALSE)</f>
        <v>258</v>
      </c>
      <c r="G328" s="480"/>
    </row>
    <row r="329" spans="1:7" ht="20.100000000000001" customHeight="1">
      <c r="A329" s="900"/>
      <c r="B329" s="900"/>
      <c r="C329" s="903"/>
      <c r="D329" s="480" t="s">
        <v>2547</v>
      </c>
      <c r="E329" s="493">
        <f>VLOOKUP(D329,'[2]2.행정구역별 급수인구'!$C$7:$X$997,18,FALSE)</f>
        <v>522</v>
      </c>
      <c r="F329" s="493">
        <f>ROUND($F$328*E329/$E$328,0)</f>
        <v>258</v>
      </c>
      <c r="G329" s="480"/>
    </row>
    <row r="330" spans="1:7" ht="20.100000000000001" customHeight="1">
      <c r="A330" s="900"/>
      <c r="B330" s="900"/>
      <c r="C330" s="900" t="s">
        <v>2548</v>
      </c>
      <c r="D330" s="480" t="s">
        <v>2548</v>
      </c>
      <c r="E330" s="493">
        <f>SUM(E331:E332)</f>
        <v>623</v>
      </c>
      <c r="F330" s="493">
        <f>VLOOKUP(D330,'[4]급수구역별 용수량정리'!$D$330:$H$353,5,FALSE)</f>
        <v>197</v>
      </c>
      <c r="G330" s="480"/>
    </row>
    <row r="331" spans="1:7" ht="20.100000000000001" customHeight="1">
      <c r="A331" s="900"/>
      <c r="B331" s="900"/>
      <c r="C331" s="900"/>
      <c r="D331" s="496" t="s">
        <v>1408</v>
      </c>
      <c r="E331" s="493">
        <f>VLOOKUP(D331,'[2]2.행정구역별 급수인구'!$C$7:$X$997,18,FALSE)</f>
        <v>322</v>
      </c>
      <c r="F331" s="493">
        <f>ROUND($F$330*E331/$E$330,0)</f>
        <v>102</v>
      </c>
      <c r="G331" s="480"/>
    </row>
    <row r="332" spans="1:7" ht="20.100000000000001" customHeight="1">
      <c r="A332" s="900"/>
      <c r="B332" s="900"/>
      <c r="C332" s="900"/>
      <c r="D332" s="496" t="s">
        <v>1409</v>
      </c>
      <c r="E332" s="493">
        <f>VLOOKUP(D332,'[2]2.행정구역별 급수인구'!$C$7:$X$997,18,FALSE)</f>
        <v>301</v>
      </c>
      <c r="F332" s="493">
        <f>F330-F331</f>
        <v>95</v>
      </c>
      <c r="G332" s="480"/>
    </row>
    <row r="333" spans="1:7" ht="20.100000000000001" customHeight="1">
      <c r="A333" s="900"/>
      <c r="B333" s="900"/>
      <c r="C333" s="900" t="s">
        <v>2549</v>
      </c>
      <c r="D333" s="480" t="s">
        <v>2549</v>
      </c>
      <c r="E333" s="493">
        <f>SUM(E334)</f>
        <v>211</v>
      </c>
      <c r="F333" s="493">
        <f>VLOOKUP(D333,'[4]급수구역별 용수량정리'!$D$330:$H$353,5,FALSE)</f>
        <v>68</v>
      </c>
      <c r="G333" s="480"/>
    </row>
    <row r="334" spans="1:7" ht="20.100000000000001" customHeight="1">
      <c r="A334" s="900"/>
      <c r="B334" s="900"/>
      <c r="C334" s="900"/>
      <c r="D334" s="496" t="s">
        <v>1411</v>
      </c>
      <c r="E334" s="493">
        <f>VLOOKUP(D334,'[2]2.행정구역별 급수인구'!$C$7:$X$997,18,FALSE)</f>
        <v>211</v>
      </c>
      <c r="F334" s="493">
        <f>ROUND($F$333*E334/$E$333,0)</f>
        <v>68</v>
      </c>
      <c r="G334" s="480"/>
    </row>
    <row r="335" spans="1:7" ht="20.100000000000001" customHeight="1">
      <c r="A335" s="900"/>
      <c r="B335" s="900"/>
      <c r="C335" s="900" t="s">
        <v>2550</v>
      </c>
      <c r="D335" s="480" t="s">
        <v>2550</v>
      </c>
      <c r="E335" s="493">
        <f>SUM(E336)</f>
        <v>266</v>
      </c>
      <c r="F335" s="493">
        <f>VLOOKUP(D335,'[4]급수구역별 용수량정리'!$D$330:$H$353,5,FALSE)</f>
        <v>107</v>
      </c>
      <c r="G335" s="480"/>
    </row>
    <row r="336" spans="1:7" ht="20.100000000000001" customHeight="1">
      <c r="A336" s="900"/>
      <c r="B336" s="900"/>
      <c r="C336" s="900"/>
      <c r="D336" s="496" t="s">
        <v>1410</v>
      </c>
      <c r="E336" s="493">
        <f>VLOOKUP(D336,'[2]2.행정구역별 급수인구'!$C$7:$X$997,18,FALSE)</f>
        <v>266</v>
      </c>
      <c r="F336" s="493">
        <f>ROUND($F$335*E336/$E$335,0)</f>
        <v>107</v>
      </c>
      <c r="G336" s="480"/>
    </row>
    <row r="337" spans="1:7" ht="20.100000000000001" customHeight="1">
      <c r="A337" s="900"/>
      <c r="B337" s="900"/>
      <c r="C337" s="900" t="s">
        <v>2551</v>
      </c>
      <c r="D337" s="480" t="s">
        <v>2551</v>
      </c>
      <c r="E337" s="493">
        <f>SUM(E338)</f>
        <v>522</v>
      </c>
      <c r="F337" s="493">
        <f>VLOOKUP(D337,'[4]급수구역별 용수량정리'!$D$330:$H$353,5,FALSE)</f>
        <v>157</v>
      </c>
      <c r="G337" s="480"/>
    </row>
    <row r="338" spans="1:7" ht="20.100000000000001" customHeight="1">
      <c r="A338" s="900"/>
      <c r="B338" s="900"/>
      <c r="C338" s="900"/>
      <c r="D338" s="496" t="s">
        <v>1412</v>
      </c>
      <c r="E338" s="493">
        <f>VLOOKUP(D338,'[2]2.행정구역별 급수인구'!$C$7:$X$997,18,FALSE)</f>
        <v>522</v>
      </c>
      <c r="F338" s="493">
        <f>ROUND($F$337*E338/$E$337,0)</f>
        <v>157</v>
      </c>
      <c r="G338" s="480"/>
    </row>
    <row r="339" spans="1:7" ht="20.100000000000001" customHeight="1">
      <c r="A339" s="900"/>
      <c r="B339" s="900"/>
      <c r="C339" s="900" t="s">
        <v>2552</v>
      </c>
      <c r="D339" s="480" t="s">
        <v>2552</v>
      </c>
      <c r="E339" s="493">
        <f>SUM(E340:E341)</f>
        <v>571</v>
      </c>
      <c r="F339" s="493">
        <f>VLOOKUP(D339,'[4]급수구역별 용수량정리'!$D$330:$H$353,5,FALSE)</f>
        <v>224</v>
      </c>
      <c r="G339" s="480"/>
    </row>
    <row r="340" spans="1:7" ht="20.100000000000001" customHeight="1">
      <c r="A340" s="900"/>
      <c r="B340" s="900"/>
      <c r="C340" s="900"/>
      <c r="D340" s="496" t="s">
        <v>1413</v>
      </c>
      <c r="E340" s="493">
        <f>VLOOKUP(D340,'[2]2.행정구역별 급수인구'!$C$7:$X$997,18,FALSE)</f>
        <v>373</v>
      </c>
      <c r="F340" s="493">
        <f>ROUND($F$339*E340/$E$339,0)</f>
        <v>146</v>
      </c>
      <c r="G340" s="480"/>
    </row>
    <row r="341" spans="1:7" ht="20.100000000000001" customHeight="1">
      <c r="A341" s="900"/>
      <c r="B341" s="900"/>
      <c r="C341" s="900"/>
      <c r="D341" s="496" t="s">
        <v>1414</v>
      </c>
      <c r="E341" s="493">
        <f>VLOOKUP(D341,'[2]2.행정구역별 급수인구'!$C$7:$X$997,18,FALSE)</f>
        <v>198</v>
      </c>
      <c r="F341" s="493">
        <f>F339-F340</f>
        <v>78</v>
      </c>
      <c r="G341" s="480"/>
    </row>
    <row r="342" spans="1:7" ht="20.100000000000001" customHeight="1">
      <c r="A342" s="900"/>
      <c r="B342" s="900"/>
      <c r="C342" s="900" t="s">
        <v>2553</v>
      </c>
      <c r="D342" s="480" t="s">
        <v>2553</v>
      </c>
      <c r="E342" s="493">
        <f>SUM(E343)</f>
        <v>202</v>
      </c>
      <c r="F342" s="493">
        <f>VLOOKUP(D342,'[4]급수구역별 용수량정리'!$D$330:$H$353,5,FALSE)</f>
        <v>93</v>
      </c>
      <c r="G342" s="480"/>
    </row>
    <row r="343" spans="1:7" ht="20.100000000000001" customHeight="1">
      <c r="A343" s="900"/>
      <c r="B343" s="900"/>
      <c r="C343" s="900"/>
      <c r="D343" s="496" t="s">
        <v>1415</v>
      </c>
      <c r="E343" s="493">
        <f>VLOOKUP(D343,'[2]2.행정구역별 급수인구'!$C$7:$X$997,18,FALSE)</f>
        <v>202</v>
      </c>
      <c r="F343" s="493">
        <f>ROUND($F$342*E343/$E$342,0)</f>
        <v>93</v>
      </c>
      <c r="G343" s="480"/>
    </row>
    <row r="344" spans="1:7" ht="20.100000000000001" customHeight="1">
      <c r="A344" s="900"/>
      <c r="B344" s="900"/>
      <c r="C344" s="900" t="s">
        <v>2554</v>
      </c>
      <c r="D344" s="480" t="s">
        <v>2554</v>
      </c>
      <c r="E344" s="493">
        <f>SUM(E345)</f>
        <v>245</v>
      </c>
      <c r="F344" s="493">
        <f>VLOOKUP(D344,'[4]급수구역별 용수량정리'!$D$330:$H$353,5,FALSE)</f>
        <v>135</v>
      </c>
      <c r="G344" s="480"/>
    </row>
    <row r="345" spans="1:7" ht="20.100000000000001" customHeight="1">
      <c r="A345" s="900"/>
      <c r="B345" s="900"/>
      <c r="C345" s="900"/>
      <c r="D345" s="496" t="s">
        <v>1416</v>
      </c>
      <c r="E345" s="493">
        <f>VLOOKUP(D345,'[2]2.행정구역별 급수인구'!$C$7:$X$997,18,FALSE)</f>
        <v>245</v>
      </c>
      <c r="F345" s="493">
        <f>ROUND($F$344*E345/$E$344,0)</f>
        <v>135</v>
      </c>
      <c r="G345" s="480"/>
    </row>
    <row r="346" spans="1:7" ht="20.100000000000001" customHeight="1">
      <c r="A346" s="900"/>
      <c r="B346" s="900"/>
      <c r="C346" s="900" t="s">
        <v>2555</v>
      </c>
      <c r="D346" s="480" t="s">
        <v>2555</v>
      </c>
      <c r="E346" s="493">
        <f>SUM(E347:E349)</f>
        <v>2086</v>
      </c>
      <c r="F346" s="493">
        <f>VLOOKUP(D346,'[4]급수구역별 용수량정리'!$D$330:$H$353,5,FALSE)</f>
        <v>990</v>
      </c>
      <c r="G346" s="480"/>
    </row>
    <row r="347" spans="1:7" ht="20.100000000000001" customHeight="1">
      <c r="A347" s="900"/>
      <c r="B347" s="900"/>
      <c r="C347" s="900"/>
      <c r="D347" s="496" t="s">
        <v>1417</v>
      </c>
      <c r="E347" s="493">
        <f>VLOOKUP(D347,'[2]2.행정구역별 급수인구'!$C$7:$X$997,18,FALSE)</f>
        <v>811</v>
      </c>
      <c r="F347" s="493">
        <f>ROUND($F$346*E347/$E$346,0)</f>
        <v>385</v>
      </c>
      <c r="G347" s="480"/>
    </row>
    <row r="348" spans="1:7" ht="20.100000000000001" customHeight="1">
      <c r="A348" s="900"/>
      <c r="B348" s="900"/>
      <c r="C348" s="900"/>
      <c r="D348" s="496" t="s">
        <v>1418</v>
      </c>
      <c r="E348" s="493">
        <f>VLOOKUP(D348,'[2]2.행정구역별 급수인구'!$C$7:$X$997,18,FALSE)</f>
        <v>346</v>
      </c>
      <c r="F348" s="493">
        <f>ROUND($F$346*E348/$E$346,0)</f>
        <v>164</v>
      </c>
      <c r="G348" s="480"/>
    </row>
    <row r="349" spans="1:7" ht="20.100000000000001" customHeight="1">
      <c r="A349" s="900"/>
      <c r="B349" s="900"/>
      <c r="C349" s="900"/>
      <c r="D349" s="496" t="s">
        <v>1419</v>
      </c>
      <c r="E349" s="493">
        <f>VLOOKUP(D349,'[2]2.행정구역별 급수인구'!$C$7:$X$997,18,FALSE)</f>
        <v>929</v>
      </c>
      <c r="F349" s="493">
        <f>F346-F347-F348</f>
        <v>441</v>
      </c>
      <c r="G349" s="480"/>
    </row>
    <row r="350" spans="1:7" ht="20.100000000000001" customHeight="1">
      <c r="A350" s="900"/>
      <c r="B350" s="900"/>
      <c r="C350" s="900" t="s">
        <v>2556</v>
      </c>
      <c r="D350" s="480" t="s">
        <v>2556</v>
      </c>
      <c r="E350" s="493">
        <f>SUM(E351:E355)</f>
        <v>1843</v>
      </c>
      <c r="F350" s="493">
        <f>VLOOKUP(D350,'[4]급수구역별 용수량정리'!$D$330:$H$353,5,FALSE)</f>
        <v>869</v>
      </c>
      <c r="G350" s="480"/>
    </row>
    <row r="351" spans="1:7" ht="20.100000000000001" customHeight="1">
      <c r="A351" s="900"/>
      <c r="B351" s="900"/>
      <c r="C351" s="900"/>
      <c r="D351" s="496" t="s">
        <v>1420</v>
      </c>
      <c r="E351" s="493">
        <f>VLOOKUP(D351,'[2]2.행정구역별 급수인구'!$C$7:$X$997,18,FALSE)</f>
        <v>257</v>
      </c>
      <c r="F351" s="493">
        <f>ROUND($F$350*E351/$E$350,0)</f>
        <v>121</v>
      </c>
      <c r="G351" s="480"/>
    </row>
    <row r="352" spans="1:7" ht="20.100000000000001" customHeight="1">
      <c r="A352" s="900"/>
      <c r="B352" s="900"/>
      <c r="C352" s="900"/>
      <c r="D352" s="496" t="s">
        <v>1421</v>
      </c>
      <c r="E352" s="493">
        <f>VLOOKUP(D352,'[2]2.행정구역별 급수인구'!$C$7:$X$997,18,FALSE)</f>
        <v>151</v>
      </c>
      <c r="F352" s="493">
        <f>ROUND($F$350*E352/$E$350,0)</f>
        <v>71</v>
      </c>
      <c r="G352" s="480"/>
    </row>
    <row r="353" spans="1:7" ht="20.100000000000001" customHeight="1">
      <c r="A353" s="900"/>
      <c r="B353" s="900"/>
      <c r="C353" s="900"/>
      <c r="D353" s="496" t="s">
        <v>1422</v>
      </c>
      <c r="E353" s="493">
        <f>VLOOKUP(D353,'[2]2.행정구역별 급수인구'!$C$7:$X$997,18,FALSE)</f>
        <v>236</v>
      </c>
      <c r="F353" s="493">
        <f>ROUND($F$350*E353/$E$350,0)</f>
        <v>111</v>
      </c>
      <c r="G353" s="480"/>
    </row>
    <row r="354" spans="1:7" ht="20.100000000000001" customHeight="1">
      <c r="A354" s="900"/>
      <c r="B354" s="900"/>
      <c r="C354" s="900"/>
      <c r="D354" s="496" t="s">
        <v>1423</v>
      </c>
      <c r="E354" s="493">
        <f>VLOOKUP(D354,'[2]2.행정구역별 급수인구'!$C$7:$X$997,18,FALSE)</f>
        <v>525</v>
      </c>
      <c r="F354" s="493">
        <f>ROUND($F$350*E354/$E$350,0)</f>
        <v>248</v>
      </c>
      <c r="G354" s="480"/>
    </row>
    <row r="355" spans="1:7" ht="20.100000000000001" customHeight="1">
      <c r="A355" s="900"/>
      <c r="B355" s="900"/>
      <c r="C355" s="900"/>
      <c r="D355" s="496" t="s">
        <v>1424</v>
      </c>
      <c r="E355" s="493">
        <f>VLOOKUP(D355,'[2]2.행정구역별 급수인구'!$C$7:$X$997,18,FALSE)</f>
        <v>674</v>
      </c>
      <c r="F355" s="493">
        <f>F350-F351-F352-F353-F354</f>
        <v>318</v>
      </c>
      <c r="G355" s="480"/>
    </row>
    <row r="356" spans="1:7" ht="20.100000000000001" customHeight="1">
      <c r="A356" s="900"/>
      <c r="B356" s="900"/>
      <c r="C356" s="900" t="s">
        <v>2557</v>
      </c>
      <c r="D356" s="480" t="s">
        <v>2557</v>
      </c>
      <c r="E356" s="493">
        <f>SUM(E357:E361)</f>
        <v>1500</v>
      </c>
      <c r="F356" s="493">
        <f>VLOOKUP(D356,'[4]급수구역별 용수량정리'!$D$330:$H$353,5,FALSE)</f>
        <v>455</v>
      </c>
      <c r="G356" s="480"/>
    </row>
    <row r="357" spans="1:7" ht="20.100000000000001" customHeight="1">
      <c r="A357" s="900"/>
      <c r="B357" s="900"/>
      <c r="C357" s="900"/>
      <c r="D357" s="496" t="s">
        <v>1425</v>
      </c>
      <c r="E357" s="493">
        <f>VLOOKUP(D357,'[2]2.행정구역별 급수인구'!$C$7:$X$997,18,FALSE)</f>
        <v>191</v>
      </c>
      <c r="F357" s="493">
        <f>ROUND($F$356*E357/$E$356,0)</f>
        <v>58</v>
      </c>
      <c r="G357" s="480"/>
    </row>
    <row r="358" spans="1:7" ht="20.100000000000001" customHeight="1">
      <c r="A358" s="900"/>
      <c r="B358" s="900"/>
      <c r="C358" s="900"/>
      <c r="D358" s="496" t="s">
        <v>1426</v>
      </c>
      <c r="E358" s="493">
        <f>VLOOKUP(D358,'[2]2.행정구역별 급수인구'!$C$7:$X$997,18,FALSE)</f>
        <v>365</v>
      </c>
      <c r="F358" s="493">
        <f t="shared" ref="F358:F360" si="9">ROUND($F$356*E358/$E$356,0)</f>
        <v>111</v>
      </c>
      <c r="G358" s="480"/>
    </row>
    <row r="359" spans="1:7" ht="20.100000000000001" customHeight="1">
      <c r="A359" s="900"/>
      <c r="B359" s="900"/>
      <c r="C359" s="900"/>
      <c r="D359" s="496" t="s">
        <v>1427</v>
      </c>
      <c r="E359" s="493">
        <f>VLOOKUP(D359,'[2]2.행정구역별 급수인구'!$C$7:$X$997,18,FALSE)</f>
        <v>223</v>
      </c>
      <c r="F359" s="493">
        <f t="shared" si="9"/>
        <v>68</v>
      </c>
      <c r="G359" s="480"/>
    </row>
    <row r="360" spans="1:7" ht="20.100000000000001" customHeight="1">
      <c r="A360" s="900"/>
      <c r="B360" s="900"/>
      <c r="C360" s="900"/>
      <c r="D360" s="496" t="s">
        <v>1428</v>
      </c>
      <c r="E360" s="493">
        <f>VLOOKUP(D360,'[2]2.행정구역별 급수인구'!$C$7:$X$997,18,FALSE)</f>
        <v>305</v>
      </c>
      <c r="F360" s="493">
        <f t="shared" si="9"/>
        <v>93</v>
      </c>
      <c r="G360" s="480"/>
    </row>
    <row r="361" spans="1:7" ht="20.100000000000001" customHeight="1">
      <c r="A361" s="900"/>
      <c r="B361" s="900"/>
      <c r="C361" s="900"/>
      <c r="D361" s="496" t="s">
        <v>1429</v>
      </c>
      <c r="E361" s="493">
        <f>VLOOKUP(D361,'[2]2.행정구역별 급수인구'!$C$7:$X$997,18,FALSE)</f>
        <v>416</v>
      </c>
      <c r="F361" s="493">
        <f>F356-F357-F358-F359-F360</f>
        <v>125</v>
      </c>
      <c r="G361" s="480"/>
    </row>
    <row r="362" spans="1:7" ht="20.100000000000001" customHeight="1">
      <c r="A362" s="900"/>
      <c r="B362" s="900"/>
      <c r="C362" s="900" t="s">
        <v>2558</v>
      </c>
      <c r="D362" s="480" t="s">
        <v>2558</v>
      </c>
      <c r="E362" s="493">
        <f>SUM(E363:E365)</f>
        <v>1625</v>
      </c>
      <c r="F362" s="493">
        <f>VLOOKUP(D362,'[4]급수구역별 용수량정리'!$D$330:$H$353,5,FALSE)</f>
        <v>715</v>
      </c>
      <c r="G362" s="480"/>
    </row>
    <row r="363" spans="1:7" ht="20.100000000000001" customHeight="1">
      <c r="A363" s="900"/>
      <c r="B363" s="900"/>
      <c r="C363" s="900"/>
      <c r="D363" s="496" t="s">
        <v>1430</v>
      </c>
      <c r="E363" s="493">
        <f>VLOOKUP(D363,'[2]2.행정구역별 급수인구'!$C$7:$X$997,18,FALSE)</f>
        <v>247</v>
      </c>
      <c r="F363" s="493">
        <f>ROUND($F$362*E363/$E$362,0)</f>
        <v>109</v>
      </c>
      <c r="G363" s="480"/>
    </row>
    <row r="364" spans="1:7" ht="20.100000000000001" customHeight="1">
      <c r="A364" s="900"/>
      <c r="B364" s="900"/>
      <c r="C364" s="900"/>
      <c r="D364" s="496" t="s">
        <v>1431</v>
      </c>
      <c r="E364" s="493">
        <f>VLOOKUP(D364,'[2]2.행정구역별 급수인구'!$C$7:$X$997,18,FALSE)</f>
        <v>598</v>
      </c>
      <c r="F364" s="493">
        <f>ROUND($F$362*E364/$E$362,0)</f>
        <v>263</v>
      </c>
      <c r="G364" s="480"/>
    </row>
    <row r="365" spans="1:7" ht="20.100000000000001" customHeight="1">
      <c r="A365" s="900"/>
      <c r="B365" s="900"/>
      <c r="C365" s="900"/>
      <c r="D365" s="496" t="s">
        <v>1432</v>
      </c>
      <c r="E365" s="493">
        <f>VLOOKUP(D365,'[2]2.행정구역별 급수인구'!$C$7:$X$997,18,FALSE)</f>
        <v>780</v>
      </c>
      <c r="F365" s="493">
        <f>F362-F363-F364</f>
        <v>343</v>
      </c>
      <c r="G365" s="480"/>
    </row>
    <row r="366" spans="1:7" ht="20.100000000000001" customHeight="1">
      <c r="A366" s="900"/>
      <c r="B366" s="900"/>
      <c r="C366" s="900" t="s">
        <v>2559</v>
      </c>
      <c r="D366" s="480" t="s">
        <v>2559</v>
      </c>
      <c r="E366" s="493">
        <f>SUM(E367:E368)</f>
        <v>380</v>
      </c>
      <c r="F366" s="493">
        <f>VLOOKUP(D366,'[4]급수구역별 용수량정리'!$D$330:$H$353,5,FALSE)</f>
        <v>62</v>
      </c>
      <c r="G366" s="480"/>
    </row>
    <row r="367" spans="1:7" ht="20.100000000000001" customHeight="1">
      <c r="A367" s="900"/>
      <c r="B367" s="900"/>
      <c r="C367" s="900"/>
      <c r="D367" s="496" t="s">
        <v>1433</v>
      </c>
      <c r="E367" s="493">
        <f>VLOOKUP(D367,'[2]2.행정구역별 급수인구'!$C$7:$X$997,18,FALSE)</f>
        <v>197</v>
      </c>
      <c r="F367" s="493">
        <f>ROUND($F$366*E367/$E$366,0)</f>
        <v>32</v>
      </c>
      <c r="G367" s="480"/>
    </row>
    <row r="368" spans="1:7" ht="20.100000000000001" customHeight="1">
      <c r="A368" s="900"/>
      <c r="B368" s="900"/>
      <c r="C368" s="900"/>
      <c r="D368" s="496" t="s">
        <v>1434</v>
      </c>
      <c r="E368" s="493">
        <f>VLOOKUP(D368,'[2]2.행정구역별 급수인구'!$C$7:$X$997,18,FALSE)</f>
        <v>183</v>
      </c>
      <c r="F368" s="493">
        <f>F366-F367</f>
        <v>30</v>
      </c>
      <c r="G368" s="480"/>
    </row>
    <row r="369" spans="1:7" ht="20.100000000000001" customHeight="1">
      <c r="A369" s="900"/>
      <c r="B369" s="900" t="s">
        <v>2532</v>
      </c>
      <c r="C369" s="900" t="s">
        <v>2532</v>
      </c>
      <c r="D369" s="900"/>
      <c r="E369" s="493"/>
      <c r="F369" s="493">
        <f>F370+F374+F376</f>
        <v>143</v>
      </c>
      <c r="G369" s="480"/>
    </row>
    <row r="370" spans="1:7" ht="20.100000000000001" customHeight="1">
      <c r="A370" s="900"/>
      <c r="B370" s="900"/>
      <c r="C370" s="900" t="s">
        <v>2560</v>
      </c>
      <c r="D370" s="480" t="s">
        <v>2560</v>
      </c>
      <c r="E370" s="493">
        <f>SUM(E371:E373)</f>
        <v>114</v>
      </c>
      <c r="F370" s="493">
        <f>VLOOKUP(D370,'[4]급수구역별 용수량정리'!$D$330:$H$353,5,FALSE)</f>
        <v>55</v>
      </c>
      <c r="G370" s="480"/>
    </row>
    <row r="371" spans="1:7" ht="20.100000000000001" customHeight="1">
      <c r="A371" s="900"/>
      <c r="B371" s="900"/>
      <c r="C371" s="900"/>
      <c r="D371" s="496" t="s">
        <v>1435</v>
      </c>
      <c r="E371" s="493">
        <f>VLOOKUP(D371,'[2]2.행정구역별 급수인구'!$C$7:$X$997,18,FALSE)</f>
        <v>53</v>
      </c>
      <c r="F371" s="493">
        <f>ROUND($F$370*E371/$E$370,0)</f>
        <v>26</v>
      </c>
      <c r="G371" s="480"/>
    </row>
    <row r="372" spans="1:7" ht="20.100000000000001" customHeight="1">
      <c r="A372" s="900"/>
      <c r="B372" s="900"/>
      <c r="C372" s="900"/>
      <c r="D372" s="496" t="s">
        <v>1436</v>
      </c>
      <c r="E372" s="493">
        <f>VLOOKUP(D372,'[2]2.행정구역별 급수인구'!$C$7:$X$997,18,FALSE)</f>
        <v>56</v>
      </c>
      <c r="F372" s="493">
        <f>ROUND($F$370*E372/$E$370,0)</f>
        <v>27</v>
      </c>
      <c r="G372" s="480"/>
    </row>
    <row r="373" spans="1:7" ht="20.100000000000001" customHeight="1">
      <c r="A373" s="900"/>
      <c r="B373" s="900"/>
      <c r="C373" s="900"/>
      <c r="D373" s="496" t="s">
        <v>1437</v>
      </c>
      <c r="E373" s="493">
        <f>VLOOKUP(D373,'[2]2.행정구역별 급수인구'!$C$7:$X$997,18,FALSE)</f>
        <v>5</v>
      </c>
      <c r="F373" s="493">
        <f>F370-F371-F372</f>
        <v>2</v>
      </c>
      <c r="G373" s="480"/>
    </row>
    <row r="374" spans="1:7" ht="20.100000000000001" customHeight="1">
      <c r="A374" s="900"/>
      <c r="B374" s="900"/>
      <c r="C374" s="900" t="s">
        <v>2538</v>
      </c>
      <c r="D374" s="480" t="s">
        <v>2538</v>
      </c>
      <c r="E374" s="493">
        <f>SUM(E375)</f>
        <v>56</v>
      </c>
      <c r="F374" s="493">
        <f>VLOOKUP(D374,'[4]급수구역별 용수량정리'!$D$330:$H$353,5,FALSE)</f>
        <v>25</v>
      </c>
      <c r="G374" s="480"/>
    </row>
    <row r="375" spans="1:7" ht="20.100000000000001" customHeight="1">
      <c r="A375" s="900"/>
      <c r="B375" s="900"/>
      <c r="C375" s="900"/>
      <c r="D375" s="496" t="s">
        <v>1438</v>
      </c>
      <c r="E375" s="493">
        <f>VLOOKUP(D375,'[2]2.행정구역별 급수인구'!$C$7:$X$997,18,FALSE)</f>
        <v>56</v>
      </c>
      <c r="F375" s="493">
        <f>ROUND($F$374*E375/$E$374,0)</f>
        <v>25</v>
      </c>
      <c r="G375" s="480"/>
    </row>
    <row r="376" spans="1:7" ht="20.100000000000001" customHeight="1">
      <c r="A376" s="900"/>
      <c r="B376" s="900"/>
      <c r="C376" s="900" t="s">
        <v>2561</v>
      </c>
      <c r="D376" s="480" t="s">
        <v>2561</v>
      </c>
      <c r="E376" s="493">
        <f>SUM(E377:E381)</f>
        <v>152</v>
      </c>
      <c r="F376" s="493">
        <f>VLOOKUP(D376,'[4]급수구역별 용수량정리'!$D$330:$H$353,5,FALSE)</f>
        <v>63</v>
      </c>
      <c r="G376" s="480"/>
    </row>
    <row r="377" spans="1:7" ht="20.100000000000001" customHeight="1">
      <c r="A377" s="900"/>
      <c r="B377" s="900"/>
      <c r="C377" s="900"/>
      <c r="D377" s="496" t="s">
        <v>1439</v>
      </c>
      <c r="E377" s="493">
        <f>VLOOKUP(D377,'[2]2.행정구역별 급수인구'!$C$7:$X$997,18,FALSE)</f>
        <v>26</v>
      </c>
      <c r="F377" s="493">
        <f>ROUND($F$376*E377/$E$376,0)</f>
        <v>11</v>
      </c>
      <c r="G377" s="480"/>
    </row>
    <row r="378" spans="1:7" ht="20.100000000000001" customHeight="1">
      <c r="A378" s="900"/>
      <c r="B378" s="900"/>
      <c r="C378" s="900"/>
      <c r="D378" s="496" t="s">
        <v>1440</v>
      </c>
      <c r="E378" s="493">
        <f>VLOOKUP(D378,'[2]2.행정구역별 급수인구'!$C$7:$X$997,18,FALSE)</f>
        <v>30</v>
      </c>
      <c r="F378" s="493">
        <f t="shared" ref="F378:F380" si="10">ROUND($F$376*E378/$E$376,0)</f>
        <v>12</v>
      </c>
      <c r="G378" s="480"/>
    </row>
    <row r="379" spans="1:7" ht="20.100000000000001" customHeight="1">
      <c r="A379" s="900"/>
      <c r="B379" s="900"/>
      <c r="C379" s="900"/>
      <c r="D379" s="496" t="s">
        <v>1441</v>
      </c>
      <c r="E379" s="493">
        <f>VLOOKUP(D379,'[2]2.행정구역별 급수인구'!$C$7:$X$997,18,FALSE)</f>
        <v>35</v>
      </c>
      <c r="F379" s="493">
        <f t="shared" si="10"/>
        <v>15</v>
      </c>
      <c r="G379" s="480"/>
    </row>
    <row r="380" spans="1:7" ht="20.100000000000001" customHeight="1">
      <c r="A380" s="900"/>
      <c r="B380" s="900"/>
      <c r="C380" s="900"/>
      <c r="D380" s="496" t="s">
        <v>1442</v>
      </c>
      <c r="E380" s="493">
        <f>VLOOKUP(D380,'[2]2.행정구역별 급수인구'!$C$7:$X$997,18,FALSE)</f>
        <v>8</v>
      </c>
      <c r="F380" s="493">
        <f t="shared" si="10"/>
        <v>3</v>
      </c>
      <c r="G380" s="480"/>
    </row>
    <row r="381" spans="1:7" ht="20.100000000000001" customHeight="1">
      <c r="A381" s="900"/>
      <c r="B381" s="900"/>
      <c r="C381" s="900"/>
      <c r="D381" s="496" t="s">
        <v>1443</v>
      </c>
      <c r="E381" s="493">
        <f>VLOOKUP(D381,'[2]2.행정구역별 급수인구'!$C$7:$X$997,18,FALSE)</f>
        <v>53</v>
      </c>
      <c r="F381" s="493">
        <f>F376-F377-F378-F379-F380</f>
        <v>22</v>
      </c>
      <c r="G381" s="480"/>
    </row>
  </sheetData>
  <mergeCells count="180">
    <mergeCell ref="C335:C336"/>
    <mergeCell ref="C366:C368"/>
    <mergeCell ref="C362:C365"/>
    <mergeCell ref="C356:C361"/>
    <mergeCell ref="C350:C355"/>
    <mergeCell ref="C346:C349"/>
    <mergeCell ref="A326:D326"/>
    <mergeCell ref="C327:D327"/>
    <mergeCell ref="C330:C332"/>
    <mergeCell ref="C333:C334"/>
    <mergeCell ref="B327:B368"/>
    <mergeCell ref="A327:A381"/>
    <mergeCell ref="C328:C329"/>
    <mergeCell ref="C369:D369"/>
    <mergeCell ref="C376:C381"/>
    <mergeCell ref="C374:C375"/>
    <mergeCell ref="C370:C373"/>
    <mergeCell ref="B369:B381"/>
    <mergeCell ref="C344:C345"/>
    <mergeCell ref="C342:C343"/>
    <mergeCell ref="C339:C341"/>
    <mergeCell ref="C337:C338"/>
    <mergeCell ref="B307:B320"/>
    <mergeCell ref="B285:B306"/>
    <mergeCell ref="C321:D321"/>
    <mergeCell ref="C322:C325"/>
    <mergeCell ref="B321:B325"/>
    <mergeCell ref="A285:A325"/>
    <mergeCell ref="C307:D307"/>
    <mergeCell ref="C319:C320"/>
    <mergeCell ref="C317:C318"/>
    <mergeCell ref="C308:C311"/>
    <mergeCell ref="C312:C316"/>
    <mergeCell ref="C285:D285"/>
    <mergeCell ref="C304:C306"/>
    <mergeCell ref="C301:C303"/>
    <mergeCell ref="C299:C300"/>
    <mergeCell ref="C295:C298"/>
    <mergeCell ref="C290:C294"/>
    <mergeCell ref="C286:C289"/>
    <mergeCell ref="C281:D281"/>
    <mergeCell ref="C282:C283"/>
    <mergeCell ref="B281:B283"/>
    <mergeCell ref="A246:A283"/>
    <mergeCell ref="A284:D284"/>
    <mergeCell ref="B272:D272"/>
    <mergeCell ref="C273:D273"/>
    <mergeCell ref="C279:C280"/>
    <mergeCell ref="C277:C278"/>
    <mergeCell ref="C274:C276"/>
    <mergeCell ref="B273:B280"/>
    <mergeCell ref="C270:C271"/>
    <mergeCell ref="C265:C266"/>
    <mergeCell ref="C263:C264"/>
    <mergeCell ref="C261:C262"/>
    <mergeCell ref="C258:C260"/>
    <mergeCell ref="A196:A244"/>
    <mergeCell ref="A245:D245"/>
    <mergeCell ref="B246:D246"/>
    <mergeCell ref="C247:D247"/>
    <mergeCell ref="C248:C252"/>
    <mergeCell ref="C267:C269"/>
    <mergeCell ref="C253:C257"/>
    <mergeCell ref="B247:B271"/>
    <mergeCell ref="B233:D233"/>
    <mergeCell ref="C234:D234"/>
    <mergeCell ref="C235:C238"/>
    <mergeCell ref="C239:C241"/>
    <mergeCell ref="C242:C244"/>
    <mergeCell ref="B234:B244"/>
    <mergeCell ref="B196:D196"/>
    <mergeCell ref="C197:D197"/>
    <mergeCell ref="C231:C232"/>
    <mergeCell ref="C228:C230"/>
    <mergeCell ref="C224:C227"/>
    <mergeCell ref="C220:C223"/>
    <mergeCell ref="C216:C219"/>
    <mergeCell ref="C212:C215"/>
    <mergeCell ref="C208:C211"/>
    <mergeCell ref="C204:C207"/>
    <mergeCell ref="C198:C203"/>
    <mergeCell ref="B197:B232"/>
    <mergeCell ref="C73:D73"/>
    <mergeCell ref="C77:D77"/>
    <mergeCell ref="C78:C81"/>
    <mergeCell ref="B100:D100"/>
    <mergeCell ref="C101:D101"/>
    <mergeCell ref="A104:D104"/>
    <mergeCell ref="C105:D105"/>
    <mergeCell ref="C106:C107"/>
    <mergeCell ref="A195:D195"/>
    <mergeCell ref="C119:C120"/>
    <mergeCell ref="C115:C118"/>
    <mergeCell ref="C111:C114"/>
    <mergeCell ref="C108:C110"/>
    <mergeCell ref="A105:A140"/>
    <mergeCell ref="B105:B122"/>
    <mergeCell ref="C136:D136"/>
    <mergeCell ref="B136:B138"/>
    <mergeCell ref="C139:D139"/>
    <mergeCell ref="B139:B140"/>
    <mergeCell ref="C123:D123"/>
    <mergeCell ref="C124:C125"/>
    <mergeCell ref="C133:C135"/>
    <mergeCell ref="G3:G4"/>
    <mergeCell ref="C29:C31"/>
    <mergeCell ref="C32:C33"/>
    <mergeCell ref="C34:C35"/>
    <mergeCell ref="C28:D28"/>
    <mergeCell ref="C14:C16"/>
    <mergeCell ref="C17:C19"/>
    <mergeCell ref="C20:C21"/>
    <mergeCell ref="C22:C24"/>
    <mergeCell ref="E3:F3"/>
    <mergeCell ref="C6:D6"/>
    <mergeCell ref="C7:C10"/>
    <mergeCell ref="C11:C13"/>
    <mergeCell ref="C25:C26"/>
    <mergeCell ref="A3:D4"/>
    <mergeCell ref="B6:B26"/>
    <mergeCell ref="C65:C66"/>
    <mergeCell ref="B28:B66"/>
    <mergeCell ref="C68:C69"/>
    <mergeCell ref="C70:C71"/>
    <mergeCell ref="B67:B71"/>
    <mergeCell ref="C40:C44"/>
    <mergeCell ref="C45:C48"/>
    <mergeCell ref="C49:C52"/>
    <mergeCell ref="C53:C57"/>
    <mergeCell ref="C58:C62"/>
    <mergeCell ref="C63:C64"/>
    <mergeCell ref="C36:C39"/>
    <mergeCell ref="C67:D67"/>
    <mergeCell ref="A2:B2"/>
    <mergeCell ref="A5:D5"/>
    <mergeCell ref="A6:A26"/>
    <mergeCell ref="A27:D27"/>
    <mergeCell ref="A28:A71"/>
    <mergeCell ref="A72:D72"/>
    <mergeCell ref="A73:A81"/>
    <mergeCell ref="A82:D82"/>
    <mergeCell ref="B101:B103"/>
    <mergeCell ref="C102:C103"/>
    <mergeCell ref="A83:A103"/>
    <mergeCell ref="C92:D92"/>
    <mergeCell ref="B77:B81"/>
    <mergeCell ref="C84:D84"/>
    <mergeCell ref="C85:C91"/>
    <mergeCell ref="B84:B91"/>
    <mergeCell ref="C93:C96"/>
    <mergeCell ref="B92:B96"/>
    <mergeCell ref="C97:D97"/>
    <mergeCell ref="C98:C99"/>
    <mergeCell ref="B97:B99"/>
    <mergeCell ref="B83:D83"/>
    <mergeCell ref="B73:B76"/>
    <mergeCell ref="C74:C76"/>
    <mergeCell ref="C126:C132"/>
    <mergeCell ref="B123:B135"/>
    <mergeCell ref="C121:C122"/>
    <mergeCell ref="A141:D141"/>
    <mergeCell ref="B142:D142"/>
    <mergeCell ref="C143:D143"/>
    <mergeCell ref="C191:D191"/>
    <mergeCell ref="C137:C138"/>
    <mergeCell ref="B143:B190"/>
    <mergeCell ref="A142:A194"/>
    <mergeCell ref="B191:B194"/>
    <mergeCell ref="C172:C173"/>
    <mergeCell ref="C192:C194"/>
    <mergeCell ref="C185:C190"/>
    <mergeCell ref="C179:C184"/>
    <mergeCell ref="C174:C178"/>
    <mergeCell ref="C168:C171"/>
    <mergeCell ref="C166:C167"/>
    <mergeCell ref="C161:C165"/>
    <mergeCell ref="C156:C160"/>
    <mergeCell ref="C154:C155"/>
    <mergeCell ref="C152:C153"/>
    <mergeCell ref="C144:C151"/>
  </mergeCells>
  <phoneticPr fontId="3" type="noConversion"/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4:L106"/>
  <sheetViews>
    <sheetView topLeftCell="A13" workbookViewId="0"/>
  </sheetViews>
  <sheetFormatPr defaultRowHeight="18" customHeight="1"/>
  <sheetData>
    <row r="4" spans="1:12" ht="18" customHeight="1">
      <c r="A4" t="s">
        <v>1746</v>
      </c>
      <c r="B4">
        <v>2013</v>
      </c>
      <c r="C4">
        <v>2015</v>
      </c>
      <c r="D4">
        <v>2020</v>
      </c>
      <c r="F4">
        <v>2016</v>
      </c>
      <c r="H4">
        <v>2013</v>
      </c>
      <c r="I4">
        <v>2015</v>
      </c>
      <c r="J4">
        <v>2020</v>
      </c>
      <c r="L4">
        <v>2016</v>
      </c>
    </row>
    <row r="5" spans="1:12" ht="18" customHeight="1">
      <c r="A5" t="s">
        <v>1746</v>
      </c>
      <c r="B5" s="517">
        <f>B6+B17+B27</f>
        <v>6189</v>
      </c>
      <c r="C5" s="517">
        <f>C6+C17+C27</f>
        <v>6105</v>
      </c>
      <c r="D5" s="517">
        <f>D6+D17+D27</f>
        <v>6035</v>
      </c>
      <c r="H5" s="517">
        <f>H6+H17+H27</f>
        <v>0</v>
      </c>
      <c r="I5" s="517">
        <f>I6+I17+I27</f>
        <v>4736</v>
      </c>
      <c r="J5" s="517">
        <f>J6+J17+J27</f>
        <v>5132</v>
      </c>
      <c r="K5" s="517">
        <f>ROUND((J5-I5)/5,0)</f>
        <v>79</v>
      </c>
      <c r="L5" s="517">
        <f>I5+K5</f>
        <v>4815</v>
      </c>
    </row>
    <row r="6" spans="1:12" ht="18" customHeight="1">
      <c r="A6" s="516" t="s">
        <v>703</v>
      </c>
      <c r="B6" s="517">
        <f>SUM(B7:B16)</f>
        <v>2058</v>
      </c>
      <c r="C6" s="517">
        <f>SUM(C7:C16)</f>
        <v>2030</v>
      </c>
      <c r="D6" s="517">
        <f>SUM(D7:D16)</f>
        <v>2007</v>
      </c>
      <c r="H6" s="517">
        <f>SUM(H7:H16)</f>
        <v>0</v>
      </c>
      <c r="I6" s="517">
        <f>SUM(I7:I16)</f>
        <v>1623</v>
      </c>
      <c r="J6" s="517">
        <f>SUM(J7:J16)</f>
        <v>1706</v>
      </c>
    </row>
    <row r="7" spans="1:12" ht="18" customHeight="1">
      <c r="A7" s="406" t="s">
        <v>1749</v>
      </c>
      <c r="B7" s="517">
        <f>VLOOKUP(A7,'[2]2.행정구역별 급수인구'!$C$8:$AD$997,11,FALSE)</f>
        <v>246</v>
      </c>
      <c r="C7" s="517">
        <f>VLOOKUP(A7,'[2]2.행정구역별 급수인구'!$C$8:$AD$997,13,FALSE)</f>
        <v>243</v>
      </c>
      <c r="D7" s="517">
        <f>VLOOKUP(A7,'[2]2.행정구역별 급수인구'!$C$8:$AD$997,14,FALSE)</f>
        <v>240</v>
      </c>
      <c r="H7" s="517">
        <f>VLOOKUP(A7,'[2]2.행정구역별 급수인구'!$C$8:$AD$997,17,FALSE)</f>
        <v>0</v>
      </c>
      <c r="I7" s="517">
        <f>VLOOKUP(A7,'[2]2.행정구역별 급수인구'!$C$8:$AD$997,19,FALSE)</f>
        <v>194</v>
      </c>
      <c r="J7" s="517">
        <f>VLOOKUP(A7,'[2]2.행정구역별 급수인구'!$C$8:$AD$997,20,FALSE)</f>
        <v>204</v>
      </c>
    </row>
    <row r="8" spans="1:12" ht="18" customHeight="1">
      <c r="A8" s="406" t="s">
        <v>1750</v>
      </c>
      <c r="B8" s="517">
        <f>VLOOKUP(A8,'[2]2.행정구역별 급수인구'!$C$8:$AD$997,11,FALSE)</f>
        <v>243</v>
      </c>
      <c r="C8" s="517">
        <f>VLOOKUP(A8,'[2]2.행정구역별 급수인구'!$C$8:$AD$997,13,FALSE)</f>
        <v>240</v>
      </c>
      <c r="D8" s="517">
        <f>VLOOKUP(A8,'[2]2.행정구역별 급수인구'!$C$8:$AD$997,14,FALSE)</f>
        <v>237</v>
      </c>
      <c r="H8" s="517">
        <f>VLOOKUP(A8,'[2]2.행정구역별 급수인구'!$C$8:$AD$997,17,FALSE)</f>
        <v>0</v>
      </c>
      <c r="I8" s="517">
        <f>VLOOKUP(A8,'[2]2.행정구역별 급수인구'!$C$8:$AD$997,19,FALSE)</f>
        <v>192</v>
      </c>
      <c r="J8" s="517">
        <f>VLOOKUP(A8,'[2]2.행정구역별 급수인구'!$C$8:$AD$997,20,FALSE)</f>
        <v>201</v>
      </c>
    </row>
    <row r="9" spans="1:12" ht="18" customHeight="1">
      <c r="A9" s="406" t="s">
        <v>1751</v>
      </c>
      <c r="B9" s="517">
        <f>VLOOKUP(A9,'[2]2.행정구역별 급수인구'!$C$8:$AD$997,11,FALSE)</f>
        <v>131</v>
      </c>
      <c r="C9" s="517">
        <f>VLOOKUP(A9,'[2]2.행정구역별 급수인구'!$C$8:$AD$997,13,FALSE)</f>
        <v>130</v>
      </c>
      <c r="D9" s="517">
        <f>VLOOKUP(A9,'[2]2.행정구역별 급수인구'!$C$8:$AD$997,14,FALSE)</f>
        <v>128</v>
      </c>
      <c r="H9" s="517">
        <f>VLOOKUP(A9,'[2]2.행정구역별 급수인구'!$C$8:$AD$997,17,FALSE)</f>
        <v>0</v>
      </c>
      <c r="I9" s="517">
        <f>VLOOKUP(A9,'[2]2.행정구역별 급수인구'!$C$8:$AD$997,19,FALSE)</f>
        <v>104</v>
      </c>
      <c r="J9" s="517">
        <f>VLOOKUP(A9,'[2]2.행정구역별 급수인구'!$C$8:$AD$997,20,FALSE)</f>
        <v>109</v>
      </c>
    </row>
    <row r="10" spans="1:12" ht="18" customHeight="1">
      <c r="A10" s="406" t="s">
        <v>1752</v>
      </c>
      <c r="B10" s="517">
        <f>VLOOKUP(A10,'[2]2.행정구역별 급수인구'!$C$8:$AD$997,11,FALSE)</f>
        <v>159</v>
      </c>
      <c r="C10" s="517">
        <f>VLOOKUP(A10,'[2]2.행정구역별 급수인구'!$C$8:$AD$997,13,FALSE)</f>
        <v>157</v>
      </c>
      <c r="D10" s="517">
        <f>VLOOKUP(A10,'[2]2.행정구역별 급수인구'!$C$8:$AD$997,14,FALSE)</f>
        <v>155</v>
      </c>
      <c r="H10" s="517">
        <f>VLOOKUP(A10,'[2]2.행정구역별 급수인구'!$C$8:$AD$997,17,FALSE)</f>
        <v>0</v>
      </c>
      <c r="I10" s="517">
        <f>VLOOKUP(A10,'[2]2.행정구역별 급수인구'!$C$8:$AD$997,19,FALSE)</f>
        <v>126</v>
      </c>
      <c r="J10" s="517">
        <f>VLOOKUP(A10,'[2]2.행정구역별 급수인구'!$C$8:$AD$997,20,FALSE)</f>
        <v>132</v>
      </c>
    </row>
    <row r="11" spans="1:12" ht="18" customHeight="1">
      <c r="A11" s="406" t="s">
        <v>1753</v>
      </c>
      <c r="B11" s="517">
        <f>VLOOKUP(A11,'[2]2.행정구역별 급수인구'!$C$8:$AD$997,11,FALSE)</f>
        <v>59</v>
      </c>
      <c r="C11" s="517">
        <f>VLOOKUP(A11,'[2]2.행정구역별 급수인구'!$C$8:$AD$997,13,FALSE)</f>
        <v>58</v>
      </c>
      <c r="D11" s="517">
        <f>VLOOKUP(A11,'[2]2.행정구역별 급수인구'!$C$8:$AD$997,14,FALSE)</f>
        <v>58</v>
      </c>
      <c r="H11" s="517">
        <f>VLOOKUP(A11,'[2]2.행정구역별 급수인구'!$C$8:$AD$997,17,FALSE)</f>
        <v>0</v>
      </c>
      <c r="I11" s="517">
        <f>VLOOKUP(A11,'[2]2.행정구역별 급수인구'!$C$8:$AD$997,19,FALSE)</f>
        <v>46</v>
      </c>
      <c r="J11" s="517">
        <f>VLOOKUP(A11,'[2]2.행정구역별 급수인구'!$C$8:$AD$997,20,FALSE)</f>
        <v>49</v>
      </c>
    </row>
    <row r="12" spans="1:12" ht="18" customHeight="1">
      <c r="A12" s="406" t="s">
        <v>1754</v>
      </c>
      <c r="B12" s="517">
        <f>VLOOKUP(A12,'[2]2.행정구역별 급수인구'!$C$8:$AD$997,11,FALSE)</f>
        <v>684</v>
      </c>
      <c r="C12" s="517">
        <f>VLOOKUP(A12,'[2]2.행정구역별 급수인구'!$C$8:$AD$997,13,FALSE)</f>
        <v>674</v>
      </c>
      <c r="D12" s="517">
        <f>VLOOKUP(A12,'[2]2.행정구역별 급수인구'!$C$8:$AD$997,14,FALSE)</f>
        <v>667</v>
      </c>
      <c r="H12" s="517">
        <f>VLOOKUP(A12,'[2]2.행정구역별 급수인구'!$C$8:$AD$997,17,FALSE)</f>
        <v>0</v>
      </c>
      <c r="I12" s="517">
        <f>VLOOKUP(A12,'[2]2.행정구역별 급수인구'!$C$8:$AD$997,19,FALSE)</f>
        <v>539</v>
      </c>
      <c r="J12" s="517">
        <f>VLOOKUP(A12,'[2]2.행정구역별 급수인구'!$C$8:$AD$997,20,FALSE)</f>
        <v>567</v>
      </c>
    </row>
    <row r="13" spans="1:12" ht="18" customHeight="1">
      <c r="A13" s="406" t="s">
        <v>1755</v>
      </c>
      <c r="B13" s="517">
        <f>VLOOKUP(A13,'[2]2.행정구역별 급수인구'!$C$8:$AD$997,11,FALSE)</f>
        <v>257</v>
      </c>
      <c r="C13" s="517">
        <f>VLOOKUP(A13,'[2]2.행정구역별 급수인구'!$C$8:$AD$997,13,FALSE)</f>
        <v>253</v>
      </c>
      <c r="D13" s="517">
        <f>VLOOKUP(A13,'[2]2.행정구역별 급수인구'!$C$8:$AD$997,14,FALSE)</f>
        <v>250</v>
      </c>
      <c r="H13" s="517">
        <f>VLOOKUP(A13,'[2]2.행정구역별 급수인구'!$C$8:$AD$997,17,FALSE)</f>
        <v>0</v>
      </c>
      <c r="I13" s="517">
        <f>VLOOKUP(A13,'[2]2.행정구역별 급수인구'!$C$8:$AD$997,19,FALSE)</f>
        <v>202</v>
      </c>
      <c r="J13" s="517">
        <f>VLOOKUP(A13,'[2]2.행정구역별 급수인구'!$C$8:$AD$997,20,FALSE)</f>
        <v>213</v>
      </c>
    </row>
    <row r="14" spans="1:12" ht="18" customHeight="1">
      <c r="A14" s="406" t="s">
        <v>1756</v>
      </c>
      <c r="B14" s="517">
        <f>VLOOKUP(A14,'[2]2.행정구역별 급수인구'!$C$8:$AD$997,11,FALSE)</f>
        <v>101</v>
      </c>
      <c r="C14" s="517">
        <f>VLOOKUP(A14,'[2]2.행정구역별 급수인구'!$C$8:$AD$997,13,FALSE)</f>
        <v>99</v>
      </c>
      <c r="D14" s="517">
        <f>VLOOKUP(A14,'[2]2.행정구역별 급수인구'!$C$8:$AD$997,14,FALSE)</f>
        <v>98</v>
      </c>
      <c r="H14" s="517">
        <f>VLOOKUP(A14,'[2]2.행정구역별 급수인구'!$C$8:$AD$997,17,FALSE)</f>
        <v>0</v>
      </c>
      <c r="I14" s="517">
        <f>VLOOKUP(A14,'[2]2.행정구역별 급수인구'!$C$8:$AD$997,19,FALSE)</f>
        <v>79</v>
      </c>
      <c r="J14" s="517">
        <f>VLOOKUP(A14,'[2]2.행정구역별 급수인구'!$C$8:$AD$997,20,FALSE)</f>
        <v>83</v>
      </c>
    </row>
    <row r="15" spans="1:12" ht="18" customHeight="1">
      <c r="A15" s="406" t="s">
        <v>1757</v>
      </c>
      <c r="B15" s="517">
        <f>VLOOKUP(A15,'[2]2.행정구역별 급수인구'!$C$8:$AD$997,11,FALSE)</f>
        <v>88</v>
      </c>
      <c r="C15" s="517">
        <f>VLOOKUP(A15,'[2]2.행정구역별 급수인구'!$C$8:$AD$997,13,FALSE)</f>
        <v>87</v>
      </c>
      <c r="D15" s="517">
        <f>VLOOKUP(A15,'[2]2.행정구역별 급수인구'!$C$8:$AD$997,14,FALSE)</f>
        <v>86</v>
      </c>
      <c r="H15" s="517">
        <f>VLOOKUP(A15,'[2]2.행정구역별 급수인구'!$C$8:$AD$997,17,FALSE)</f>
        <v>0</v>
      </c>
      <c r="I15" s="517">
        <f>VLOOKUP(A15,'[2]2.행정구역별 급수인구'!$C$8:$AD$997,19,FALSE)</f>
        <v>70</v>
      </c>
      <c r="J15" s="517">
        <f>VLOOKUP(A15,'[2]2.행정구역별 급수인구'!$C$8:$AD$997,20,FALSE)</f>
        <v>73</v>
      </c>
    </row>
    <row r="16" spans="1:12" ht="18" customHeight="1">
      <c r="A16" s="406" t="s">
        <v>1758</v>
      </c>
      <c r="B16" s="517">
        <f>VLOOKUP(A16,'[2]2.행정구역별 급수인구'!$C$8:$AD$997,11,FALSE)</f>
        <v>90</v>
      </c>
      <c r="C16" s="517">
        <f>VLOOKUP(A16,'[2]2.행정구역별 급수인구'!$C$8:$AD$997,13,FALSE)</f>
        <v>89</v>
      </c>
      <c r="D16" s="517">
        <f>VLOOKUP(A16,'[2]2.행정구역별 급수인구'!$C$8:$AD$997,14,FALSE)</f>
        <v>88</v>
      </c>
      <c r="H16" s="517">
        <f>VLOOKUP(A16,'[2]2.행정구역별 급수인구'!$C$8:$AD$997,17,FALSE)</f>
        <v>0</v>
      </c>
      <c r="I16" s="517">
        <f>VLOOKUP(A16,'[2]2.행정구역별 급수인구'!$C$8:$AD$997,19,FALSE)</f>
        <v>71</v>
      </c>
      <c r="J16" s="517">
        <f>VLOOKUP(A16,'[2]2.행정구역별 급수인구'!$C$8:$AD$997,20,FALSE)</f>
        <v>75</v>
      </c>
    </row>
    <row r="17" spans="1:12" ht="18" customHeight="1">
      <c r="A17" s="516" t="s">
        <v>2599</v>
      </c>
      <c r="B17" s="517">
        <f>SUM(B18:B26)</f>
        <v>1581</v>
      </c>
      <c r="C17" s="517">
        <f>SUM(C18:C26)</f>
        <v>1561</v>
      </c>
      <c r="D17" s="517">
        <f>SUM(D18:D26)</f>
        <v>1542</v>
      </c>
      <c r="H17" s="517">
        <f>SUM(H18:H26)</f>
        <v>0</v>
      </c>
      <c r="I17" s="517">
        <f>SUM(I18:I26)</f>
        <v>1250</v>
      </c>
      <c r="J17" s="517">
        <f>SUM(J18:J26)</f>
        <v>1311</v>
      </c>
      <c r="K17" s="517">
        <f>ROUND((J17-I17)/5,0)</f>
        <v>12</v>
      </c>
      <c r="L17" s="517">
        <f>I17+K17</f>
        <v>1262</v>
      </c>
    </row>
    <row r="18" spans="1:12" ht="18" customHeight="1">
      <c r="A18" s="347" t="s">
        <v>1722</v>
      </c>
      <c r="B18" s="517">
        <f>VLOOKUP(A18,'[2]2.행정구역별 급수인구'!$C$8:$AD$997,11,FALSE)</f>
        <v>154</v>
      </c>
      <c r="C18" s="517">
        <f>VLOOKUP(A18,'[2]2.행정구역별 급수인구'!$C$8:$AD$997,13,FALSE)</f>
        <v>152</v>
      </c>
      <c r="D18" s="517">
        <f>VLOOKUP(A18,'[2]2.행정구역별 급수인구'!$C$8:$AD$997,14,FALSE)</f>
        <v>150</v>
      </c>
      <c r="H18" s="517">
        <f>VLOOKUP(A18,'[2]2.행정구역별 급수인구'!$C$8:$AD$997,17,FALSE)</f>
        <v>0</v>
      </c>
      <c r="I18" s="517">
        <f>VLOOKUP(A18,'[2]2.행정구역별 급수인구'!$C$8:$AD$997,19,FALSE)</f>
        <v>122</v>
      </c>
      <c r="J18" s="517">
        <f>VLOOKUP(A18,'[2]2.행정구역별 급수인구'!$C$8:$AD$997,20,FALSE)</f>
        <v>128</v>
      </c>
    </row>
    <row r="19" spans="1:12" ht="18" customHeight="1">
      <c r="A19" s="347" t="s">
        <v>1723</v>
      </c>
      <c r="B19" s="517">
        <f>VLOOKUP(A19,'[2]2.행정구역별 급수인구'!$C$8:$AD$997,11,FALSE)</f>
        <v>123</v>
      </c>
      <c r="C19" s="517">
        <f>VLOOKUP(A19,'[2]2.행정구역별 급수인구'!$C$8:$AD$997,13,FALSE)</f>
        <v>121</v>
      </c>
      <c r="D19" s="517">
        <f>VLOOKUP(A19,'[2]2.행정구역별 급수인구'!$C$8:$AD$997,14,FALSE)</f>
        <v>120</v>
      </c>
      <c r="H19" s="517">
        <f>VLOOKUP(A19,'[2]2.행정구역별 급수인구'!$C$8:$AD$997,17,FALSE)</f>
        <v>0</v>
      </c>
      <c r="I19" s="517">
        <f>VLOOKUP(A19,'[2]2.행정구역별 급수인구'!$C$8:$AD$997,19,FALSE)</f>
        <v>97</v>
      </c>
      <c r="J19" s="517">
        <f>VLOOKUP(A19,'[2]2.행정구역별 급수인구'!$C$8:$AD$997,20,FALSE)</f>
        <v>103</v>
      </c>
    </row>
    <row r="20" spans="1:12" ht="18" customHeight="1">
      <c r="A20" s="347" t="s">
        <v>1724</v>
      </c>
      <c r="B20" s="517">
        <f>VLOOKUP(A20,'[2]2.행정구역별 급수인구'!$C$8:$AD$997,11,FALSE)</f>
        <v>82</v>
      </c>
      <c r="C20" s="517">
        <f>VLOOKUP(A20,'[2]2.행정구역별 급수인구'!$C$8:$AD$997,13,FALSE)</f>
        <v>81</v>
      </c>
      <c r="D20" s="517">
        <f>VLOOKUP(A20,'[2]2.행정구역별 급수인구'!$C$8:$AD$997,14,FALSE)</f>
        <v>80</v>
      </c>
      <c r="H20" s="517">
        <f>VLOOKUP(A20,'[2]2.행정구역별 급수인구'!$C$8:$AD$997,17,FALSE)</f>
        <v>0</v>
      </c>
      <c r="I20" s="517">
        <f>VLOOKUP(A20,'[2]2.행정구역별 급수인구'!$C$8:$AD$997,19,FALSE)</f>
        <v>65</v>
      </c>
      <c r="J20" s="517">
        <f>VLOOKUP(A20,'[2]2.행정구역별 급수인구'!$C$8:$AD$997,20,FALSE)</f>
        <v>68</v>
      </c>
    </row>
    <row r="21" spans="1:12" ht="18" customHeight="1">
      <c r="A21" s="347" t="s">
        <v>1725</v>
      </c>
      <c r="B21" s="517">
        <f>VLOOKUP(A21,'[2]2.행정구역별 급수인구'!$C$8:$AD$997,11,FALSE)</f>
        <v>88</v>
      </c>
      <c r="C21" s="517">
        <f>VLOOKUP(A21,'[2]2.행정구역별 급수인구'!$C$8:$AD$997,13,FALSE)</f>
        <v>87</v>
      </c>
      <c r="D21" s="517">
        <f>VLOOKUP(A21,'[2]2.행정구역별 급수인구'!$C$8:$AD$997,14,FALSE)</f>
        <v>86</v>
      </c>
      <c r="H21" s="517">
        <f>VLOOKUP(A21,'[2]2.행정구역별 급수인구'!$C$8:$AD$997,17,FALSE)</f>
        <v>0</v>
      </c>
      <c r="I21" s="517">
        <f>VLOOKUP(A21,'[2]2.행정구역별 급수인구'!$C$8:$AD$997,19,FALSE)</f>
        <v>70</v>
      </c>
      <c r="J21" s="517">
        <f>VLOOKUP(A21,'[2]2.행정구역별 급수인구'!$C$8:$AD$997,20,FALSE)</f>
        <v>73</v>
      </c>
    </row>
    <row r="22" spans="1:12" ht="18" customHeight="1">
      <c r="A22" s="347" t="s">
        <v>1726</v>
      </c>
      <c r="B22" s="517">
        <f>VLOOKUP(A22,'[2]2.행정구역별 급수인구'!$C$8:$AD$997,11,FALSE)</f>
        <v>401</v>
      </c>
      <c r="C22" s="517">
        <f>VLOOKUP(A22,'[2]2.행정구역별 급수인구'!$C$8:$AD$997,13,FALSE)</f>
        <v>396</v>
      </c>
      <c r="D22" s="517">
        <f>VLOOKUP(A22,'[2]2.행정구역별 급수인구'!$C$8:$AD$997,14,FALSE)</f>
        <v>391</v>
      </c>
      <c r="H22" s="517">
        <f>VLOOKUP(A22,'[2]2.행정구역별 급수인구'!$C$8:$AD$997,17,FALSE)</f>
        <v>0</v>
      </c>
      <c r="I22" s="517">
        <f>VLOOKUP(A22,'[2]2.행정구역별 급수인구'!$C$8:$AD$997,19,FALSE)</f>
        <v>317</v>
      </c>
      <c r="J22" s="517">
        <f>VLOOKUP(A22,'[2]2.행정구역별 급수인구'!$C$8:$AD$997,20,FALSE)</f>
        <v>332</v>
      </c>
    </row>
    <row r="23" spans="1:12" ht="18" customHeight="1">
      <c r="A23" s="347" t="s">
        <v>1727</v>
      </c>
      <c r="B23" s="517">
        <f>VLOOKUP(A23,'[2]2.행정구역별 급수인구'!$C$8:$AD$997,11,FALSE)</f>
        <v>94</v>
      </c>
      <c r="C23" s="517">
        <f>VLOOKUP(A23,'[2]2.행정구역별 급수인구'!$C$8:$AD$997,13,FALSE)</f>
        <v>93</v>
      </c>
      <c r="D23" s="517">
        <f>VLOOKUP(A23,'[2]2.행정구역별 급수인구'!$C$8:$AD$997,14,FALSE)</f>
        <v>92</v>
      </c>
      <c r="H23" s="517">
        <f>VLOOKUP(A23,'[2]2.행정구역별 급수인구'!$C$8:$AD$997,17,FALSE)</f>
        <v>0</v>
      </c>
      <c r="I23" s="517">
        <f>VLOOKUP(A23,'[2]2.행정구역별 급수인구'!$C$8:$AD$997,19,FALSE)</f>
        <v>74</v>
      </c>
      <c r="J23" s="517">
        <f>VLOOKUP(A23,'[2]2.행정구역별 급수인구'!$C$8:$AD$997,20,FALSE)</f>
        <v>78</v>
      </c>
    </row>
    <row r="24" spans="1:12" ht="18" customHeight="1">
      <c r="A24" s="347" t="s">
        <v>1728</v>
      </c>
      <c r="B24" s="517">
        <f>VLOOKUP(A24,'[2]2.행정구역별 급수인구'!$C$8:$AD$997,11,FALSE)</f>
        <v>239</v>
      </c>
      <c r="C24" s="517">
        <f>VLOOKUP(A24,'[2]2.행정구역별 급수인구'!$C$8:$AD$997,13,FALSE)</f>
        <v>236</v>
      </c>
      <c r="D24" s="517">
        <f>VLOOKUP(A24,'[2]2.행정구역별 급수인구'!$C$8:$AD$997,14,FALSE)</f>
        <v>233</v>
      </c>
      <c r="H24" s="517">
        <f>VLOOKUP(A24,'[2]2.행정구역별 급수인구'!$C$8:$AD$997,17,FALSE)</f>
        <v>0</v>
      </c>
      <c r="I24" s="517">
        <f>VLOOKUP(A24,'[2]2.행정구역별 급수인구'!$C$8:$AD$997,19,FALSE)</f>
        <v>189</v>
      </c>
      <c r="J24" s="517">
        <f>VLOOKUP(A24,'[2]2.행정구역별 급수인구'!$C$8:$AD$997,20,FALSE)</f>
        <v>198</v>
      </c>
    </row>
    <row r="25" spans="1:12" ht="18" customHeight="1">
      <c r="A25" s="347" t="s">
        <v>1729</v>
      </c>
      <c r="B25" s="517">
        <f>VLOOKUP(A25,'[2]2.행정구역별 급수인구'!$C$8:$AD$997,11,FALSE)</f>
        <v>237</v>
      </c>
      <c r="C25" s="517">
        <f>VLOOKUP(A25,'[2]2.행정구역별 급수인구'!$C$8:$AD$997,13,FALSE)</f>
        <v>234</v>
      </c>
      <c r="D25" s="517">
        <f>VLOOKUP(A25,'[2]2.행정구역별 급수인구'!$C$8:$AD$997,14,FALSE)</f>
        <v>231</v>
      </c>
      <c r="H25" s="517">
        <f>VLOOKUP(A25,'[2]2.행정구역별 급수인구'!$C$8:$AD$997,17,FALSE)</f>
        <v>0</v>
      </c>
      <c r="I25" s="517">
        <f>VLOOKUP(A25,'[2]2.행정구역별 급수인구'!$C$8:$AD$997,19,FALSE)</f>
        <v>187</v>
      </c>
      <c r="J25" s="517">
        <f>VLOOKUP(A25,'[2]2.행정구역별 급수인구'!$C$8:$AD$997,20,FALSE)</f>
        <v>196</v>
      </c>
    </row>
    <row r="26" spans="1:12" ht="18" customHeight="1">
      <c r="A26" s="347" t="s">
        <v>1730</v>
      </c>
      <c r="B26" s="517">
        <f>VLOOKUP(A26,'[2]2.행정구역별 급수인구'!$C$8:$AD$997,11,FALSE)</f>
        <v>163</v>
      </c>
      <c r="C26" s="517">
        <f>VLOOKUP(A26,'[2]2.행정구역별 급수인구'!$C$8:$AD$997,13,FALSE)</f>
        <v>161</v>
      </c>
      <c r="D26" s="517">
        <f>VLOOKUP(A26,'[2]2.행정구역별 급수인구'!$C$8:$AD$997,14,FALSE)</f>
        <v>159</v>
      </c>
      <c r="H26" s="517">
        <f>VLOOKUP(A26,'[2]2.행정구역별 급수인구'!$C$8:$AD$997,17,FALSE)</f>
        <v>0</v>
      </c>
      <c r="I26" s="517">
        <f>VLOOKUP(A26,'[2]2.행정구역별 급수인구'!$C$8:$AD$997,19,FALSE)</f>
        <v>129</v>
      </c>
      <c r="J26" s="517">
        <f>VLOOKUP(A26,'[2]2.행정구역별 급수인구'!$C$8:$AD$997,20,FALSE)</f>
        <v>135</v>
      </c>
    </row>
    <row r="27" spans="1:12" ht="18" customHeight="1">
      <c r="A27" s="516" t="s">
        <v>704</v>
      </c>
      <c r="B27" s="517">
        <f>SUM(B28:B45)</f>
        <v>2550</v>
      </c>
      <c r="C27" s="517">
        <f>SUM(C28:C45)</f>
        <v>2514</v>
      </c>
      <c r="D27" s="517">
        <f>SUM(D28:D45)</f>
        <v>2486</v>
      </c>
      <c r="H27" s="517">
        <f>SUM(H28:H45)</f>
        <v>0</v>
      </c>
      <c r="I27" s="517">
        <f>SUM(I28:I45)</f>
        <v>1863</v>
      </c>
      <c r="J27" s="517">
        <f>SUM(J28:J45)</f>
        <v>2115</v>
      </c>
      <c r="K27" s="517">
        <f>ROUND((J27-I27)/5,0)</f>
        <v>50</v>
      </c>
      <c r="L27" s="517">
        <f>I27+K27</f>
        <v>1913</v>
      </c>
    </row>
    <row r="28" spans="1:12" ht="18" customHeight="1">
      <c r="A28" s="406" t="s">
        <v>1694</v>
      </c>
      <c r="B28" s="517">
        <f>VLOOKUP(A28,'[2]2.행정구역별 급수인구'!$C$8:$AD$997,11,FALSE)</f>
        <v>237</v>
      </c>
      <c r="C28" s="517">
        <f>VLOOKUP(A28,'[2]2.행정구역별 급수인구'!$C$8:$AD$997,13,FALSE)</f>
        <v>234</v>
      </c>
      <c r="D28" s="517">
        <f>VLOOKUP(A28,'[2]2.행정구역별 급수인구'!$C$8:$AD$997,14,FALSE)</f>
        <v>231</v>
      </c>
      <c r="H28" s="517">
        <f>VLOOKUP(A28,'[2]2.행정구역별 급수인구'!$C$8:$AD$997,17,FALSE)</f>
        <v>0</v>
      </c>
      <c r="I28" s="517">
        <f>VLOOKUP(A28,'[2]2.행정구역별 급수인구'!$C$8:$AD$997,19,FALSE)</f>
        <v>187</v>
      </c>
      <c r="J28" s="517">
        <f>VLOOKUP(A28,'[2]2.행정구역별 급수인구'!$C$8:$AD$997,20,FALSE)</f>
        <v>196</v>
      </c>
    </row>
    <row r="29" spans="1:12" ht="18" customHeight="1">
      <c r="A29" s="406" t="s">
        <v>1695</v>
      </c>
      <c r="B29" s="517">
        <f>VLOOKUP(A29,'[2]2.행정구역별 급수인구'!$C$8:$AD$997,11,FALSE)</f>
        <v>49</v>
      </c>
      <c r="C29" s="517">
        <f>VLOOKUP(A29,'[2]2.행정구역별 급수인구'!$C$8:$AD$997,13,FALSE)</f>
        <v>49</v>
      </c>
      <c r="D29" s="517">
        <f>VLOOKUP(A29,'[2]2.행정구역별 급수인구'!$C$8:$AD$997,14,FALSE)</f>
        <v>48</v>
      </c>
      <c r="H29" s="517">
        <f>VLOOKUP(A29,'[2]2.행정구역별 급수인구'!$C$8:$AD$997,17,FALSE)</f>
        <v>0</v>
      </c>
      <c r="I29" s="517">
        <f>VLOOKUP(A29,'[2]2.행정구역별 급수인구'!$C$8:$AD$997,19,FALSE)</f>
        <v>39</v>
      </c>
      <c r="J29" s="517">
        <f>VLOOKUP(A29,'[2]2.행정구역별 급수인구'!$C$8:$AD$997,20,FALSE)</f>
        <v>41</v>
      </c>
    </row>
    <row r="30" spans="1:12" ht="18" customHeight="1">
      <c r="A30" s="406" t="s">
        <v>1698</v>
      </c>
      <c r="B30" s="517">
        <f>VLOOKUP(A30,'[2]2.행정구역별 급수인구'!$C$8:$AD$997,11,FALSE)</f>
        <v>122</v>
      </c>
      <c r="C30" s="517">
        <f>VLOOKUP(A30,'[2]2.행정구역별 급수인구'!$C$8:$AD$997,13,FALSE)</f>
        <v>120</v>
      </c>
      <c r="D30" s="517">
        <f>VLOOKUP(A30,'[2]2.행정구역별 급수인구'!$C$8:$AD$997,14,FALSE)</f>
        <v>119</v>
      </c>
      <c r="H30" s="517">
        <f>VLOOKUP(A30,'[2]2.행정구역별 급수인구'!$C$8:$AD$997,17,FALSE)</f>
        <v>0</v>
      </c>
      <c r="I30" s="517">
        <f>VLOOKUP(A30,'[2]2.행정구역별 급수인구'!$C$8:$AD$997,19,FALSE)</f>
        <v>96</v>
      </c>
      <c r="J30" s="517">
        <f>VLOOKUP(A30,'[2]2.행정구역별 급수인구'!$C$8:$AD$997,20,FALSE)</f>
        <v>101</v>
      </c>
    </row>
    <row r="31" spans="1:12" ht="18" customHeight="1">
      <c r="A31" s="406" t="s">
        <v>1699</v>
      </c>
      <c r="B31" s="517">
        <f>VLOOKUP(A31,'[2]2.행정구역별 급수인구'!$C$8:$AD$997,11,FALSE)</f>
        <v>116</v>
      </c>
      <c r="C31" s="517">
        <f>VLOOKUP(A31,'[2]2.행정구역별 급수인구'!$C$8:$AD$997,13,FALSE)</f>
        <v>114</v>
      </c>
      <c r="D31" s="517">
        <f>VLOOKUP(A31,'[2]2.행정구역별 급수인구'!$C$8:$AD$997,14,FALSE)</f>
        <v>113</v>
      </c>
      <c r="H31" s="517">
        <f>VLOOKUP(A31,'[2]2.행정구역별 급수인구'!$C$8:$AD$997,17,FALSE)</f>
        <v>0</v>
      </c>
      <c r="I31" s="517">
        <f>VLOOKUP(A31,'[2]2.행정구역별 급수인구'!$C$8:$AD$997,19,FALSE)</f>
        <v>91</v>
      </c>
      <c r="J31" s="517">
        <f>VLOOKUP(A31,'[2]2.행정구역별 급수인구'!$C$8:$AD$997,20,FALSE)</f>
        <v>96</v>
      </c>
    </row>
    <row r="32" spans="1:12" ht="18" customHeight="1">
      <c r="A32" s="406" t="s">
        <v>1700</v>
      </c>
      <c r="B32" s="517">
        <f>VLOOKUP(A32,'[2]2.행정구역별 급수인구'!$C$8:$AD$997,11,FALSE)</f>
        <v>326</v>
      </c>
      <c r="C32" s="517">
        <f>VLOOKUP(A32,'[2]2.행정구역별 급수인구'!$C$8:$AD$997,13,FALSE)</f>
        <v>322</v>
      </c>
      <c r="D32" s="517">
        <f>VLOOKUP(A32,'[2]2.행정구역별 급수인구'!$C$8:$AD$997,14,FALSE)</f>
        <v>318</v>
      </c>
      <c r="H32" s="517">
        <f>VLOOKUP(A32,'[2]2.행정구역별 급수인구'!$C$8:$AD$997,17,FALSE)</f>
        <v>0</v>
      </c>
      <c r="I32" s="517">
        <f>VLOOKUP(A32,'[2]2.행정구역별 급수인구'!$C$8:$AD$997,19,FALSE)</f>
        <v>258</v>
      </c>
      <c r="J32" s="517">
        <f>VLOOKUP(A32,'[2]2.행정구역별 급수인구'!$C$8:$AD$997,20,FALSE)</f>
        <v>271</v>
      </c>
    </row>
    <row r="33" spans="1:10" ht="18" customHeight="1">
      <c r="A33" s="406" t="s">
        <v>1701</v>
      </c>
      <c r="B33" s="517">
        <f>VLOOKUP(A33,'[2]2.행정구역별 급수인구'!$C$8:$AD$997,11,FALSE)</f>
        <v>111</v>
      </c>
      <c r="C33" s="517">
        <f>VLOOKUP(A33,'[2]2.행정구역별 급수인구'!$C$8:$AD$997,13,FALSE)</f>
        <v>109</v>
      </c>
      <c r="D33" s="517">
        <f>VLOOKUP(A33,'[2]2.행정구역별 급수인구'!$C$8:$AD$997,14,FALSE)</f>
        <v>109</v>
      </c>
      <c r="H33" s="517">
        <f>VLOOKUP(A33,'[2]2.행정구역별 급수인구'!$C$8:$AD$997,17,FALSE)</f>
        <v>0</v>
      </c>
      <c r="I33" s="517">
        <f>VLOOKUP(A33,'[2]2.행정구역별 급수인구'!$C$8:$AD$997,19,FALSE)</f>
        <v>87</v>
      </c>
      <c r="J33" s="517">
        <f>VLOOKUP(A33,'[2]2.행정구역별 급수인구'!$C$8:$AD$997,20,FALSE)</f>
        <v>92</v>
      </c>
    </row>
    <row r="34" spans="1:10" ht="18" customHeight="1">
      <c r="A34" s="406" t="s">
        <v>1702</v>
      </c>
      <c r="B34" s="517">
        <f>VLOOKUP(A34,'[2]2.행정구역별 급수인구'!$C$8:$AD$997,11,FALSE)</f>
        <v>190</v>
      </c>
      <c r="C34" s="517">
        <f>VLOOKUP(A34,'[2]2.행정구역별 급수인구'!$C$8:$AD$997,13,FALSE)</f>
        <v>187</v>
      </c>
      <c r="D34" s="517">
        <f>VLOOKUP(A34,'[2]2.행정구역별 급수인구'!$C$8:$AD$997,14,FALSE)</f>
        <v>185</v>
      </c>
      <c r="H34" s="517">
        <f>VLOOKUP(A34,'[2]2.행정구역별 급수인구'!$C$8:$AD$997,17,FALSE)</f>
        <v>0</v>
      </c>
      <c r="I34" s="517">
        <f>VLOOKUP(A34,'[2]2.행정구역별 급수인구'!$C$8:$AD$997,19,FALSE)</f>
        <v>149</v>
      </c>
      <c r="J34" s="517">
        <f>VLOOKUP(A34,'[2]2.행정구역별 급수인구'!$C$8:$AD$997,20,FALSE)</f>
        <v>157</v>
      </c>
    </row>
    <row r="35" spans="1:10" ht="18" customHeight="1">
      <c r="A35" s="406" t="s">
        <v>1703</v>
      </c>
      <c r="B35" s="517">
        <f>VLOOKUP(A35,'[2]2.행정구역별 급수인구'!$C$8:$AD$997,11,FALSE)</f>
        <v>70</v>
      </c>
      <c r="C35" s="517">
        <f>VLOOKUP(A35,'[2]2.행정구역별 급수인구'!$C$8:$AD$997,13,FALSE)</f>
        <v>69</v>
      </c>
      <c r="D35" s="517">
        <f>VLOOKUP(A35,'[2]2.행정구역별 급수인구'!$C$8:$AD$997,14,FALSE)</f>
        <v>68</v>
      </c>
      <c r="H35" s="517">
        <f>VLOOKUP(A35,'[2]2.행정구역별 급수인구'!$C$8:$AD$997,17,FALSE)</f>
        <v>0</v>
      </c>
      <c r="I35" s="517">
        <f>VLOOKUP(A35,'[2]2.행정구역별 급수인구'!$C$8:$AD$997,19,FALSE)</f>
        <v>56</v>
      </c>
      <c r="J35" s="517">
        <f>VLOOKUP(A35,'[2]2.행정구역별 급수인구'!$C$8:$AD$997,20,FALSE)</f>
        <v>58</v>
      </c>
    </row>
    <row r="36" spans="1:10" ht="18" customHeight="1">
      <c r="A36" s="380" t="s">
        <v>1712</v>
      </c>
      <c r="B36" s="517">
        <f>VLOOKUP(A36,'[2]2.행정구역별 급수인구'!$C$8:$AD$997,11,FALSE)</f>
        <v>117</v>
      </c>
      <c r="C36" s="517">
        <f>VLOOKUP(A36,'[2]2.행정구역별 급수인구'!$C$8:$AD$997,13,FALSE)</f>
        <v>115</v>
      </c>
      <c r="D36" s="517">
        <f>VLOOKUP(A36,'[2]2.행정구역별 급수인구'!$C$8:$AD$997,14,FALSE)</f>
        <v>114</v>
      </c>
      <c r="H36" s="517">
        <f>VLOOKUP(A36,'[2]2.행정구역별 급수인구'!$C$8:$AD$997,17,FALSE)</f>
        <v>0</v>
      </c>
      <c r="I36" s="517">
        <f>VLOOKUP(A36,'[2]2.행정구역별 급수인구'!$C$8:$AD$997,19,FALSE)</f>
        <v>0</v>
      </c>
      <c r="J36" s="517">
        <f>VLOOKUP(A36,'[2]2.행정구역별 급수인구'!$C$8:$AD$997,20,FALSE)</f>
        <v>97</v>
      </c>
    </row>
    <row r="37" spans="1:10" ht="18" customHeight="1">
      <c r="A37" s="380" t="s">
        <v>1713</v>
      </c>
      <c r="B37" s="517">
        <f>VLOOKUP(A37,'[2]2.행정구역별 급수인구'!$C$8:$AD$997,11,FALSE)</f>
        <v>237</v>
      </c>
      <c r="C37" s="517">
        <f>VLOOKUP(A37,'[2]2.행정구역별 급수인구'!$C$8:$AD$997,13,FALSE)</f>
        <v>234</v>
      </c>
      <c r="D37" s="517">
        <f>VLOOKUP(A37,'[2]2.행정구역별 급수인구'!$C$8:$AD$997,14,FALSE)</f>
        <v>231</v>
      </c>
      <c r="H37" s="517">
        <f>VLOOKUP(A37,'[2]2.행정구역별 급수인구'!$C$8:$AD$997,17,FALSE)</f>
        <v>0</v>
      </c>
      <c r="I37" s="517">
        <f>VLOOKUP(A37,'[2]2.행정구역별 급수인구'!$C$8:$AD$997,19,FALSE)</f>
        <v>187</v>
      </c>
      <c r="J37" s="517">
        <f>VLOOKUP(A37,'[2]2.행정구역별 급수인구'!$C$8:$AD$997,20,FALSE)</f>
        <v>197</v>
      </c>
    </row>
    <row r="38" spans="1:10" ht="18" customHeight="1">
      <c r="A38" s="380" t="s">
        <v>1714</v>
      </c>
      <c r="B38" s="517">
        <f>VLOOKUP(A38,'[2]2.행정구역별 급수인구'!$C$8:$AD$997,11,FALSE)</f>
        <v>72</v>
      </c>
      <c r="C38" s="517">
        <f>VLOOKUP(A38,'[2]2.행정구역별 급수인구'!$C$8:$AD$997,13,FALSE)</f>
        <v>71</v>
      </c>
      <c r="D38" s="517">
        <f>VLOOKUP(A38,'[2]2.행정구역별 급수인구'!$C$8:$AD$997,14,FALSE)</f>
        <v>70</v>
      </c>
      <c r="H38" s="517">
        <f>VLOOKUP(A38,'[2]2.행정구역별 급수인구'!$C$8:$AD$997,17,FALSE)</f>
        <v>0</v>
      </c>
      <c r="I38" s="517">
        <f>VLOOKUP(A38,'[2]2.행정구역별 급수인구'!$C$8:$AD$997,19,FALSE)</f>
        <v>0</v>
      </c>
      <c r="J38" s="517">
        <f>VLOOKUP(A38,'[2]2.행정구역별 급수인구'!$C$8:$AD$997,20,FALSE)</f>
        <v>60</v>
      </c>
    </row>
    <row r="39" spans="1:10" ht="18" customHeight="1">
      <c r="A39" s="380" t="s">
        <v>1715</v>
      </c>
      <c r="B39" s="517">
        <f>VLOOKUP(A39,'[2]2.행정구역별 급수인구'!$C$8:$AD$997,11,FALSE)</f>
        <v>157</v>
      </c>
      <c r="C39" s="517">
        <f>VLOOKUP(A39,'[2]2.행정구역별 급수인구'!$C$8:$AD$997,13,FALSE)</f>
        <v>155</v>
      </c>
      <c r="D39" s="517">
        <f>VLOOKUP(A39,'[2]2.행정구역별 급수인구'!$C$8:$AD$997,14,FALSE)</f>
        <v>153</v>
      </c>
      <c r="H39" s="517">
        <f>VLOOKUP(A39,'[2]2.행정구역별 급수인구'!$C$8:$AD$997,17,FALSE)</f>
        <v>0</v>
      </c>
      <c r="I39" s="517">
        <f>VLOOKUP(A39,'[2]2.행정구역별 급수인구'!$C$8:$AD$997,19,FALSE)</f>
        <v>125</v>
      </c>
      <c r="J39" s="517">
        <f>VLOOKUP(A39,'[2]2.행정구역별 급수인구'!$C$8:$AD$997,20,FALSE)</f>
        <v>131</v>
      </c>
    </row>
    <row r="40" spans="1:10" ht="18" customHeight="1">
      <c r="A40" s="380" t="s">
        <v>1716</v>
      </c>
      <c r="B40" s="517">
        <f>VLOOKUP(A40,'[2]2.행정구역별 급수인구'!$C$8:$AD$997,11,FALSE)</f>
        <v>150</v>
      </c>
      <c r="C40" s="517">
        <f>VLOOKUP(A40,'[2]2.행정구역별 급수인구'!$C$8:$AD$997,13,FALSE)</f>
        <v>148</v>
      </c>
      <c r="D40" s="517">
        <f>VLOOKUP(A40,'[2]2.행정구역별 급수인구'!$C$8:$AD$997,14,FALSE)</f>
        <v>146</v>
      </c>
      <c r="H40" s="517">
        <f>VLOOKUP(A40,'[2]2.행정구역별 급수인구'!$C$8:$AD$997,17,FALSE)</f>
        <v>0</v>
      </c>
      <c r="I40" s="517">
        <f>VLOOKUP(A40,'[2]2.행정구역별 급수인구'!$C$8:$AD$997,19,FALSE)</f>
        <v>118</v>
      </c>
      <c r="J40" s="517">
        <f>VLOOKUP(A40,'[2]2.행정구역별 급수인구'!$C$8:$AD$997,20,FALSE)</f>
        <v>124</v>
      </c>
    </row>
    <row r="41" spans="1:10" ht="18" customHeight="1">
      <c r="A41" s="380" t="s">
        <v>1717</v>
      </c>
      <c r="B41" s="517">
        <f>VLOOKUP(A41,'[2]2.행정구역별 급수인구'!$C$8:$AD$997,11,FALSE)</f>
        <v>179</v>
      </c>
      <c r="C41" s="517">
        <f>VLOOKUP(A41,'[2]2.행정구역별 급수인구'!$C$8:$AD$997,13,FALSE)</f>
        <v>176</v>
      </c>
      <c r="D41" s="517">
        <f>VLOOKUP(A41,'[2]2.행정구역별 급수인구'!$C$8:$AD$997,14,FALSE)</f>
        <v>175</v>
      </c>
      <c r="H41" s="517">
        <f>VLOOKUP(A41,'[2]2.행정구역별 급수인구'!$C$8:$AD$997,17,FALSE)</f>
        <v>0</v>
      </c>
      <c r="I41" s="517">
        <f>VLOOKUP(A41,'[2]2.행정구역별 급수인구'!$C$8:$AD$997,19,FALSE)</f>
        <v>141</v>
      </c>
      <c r="J41" s="517">
        <f>VLOOKUP(A41,'[2]2.행정구역별 급수인구'!$C$8:$AD$997,20,FALSE)</f>
        <v>149</v>
      </c>
    </row>
    <row r="42" spans="1:10" ht="18" customHeight="1">
      <c r="A42" s="380" t="s">
        <v>1718</v>
      </c>
      <c r="B42" s="517">
        <f>VLOOKUP(A42,'[2]2.행정구역별 급수인구'!$C$8:$AD$997,11,FALSE)</f>
        <v>97</v>
      </c>
      <c r="C42" s="517">
        <f>VLOOKUP(A42,'[2]2.행정구역별 급수인구'!$C$8:$AD$997,13,FALSE)</f>
        <v>96</v>
      </c>
      <c r="D42" s="517">
        <f>VLOOKUP(A42,'[2]2.행정구역별 급수인구'!$C$8:$AD$997,14,FALSE)</f>
        <v>94</v>
      </c>
      <c r="H42" s="517">
        <f>VLOOKUP(A42,'[2]2.행정구역별 급수인구'!$C$8:$AD$997,17,FALSE)</f>
        <v>0</v>
      </c>
      <c r="I42" s="517">
        <f>VLOOKUP(A42,'[2]2.행정구역별 급수인구'!$C$8:$AD$997,19,FALSE)</f>
        <v>77</v>
      </c>
      <c r="J42" s="517">
        <f>VLOOKUP(A42,'[2]2.행정구역별 급수인구'!$C$8:$AD$997,20,FALSE)</f>
        <v>79</v>
      </c>
    </row>
    <row r="43" spans="1:10" ht="18" customHeight="1">
      <c r="A43" s="380" t="s">
        <v>1719</v>
      </c>
      <c r="B43" s="517">
        <f>VLOOKUP(A43,'[2]2.행정구역별 급수인구'!$C$8:$AD$997,11,FALSE)</f>
        <v>61</v>
      </c>
      <c r="C43" s="517">
        <f>VLOOKUP(A43,'[2]2.행정구역별 급수인구'!$C$8:$AD$997,13,FALSE)</f>
        <v>60</v>
      </c>
      <c r="D43" s="517">
        <f>VLOOKUP(A43,'[2]2.행정구역별 급수인구'!$C$8:$AD$997,14,FALSE)</f>
        <v>60</v>
      </c>
      <c r="H43" s="517">
        <f>VLOOKUP(A43,'[2]2.행정구역별 급수인구'!$C$8:$AD$997,17,FALSE)</f>
        <v>0</v>
      </c>
      <c r="I43" s="517">
        <f>VLOOKUP(A43,'[2]2.행정구역별 급수인구'!$C$8:$AD$997,19,FALSE)</f>
        <v>48</v>
      </c>
      <c r="J43" s="517">
        <f>VLOOKUP(A43,'[2]2.행정구역별 급수인구'!$C$8:$AD$997,20,FALSE)</f>
        <v>51</v>
      </c>
    </row>
    <row r="44" spans="1:10" ht="18" customHeight="1">
      <c r="A44" s="380" t="s">
        <v>1720</v>
      </c>
      <c r="B44" s="517">
        <f>VLOOKUP(A44,'[2]2.행정구역별 급수인구'!$C$8:$AD$997,11,FALSE)</f>
        <v>154</v>
      </c>
      <c r="C44" s="517">
        <f>VLOOKUP(A44,'[2]2.행정구역별 급수인구'!$C$8:$AD$997,13,FALSE)</f>
        <v>152</v>
      </c>
      <c r="D44" s="517">
        <f>VLOOKUP(A44,'[2]2.행정구역별 급수인구'!$C$8:$AD$997,14,FALSE)</f>
        <v>150</v>
      </c>
      <c r="H44" s="517">
        <f>VLOOKUP(A44,'[2]2.행정구역별 급수인구'!$C$8:$AD$997,17,FALSE)</f>
        <v>0</v>
      </c>
      <c r="I44" s="517">
        <f>VLOOKUP(A44,'[2]2.행정구역별 급수인구'!$C$8:$AD$997,19,FALSE)</f>
        <v>122</v>
      </c>
      <c r="J44" s="517">
        <f>VLOOKUP(A44,'[2]2.행정구역별 급수인구'!$C$8:$AD$997,20,FALSE)</f>
        <v>128</v>
      </c>
    </row>
    <row r="45" spans="1:10" ht="18" customHeight="1">
      <c r="A45" s="380" t="s">
        <v>1721</v>
      </c>
      <c r="B45" s="517">
        <f>VLOOKUP(A45,'[2]2.행정구역별 급수인구'!$C$8:$AD$997,11,FALSE)</f>
        <v>105</v>
      </c>
      <c r="C45" s="517">
        <f>VLOOKUP(A45,'[2]2.행정구역별 급수인구'!$C$8:$AD$997,13,FALSE)</f>
        <v>103</v>
      </c>
      <c r="D45" s="517">
        <f>VLOOKUP(A45,'[2]2.행정구역별 급수인구'!$C$8:$AD$997,14,FALSE)</f>
        <v>102</v>
      </c>
      <c r="H45" s="517">
        <f>VLOOKUP(A45,'[2]2.행정구역별 급수인구'!$C$8:$AD$997,17,FALSE)</f>
        <v>0</v>
      </c>
      <c r="I45" s="517">
        <f>VLOOKUP(A45,'[2]2.행정구역별 급수인구'!$C$8:$AD$997,19,FALSE)</f>
        <v>82</v>
      </c>
      <c r="J45" s="517">
        <f>VLOOKUP(A45,'[2]2.행정구역별 급수인구'!$C$8:$AD$997,20,FALSE)</f>
        <v>87</v>
      </c>
    </row>
    <row r="48" spans="1:10" ht="18" customHeight="1">
      <c r="A48" t="s">
        <v>2449</v>
      </c>
    </row>
    <row r="49" spans="1:12" ht="18" customHeight="1">
      <c r="A49" s="516" t="s">
        <v>704</v>
      </c>
      <c r="B49" s="517">
        <f>SUM(B50:B57)</f>
        <v>1581</v>
      </c>
      <c r="C49" s="517">
        <f>SUM(C50:C57)</f>
        <v>1560</v>
      </c>
      <c r="D49" s="517">
        <f>SUM(D50:D57)</f>
        <v>1540</v>
      </c>
      <c r="H49" s="517">
        <f>SUM(H50:H57)</f>
        <v>0</v>
      </c>
      <c r="I49" s="517">
        <f>SUM(I50:I57)</f>
        <v>68</v>
      </c>
      <c r="J49" s="517">
        <f>SUM(J50:J57)</f>
        <v>1309</v>
      </c>
      <c r="K49" s="517">
        <f>ROUND((J49-I49)/5,0)</f>
        <v>248</v>
      </c>
      <c r="L49" s="517">
        <f>I49+K49</f>
        <v>316</v>
      </c>
    </row>
    <row r="50" spans="1:12" ht="18" customHeight="1">
      <c r="A50" s="380" t="s">
        <v>1704</v>
      </c>
      <c r="B50" s="517">
        <f>VLOOKUP(A50,'[2]2.행정구역별 급수인구'!$C$8:$AD$997,11,FALSE)</f>
        <v>75</v>
      </c>
      <c r="C50" s="517">
        <f>VLOOKUP(A50,'[2]2.행정구역별 급수인구'!$C$8:$AD$997,13,FALSE)</f>
        <v>74</v>
      </c>
      <c r="D50" s="517">
        <f>VLOOKUP(A50,'[2]2.행정구역별 급수인구'!$C$8:$AD$997,14,FALSE)</f>
        <v>73</v>
      </c>
      <c r="H50" s="517">
        <f>VLOOKUP(A50,'[2]2.행정구역별 급수인구'!$C$8:$AD$997,17,FALSE)</f>
        <v>0</v>
      </c>
      <c r="I50" s="517">
        <f>VLOOKUP(A50,'[2]2.행정구역별 급수인구'!$C$8:$AD$997,19,FALSE)</f>
        <v>0</v>
      </c>
      <c r="J50" s="517">
        <f>VLOOKUP(A50,'[2]2.행정구역별 급수인구'!$C$8:$AD$997,20,FALSE)</f>
        <v>62</v>
      </c>
    </row>
    <row r="51" spans="1:12" ht="18" customHeight="1">
      <c r="A51" s="380" t="s">
        <v>1705</v>
      </c>
      <c r="B51" s="517">
        <f>VLOOKUP(A51,'[2]2.행정구역별 급수인구'!$C$8:$AD$997,11,FALSE)</f>
        <v>361</v>
      </c>
      <c r="C51" s="517">
        <f>VLOOKUP(A51,'[2]2.행정구역별 급수인구'!$C$8:$AD$997,13,FALSE)</f>
        <v>356</v>
      </c>
      <c r="D51" s="517">
        <f>VLOOKUP(A51,'[2]2.행정구역별 급수인구'!$C$8:$AD$997,14,FALSE)</f>
        <v>352</v>
      </c>
      <c r="H51" s="517">
        <f>VLOOKUP(A51,'[2]2.행정구역별 급수인구'!$C$8:$AD$997,17,FALSE)</f>
        <v>0</v>
      </c>
      <c r="I51" s="517">
        <f>VLOOKUP(A51,'[2]2.행정구역별 급수인구'!$C$8:$AD$997,19,FALSE)</f>
        <v>0</v>
      </c>
      <c r="J51" s="517">
        <f>VLOOKUP(A51,'[2]2.행정구역별 급수인구'!$C$8:$AD$997,20,FALSE)</f>
        <v>299</v>
      </c>
    </row>
    <row r="52" spans="1:12" ht="18" customHeight="1">
      <c r="A52" s="380" t="s">
        <v>1706</v>
      </c>
      <c r="B52" s="517">
        <f>VLOOKUP(A52,'[2]2.행정구역별 급수인구'!$C$8:$AD$997,11,FALSE)</f>
        <v>157</v>
      </c>
      <c r="C52" s="517">
        <f>VLOOKUP(A52,'[2]2.행정구역별 급수인구'!$C$8:$AD$997,13,FALSE)</f>
        <v>155</v>
      </c>
      <c r="D52" s="517">
        <f>VLOOKUP(A52,'[2]2.행정구역별 급수인구'!$C$8:$AD$997,14,FALSE)</f>
        <v>153</v>
      </c>
      <c r="H52" s="517">
        <f>VLOOKUP(A52,'[2]2.행정구역별 급수인구'!$C$8:$AD$997,17,FALSE)</f>
        <v>0</v>
      </c>
      <c r="I52" s="517">
        <f>VLOOKUP(A52,'[2]2.행정구역별 급수인구'!$C$8:$AD$997,19,FALSE)</f>
        <v>68</v>
      </c>
      <c r="J52" s="517">
        <f>VLOOKUP(A52,'[2]2.행정구역별 급수인구'!$C$8:$AD$997,20,FALSE)</f>
        <v>130</v>
      </c>
    </row>
    <row r="53" spans="1:12" ht="18" customHeight="1">
      <c r="A53" s="380" t="s">
        <v>1707</v>
      </c>
      <c r="B53" s="517">
        <f>VLOOKUP(A53,'[2]2.행정구역별 급수인구'!$C$8:$AD$997,11,FALSE)</f>
        <v>210</v>
      </c>
      <c r="C53" s="517">
        <f>VLOOKUP(A53,'[2]2.행정구역별 급수인구'!$C$8:$AD$997,13,FALSE)</f>
        <v>207</v>
      </c>
      <c r="D53" s="517">
        <f>VLOOKUP(A53,'[2]2.행정구역별 급수인구'!$C$8:$AD$997,14,FALSE)</f>
        <v>205</v>
      </c>
      <c r="H53" s="517">
        <f>VLOOKUP(A53,'[2]2.행정구역별 급수인구'!$C$8:$AD$997,17,FALSE)</f>
        <v>0</v>
      </c>
      <c r="I53" s="517">
        <f>VLOOKUP(A53,'[2]2.행정구역별 급수인구'!$C$8:$AD$997,19,FALSE)</f>
        <v>0</v>
      </c>
      <c r="J53" s="517">
        <f>VLOOKUP(A53,'[2]2.행정구역별 급수인구'!$C$8:$AD$997,20,FALSE)</f>
        <v>174</v>
      </c>
    </row>
    <row r="54" spans="1:12" ht="18" customHeight="1">
      <c r="A54" s="380" t="s">
        <v>1708</v>
      </c>
      <c r="B54" s="517">
        <f>VLOOKUP(A54,'[2]2.행정구역별 급수인구'!$C$8:$AD$997,11,FALSE)</f>
        <v>167</v>
      </c>
      <c r="C54" s="517">
        <f>VLOOKUP(A54,'[2]2.행정구역별 급수인구'!$C$8:$AD$997,13,FALSE)</f>
        <v>165</v>
      </c>
      <c r="D54" s="517">
        <f>VLOOKUP(A54,'[2]2.행정구역별 급수인구'!$C$8:$AD$997,14,FALSE)</f>
        <v>162</v>
      </c>
      <c r="H54" s="517">
        <f>VLOOKUP(A54,'[2]2.행정구역별 급수인구'!$C$8:$AD$997,17,FALSE)</f>
        <v>0</v>
      </c>
      <c r="I54" s="517">
        <f>VLOOKUP(A54,'[2]2.행정구역별 급수인구'!$C$8:$AD$997,19,FALSE)</f>
        <v>0</v>
      </c>
      <c r="J54" s="517">
        <f>VLOOKUP(A54,'[2]2.행정구역별 급수인구'!$C$8:$AD$997,20,FALSE)</f>
        <v>138</v>
      </c>
    </row>
    <row r="55" spans="1:12" ht="18" customHeight="1">
      <c r="A55" s="380" t="s">
        <v>1709</v>
      </c>
      <c r="B55" s="517">
        <f>VLOOKUP(A55,'[2]2.행정구역별 급수인구'!$C$8:$AD$997,11,FALSE)</f>
        <v>97</v>
      </c>
      <c r="C55" s="517">
        <f>VLOOKUP(A55,'[2]2.행정구역별 급수인구'!$C$8:$AD$997,13,FALSE)</f>
        <v>96</v>
      </c>
      <c r="D55" s="517">
        <f>VLOOKUP(A55,'[2]2.행정구역별 급수인구'!$C$8:$AD$997,14,FALSE)</f>
        <v>94</v>
      </c>
      <c r="H55" s="517">
        <f>VLOOKUP(A55,'[2]2.행정구역별 급수인구'!$C$8:$AD$997,17,FALSE)</f>
        <v>0</v>
      </c>
      <c r="I55" s="517">
        <f>VLOOKUP(A55,'[2]2.행정구역별 급수인구'!$C$8:$AD$997,19,FALSE)</f>
        <v>0</v>
      </c>
      <c r="J55" s="517">
        <f>VLOOKUP(A55,'[2]2.행정구역별 급수인구'!$C$8:$AD$997,20,FALSE)</f>
        <v>80</v>
      </c>
    </row>
    <row r="56" spans="1:12" ht="18" customHeight="1">
      <c r="A56" s="380" t="s">
        <v>1710</v>
      </c>
      <c r="B56" s="517">
        <f>VLOOKUP(A56,'[2]2.행정구역별 급수인구'!$C$8:$AD$997,11,FALSE)</f>
        <v>361</v>
      </c>
      <c r="C56" s="517">
        <f>VLOOKUP(A56,'[2]2.행정구역별 급수인구'!$C$8:$AD$997,13,FALSE)</f>
        <v>356</v>
      </c>
      <c r="D56" s="517">
        <f>VLOOKUP(A56,'[2]2.행정구역별 급수인구'!$C$8:$AD$997,14,FALSE)</f>
        <v>352</v>
      </c>
      <c r="H56" s="517">
        <f>VLOOKUP(A56,'[2]2.행정구역별 급수인구'!$C$8:$AD$997,17,FALSE)</f>
        <v>0</v>
      </c>
      <c r="I56" s="517">
        <f>VLOOKUP(A56,'[2]2.행정구역별 급수인구'!$C$8:$AD$997,19,FALSE)</f>
        <v>0</v>
      </c>
      <c r="J56" s="517">
        <f>VLOOKUP(A56,'[2]2.행정구역별 급수인구'!$C$8:$AD$997,20,FALSE)</f>
        <v>300</v>
      </c>
    </row>
    <row r="57" spans="1:12" ht="18" customHeight="1">
      <c r="A57" s="380" t="s">
        <v>1711</v>
      </c>
      <c r="B57" s="517">
        <f>VLOOKUP(A57,'[2]2.행정구역별 급수인구'!$C$8:$AD$997,11,FALSE)</f>
        <v>153</v>
      </c>
      <c r="C57" s="517">
        <f>VLOOKUP(A57,'[2]2.행정구역별 급수인구'!$C$8:$AD$997,13,FALSE)</f>
        <v>151</v>
      </c>
      <c r="D57" s="517">
        <f>VLOOKUP(A57,'[2]2.행정구역별 급수인구'!$C$8:$AD$997,14,FALSE)</f>
        <v>149</v>
      </c>
      <c r="H57" s="517">
        <f>VLOOKUP(A57,'[2]2.행정구역별 급수인구'!$C$8:$AD$997,17,FALSE)</f>
        <v>0</v>
      </c>
      <c r="I57" s="517">
        <f>VLOOKUP(A57,'[2]2.행정구역별 급수인구'!$C$8:$AD$997,19,FALSE)</f>
        <v>0</v>
      </c>
      <c r="J57" s="517">
        <f>VLOOKUP(A57,'[2]2.행정구역별 급수인구'!$C$8:$AD$997,20,FALSE)</f>
        <v>126</v>
      </c>
    </row>
    <row r="59" spans="1:12" ht="18" customHeight="1">
      <c r="A59" t="s">
        <v>2600</v>
      </c>
      <c r="B59" s="517">
        <f>B60+B73</f>
        <v>2274</v>
      </c>
      <c r="C59" s="517">
        <f>C60+C73</f>
        <v>2242</v>
      </c>
      <c r="D59" s="517">
        <f>D60+D73</f>
        <v>2218</v>
      </c>
      <c r="H59" s="517">
        <f>H60+H73</f>
        <v>0</v>
      </c>
      <c r="I59" s="517">
        <f>I60+I73</f>
        <v>0</v>
      </c>
      <c r="J59" s="517">
        <f>J60+J73</f>
        <v>1886</v>
      </c>
      <c r="K59" s="517"/>
      <c r="L59" s="517"/>
    </row>
    <row r="60" spans="1:12" ht="18" customHeight="1">
      <c r="A60" s="516" t="s">
        <v>703</v>
      </c>
      <c r="B60" s="517">
        <f>SUM(B61:B72)</f>
        <v>1361</v>
      </c>
      <c r="C60" s="517">
        <f>SUM(C61:C72)</f>
        <v>1341</v>
      </c>
      <c r="D60" s="517">
        <f>SUM(D61:D72)</f>
        <v>1328</v>
      </c>
      <c r="H60" s="517">
        <f>SUM(H61:H72)</f>
        <v>0</v>
      </c>
      <c r="I60" s="517">
        <f>SUM(I61:I72)</f>
        <v>0</v>
      </c>
      <c r="J60" s="517">
        <f>SUM(J61:J72)</f>
        <v>1130</v>
      </c>
      <c r="K60" s="517"/>
      <c r="L60" s="517"/>
    </row>
    <row r="61" spans="1:12" ht="18" customHeight="1">
      <c r="A61" s="406" t="s">
        <v>1733</v>
      </c>
      <c r="B61" s="517">
        <f>VLOOKUP(A61,'[2]2.행정구역별 급수인구'!$C$8:$AD$997,11,FALSE)</f>
        <v>112</v>
      </c>
      <c r="C61" s="517">
        <f>VLOOKUP(A61,'[2]2.행정구역별 급수인구'!$C$8:$AD$997,13,FALSE)</f>
        <v>110</v>
      </c>
      <c r="D61" s="517">
        <f>VLOOKUP(A61,'[2]2.행정구역별 급수인구'!$C$8:$AD$997,14,FALSE)</f>
        <v>110</v>
      </c>
      <c r="H61" s="517">
        <f>VLOOKUP(A61,'[2]2.행정구역별 급수인구'!$C$8:$AD$997,17,FALSE)</f>
        <v>0</v>
      </c>
      <c r="I61" s="517">
        <f>VLOOKUP(A61,'[2]2.행정구역별 급수인구'!$C$8:$AD$997,19,FALSE)</f>
        <v>0</v>
      </c>
      <c r="J61" s="517">
        <f>VLOOKUP(A61,'[2]2.행정구역별 급수인구'!$C$8:$AD$997,20,FALSE)</f>
        <v>94</v>
      </c>
    </row>
    <row r="62" spans="1:12" ht="18" customHeight="1">
      <c r="A62" s="406" t="s">
        <v>1734</v>
      </c>
      <c r="B62" s="517">
        <f>VLOOKUP(A62,'[2]2.행정구역별 급수인구'!$C$8:$AD$997,11,FALSE)</f>
        <v>163</v>
      </c>
      <c r="C62" s="517">
        <f>VLOOKUP(A62,'[2]2.행정구역별 급수인구'!$C$8:$AD$997,13,FALSE)</f>
        <v>161</v>
      </c>
      <c r="D62" s="517">
        <f>VLOOKUP(A62,'[2]2.행정구역별 급수인구'!$C$8:$AD$997,14,FALSE)</f>
        <v>159</v>
      </c>
      <c r="H62" s="517">
        <f>VLOOKUP(A62,'[2]2.행정구역별 급수인구'!$C$8:$AD$997,17,FALSE)</f>
        <v>0</v>
      </c>
      <c r="I62" s="517">
        <f>VLOOKUP(A62,'[2]2.행정구역별 급수인구'!$C$8:$AD$997,19,FALSE)</f>
        <v>0</v>
      </c>
      <c r="J62" s="517">
        <f>VLOOKUP(A62,'[2]2.행정구역별 급수인구'!$C$8:$AD$997,20,FALSE)</f>
        <v>135</v>
      </c>
    </row>
    <row r="63" spans="1:12" ht="18" customHeight="1">
      <c r="A63" s="406" t="s">
        <v>1735</v>
      </c>
      <c r="B63" s="517">
        <f>VLOOKUP(A63,'[2]2.행정구역별 급수인구'!$C$8:$AD$997,11,FALSE)</f>
        <v>63</v>
      </c>
      <c r="C63" s="517">
        <f>VLOOKUP(A63,'[2]2.행정구역별 급수인구'!$C$8:$AD$997,13,FALSE)</f>
        <v>62</v>
      </c>
      <c r="D63" s="517">
        <f>VLOOKUP(A63,'[2]2.행정구역별 급수인구'!$C$8:$AD$997,14,FALSE)</f>
        <v>61</v>
      </c>
      <c r="H63" s="517">
        <f>VLOOKUP(A63,'[2]2.행정구역별 급수인구'!$C$8:$AD$997,17,FALSE)</f>
        <v>0</v>
      </c>
      <c r="I63" s="517">
        <f>VLOOKUP(A63,'[2]2.행정구역별 급수인구'!$C$8:$AD$997,19,FALSE)</f>
        <v>0</v>
      </c>
      <c r="J63" s="517">
        <f>VLOOKUP(A63,'[2]2.행정구역별 급수인구'!$C$8:$AD$997,20,FALSE)</f>
        <v>52</v>
      </c>
    </row>
    <row r="64" spans="1:12" ht="18" customHeight="1">
      <c r="A64" s="406" t="s">
        <v>1736</v>
      </c>
      <c r="B64" s="517">
        <f>VLOOKUP(A64,'[2]2.행정구역별 급수인구'!$C$8:$AD$997,11,FALSE)</f>
        <v>91</v>
      </c>
      <c r="C64" s="517">
        <f>VLOOKUP(A64,'[2]2.행정구역별 급수인구'!$C$8:$AD$997,13,FALSE)</f>
        <v>90</v>
      </c>
      <c r="D64" s="517">
        <f>VLOOKUP(A64,'[2]2.행정구역별 급수인구'!$C$8:$AD$997,14,FALSE)</f>
        <v>89</v>
      </c>
      <c r="H64" s="517">
        <f>VLOOKUP(A64,'[2]2.행정구역별 급수인구'!$C$8:$AD$997,17,FALSE)</f>
        <v>0</v>
      </c>
      <c r="I64" s="517">
        <f>VLOOKUP(A64,'[2]2.행정구역별 급수인구'!$C$8:$AD$997,19,FALSE)</f>
        <v>0</v>
      </c>
      <c r="J64" s="517">
        <f>VLOOKUP(A64,'[2]2.행정구역별 급수인구'!$C$8:$AD$997,20,FALSE)</f>
        <v>76</v>
      </c>
    </row>
    <row r="65" spans="1:10" ht="18" customHeight="1">
      <c r="A65" s="406" t="s">
        <v>1739</v>
      </c>
      <c r="B65" s="517">
        <f>VLOOKUP(A65,'[2]2.행정구역별 급수인구'!$C$8:$AD$997,11,FALSE)</f>
        <v>107</v>
      </c>
      <c r="C65" s="517">
        <f>VLOOKUP(A65,'[2]2.행정구역별 급수인구'!$C$8:$AD$997,13,FALSE)</f>
        <v>105</v>
      </c>
      <c r="D65" s="517">
        <f>VLOOKUP(A65,'[2]2.행정구역별 급수인구'!$C$8:$AD$997,14,FALSE)</f>
        <v>105</v>
      </c>
      <c r="H65" s="517">
        <f>VLOOKUP(A65,'[2]2.행정구역별 급수인구'!$C$8:$AD$997,17,FALSE)</f>
        <v>0</v>
      </c>
      <c r="I65" s="517">
        <f>VLOOKUP(A65,'[2]2.행정구역별 급수인구'!$C$8:$AD$997,19,FALSE)</f>
        <v>0</v>
      </c>
      <c r="J65" s="517">
        <f>VLOOKUP(A65,'[2]2.행정구역별 급수인구'!$C$8:$AD$997,20,FALSE)</f>
        <v>90</v>
      </c>
    </row>
    <row r="66" spans="1:10" ht="18" customHeight="1">
      <c r="A66" s="406" t="s">
        <v>1741</v>
      </c>
      <c r="B66" s="517">
        <f>VLOOKUP(A66,'[2]2.행정구역별 급수인구'!$C$8:$AD$997,11,FALSE)</f>
        <v>161</v>
      </c>
      <c r="C66" s="517">
        <f>VLOOKUP(A66,'[2]2.행정구역별 급수인구'!$C$8:$AD$997,13,FALSE)</f>
        <v>159</v>
      </c>
      <c r="D66" s="517">
        <f>VLOOKUP(A66,'[2]2.행정구역별 급수인구'!$C$8:$AD$997,14,FALSE)</f>
        <v>157</v>
      </c>
      <c r="H66" s="517">
        <f>VLOOKUP(A66,'[2]2.행정구역별 급수인구'!$C$8:$AD$997,17,FALSE)</f>
        <v>0</v>
      </c>
      <c r="I66" s="517">
        <f>VLOOKUP(A66,'[2]2.행정구역별 급수인구'!$C$8:$AD$997,19,FALSE)</f>
        <v>0</v>
      </c>
      <c r="J66" s="517">
        <f>VLOOKUP(A66,'[2]2.행정구역별 급수인구'!$C$8:$AD$997,20,FALSE)</f>
        <v>133</v>
      </c>
    </row>
    <row r="67" spans="1:10" ht="18" customHeight="1">
      <c r="A67" s="406" t="s">
        <v>1742</v>
      </c>
      <c r="B67" s="517">
        <f>VLOOKUP(A67,'[2]2.행정구역별 급수인구'!$C$8:$AD$997,11,FALSE)</f>
        <v>122</v>
      </c>
      <c r="C67" s="517">
        <f>VLOOKUP(A67,'[2]2.행정구역별 급수인구'!$C$8:$AD$997,13,FALSE)</f>
        <v>120</v>
      </c>
      <c r="D67" s="517">
        <f>VLOOKUP(A67,'[2]2.행정구역별 급수인구'!$C$8:$AD$997,14,FALSE)</f>
        <v>119</v>
      </c>
      <c r="H67" s="517">
        <f>VLOOKUP(A67,'[2]2.행정구역별 급수인구'!$C$8:$AD$997,17,FALSE)</f>
        <v>0</v>
      </c>
      <c r="I67" s="517">
        <f>VLOOKUP(A67,'[2]2.행정구역별 급수인구'!$C$8:$AD$997,19,FALSE)</f>
        <v>0</v>
      </c>
      <c r="J67" s="517">
        <f>VLOOKUP(A67,'[2]2.행정구역별 급수인구'!$C$8:$AD$997,20,FALSE)</f>
        <v>101</v>
      </c>
    </row>
    <row r="68" spans="1:10" ht="18" customHeight="1">
      <c r="A68" s="406" t="s">
        <v>1743</v>
      </c>
      <c r="B68" s="517">
        <f>VLOOKUP(A68,'[2]2.행정구역별 급수인구'!$C$8:$AD$997,11,FALSE)</f>
        <v>99</v>
      </c>
      <c r="C68" s="517">
        <f>VLOOKUP(A68,'[2]2.행정구역별 급수인구'!$C$8:$AD$997,13,FALSE)</f>
        <v>97</v>
      </c>
      <c r="D68" s="517">
        <f>VLOOKUP(A68,'[2]2.행정구역별 급수인구'!$C$8:$AD$997,14,FALSE)</f>
        <v>96</v>
      </c>
      <c r="H68" s="517">
        <f>VLOOKUP(A68,'[2]2.행정구역별 급수인구'!$C$8:$AD$997,17,FALSE)</f>
        <v>0</v>
      </c>
      <c r="I68" s="517">
        <f>VLOOKUP(A68,'[2]2.행정구역별 급수인구'!$C$8:$AD$997,19,FALSE)</f>
        <v>0</v>
      </c>
      <c r="J68" s="517">
        <f>VLOOKUP(A68,'[2]2.행정구역별 급수인구'!$C$8:$AD$997,20,FALSE)</f>
        <v>82</v>
      </c>
    </row>
    <row r="69" spans="1:10" ht="18" customHeight="1">
      <c r="A69" s="406" t="s">
        <v>1744</v>
      </c>
      <c r="B69" s="517">
        <f>VLOOKUP(A69,'[2]2.행정구역별 급수인구'!$C$8:$AD$997,11,FALSE)</f>
        <v>132</v>
      </c>
      <c r="C69" s="517">
        <f>VLOOKUP(A69,'[2]2.행정구역별 급수인구'!$C$8:$AD$997,13,FALSE)</f>
        <v>131</v>
      </c>
      <c r="D69" s="517">
        <f>VLOOKUP(A69,'[2]2.행정구역별 급수인구'!$C$8:$AD$997,14,FALSE)</f>
        <v>128</v>
      </c>
      <c r="H69" s="517">
        <f>VLOOKUP(A69,'[2]2.행정구역별 급수인구'!$C$8:$AD$997,17,FALSE)</f>
        <v>0</v>
      </c>
      <c r="I69" s="517">
        <f>VLOOKUP(A69,'[2]2.행정구역별 급수인구'!$C$8:$AD$997,19,FALSE)</f>
        <v>0</v>
      </c>
      <c r="J69" s="517">
        <f>VLOOKUP(A69,'[2]2.행정구역별 급수인구'!$C$8:$AD$997,20,FALSE)</f>
        <v>109</v>
      </c>
    </row>
    <row r="70" spans="1:10" ht="18" customHeight="1">
      <c r="A70" s="406" t="s">
        <v>1745</v>
      </c>
      <c r="B70" s="517">
        <f>VLOOKUP(A70,'[2]2.행정구역별 급수인구'!$C$8:$AD$997,11,FALSE)</f>
        <v>86</v>
      </c>
      <c r="C70" s="517">
        <f>VLOOKUP(A70,'[2]2.행정구역별 급수인구'!$C$8:$AD$997,13,FALSE)</f>
        <v>85</v>
      </c>
      <c r="D70" s="517">
        <f>VLOOKUP(A70,'[2]2.행정구역별 급수인구'!$C$8:$AD$997,14,FALSE)</f>
        <v>84</v>
      </c>
      <c r="H70" s="517">
        <f>VLOOKUP(A70,'[2]2.행정구역별 급수인구'!$C$8:$AD$997,17,FALSE)</f>
        <v>0</v>
      </c>
      <c r="I70" s="517">
        <f>VLOOKUP(A70,'[2]2.행정구역별 급수인구'!$C$8:$AD$997,19,FALSE)</f>
        <v>0</v>
      </c>
      <c r="J70" s="517">
        <f>VLOOKUP(A70,'[2]2.행정구역별 급수인구'!$C$8:$AD$997,20,FALSE)</f>
        <v>71</v>
      </c>
    </row>
    <row r="71" spans="1:10" ht="18" customHeight="1">
      <c r="A71" s="406" t="s">
        <v>1759</v>
      </c>
      <c r="B71" s="517">
        <f>VLOOKUP(A71,'[2]2.행정구역별 급수인구'!$C$8:$AD$997,11,FALSE)</f>
        <v>110</v>
      </c>
      <c r="C71" s="517">
        <f>VLOOKUP(A71,'[2]2.행정구역별 급수인구'!$C$8:$AD$997,13,FALSE)</f>
        <v>108</v>
      </c>
      <c r="D71" s="517">
        <f>VLOOKUP(A71,'[2]2.행정구역별 급수인구'!$C$8:$AD$997,14,FALSE)</f>
        <v>108</v>
      </c>
      <c r="H71" s="517">
        <f>VLOOKUP(A71,'[2]2.행정구역별 급수인구'!$C$8:$AD$997,17,FALSE)</f>
        <v>0</v>
      </c>
      <c r="I71" s="517">
        <f>VLOOKUP(A71,'[2]2.행정구역별 급수인구'!$C$8:$AD$997,19,FALSE)</f>
        <v>0</v>
      </c>
      <c r="J71" s="517">
        <f>VLOOKUP(A71,'[2]2.행정구역별 급수인구'!$C$8:$AD$997,20,FALSE)</f>
        <v>92</v>
      </c>
    </row>
    <row r="72" spans="1:10" ht="18" customHeight="1">
      <c r="A72" s="347" t="s">
        <v>1732</v>
      </c>
      <c r="B72" s="517">
        <f>VLOOKUP(A72,'[2]2.행정구역별 급수인구'!$C$8:$AD$997,11,FALSE)</f>
        <v>115</v>
      </c>
      <c r="C72" s="517">
        <f>VLOOKUP(A72,'[2]2.행정구역별 급수인구'!$C$8:$AD$997,13,FALSE)</f>
        <v>113</v>
      </c>
      <c r="D72" s="517">
        <f>VLOOKUP(A72,'[2]2.행정구역별 급수인구'!$C$8:$AD$997,14,FALSE)</f>
        <v>112</v>
      </c>
      <c r="H72" s="517">
        <f>VLOOKUP(A72,'[2]2.행정구역별 급수인구'!$C$8:$AD$997,17,FALSE)</f>
        <v>0</v>
      </c>
      <c r="I72" s="517">
        <f>VLOOKUP(A72,'[2]2.행정구역별 급수인구'!$C$8:$AD$997,19,FALSE)</f>
        <v>0</v>
      </c>
      <c r="J72" s="517">
        <f>VLOOKUP(A72,'[2]2.행정구역별 급수인구'!$C$8:$AD$997,20,FALSE)</f>
        <v>95</v>
      </c>
    </row>
    <row r="73" spans="1:10" ht="18" customHeight="1">
      <c r="A73" s="516" t="s">
        <v>702</v>
      </c>
      <c r="B73" s="517">
        <f>SUM(B74:B80)</f>
        <v>913</v>
      </c>
      <c r="C73" s="517">
        <f>SUM(C74:C80)</f>
        <v>901</v>
      </c>
      <c r="D73" s="517">
        <f>SUM(D74:D80)</f>
        <v>890</v>
      </c>
      <c r="H73" s="517">
        <f>SUM(H74:H80)</f>
        <v>0</v>
      </c>
      <c r="I73" s="517">
        <f>SUM(I74:I80)</f>
        <v>0</v>
      </c>
      <c r="J73" s="517">
        <f>SUM(J74:J80)</f>
        <v>756</v>
      </c>
    </row>
    <row r="74" spans="1:10" ht="18" customHeight="1">
      <c r="A74" s="406" t="s">
        <v>1687</v>
      </c>
      <c r="B74" s="517">
        <f>VLOOKUP(A74,'[2]2.행정구역별 급수인구'!$C$8:$AD$997,11,FALSE)</f>
        <v>162</v>
      </c>
      <c r="C74" s="517">
        <f>VLOOKUP(A74,'[2]2.행정구역별 급수인구'!$C$8:$AD$997,13,FALSE)</f>
        <v>160</v>
      </c>
      <c r="D74" s="517">
        <f>VLOOKUP(A74,'[2]2.행정구역별 급수인구'!$C$8:$AD$997,14,FALSE)</f>
        <v>158</v>
      </c>
      <c r="H74" s="517">
        <f>VLOOKUP(A74,'[2]2.행정구역별 급수인구'!$C$8:$AD$997,17,FALSE)</f>
        <v>0</v>
      </c>
      <c r="I74" s="517">
        <f>VLOOKUP(A74,'[2]2.행정구역별 급수인구'!$C$8:$AD$997,19,FALSE)</f>
        <v>0</v>
      </c>
      <c r="J74" s="517">
        <f>VLOOKUP(A74,'[2]2.행정구역별 급수인구'!$C$8:$AD$997,20,FALSE)</f>
        <v>134</v>
      </c>
    </row>
    <row r="75" spans="1:10" ht="18" customHeight="1">
      <c r="A75" s="406" t="s">
        <v>1731</v>
      </c>
      <c r="B75" s="517">
        <f>VLOOKUP(A75,'[2]2.행정구역별 급수인구'!$C$8:$AD$997,11,FALSE)</f>
        <v>95</v>
      </c>
      <c r="C75" s="517">
        <f>VLOOKUP(A75,'[2]2.행정구역별 급수인구'!$C$8:$AD$997,13,FALSE)</f>
        <v>94</v>
      </c>
      <c r="D75" s="517">
        <f>VLOOKUP(A75,'[2]2.행정구역별 급수인구'!$C$8:$AD$997,14,FALSE)</f>
        <v>93</v>
      </c>
      <c r="H75" s="517">
        <f>VLOOKUP(A75,'[2]2.행정구역별 급수인구'!$C$8:$AD$997,17,FALSE)</f>
        <v>0</v>
      </c>
      <c r="I75" s="517">
        <f>VLOOKUP(A75,'[2]2.행정구역별 급수인구'!$C$8:$AD$997,19,FALSE)</f>
        <v>0</v>
      </c>
      <c r="J75" s="517">
        <f>VLOOKUP(A75,'[2]2.행정구역별 급수인구'!$C$8:$AD$997,20,FALSE)</f>
        <v>79</v>
      </c>
    </row>
    <row r="76" spans="1:10" ht="18" customHeight="1">
      <c r="A76" s="406" t="s">
        <v>1688</v>
      </c>
      <c r="B76" s="517">
        <f>VLOOKUP(A76,'[2]2.행정구역별 급수인구'!$C$8:$AD$997,11,FALSE)</f>
        <v>156</v>
      </c>
      <c r="C76" s="517">
        <f>VLOOKUP(A76,'[2]2.행정구역별 급수인구'!$C$8:$AD$997,13,FALSE)</f>
        <v>154</v>
      </c>
      <c r="D76" s="517">
        <f>VLOOKUP(A76,'[2]2.행정구역별 급수인구'!$C$8:$AD$997,14,FALSE)</f>
        <v>152</v>
      </c>
      <c r="H76" s="517">
        <f>VLOOKUP(A76,'[2]2.행정구역별 급수인구'!$C$8:$AD$997,17,FALSE)</f>
        <v>0</v>
      </c>
      <c r="I76" s="517">
        <f>VLOOKUP(A76,'[2]2.행정구역별 급수인구'!$C$8:$AD$997,19,FALSE)</f>
        <v>0</v>
      </c>
      <c r="J76" s="517">
        <f>VLOOKUP(A76,'[2]2.행정구역별 급수인구'!$C$8:$AD$997,20,FALSE)</f>
        <v>129</v>
      </c>
    </row>
    <row r="77" spans="1:10" ht="18" customHeight="1">
      <c r="A77" s="406" t="s">
        <v>1689</v>
      </c>
      <c r="B77" s="517">
        <f>VLOOKUP(A77,'[2]2.행정구역별 급수인구'!$C$8:$AD$997,11,FALSE)</f>
        <v>150</v>
      </c>
      <c r="C77" s="517">
        <f>VLOOKUP(A77,'[2]2.행정구역별 급수인구'!$C$8:$AD$997,13,FALSE)</f>
        <v>148</v>
      </c>
      <c r="D77" s="517">
        <f>VLOOKUP(A77,'[2]2.행정구역별 급수인구'!$C$8:$AD$997,14,FALSE)</f>
        <v>146</v>
      </c>
      <c r="H77" s="517">
        <f>VLOOKUP(A77,'[2]2.행정구역별 급수인구'!$C$8:$AD$997,17,FALSE)</f>
        <v>0</v>
      </c>
      <c r="I77" s="517">
        <f>VLOOKUP(A77,'[2]2.행정구역별 급수인구'!$C$8:$AD$997,19,FALSE)</f>
        <v>0</v>
      </c>
      <c r="J77" s="517">
        <f>VLOOKUP(A77,'[2]2.행정구역별 급수인구'!$C$8:$AD$997,20,FALSE)</f>
        <v>124</v>
      </c>
    </row>
    <row r="78" spans="1:10" ht="18" customHeight="1">
      <c r="A78" s="406" t="s">
        <v>1690</v>
      </c>
      <c r="B78" s="517">
        <f>VLOOKUP(A78,'[2]2.행정구역별 급수인구'!$C$8:$AD$997,11,FALSE)</f>
        <v>81</v>
      </c>
      <c r="C78" s="517">
        <f>VLOOKUP(A78,'[2]2.행정구역별 급수인구'!$C$8:$AD$997,13,FALSE)</f>
        <v>80</v>
      </c>
      <c r="D78" s="517">
        <f>VLOOKUP(A78,'[2]2.행정구역별 급수인구'!$C$8:$AD$997,14,FALSE)</f>
        <v>79</v>
      </c>
      <c r="H78" s="517">
        <f>VLOOKUP(A78,'[2]2.행정구역별 급수인구'!$C$8:$AD$997,17,FALSE)</f>
        <v>0</v>
      </c>
      <c r="I78" s="517">
        <f>VLOOKUP(A78,'[2]2.행정구역별 급수인구'!$C$8:$AD$997,19,FALSE)</f>
        <v>0</v>
      </c>
      <c r="J78" s="517">
        <f>VLOOKUP(A78,'[2]2.행정구역별 급수인구'!$C$8:$AD$997,20,FALSE)</f>
        <v>68</v>
      </c>
    </row>
    <row r="79" spans="1:10" ht="18" customHeight="1">
      <c r="A79" s="406" t="s">
        <v>1691</v>
      </c>
      <c r="B79" s="517">
        <f>VLOOKUP(A79,'[2]2.행정구역별 급수인구'!$C$8:$AD$997,11,FALSE)</f>
        <v>120</v>
      </c>
      <c r="C79" s="517">
        <f>VLOOKUP(A79,'[2]2.행정구역별 급수인구'!$C$8:$AD$997,13,FALSE)</f>
        <v>118</v>
      </c>
      <c r="D79" s="517">
        <f>VLOOKUP(A79,'[2]2.행정구역별 급수인구'!$C$8:$AD$997,14,FALSE)</f>
        <v>117</v>
      </c>
      <c r="H79" s="517">
        <f>VLOOKUP(A79,'[2]2.행정구역별 급수인구'!$C$8:$AD$997,17,FALSE)</f>
        <v>0</v>
      </c>
      <c r="I79" s="517">
        <f>VLOOKUP(A79,'[2]2.행정구역별 급수인구'!$C$8:$AD$997,19,FALSE)</f>
        <v>0</v>
      </c>
      <c r="J79" s="517">
        <f>VLOOKUP(A79,'[2]2.행정구역별 급수인구'!$C$8:$AD$997,20,FALSE)</f>
        <v>99</v>
      </c>
    </row>
    <row r="80" spans="1:10" ht="18" customHeight="1">
      <c r="A80" s="406" t="s">
        <v>1692</v>
      </c>
      <c r="B80" s="517">
        <f>VLOOKUP(A80,'[2]2.행정구역별 급수인구'!$C$8:$AD$997,11,FALSE)</f>
        <v>149</v>
      </c>
      <c r="C80" s="517">
        <f>VLOOKUP(A80,'[2]2.행정구역별 급수인구'!$C$8:$AD$997,13,FALSE)</f>
        <v>147</v>
      </c>
      <c r="D80" s="517">
        <f>VLOOKUP(A80,'[2]2.행정구역별 급수인구'!$C$8:$AD$997,14,FALSE)</f>
        <v>145</v>
      </c>
      <c r="H80" s="517">
        <f>VLOOKUP(A80,'[2]2.행정구역별 급수인구'!$C$8:$AD$997,17,FALSE)</f>
        <v>0</v>
      </c>
      <c r="I80" s="517">
        <f>VLOOKUP(A80,'[2]2.행정구역별 급수인구'!$C$8:$AD$997,19,FALSE)</f>
        <v>0</v>
      </c>
      <c r="J80" s="517">
        <f>VLOOKUP(A80,'[2]2.행정구역별 급수인구'!$C$8:$AD$997,20,FALSE)</f>
        <v>123</v>
      </c>
    </row>
    <row r="82" spans="1:10" ht="18" customHeight="1">
      <c r="A82" s="518" t="s">
        <v>2601</v>
      </c>
      <c r="B82">
        <f>SUM(B83:B100)</f>
        <v>2619</v>
      </c>
      <c r="C82">
        <f>SUM(C83:C100)</f>
        <v>2580</v>
      </c>
      <c r="D82">
        <f>SUM(D83:D100)</f>
        <v>2553</v>
      </c>
      <c r="H82">
        <f t="shared" ref="H82:J82" si="0">SUM(H83:H100)</f>
        <v>0</v>
      </c>
      <c r="I82">
        <f t="shared" si="0"/>
        <v>0</v>
      </c>
      <c r="J82">
        <f t="shared" si="0"/>
        <v>2173</v>
      </c>
    </row>
    <row r="83" spans="1:10" ht="18" customHeight="1">
      <c r="A83" s="406" t="s">
        <v>1379</v>
      </c>
      <c r="B83" s="517">
        <f>VLOOKUP(A83,'[2]2.행정구역별 급수인구'!$C$8:$AD$997,11,FALSE)</f>
        <v>220</v>
      </c>
      <c r="C83" s="517">
        <f>VLOOKUP(A83,'[2]2.행정구역별 급수인구'!$C$8:$AD$997,13,FALSE)</f>
        <v>217</v>
      </c>
      <c r="D83" s="517">
        <f>VLOOKUP(A83,'[2]2.행정구역별 급수인구'!$C$8:$AD$997,14,FALSE)</f>
        <v>214</v>
      </c>
      <c r="H83" s="517">
        <f>VLOOKUP(A83,'[2]2.행정구역별 급수인구'!$C$8:$AD$997,17,FALSE)</f>
        <v>0</v>
      </c>
      <c r="I83" s="517">
        <f>VLOOKUP(A83,'[2]2.행정구역별 급수인구'!$C$8:$AD$997,19,FALSE)</f>
        <v>0</v>
      </c>
      <c r="J83" s="517">
        <f>VLOOKUP(A83,'[2]2.행정구역별 급수인구'!$C$8:$AD$997,20,FALSE)</f>
        <v>182</v>
      </c>
    </row>
    <row r="84" spans="1:10" ht="18" customHeight="1">
      <c r="A84" s="406" t="s">
        <v>1380</v>
      </c>
      <c r="B84" s="517">
        <f>VLOOKUP(A84,'[2]2.행정구역별 급수인구'!$C$8:$AD$997,11,FALSE)</f>
        <v>112</v>
      </c>
      <c r="C84" s="517">
        <f>VLOOKUP(A84,'[2]2.행정구역별 급수인구'!$C$8:$AD$997,13,FALSE)</f>
        <v>110</v>
      </c>
      <c r="D84" s="517">
        <f>VLOOKUP(A84,'[2]2.행정구역별 급수인구'!$C$8:$AD$997,14,FALSE)</f>
        <v>110</v>
      </c>
      <c r="H84" s="517">
        <f>VLOOKUP(A84,'[2]2.행정구역별 급수인구'!$C$8:$AD$997,17,FALSE)</f>
        <v>0</v>
      </c>
      <c r="I84" s="517">
        <f>VLOOKUP(A84,'[2]2.행정구역별 급수인구'!$C$8:$AD$997,19,FALSE)</f>
        <v>0</v>
      </c>
      <c r="J84" s="517">
        <f>VLOOKUP(A84,'[2]2.행정구역별 급수인구'!$C$8:$AD$997,20,FALSE)</f>
        <v>94</v>
      </c>
    </row>
    <row r="85" spans="1:10" ht="18" customHeight="1">
      <c r="A85" s="406" t="s">
        <v>1383</v>
      </c>
      <c r="B85" s="517">
        <f>VLOOKUP(A85,'[2]2.행정구역별 급수인구'!$C$8:$AD$997,11,FALSE)</f>
        <v>186</v>
      </c>
      <c r="C85" s="517">
        <f>VLOOKUP(A85,'[2]2.행정구역별 급수인구'!$C$8:$AD$997,13,FALSE)</f>
        <v>183</v>
      </c>
      <c r="D85" s="517">
        <f>VLOOKUP(A85,'[2]2.행정구역별 급수인구'!$C$8:$AD$997,14,FALSE)</f>
        <v>181</v>
      </c>
      <c r="H85" s="517">
        <f>VLOOKUP(A85,'[2]2.행정구역별 급수인구'!$C$8:$AD$997,17,FALSE)</f>
        <v>0</v>
      </c>
      <c r="I85" s="517">
        <f>VLOOKUP(A85,'[2]2.행정구역별 급수인구'!$C$8:$AD$997,19,FALSE)</f>
        <v>0</v>
      </c>
      <c r="J85" s="517">
        <f>VLOOKUP(A85,'[2]2.행정구역별 급수인구'!$C$8:$AD$997,20,FALSE)</f>
        <v>154</v>
      </c>
    </row>
    <row r="86" spans="1:10" ht="18" customHeight="1">
      <c r="A86" s="406" t="s">
        <v>1384</v>
      </c>
      <c r="B86" s="517">
        <f>VLOOKUP(A86,'[2]2.행정구역별 급수인구'!$C$8:$AD$997,11,FALSE)</f>
        <v>186</v>
      </c>
      <c r="C86" s="517">
        <f>VLOOKUP(A86,'[2]2.행정구역별 급수인구'!$C$8:$AD$997,13,FALSE)</f>
        <v>183</v>
      </c>
      <c r="D86" s="517">
        <f>VLOOKUP(A86,'[2]2.행정구역별 급수인구'!$C$8:$AD$997,14,FALSE)</f>
        <v>181</v>
      </c>
      <c r="H86" s="517">
        <f>VLOOKUP(A86,'[2]2.행정구역별 급수인구'!$C$8:$AD$997,17,FALSE)</f>
        <v>0</v>
      </c>
      <c r="I86" s="517">
        <f>VLOOKUP(A86,'[2]2.행정구역별 급수인구'!$C$8:$AD$997,19,FALSE)</f>
        <v>0</v>
      </c>
      <c r="J86" s="517">
        <f>VLOOKUP(A86,'[2]2.행정구역별 급수인구'!$C$8:$AD$997,20,FALSE)</f>
        <v>154</v>
      </c>
    </row>
    <row r="87" spans="1:10" ht="18" customHeight="1">
      <c r="A87" s="406" t="s">
        <v>1778</v>
      </c>
      <c r="B87" s="517">
        <f>VLOOKUP(A87,'[2]2.행정구역별 급수인구'!$C$8:$AD$997,11,FALSE)</f>
        <v>250</v>
      </c>
      <c r="C87" s="517">
        <f>VLOOKUP(A87,'[2]2.행정구역별 급수인구'!$C$8:$AD$997,13,FALSE)</f>
        <v>247</v>
      </c>
      <c r="D87" s="517">
        <f>VLOOKUP(A87,'[2]2.행정구역별 급수인구'!$C$8:$AD$997,14,FALSE)</f>
        <v>244</v>
      </c>
      <c r="H87" s="517">
        <f>VLOOKUP(A87,'[2]2.행정구역별 급수인구'!$C$8:$AD$997,17,FALSE)</f>
        <v>0</v>
      </c>
      <c r="I87" s="517">
        <f>VLOOKUP(A87,'[2]2.행정구역별 급수인구'!$C$8:$AD$997,19,FALSE)</f>
        <v>0</v>
      </c>
      <c r="J87" s="517">
        <f>VLOOKUP(A87,'[2]2.행정구역별 급수인구'!$C$8:$AD$997,20,FALSE)</f>
        <v>208</v>
      </c>
    </row>
    <row r="88" spans="1:10" ht="18" customHeight="1">
      <c r="A88" s="406" t="s">
        <v>1390</v>
      </c>
      <c r="B88" s="517">
        <f>VLOOKUP(A88,'[2]2.행정구역별 급수인구'!$C$8:$AD$997,11,FALSE)</f>
        <v>163</v>
      </c>
      <c r="C88" s="517">
        <f>VLOOKUP(A88,'[2]2.행정구역별 급수인구'!$C$8:$AD$997,13,FALSE)</f>
        <v>161</v>
      </c>
      <c r="D88" s="517">
        <f>VLOOKUP(A88,'[2]2.행정구역별 급수인구'!$C$8:$AD$997,14,FALSE)</f>
        <v>159</v>
      </c>
      <c r="H88" s="517">
        <f>VLOOKUP(A88,'[2]2.행정구역별 급수인구'!$C$8:$AD$997,17,FALSE)</f>
        <v>0</v>
      </c>
      <c r="I88" s="517">
        <f>VLOOKUP(A88,'[2]2.행정구역별 급수인구'!$C$8:$AD$997,19,FALSE)</f>
        <v>0</v>
      </c>
      <c r="J88" s="517">
        <f>VLOOKUP(A88,'[2]2.행정구역별 급수인구'!$C$8:$AD$997,20,FALSE)</f>
        <v>135</v>
      </c>
    </row>
    <row r="89" spans="1:10" ht="18" customHeight="1">
      <c r="A89" s="406" t="s">
        <v>1391</v>
      </c>
      <c r="B89" s="517">
        <f>VLOOKUP(A89,'[2]2.행정구역별 급수인구'!$C$8:$AD$997,11,FALSE)</f>
        <v>99</v>
      </c>
      <c r="C89" s="517">
        <f>VLOOKUP(A89,'[2]2.행정구역별 급수인구'!$C$8:$AD$997,13,FALSE)</f>
        <v>97</v>
      </c>
      <c r="D89" s="517">
        <f>VLOOKUP(A89,'[2]2.행정구역별 급수인구'!$C$8:$AD$997,14,FALSE)</f>
        <v>96</v>
      </c>
      <c r="H89" s="517">
        <f>VLOOKUP(A89,'[2]2.행정구역별 급수인구'!$C$8:$AD$997,17,FALSE)</f>
        <v>0</v>
      </c>
      <c r="I89" s="517">
        <f>VLOOKUP(A89,'[2]2.행정구역별 급수인구'!$C$8:$AD$997,19,FALSE)</f>
        <v>0</v>
      </c>
      <c r="J89" s="517">
        <f>VLOOKUP(A89,'[2]2.행정구역별 급수인구'!$C$8:$AD$997,20,FALSE)</f>
        <v>82</v>
      </c>
    </row>
    <row r="90" spans="1:10" ht="18" customHeight="1">
      <c r="A90" s="406" t="s">
        <v>1392</v>
      </c>
      <c r="B90" s="517">
        <f>VLOOKUP(A90,'[2]2.행정구역별 급수인구'!$C$8:$AD$997,11,FALSE)</f>
        <v>160</v>
      </c>
      <c r="C90" s="517">
        <f>VLOOKUP(A90,'[2]2.행정구역별 급수인구'!$C$8:$AD$997,13,FALSE)</f>
        <v>158</v>
      </c>
      <c r="D90" s="517">
        <f>VLOOKUP(A90,'[2]2.행정구역별 급수인구'!$C$8:$AD$997,14,FALSE)</f>
        <v>156</v>
      </c>
      <c r="H90" s="517">
        <f>VLOOKUP(A90,'[2]2.행정구역별 급수인구'!$C$8:$AD$997,17,FALSE)</f>
        <v>0</v>
      </c>
      <c r="I90" s="517">
        <f>VLOOKUP(A90,'[2]2.행정구역별 급수인구'!$C$8:$AD$997,19,FALSE)</f>
        <v>0</v>
      </c>
      <c r="J90" s="517">
        <f>VLOOKUP(A90,'[2]2.행정구역별 급수인구'!$C$8:$AD$997,20,FALSE)</f>
        <v>133</v>
      </c>
    </row>
    <row r="91" spans="1:10" ht="18" customHeight="1">
      <c r="A91" s="406" t="s">
        <v>1393</v>
      </c>
      <c r="B91" s="517">
        <f>VLOOKUP(A91,'[2]2.행정구역별 급수인구'!$C$8:$AD$997,11,FALSE)</f>
        <v>44</v>
      </c>
      <c r="C91" s="517">
        <f>VLOOKUP(A91,'[2]2.행정구역별 급수인구'!$C$8:$AD$997,13,FALSE)</f>
        <v>44</v>
      </c>
      <c r="D91" s="517">
        <f>VLOOKUP(A91,'[2]2.행정구역별 급수인구'!$C$8:$AD$997,14,FALSE)</f>
        <v>42</v>
      </c>
      <c r="H91" s="517">
        <f>VLOOKUP(A91,'[2]2.행정구역별 급수인구'!$C$8:$AD$997,17,FALSE)</f>
        <v>0</v>
      </c>
      <c r="I91" s="517">
        <f>VLOOKUP(A91,'[2]2.행정구역별 급수인구'!$C$8:$AD$997,19,FALSE)</f>
        <v>0</v>
      </c>
      <c r="J91" s="517">
        <f>VLOOKUP(A91,'[2]2.행정구역별 급수인구'!$C$8:$AD$997,20,FALSE)</f>
        <v>36</v>
      </c>
    </row>
    <row r="92" spans="1:10" ht="18" customHeight="1">
      <c r="A92" s="406" t="s">
        <v>1394</v>
      </c>
      <c r="B92" s="517">
        <f>VLOOKUP(A92,'[2]2.행정구역별 급수인구'!$C$8:$AD$997,11,FALSE)</f>
        <v>191</v>
      </c>
      <c r="C92" s="517">
        <f>VLOOKUP(A92,'[2]2.행정구역별 급수인구'!$C$8:$AD$997,13,FALSE)</f>
        <v>188</v>
      </c>
      <c r="D92" s="517">
        <f>VLOOKUP(A92,'[2]2.행정구역별 급수인구'!$C$8:$AD$997,14,FALSE)</f>
        <v>186</v>
      </c>
      <c r="H92" s="517">
        <f>VLOOKUP(A92,'[2]2.행정구역별 급수인구'!$C$8:$AD$997,17,FALSE)</f>
        <v>0</v>
      </c>
      <c r="I92" s="517">
        <f>VLOOKUP(A92,'[2]2.행정구역별 급수인구'!$C$8:$AD$997,19,FALSE)</f>
        <v>0</v>
      </c>
      <c r="J92" s="517">
        <f>VLOOKUP(A92,'[2]2.행정구역별 급수인구'!$C$8:$AD$997,20,FALSE)</f>
        <v>158</v>
      </c>
    </row>
    <row r="93" spans="1:10" ht="18" customHeight="1">
      <c r="A93" s="406" t="s">
        <v>1395</v>
      </c>
      <c r="B93" s="517">
        <f>VLOOKUP(A93,'[2]2.행정구역별 급수인구'!$C$8:$AD$997,11,FALSE)</f>
        <v>180</v>
      </c>
      <c r="C93" s="517">
        <f>VLOOKUP(A93,'[2]2.행정구역별 급수인구'!$C$8:$AD$997,13,FALSE)</f>
        <v>177</v>
      </c>
      <c r="D93" s="517">
        <f>VLOOKUP(A93,'[2]2.행정구역별 급수인구'!$C$8:$AD$997,14,FALSE)</f>
        <v>176</v>
      </c>
      <c r="H93" s="517">
        <f>VLOOKUP(A93,'[2]2.행정구역별 급수인구'!$C$8:$AD$997,17,FALSE)</f>
        <v>0</v>
      </c>
      <c r="I93" s="517">
        <f>VLOOKUP(A93,'[2]2.행정구역별 급수인구'!$C$8:$AD$997,19,FALSE)</f>
        <v>0</v>
      </c>
      <c r="J93" s="517">
        <f>VLOOKUP(A93,'[2]2.행정구역별 급수인구'!$C$8:$AD$997,20,FALSE)</f>
        <v>149</v>
      </c>
    </row>
    <row r="94" spans="1:10" ht="18" customHeight="1">
      <c r="A94" s="406" t="s">
        <v>1398</v>
      </c>
      <c r="B94" s="517">
        <f>VLOOKUP(A94,'[2]2.행정구역별 급수인구'!$C$8:$AD$997,11,FALSE)</f>
        <v>157</v>
      </c>
      <c r="C94" s="517">
        <f>VLOOKUP(A94,'[2]2.행정구역별 급수인구'!$C$8:$AD$997,13,FALSE)</f>
        <v>155</v>
      </c>
      <c r="D94" s="517">
        <f>VLOOKUP(A94,'[2]2.행정구역별 급수인구'!$C$8:$AD$997,14,FALSE)</f>
        <v>153</v>
      </c>
      <c r="H94" s="517">
        <f>VLOOKUP(A94,'[2]2.행정구역별 급수인구'!$C$8:$AD$997,17,FALSE)</f>
        <v>0</v>
      </c>
      <c r="I94" s="517">
        <f>VLOOKUP(A94,'[2]2.행정구역별 급수인구'!$C$8:$AD$997,19,FALSE)</f>
        <v>0</v>
      </c>
      <c r="J94" s="517">
        <f>VLOOKUP(A94,'[2]2.행정구역별 급수인구'!$C$8:$AD$997,20,FALSE)</f>
        <v>130</v>
      </c>
    </row>
    <row r="95" spans="1:10" ht="18" customHeight="1">
      <c r="A95" s="406" t="s">
        <v>1399</v>
      </c>
      <c r="B95" s="517">
        <f>VLOOKUP(A95,'[2]2.행정구역별 급수인구'!$C$8:$AD$997,11,FALSE)</f>
        <v>198</v>
      </c>
      <c r="C95" s="517">
        <f>VLOOKUP(A95,'[2]2.행정구역별 급수인구'!$C$8:$AD$997,13,FALSE)</f>
        <v>195</v>
      </c>
      <c r="D95" s="517">
        <f>VLOOKUP(A95,'[2]2.행정구역별 급수인구'!$C$8:$AD$997,14,FALSE)</f>
        <v>194</v>
      </c>
      <c r="H95" s="517">
        <f>VLOOKUP(A95,'[2]2.행정구역별 급수인구'!$C$8:$AD$997,17,FALSE)</f>
        <v>0</v>
      </c>
      <c r="I95" s="517">
        <f>VLOOKUP(A95,'[2]2.행정구역별 급수인구'!$C$8:$AD$997,19,FALSE)</f>
        <v>0</v>
      </c>
      <c r="J95" s="517">
        <f>VLOOKUP(A95,'[2]2.행정구역별 급수인구'!$C$8:$AD$997,20,FALSE)</f>
        <v>165</v>
      </c>
    </row>
    <row r="96" spans="1:10" ht="18" customHeight="1">
      <c r="A96" s="406" t="s">
        <v>1400</v>
      </c>
      <c r="B96" s="517">
        <f>VLOOKUP(A96,'[2]2.행정구역별 급수인구'!$C$8:$AD$997,11,FALSE)</f>
        <v>114</v>
      </c>
      <c r="C96" s="517">
        <f>VLOOKUP(A96,'[2]2.행정구역별 급수인구'!$C$8:$AD$997,13,FALSE)</f>
        <v>112</v>
      </c>
      <c r="D96" s="517">
        <f>VLOOKUP(A96,'[2]2.행정구역별 급수인구'!$C$8:$AD$997,14,FALSE)</f>
        <v>111</v>
      </c>
      <c r="H96" s="517">
        <f>VLOOKUP(A96,'[2]2.행정구역별 급수인구'!$C$8:$AD$997,17,FALSE)</f>
        <v>0</v>
      </c>
      <c r="I96" s="517">
        <f>VLOOKUP(A96,'[2]2.행정구역별 급수인구'!$C$8:$AD$997,19,FALSE)</f>
        <v>0</v>
      </c>
      <c r="J96" s="517">
        <f>VLOOKUP(A96,'[2]2.행정구역별 급수인구'!$C$8:$AD$997,20,FALSE)</f>
        <v>95</v>
      </c>
    </row>
    <row r="97" spans="1:10" ht="18" customHeight="1">
      <c r="A97" s="406" t="s">
        <v>1401</v>
      </c>
      <c r="B97" s="517">
        <f>VLOOKUP(A97,'[2]2.행정구역별 급수인구'!$C$8:$AD$997,11,FALSE)</f>
        <v>64</v>
      </c>
      <c r="C97" s="517">
        <f>VLOOKUP(A97,'[2]2.행정구역별 급수인구'!$C$8:$AD$997,13,FALSE)</f>
        <v>63</v>
      </c>
      <c r="D97" s="517">
        <f>VLOOKUP(A97,'[2]2.행정구역별 급수인구'!$C$8:$AD$997,14,FALSE)</f>
        <v>62</v>
      </c>
      <c r="H97" s="517">
        <f>VLOOKUP(A97,'[2]2.행정구역별 급수인구'!$C$8:$AD$997,17,FALSE)</f>
        <v>0</v>
      </c>
      <c r="I97" s="517">
        <f>VLOOKUP(A97,'[2]2.행정구역별 급수인구'!$C$8:$AD$997,19,FALSE)</f>
        <v>0</v>
      </c>
      <c r="J97" s="517">
        <f>VLOOKUP(A97,'[2]2.행정구역별 급수인구'!$C$8:$AD$997,20,FALSE)</f>
        <v>53</v>
      </c>
    </row>
    <row r="98" spans="1:10" ht="18" customHeight="1">
      <c r="A98" s="406" t="s">
        <v>1402</v>
      </c>
      <c r="B98" s="517">
        <f>VLOOKUP(A98,'[2]2.행정구역별 급수인구'!$C$8:$AD$997,11,FALSE)</f>
        <v>115</v>
      </c>
      <c r="C98" s="517">
        <f>VLOOKUP(A98,'[2]2.행정구역별 급수인구'!$C$8:$AD$997,13,FALSE)</f>
        <v>113</v>
      </c>
      <c r="D98" s="517">
        <f>VLOOKUP(A98,'[2]2.행정구역별 급수인구'!$C$8:$AD$997,14,FALSE)</f>
        <v>112</v>
      </c>
      <c r="H98" s="517">
        <f>VLOOKUP(A98,'[2]2.행정구역별 급수인구'!$C$8:$AD$997,17,FALSE)</f>
        <v>0</v>
      </c>
      <c r="I98" s="517">
        <f>VLOOKUP(A98,'[2]2.행정구역별 급수인구'!$C$8:$AD$997,19,FALSE)</f>
        <v>0</v>
      </c>
      <c r="J98" s="517">
        <f>VLOOKUP(A98,'[2]2.행정구역별 급수인구'!$C$8:$AD$997,20,FALSE)</f>
        <v>95</v>
      </c>
    </row>
    <row r="99" spans="1:10" ht="18" customHeight="1">
      <c r="A99" s="406" t="s">
        <v>1403</v>
      </c>
      <c r="B99" s="517">
        <f>VLOOKUP(A99,'[2]2.행정구역별 급수인구'!$C$8:$AD$997,11,FALSE)</f>
        <v>138</v>
      </c>
      <c r="C99" s="517">
        <f>VLOOKUP(A99,'[2]2.행정구역별 급수인구'!$C$8:$AD$997,13,FALSE)</f>
        <v>136</v>
      </c>
      <c r="D99" s="517">
        <f>VLOOKUP(A99,'[2]2.행정구역별 급수인구'!$C$8:$AD$997,14,FALSE)</f>
        <v>135</v>
      </c>
      <c r="H99" s="517">
        <f>VLOOKUP(A99,'[2]2.행정구역별 급수인구'!$C$8:$AD$997,17,FALSE)</f>
        <v>0</v>
      </c>
      <c r="I99" s="517">
        <f>VLOOKUP(A99,'[2]2.행정구역별 급수인구'!$C$8:$AD$997,19,FALSE)</f>
        <v>0</v>
      </c>
      <c r="J99" s="517">
        <f>VLOOKUP(A99,'[2]2.행정구역별 급수인구'!$C$8:$AD$997,20,FALSE)</f>
        <v>115</v>
      </c>
    </row>
    <row r="100" spans="1:10" ht="18" customHeight="1">
      <c r="A100" s="406" t="s">
        <v>1404</v>
      </c>
      <c r="B100" s="517">
        <f>VLOOKUP(A100,'[2]2.행정구역별 급수인구'!$C$8:$AD$997,11,FALSE)</f>
        <v>42</v>
      </c>
      <c r="C100" s="517">
        <f>VLOOKUP(A100,'[2]2.행정구역별 급수인구'!$C$8:$AD$997,13,FALSE)</f>
        <v>41</v>
      </c>
      <c r="D100" s="517">
        <f>VLOOKUP(A100,'[2]2.행정구역별 급수인구'!$C$8:$AD$997,14,FALSE)</f>
        <v>41</v>
      </c>
      <c r="H100" s="517">
        <f>VLOOKUP(A100,'[2]2.행정구역별 급수인구'!$C$8:$AD$997,17,FALSE)</f>
        <v>0</v>
      </c>
      <c r="I100" s="517">
        <f>VLOOKUP(A100,'[2]2.행정구역별 급수인구'!$C$8:$AD$997,19,FALSE)</f>
        <v>0</v>
      </c>
      <c r="J100" s="517">
        <f>VLOOKUP(A100,'[2]2.행정구역별 급수인구'!$C$8:$AD$997,20,FALSE)</f>
        <v>35</v>
      </c>
    </row>
    <row r="102" spans="1:10" ht="18" customHeight="1">
      <c r="A102" s="518" t="s">
        <v>2602</v>
      </c>
      <c r="B102" s="517">
        <f>SUM(B103:B106)</f>
        <v>878</v>
      </c>
      <c r="J102" s="517">
        <f>SUM(J103:J106)</f>
        <v>717</v>
      </c>
    </row>
    <row r="103" spans="1:10" ht="18" customHeight="1">
      <c r="A103" s="406" t="s">
        <v>1532</v>
      </c>
      <c r="B103" s="517">
        <f>VLOOKUP(A103,'[2]2.행정구역별 급수인구'!$C$8:$AD$997,11,FALSE)</f>
        <v>285</v>
      </c>
      <c r="H103" s="517">
        <f>VLOOKUP(A103,'[2]2.행정구역별 급수인구'!$C$8:$AD$997,17,FALSE)</f>
        <v>0</v>
      </c>
      <c r="I103" s="517">
        <f>VLOOKUP(A103,'[2]2.행정구역별 급수인구'!$C$8:$AD$997,19,FALSE)</f>
        <v>0</v>
      </c>
      <c r="J103" s="517">
        <f>VLOOKUP(A103,'[2]2.행정구역별 급수인구'!$C$8:$AD$997,20,FALSE)</f>
        <v>224</v>
      </c>
    </row>
    <row r="104" spans="1:10" ht="18" customHeight="1">
      <c r="A104" s="406" t="s">
        <v>1533</v>
      </c>
      <c r="B104" s="517">
        <f>VLOOKUP(A104,'[2]2.행정구역별 급수인구'!$C$8:$AD$997,11,FALSE)</f>
        <v>162</v>
      </c>
      <c r="H104" s="517">
        <f>VLOOKUP(A104,'[2]2.행정구역별 급수인구'!$C$8:$AD$997,17,FALSE)</f>
        <v>0</v>
      </c>
      <c r="I104" s="517">
        <f>VLOOKUP(A104,'[2]2.행정구역별 급수인구'!$C$8:$AD$997,19,FALSE)</f>
        <v>0</v>
      </c>
      <c r="J104" s="517">
        <f>VLOOKUP(A104,'[2]2.행정구역별 급수인구'!$C$8:$AD$997,20,FALSE)</f>
        <v>135</v>
      </c>
    </row>
    <row r="105" spans="1:10" ht="18" customHeight="1">
      <c r="A105" s="406" t="s">
        <v>1534</v>
      </c>
      <c r="B105" s="517">
        <f>VLOOKUP(A105,'[2]2.행정구역별 급수인구'!$C$8:$AD$997,11,FALSE)</f>
        <v>214</v>
      </c>
      <c r="H105" s="517">
        <f>VLOOKUP(A105,'[2]2.행정구역별 급수인구'!$C$8:$AD$997,17,FALSE)</f>
        <v>0</v>
      </c>
      <c r="I105" s="517">
        <f>VLOOKUP(A105,'[2]2.행정구역별 급수인구'!$C$8:$AD$997,19,FALSE)</f>
        <v>0</v>
      </c>
      <c r="J105" s="517">
        <f>VLOOKUP(A105,'[2]2.행정구역별 급수인구'!$C$8:$AD$997,20,FALSE)</f>
        <v>178</v>
      </c>
    </row>
    <row r="106" spans="1:10" ht="18" customHeight="1">
      <c r="A106" s="406" t="s">
        <v>1535</v>
      </c>
      <c r="B106" s="517">
        <f>VLOOKUP(A106,'[2]2.행정구역별 급수인구'!$C$8:$AD$997,11,FALSE)</f>
        <v>217</v>
      </c>
      <c r="H106" s="517">
        <f>VLOOKUP(A106,'[2]2.행정구역별 급수인구'!$C$8:$AD$997,17,FALSE)</f>
        <v>0</v>
      </c>
      <c r="I106" s="517">
        <f>VLOOKUP(A106,'[2]2.행정구역별 급수인구'!$C$8:$AD$997,19,FALSE)</f>
        <v>0</v>
      </c>
      <c r="J106" s="517">
        <f>VLOOKUP(A106,'[2]2.행정구역별 급수인구'!$C$8:$AD$997,20,FALSE)</f>
        <v>180</v>
      </c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>
  <dimension ref="B3:H70"/>
  <sheetViews>
    <sheetView workbookViewId="0">
      <selection activeCell="H18" sqref="H18"/>
    </sheetView>
  </sheetViews>
  <sheetFormatPr defaultRowHeight="20.100000000000001" customHeight="1"/>
  <cols>
    <col min="1" max="16384" width="8.88671875" style="388"/>
  </cols>
  <sheetData>
    <row r="3" spans="2:8" ht="20.100000000000001" customHeight="1">
      <c r="B3" s="388" t="s">
        <v>2608</v>
      </c>
      <c r="C3" s="910" t="s">
        <v>703</v>
      </c>
      <c r="D3" s="910"/>
      <c r="E3" s="910" t="s">
        <v>704</v>
      </c>
      <c r="F3" s="910"/>
      <c r="G3" s="910" t="s">
        <v>702</v>
      </c>
      <c r="H3" s="910"/>
    </row>
    <row r="4" spans="2:8" ht="20.100000000000001" customHeight="1">
      <c r="B4" s="568">
        <f>ROUND(D4+F4+H4,-1)</f>
        <v>1310</v>
      </c>
      <c r="C4" s="388" t="s">
        <v>22</v>
      </c>
      <c r="D4" s="567">
        <f>SUM(D5:D16)</f>
        <v>493</v>
      </c>
      <c r="E4" s="388" t="s">
        <v>22</v>
      </c>
      <c r="F4" s="567">
        <f>'2.생활용수(행정구역)'!K81</f>
        <v>587</v>
      </c>
      <c r="G4" s="388" t="s">
        <v>22</v>
      </c>
      <c r="H4" s="567">
        <f>SUM(H5:H16)</f>
        <v>225</v>
      </c>
    </row>
    <row r="5" spans="2:8" ht="20.100000000000001" customHeight="1">
      <c r="C5" s="388" t="s">
        <v>1749</v>
      </c>
      <c r="D5" s="567">
        <f>VLOOKUP(C5,'2.생활용수(노성)'!$C$8:$U$500,16,FALSE)</f>
        <v>59</v>
      </c>
      <c r="F5" s="567"/>
      <c r="G5" s="388" t="s">
        <v>1722</v>
      </c>
      <c r="H5" s="567">
        <f>VLOOKUP(G5,'2.생활용수(노성)'!$C$8:$U$500,16,FALSE)</f>
        <v>37</v>
      </c>
    </row>
    <row r="6" spans="2:8" ht="20.100000000000001" customHeight="1">
      <c r="C6" s="388" t="s">
        <v>1750</v>
      </c>
      <c r="D6" s="567">
        <f>VLOOKUP(C6,'2.생활용수(노성)'!$C$8:$U$500,16,FALSE)</f>
        <v>58</v>
      </c>
      <c r="F6" s="567"/>
      <c r="G6" s="388" t="s">
        <v>1723</v>
      </c>
      <c r="H6" s="567">
        <f>VLOOKUP(G6,'2.생활용수(노성)'!$C$8:$U$500,16,FALSE)</f>
        <v>29</v>
      </c>
    </row>
    <row r="7" spans="2:8" ht="20.100000000000001" customHeight="1">
      <c r="C7" s="388" t="s">
        <v>1751</v>
      </c>
      <c r="D7" s="567">
        <f>VLOOKUP(C7,'2.생활용수(노성)'!$C$8:$U$500,16,FALSE)</f>
        <v>32</v>
      </c>
      <c r="F7" s="567"/>
      <c r="G7" s="388" t="s">
        <v>1724</v>
      </c>
      <c r="H7" s="567">
        <f>VLOOKUP(G7,'2.생활용수(노성)'!$C$8:$U$500,16,FALSE)</f>
        <v>20</v>
      </c>
    </row>
    <row r="8" spans="2:8" ht="20.100000000000001" customHeight="1">
      <c r="C8" s="388" t="s">
        <v>1752</v>
      </c>
      <c r="D8" s="567">
        <f>VLOOKUP(C8,'2.생활용수(노성)'!$C$8:$U$500,16,FALSE)</f>
        <v>38</v>
      </c>
      <c r="F8" s="567"/>
      <c r="G8" s="388" t="s">
        <v>1725</v>
      </c>
      <c r="H8" s="567">
        <f>VLOOKUP(G8,'2.생활용수(노성)'!$C$8:$U$500,16,FALSE)</f>
        <v>21</v>
      </c>
    </row>
    <row r="9" spans="2:8" ht="20.100000000000001" customHeight="1">
      <c r="C9" s="388" t="s">
        <v>1753</v>
      </c>
      <c r="D9" s="567">
        <f>VLOOKUP(C9,'2.생활용수(노성)'!$C$8:$U$500,16,FALSE)</f>
        <v>14</v>
      </c>
      <c r="F9" s="567"/>
      <c r="G9" s="388" t="s">
        <v>1726</v>
      </c>
      <c r="H9" s="567">
        <f>VLOOKUP(G9,'2.생활용수(노성)'!$C$8:$U$500,16,FALSE)</f>
        <v>96</v>
      </c>
    </row>
    <row r="10" spans="2:8" ht="20.100000000000001" customHeight="1">
      <c r="C10" s="388" t="s">
        <v>1754</v>
      </c>
      <c r="D10" s="567">
        <f>VLOOKUP(C10,'2.생활용수(노성)'!$C$8:$U$500,16,FALSE)</f>
        <v>164</v>
      </c>
      <c r="F10" s="567"/>
      <c r="G10" s="388" t="s">
        <v>1727</v>
      </c>
      <c r="H10" s="567">
        <f>VLOOKUP(G10,'2.생활용수(노성)'!$C$8:$U$500,16,FALSE)</f>
        <v>22</v>
      </c>
    </row>
    <row r="11" spans="2:8" ht="20.100000000000001" customHeight="1">
      <c r="C11" s="388" t="s">
        <v>1755</v>
      </c>
      <c r="D11" s="567">
        <f>VLOOKUP(C11,'2.생활용수(노성)'!$C$8:$U$500,16,FALSE)</f>
        <v>61</v>
      </c>
      <c r="F11" s="567"/>
      <c r="H11" s="567"/>
    </row>
    <row r="12" spans="2:8" ht="20.100000000000001" customHeight="1">
      <c r="C12" s="388" t="s">
        <v>1756</v>
      </c>
      <c r="D12" s="567">
        <f>VLOOKUP(C12,'2.생활용수(노성)'!$C$8:$U$500,16,FALSE)</f>
        <v>24</v>
      </c>
      <c r="F12" s="567"/>
      <c r="H12" s="567"/>
    </row>
    <row r="13" spans="2:8" ht="20.100000000000001" customHeight="1">
      <c r="C13" s="388" t="s">
        <v>1757</v>
      </c>
      <c r="D13" s="567">
        <f>VLOOKUP(C13,'2.생활용수(노성)'!$C$8:$U$500,16,FALSE)</f>
        <v>21</v>
      </c>
      <c r="F13" s="567"/>
      <c r="H13" s="567"/>
    </row>
    <row r="14" spans="2:8" ht="20.100000000000001" customHeight="1">
      <c r="C14" s="388" t="s">
        <v>1758</v>
      </c>
      <c r="D14" s="567">
        <f>VLOOKUP(C14,'2.생활용수(노성)'!$C$8:$U$500,16,FALSE)</f>
        <v>22</v>
      </c>
      <c r="F14" s="567"/>
      <c r="H14" s="567"/>
    </row>
    <row r="15" spans="2:8" ht="20.100000000000001" customHeight="1">
      <c r="D15" s="567"/>
      <c r="F15" s="567"/>
      <c r="H15" s="567"/>
    </row>
    <row r="16" spans="2:8" ht="20.100000000000001" customHeight="1">
      <c r="D16" s="567"/>
      <c r="F16" s="567"/>
      <c r="H16" s="567"/>
    </row>
    <row r="17" spans="2:6" ht="20.100000000000001" customHeight="1">
      <c r="B17" s="388" t="s">
        <v>1828</v>
      </c>
      <c r="C17" s="910" t="s">
        <v>702</v>
      </c>
      <c r="D17" s="910"/>
      <c r="E17" s="910" t="s">
        <v>703</v>
      </c>
      <c r="F17" s="910"/>
    </row>
    <row r="18" spans="2:6" ht="20.100000000000001" customHeight="1">
      <c r="B18" s="568">
        <f>ROUND(D18+F18+H18,-1)</f>
        <v>730</v>
      </c>
      <c r="C18" s="388" t="s">
        <v>22</v>
      </c>
      <c r="D18" s="567">
        <f>SUM(D19:D36)</f>
        <v>261</v>
      </c>
      <c r="E18" s="388" t="s">
        <v>22</v>
      </c>
      <c r="F18" s="567">
        <f>SUM(F19:F36)</f>
        <v>471</v>
      </c>
    </row>
    <row r="19" spans="2:6" ht="20.100000000000001" customHeight="1">
      <c r="C19" s="388" t="s">
        <v>1687</v>
      </c>
      <c r="D19" s="567">
        <f>VLOOKUP(C19,'2.생활용수(광석)'!$C$8:$U$500,17,FALSE)</f>
        <v>41</v>
      </c>
      <c r="E19" s="388" t="s">
        <v>1774</v>
      </c>
      <c r="F19" s="567">
        <f>VLOOKUP(E19,'2.생활용수(광석)'!$C$8:$U$500,17,FALSE)</f>
        <v>29</v>
      </c>
    </row>
    <row r="20" spans="2:6" ht="20.100000000000001" customHeight="1">
      <c r="C20" s="388" t="s">
        <v>1731</v>
      </c>
      <c r="D20" s="567">
        <f>VLOOKUP(C20,'2.생활용수(광석)'!$C$8:$U$500,17,FALSE)</f>
        <v>24</v>
      </c>
      <c r="E20" s="388" t="s">
        <v>1775</v>
      </c>
      <c r="F20" s="567">
        <f>VLOOKUP(E20,'2.생활용수(광석)'!$C$8:$U$500,17,FALSE)</f>
        <v>37</v>
      </c>
    </row>
    <row r="21" spans="2:6" ht="20.100000000000001" customHeight="1">
      <c r="C21" s="406" t="s">
        <v>1688</v>
      </c>
      <c r="D21" s="567">
        <f>VLOOKUP(C21,'2.생활용수(광석)'!$C$8:$U$500,17,FALSE)</f>
        <v>40</v>
      </c>
      <c r="E21" s="388" t="s">
        <v>1737</v>
      </c>
      <c r="F21" s="567">
        <f>VLOOKUP(E21,'2.생활용수(광석)'!$C$8:$U$500,17,FALSE)</f>
        <v>32</v>
      </c>
    </row>
    <row r="22" spans="2:6" ht="20.100000000000001" customHeight="1">
      <c r="C22" s="406" t="s">
        <v>1689</v>
      </c>
      <c r="D22" s="567">
        <f>VLOOKUP(C22,'2.생활용수(광석)'!$C$8:$U$500,17,FALSE)</f>
        <v>38</v>
      </c>
      <c r="E22" s="388" t="s">
        <v>1738</v>
      </c>
      <c r="F22" s="567">
        <f>VLOOKUP(E22,'2.생활용수(광석)'!$C$8:$U$500,17,FALSE)</f>
        <v>36</v>
      </c>
    </row>
    <row r="23" spans="2:6" ht="20.100000000000001" customHeight="1">
      <c r="C23" s="406" t="s">
        <v>1690</v>
      </c>
      <c r="D23" s="567">
        <f>VLOOKUP(C23,'2.생활용수(광석)'!$C$8:$U$500,17,FALSE)</f>
        <v>21</v>
      </c>
      <c r="E23" s="388" t="s">
        <v>1740</v>
      </c>
      <c r="F23" s="567">
        <f>VLOOKUP(E23,'2.생활용수(광석)'!$C$8:$U$500,17,FALSE)</f>
        <v>18</v>
      </c>
    </row>
    <row r="24" spans="2:6" ht="20.100000000000001" customHeight="1">
      <c r="C24" s="388" t="s">
        <v>1691</v>
      </c>
      <c r="D24" s="567">
        <f>VLOOKUP(C24,'2.생활용수(광석)'!$C$8:$U$500,17,FALSE)</f>
        <v>30</v>
      </c>
      <c r="E24" s="388" t="s">
        <v>1733</v>
      </c>
      <c r="F24" s="567">
        <f>VLOOKUP(E24,'2.생활용수(노성)'!$C$8:$U$500,17,FALSE)</f>
        <v>29</v>
      </c>
    </row>
    <row r="25" spans="2:6" ht="20.100000000000001" customHeight="1">
      <c r="C25" s="388" t="s">
        <v>1692</v>
      </c>
      <c r="D25" s="567">
        <f>VLOOKUP(C25,'2.생활용수(광석)'!$C$8:$U$500,17,FALSE)</f>
        <v>38</v>
      </c>
      <c r="E25" s="388" t="s">
        <v>1734</v>
      </c>
      <c r="F25" s="567">
        <f>VLOOKUP(E25,'2.생활용수(노성)'!$C$8:$U$500,17,FALSE)</f>
        <v>42</v>
      </c>
    </row>
    <row r="26" spans="2:6" ht="20.100000000000001" customHeight="1">
      <c r="C26" s="388" t="s">
        <v>2609</v>
      </c>
      <c r="D26" s="567">
        <f>'2.생활용수(노성)'!S44</f>
        <v>29</v>
      </c>
      <c r="E26" s="388" t="s">
        <v>1735</v>
      </c>
      <c r="F26" s="567">
        <f>VLOOKUP(E26,'2.생활용수(노성)'!$C$8:$U$500,17,FALSE)</f>
        <v>16</v>
      </c>
    </row>
    <row r="27" spans="2:6" ht="20.100000000000001" customHeight="1">
      <c r="D27" s="567"/>
      <c r="E27" s="388" t="s">
        <v>1736</v>
      </c>
      <c r="F27" s="567">
        <f>VLOOKUP(E27,'2.생활용수(노성)'!$C$8:$U$500,17,FALSE)</f>
        <v>23</v>
      </c>
    </row>
    <row r="28" spans="2:6" ht="20.100000000000001" customHeight="1">
      <c r="D28" s="567"/>
      <c r="E28" s="388" t="s">
        <v>1739</v>
      </c>
      <c r="F28" s="567">
        <f>VLOOKUP(E28,'2.생활용수(노성)'!$C$8:$U$500,17,FALSE)</f>
        <v>28</v>
      </c>
    </row>
    <row r="29" spans="2:6" ht="20.100000000000001" customHeight="1">
      <c r="D29" s="567"/>
      <c r="E29" s="388" t="s">
        <v>1741</v>
      </c>
      <c r="F29" s="567">
        <f>VLOOKUP(E29,'2.생활용수(노성)'!$C$8:$U$500,17,FALSE)</f>
        <v>41</v>
      </c>
    </row>
    <row r="30" spans="2:6" ht="20.100000000000001" customHeight="1">
      <c r="D30" s="567"/>
      <c r="E30" s="388" t="s">
        <v>1742</v>
      </c>
      <c r="F30" s="567">
        <f>VLOOKUP(E30,'2.생활용수(노성)'!$C$8:$U$500,17,FALSE)</f>
        <v>31</v>
      </c>
    </row>
    <row r="31" spans="2:6" ht="20.100000000000001" customHeight="1">
      <c r="D31" s="567"/>
      <c r="E31" s="388" t="s">
        <v>1743</v>
      </c>
      <c r="F31" s="567">
        <f>VLOOKUP(E31,'2.생활용수(노성)'!$C$8:$U$500,17,FALSE)</f>
        <v>25</v>
      </c>
    </row>
    <row r="32" spans="2:6" ht="20.100000000000001" customHeight="1">
      <c r="D32" s="567"/>
      <c r="E32" s="388" t="s">
        <v>1744</v>
      </c>
      <c r="F32" s="567">
        <f>VLOOKUP(E32,'2.생활용수(노성)'!$C$8:$U$500,17,FALSE)</f>
        <v>34</v>
      </c>
    </row>
    <row r="33" spans="2:8" ht="20.100000000000001" customHeight="1">
      <c r="D33" s="567"/>
      <c r="E33" s="388" t="s">
        <v>1745</v>
      </c>
      <c r="F33" s="567">
        <f>VLOOKUP(E33,'2.생활용수(노성)'!$C$8:$U$500,17,FALSE)</f>
        <v>22</v>
      </c>
    </row>
    <row r="34" spans="2:8" ht="20.100000000000001" customHeight="1">
      <c r="D34" s="567"/>
      <c r="E34" s="388" t="s">
        <v>1759</v>
      </c>
      <c r="F34" s="567">
        <f>VLOOKUP(E34,'2.생활용수(노성)'!$C$8:$U$500,17,FALSE)</f>
        <v>28</v>
      </c>
    </row>
    <row r="35" spans="2:8" ht="20.100000000000001" customHeight="1">
      <c r="D35" s="567"/>
    </row>
    <row r="36" spans="2:8" ht="20.100000000000001" customHeight="1">
      <c r="D36" s="567"/>
    </row>
    <row r="37" spans="2:8" ht="20.100000000000001" customHeight="1">
      <c r="B37" s="388" t="s">
        <v>2610</v>
      </c>
      <c r="C37" s="910" t="s">
        <v>709</v>
      </c>
      <c r="D37" s="910"/>
      <c r="E37" s="910" t="s">
        <v>708</v>
      </c>
      <c r="F37" s="910"/>
      <c r="G37" s="910" t="s">
        <v>707</v>
      </c>
      <c r="H37" s="910"/>
    </row>
    <row r="38" spans="2:8" ht="20.100000000000001" customHeight="1">
      <c r="B38" s="568">
        <f>ROUND(D38+F38+H38,-1)</f>
        <v>2120</v>
      </c>
      <c r="C38" s="388" t="s">
        <v>22</v>
      </c>
      <c r="D38" s="567">
        <f>SUM(D39:D61)</f>
        <v>950</v>
      </c>
      <c r="E38" s="388" t="s">
        <v>22</v>
      </c>
      <c r="F38" s="567">
        <f>SUM(F39:F61)</f>
        <v>482</v>
      </c>
      <c r="G38" s="388" t="s">
        <v>22</v>
      </c>
      <c r="H38" s="388">
        <f>'2.생활용수(행정구역)'!L132</f>
        <v>689</v>
      </c>
    </row>
    <row r="39" spans="2:8" ht="20.100000000000001" customHeight="1">
      <c r="C39" s="388" t="s">
        <v>1778</v>
      </c>
      <c r="D39" s="567">
        <f>VLOOKUP(C39,'2.생활용수(연무)'!$C$8:$U$500,17,FALSE)</f>
        <v>64</v>
      </c>
      <c r="E39" s="388" t="s">
        <v>1576</v>
      </c>
      <c r="F39" s="567">
        <f>VLOOKUP(E39,'2.생활용수(연산)'!$C$8:$U$500,17,FALSE)</f>
        <v>30</v>
      </c>
    </row>
    <row r="40" spans="2:8" ht="20.100000000000001" customHeight="1">
      <c r="C40" s="388" t="s">
        <v>1402</v>
      </c>
      <c r="D40" s="567">
        <f>VLOOKUP(C40,'2.생활용수(연무)'!$C$8:$U$500,17,FALSE)</f>
        <v>29</v>
      </c>
      <c r="E40" s="388" t="s">
        <v>1581</v>
      </c>
      <c r="F40" s="567">
        <f>VLOOKUP(E40,'2.생활용수(연산)'!$C$8:$U$500,17,FALSE)</f>
        <v>20</v>
      </c>
    </row>
    <row r="41" spans="2:8" ht="20.100000000000001" customHeight="1">
      <c r="C41" s="388" t="s">
        <v>1390</v>
      </c>
      <c r="D41" s="567">
        <f>VLOOKUP(C41,'2.생활용수(연무)'!$C$8:$U$500,17,FALSE)</f>
        <v>42</v>
      </c>
      <c r="E41" s="388" t="s">
        <v>1583</v>
      </c>
      <c r="F41" s="567">
        <f>VLOOKUP(E41,'2.생활용수(연산)'!$C$8:$U$500,17,FALSE)</f>
        <v>26</v>
      </c>
    </row>
    <row r="42" spans="2:8" ht="20.100000000000001" customHeight="1">
      <c r="C42" s="388" t="s">
        <v>2611</v>
      </c>
      <c r="D42" s="567">
        <f>VLOOKUP(C42,'2.생활용수(연무)'!$C$8:$U$500,17,FALSE)</f>
        <v>25</v>
      </c>
      <c r="E42" s="388" t="s">
        <v>1584</v>
      </c>
      <c r="F42" s="567">
        <f>VLOOKUP(E42,'2.생활용수(연산)'!$C$8:$U$500,17,FALSE)</f>
        <v>58</v>
      </c>
    </row>
    <row r="43" spans="2:8" ht="20.100000000000001" customHeight="1">
      <c r="C43" s="388" t="s">
        <v>2612</v>
      </c>
      <c r="D43" s="567">
        <f>VLOOKUP(C43,'2.생활용수(연무)'!$C$8:$U$500,17,FALSE)</f>
        <v>41</v>
      </c>
      <c r="E43" s="388" t="s">
        <v>1585</v>
      </c>
      <c r="F43" s="567">
        <f>VLOOKUP(E43,'2.생활용수(연산)'!$C$8:$U$500,17,FALSE)</f>
        <v>41</v>
      </c>
    </row>
    <row r="44" spans="2:8" ht="20.100000000000001" customHeight="1">
      <c r="C44" s="388" t="s">
        <v>1393</v>
      </c>
      <c r="D44" s="567">
        <f>VLOOKUP(C44,'2.생활용수(연무)'!$C$8:$U$500,17,FALSE)</f>
        <v>11</v>
      </c>
      <c r="E44" s="388" t="s">
        <v>1586</v>
      </c>
      <c r="F44" s="567">
        <f>VLOOKUP(E44,'2.생활용수(연산)'!$C$8:$U$500,17,FALSE)</f>
        <v>47</v>
      </c>
    </row>
    <row r="45" spans="2:8" ht="20.100000000000001" customHeight="1">
      <c r="C45" s="388" t="s">
        <v>1394</v>
      </c>
      <c r="D45" s="567">
        <f>VLOOKUP(C45,'2.생활용수(연무)'!$C$8:$U$500,17,FALSE)</f>
        <v>49</v>
      </c>
      <c r="E45" s="388" t="s">
        <v>1587</v>
      </c>
      <c r="F45" s="567">
        <f>VLOOKUP(E45,'2.생활용수(연산)'!$C$8:$U$500,17,FALSE)</f>
        <v>37</v>
      </c>
    </row>
    <row r="46" spans="2:8" ht="20.100000000000001" customHeight="1">
      <c r="C46" s="388" t="s">
        <v>1395</v>
      </c>
      <c r="D46" s="567">
        <f>VLOOKUP(C46,'2.생활용수(연무)'!$C$8:$U$500,17,FALSE)</f>
        <v>46</v>
      </c>
      <c r="E46" s="388" t="s">
        <v>1588</v>
      </c>
      <c r="F46" s="567">
        <f>VLOOKUP(E46,'2.생활용수(연산)'!$C$8:$U$500,17,FALSE)</f>
        <v>37</v>
      </c>
    </row>
    <row r="47" spans="2:8" ht="20.100000000000001" customHeight="1">
      <c r="C47" s="388" t="s">
        <v>1398</v>
      </c>
      <c r="D47" s="567">
        <f>VLOOKUP(C47,'2.생활용수(연무)'!$C$8:$U$500,17,FALSE)</f>
        <v>40</v>
      </c>
      <c r="E47" s="388" t="s">
        <v>1589</v>
      </c>
      <c r="F47" s="567">
        <f>VLOOKUP(E47,'2.생활용수(연산)'!$C$8:$U$500,17,FALSE)</f>
        <v>58</v>
      </c>
    </row>
    <row r="48" spans="2:8" ht="20.100000000000001" customHeight="1">
      <c r="C48" s="388" t="s">
        <v>1399</v>
      </c>
      <c r="D48" s="567">
        <f>VLOOKUP(C48,'2.생활용수(연무)'!$C$8:$U$500,17,FALSE)</f>
        <v>51</v>
      </c>
      <c r="E48" s="388" t="s">
        <v>1590</v>
      </c>
      <c r="F48" s="567">
        <f>VLOOKUP(E48,'2.생활용수(연산)'!$C$8:$U$500,17,FALSE)</f>
        <v>42</v>
      </c>
    </row>
    <row r="49" spans="3:6" ht="20.100000000000001" customHeight="1">
      <c r="C49" s="388" t="s">
        <v>1400</v>
      </c>
      <c r="D49" s="567">
        <f>VLOOKUP(C49,'2.생활용수(연무)'!$C$8:$U$500,17,FALSE)</f>
        <v>29</v>
      </c>
      <c r="E49" s="388" t="s">
        <v>1591</v>
      </c>
      <c r="F49" s="567">
        <f>VLOOKUP(E49,'2.생활용수(연산)'!$C$8:$U$500,17,FALSE)</f>
        <v>33</v>
      </c>
    </row>
    <row r="50" spans="3:6" ht="20.100000000000001" customHeight="1">
      <c r="C50" s="388" t="s">
        <v>1401</v>
      </c>
      <c r="D50" s="567">
        <f>VLOOKUP(C50,'2.생활용수(연무)'!$C$8:$U$500,17,FALSE)</f>
        <v>16</v>
      </c>
      <c r="E50" s="388" t="s">
        <v>1596</v>
      </c>
      <c r="F50" s="567">
        <f>'2.생활용수(연산)'!S201</f>
        <v>23</v>
      </c>
    </row>
    <row r="51" spans="3:6" ht="20.100000000000001" customHeight="1">
      <c r="C51" s="388" t="s">
        <v>1403</v>
      </c>
      <c r="D51" s="567">
        <f>VLOOKUP(C51,'2.생활용수(연무)'!$C$8:$U$500,17,FALSE)</f>
        <v>35</v>
      </c>
      <c r="E51" s="388" t="s">
        <v>1597</v>
      </c>
      <c r="F51" s="567">
        <f>'2.생활용수(연산)'!S202</f>
        <v>30</v>
      </c>
    </row>
    <row r="52" spans="3:6" ht="20.100000000000001" customHeight="1">
      <c r="C52" s="388" t="s">
        <v>2613</v>
      </c>
      <c r="D52" s="567">
        <f>VLOOKUP(C52,'2.생활용수(연무)'!$C$8:$U$500,17,FALSE)</f>
        <v>11</v>
      </c>
    </row>
    <row r="53" spans="3:6" ht="20.100000000000001" customHeight="1">
      <c r="C53" s="388" t="s">
        <v>1376</v>
      </c>
      <c r="D53" s="567">
        <f>'2.생활용수(마산)'!S94</f>
        <v>42</v>
      </c>
    </row>
    <row r="54" spans="3:6" ht="20.100000000000001" customHeight="1">
      <c r="C54" s="388" t="s">
        <v>2614</v>
      </c>
      <c r="D54" s="567">
        <f>'2.생활용수(마산)'!S95</f>
        <v>63</v>
      </c>
    </row>
    <row r="55" spans="3:6" ht="20.100000000000001" customHeight="1">
      <c r="C55" s="388" t="s">
        <v>2615</v>
      </c>
      <c r="D55" s="567">
        <f>'2.생활용수(마산)'!S96</f>
        <v>25</v>
      </c>
    </row>
    <row r="56" spans="3:6" ht="20.100000000000001" customHeight="1">
      <c r="C56" s="388" t="s">
        <v>1379</v>
      </c>
      <c r="D56" s="567">
        <f>'2.생활용수(마산)'!S97</f>
        <v>56</v>
      </c>
    </row>
    <row r="57" spans="3:6" ht="20.100000000000001" customHeight="1">
      <c r="C57" s="388" t="s">
        <v>1380</v>
      </c>
      <c r="D57" s="567">
        <f>'2.생활용수(마산)'!S98</f>
        <v>29</v>
      </c>
    </row>
    <row r="58" spans="3:6" ht="20.100000000000001" customHeight="1">
      <c r="C58" s="388" t="s">
        <v>1381</v>
      </c>
      <c r="D58" s="567">
        <f>'2.생활용수(마산)'!S99</f>
        <v>51</v>
      </c>
    </row>
    <row r="59" spans="3:6" ht="20.100000000000001" customHeight="1">
      <c r="C59" s="388" t="s">
        <v>1382</v>
      </c>
      <c r="D59" s="567">
        <f>'2.생활용수(마산)'!S100</f>
        <v>101</v>
      </c>
    </row>
    <row r="60" spans="3:6" ht="20.100000000000001" customHeight="1">
      <c r="C60" s="388" t="s">
        <v>1383</v>
      </c>
      <c r="D60" s="567">
        <f>'2.생활용수(마산)'!S101</f>
        <v>47</v>
      </c>
    </row>
    <row r="61" spans="3:6" ht="20.100000000000001" customHeight="1">
      <c r="C61" s="388" t="s">
        <v>1384</v>
      </c>
      <c r="D61" s="567">
        <f>'2.생활용수(마산)'!S102</f>
        <v>47</v>
      </c>
    </row>
    <row r="67" spans="2:5" ht="20.100000000000001" customHeight="1">
      <c r="C67" s="566" t="s">
        <v>2619</v>
      </c>
      <c r="D67" s="566" t="s">
        <v>2620</v>
      </c>
      <c r="E67" s="566" t="s">
        <v>2621</v>
      </c>
    </row>
    <row r="68" spans="2:5" ht="20.100000000000001" customHeight="1">
      <c r="B68" s="566" t="s">
        <v>2616</v>
      </c>
      <c r="C68" s="568">
        <f>B4</f>
        <v>1310</v>
      </c>
      <c r="D68" s="572">
        <f>ROUND(C68/1.31,-1)</f>
        <v>1000</v>
      </c>
      <c r="E68" s="572">
        <f>D68*30</f>
        <v>30000</v>
      </c>
    </row>
    <row r="69" spans="2:5" ht="20.100000000000001" customHeight="1">
      <c r="B69" s="566" t="s">
        <v>2617</v>
      </c>
      <c r="C69" s="568">
        <f>B18</f>
        <v>730</v>
      </c>
      <c r="D69" s="572">
        <f>ROUND(C69/1.31,-1)</f>
        <v>560</v>
      </c>
      <c r="E69" s="572">
        <f>D69*30</f>
        <v>16800</v>
      </c>
    </row>
    <row r="70" spans="2:5" ht="20.100000000000001" customHeight="1">
      <c r="B70" s="566" t="s">
        <v>2618</v>
      </c>
      <c r="C70" s="568">
        <f>B38</f>
        <v>2120</v>
      </c>
      <c r="D70" s="572">
        <f>ROUND(C70/1.31,-1)</f>
        <v>1620</v>
      </c>
      <c r="E70" s="572">
        <f>D70*30</f>
        <v>48600</v>
      </c>
    </row>
  </sheetData>
  <mergeCells count="8">
    <mergeCell ref="C37:D37"/>
    <mergeCell ref="E37:F37"/>
    <mergeCell ref="G37:H37"/>
    <mergeCell ref="E3:F3"/>
    <mergeCell ref="C3:D3"/>
    <mergeCell ref="G3:H3"/>
    <mergeCell ref="C17:D17"/>
    <mergeCell ref="E17:F17"/>
  </mergeCells>
  <phoneticPr fontId="3" type="noConversion"/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Q35"/>
  <sheetViews>
    <sheetView workbookViewId="0">
      <selection activeCell="I18" sqref="I18"/>
    </sheetView>
  </sheetViews>
  <sheetFormatPr defaultColWidth="6.77734375" defaultRowHeight="20.100000000000001" customHeight="1"/>
  <cols>
    <col min="1" max="14" width="6.77734375" style="574"/>
    <col min="15" max="16" width="9.33203125" style="574" customWidth="1"/>
    <col min="17" max="16384" width="6.77734375" style="574"/>
  </cols>
  <sheetData>
    <row r="1" spans="1:17" ht="20.100000000000001" customHeight="1" thickBot="1">
      <c r="A1" s="661" t="s">
        <v>1762</v>
      </c>
      <c r="B1" s="661">
        <v>2013</v>
      </c>
      <c r="C1" s="661"/>
      <c r="D1" s="661">
        <v>2015</v>
      </c>
      <c r="E1" s="661"/>
      <c r="F1" s="661">
        <v>2020</v>
      </c>
      <c r="G1" s="661"/>
      <c r="H1" s="661">
        <v>2025</v>
      </c>
      <c r="I1" s="661"/>
      <c r="J1" s="661">
        <v>2030</v>
      </c>
      <c r="K1" s="661"/>
      <c r="L1" s="661" t="s">
        <v>1195</v>
      </c>
    </row>
    <row r="2" spans="1:17" ht="20.100000000000001" customHeight="1" thickTop="1">
      <c r="A2" s="661"/>
      <c r="B2" s="573" t="s">
        <v>2651</v>
      </c>
      <c r="C2" s="573" t="s">
        <v>1827</v>
      </c>
      <c r="D2" s="573" t="s">
        <v>2651</v>
      </c>
      <c r="E2" s="573" t="s">
        <v>1827</v>
      </c>
      <c r="F2" s="573" t="s">
        <v>2651</v>
      </c>
      <c r="G2" s="573" t="s">
        <v>1827</v>
      </c>
      <c r="H2" s="573" t="s">
        <v>2651</v>
      </c>
      <c r="I2" s="573" t="s">
        <v>1827</v>
      </c>
      <c r="J2" s="573" t="s">
        <v>2651</v>
      </c>
      <c r="K2" s="573" t="s">
        <v>1827</v>
      </c>
      <c r="L2" s="661"/>
      <c r="O2" s="586">
        <v>6425</v>
      </c>
      <c r="P2" s="280">
        <v>14000</v>
      </c>
      <c r="Q2" s="592">
        <f>P2-O2</f>
        <v>7575</v>
      </c>
    </row>
    <row r="3" spans="1:17" ht="20.100000000000001" customHeight="1">
      <c r="A3" s="573" t="s">
        <v>2397</v>
      </c>
      <c r="B3" s="11">
        <f>'1.배수지용수배분'!E20</f>
        <v>6425</v>
      </c>
      <c r="C3" s="510">
        <f>'1.배수지용수배분'!E22</f>
        <v>7.4</v>
      </c>
      <c r="D3" s="11">
        <f>'1.배수지용수배분'!F20</f>
        <v>6425</v>
      </c>
      <c r="E3" s="510">
        <f>'1.배수지용수배분'!F22</f>
        <v>6.7</v>
      </c>
      <c r="F3" s="11">
        <f>'1.배수지용수배분'!G20</f>
        <v>14000</v>
      </c>
      <c r="G3" s="510">
        <f>'1.배수지용수배분'!G22</f>
        <v>13.8</v>
      </c>
      <c r="H3" s="11">
        <f>'1.배수지용수배분'!H20</f>
        <v>14000</v>
      </c>
      <c r="I3" s="510">
        <f>'1.배수지용수배분'!H22</f>
        <v>13</v>
      </c>
      <c r="J3" s="11">
        <f>'1.배수지용수배분'!I20</f>
        <v>14000</v>
      </c>
      <c r="K3" s="510">
        <f>'1.배수지용수배분'!I22</f>
        <v>12.2</v>
      </c>
      <c r="L3" s="573"/>
      <c r="O3" s="587">
        <v>20715</v>
      </c>
      <c r="P3" s="281">
        <v>27607</v>
      </c>
    </row>
    <row r="4" spans="1:17" ht="20.100000000000001" customHeight="1">
      <c r="A4" s="573" t="s">
        <v>1851</v>
      </c>
      <c r="B4" s="11">
        <f>'1.배수지용수배분'!E23</f>
        <v>1904</v>
      </c>
      <c r="C4" s="510">
        <f>'1.배수지용수배분'!E25</f>
        <v>10.6</v>
      </c>
      <c r="D4" s="11">
        <f>'1.배수지용수배분'!F23</f>
        <v>1904</v>
      </c>
      <c r="E4" s="510">
        <f>'1.배수지용수배분'!F25</f>
        <v>10.5</v>
      </c>
      <c r="F4" s="11">
        <f>'1.배수지용수배분'!G23</f>
        <v>1904</v>
      </c>
      <c r="G4" s="510">
        <f>'1.배수지용수배분'!G25</f>
        <v>14.4</v>
      </c>
      <c r="H4" s="11">
        <f>'1.배수지용수배분'!H23</f>
        <v>1904</v>
      </c>
      <c r="I4" s="510">
        <f>'1.배수지용수배분'!H25</f>
        <v>13.2</v>
      </c>
      <c r="J4" s="11">
        <f>'1.배수지용수배분'!I23</f>
        <v>1904</v>
      </c>
      <c r="K4" s="510">
        <f>'1.배수지용수배분'!I25</f>
        <v>12.1</v>
      </c>
      <c r="L4" s="573"/>
      <c r="O4" s="588">
        <v>7.4</v>
      </c>
      <c r="P4" s="589">
        <v>12.2</v>
      </c>
    </row>
    <row r="5" spans="1:17" ht="20.100000000000001" customHeight="1">
      <c r="A5" s="573" t="s">
        <v>2652</v>
      </c>
      <c r="B5" s="11"/>
      <c r="C5" s="510"/>
      <c r="D5" s="11">
        <f>'1.배수지용수배분'!F26</f>
        <v>2500</v>
      </c>
      <c r="E5" s="510">
        <f>'1.배수지용수배분'!F28</f>
        <v>110.3</v>
      </c>
      <c r="F5" s="11">
        <f>'1.배수지용수배분'!G26</f>
        <v>2500</v>
      </c>
      <c r="G5" s="510">
        <f>'1.배수지용수배분'!G28</f>
        <v>16.899999999999999</v>
      </c>
      <c r="H5" s="11">
        <f>'1.배수지용수배분'!H26</f>
        <v>2500</v>
      </c>
      <c r="I5" s="510">
        <f>'1.배수지용수배분'!H28</f>
        <v>16.399999999999999</v>
      </c>
      <c r="J5" s="11">
        <f>'1.배수지용수배분'!I26</f>
        <v>2500</v>
      </c>
      <c r="K5" s="510">
        <f>'1.배수지용수배분'!I28</f>
        <v>15.6</v>
      </c>
      <c r="L5" s="573"/>
      <c r="O5" s="587">
        <v>1904</v>
      </c>
      <c r="P5" s="281">
        <v>1904</v>
      </c>
      <c r="Q5" s="592">
        <f>P5-O5</f>
        <v>0</v>
      </c>
    </row>
    <row r="6" spans="1:17" ht="20.100000000000001" customHeight="1">
      <c r="A6" s="573" t="s">
        <v>2396</v>
      </c>
      <c r="B6" s="11">
        <f>'1.배수지용수배분'!E17</f>
        <v>1500</v>
      </c>
      <c r="C6" s="510">
        <f>'1.배수지용수배분'!E19</f>
        <v>19.2</v>
      </c>
      <c r="D6" s="11">
        <f>'1.배수지용수배분'!F17</f>
        <v>1500</v>
      </c>
      <c r="E6" s="510">
        <f>'1.배수지용수배분'!F19</f>
        <v>17.399999999999999</v>
      </c>
      <c r="F6" s="11">
        <f>'1.배수지용수배분'!G17</f>
        <v>1500</v>
      </c>
      <c r="G6" s="510">
        <f>'1.배수지용수배분'!G19</f>
        <v>15.9</v>
      </c>
      <c r="H6" s="11">
        <f>'1.배수지용수배분'!H17</f>
        <v>1500</v>
      </c>
      <c r="I6" s="510">
        <f>'1.배수지용수배분'!H19</f>
        <v>15</v>
      </c>
      <c r="J6" s="11">
        <f>'1.배수지용수배분'!I17</f>
        <v>1500</v>
      </c>
      <c r="K6" s="510">
        <f>'1.배수지용수배분'!I19</f>
        <v>14</v>
      </c>
      <c r="L6" s="573"/>
      <c r="O6" s="587">
        <v>4506</v>
      </c>
      <c r="P6" s="281">
        <v>3765</v>
      </c>
    </row>
    <row r="7" spans="1:17" ht="20.100000000000001" customHeight="1">
      <c r="A7" s="573" t="s">
        <v>2398</v>
      </c>
      <c r="B7" s="11">
        <f>'1.배수지용수배분'!E29</f>
        <v>3636</v>
      </c>
      <c r="C7" s="510">
        <f>'1.배수지용수배분'!E31</f>
        <v>10</v>
      </c>
      <c r="D7" s="11">
        <f>'1.배수지용수배분'!F29</f>
        <v>3636</v>
      </c>
      <c r="E7" s="510">
        <f>'1.배수지용수배분'!F31</f>
        <v>7.2</v>
      </c>
      <c r="F7" s="11">
        <f>'1.배수지용수배분'!G29</f>
        <v>3636</v>
      </c>
      <c r="G7" s="510">
        <f>'1.배수지용수배분'!G31</f>
        <v>6.3</v>
      </c>
      <c r="H7" s="11">
        <f>'1.배수지용수배분'!H29</f>
        <v>6200</v>
      </c>
      <c r="I7" s="510">
        <f>'1.배수지용수배분'!H31</f>
        <v>12</v>
      </c>
      <c r="J7" s="11">
        <f>'1.배수지용수배분'!I29</f>
        <v>6200</v>
      </c>
      <c r="K7" s="510">
        <f>'1.배수지용수배분'!I31</f>
        <v>12.7</v>
      </c>
      <c r="L7" s="573"/>
      <c r="O7" s="588">
        <v>10.1</v>
      </c>
      <c r="P7" s="589">
        <v>12.1</v>
      </c>
    </row>
    <row r="8" spans="1:17" ht="20.100000000000001" customHeight="1">
      <c r="A8" s="573" t="s">
        <v>2401</v>
      </c>
      <c r="B8" s="11">
        <f>'1.배수지용수배분'!E41</f>
        <v>2404</v>
      </c>
      <c r="C8" s="510">
        <f>'1.배수지용수배분'!E43</f>
        <v>12.9</v>
      </c>
      <c r="D8" s="11">
        <f>'1.배수지용수배분'!F41</f>
        <v>2404</v>
      </c>
      <c r="E8" s="510">
        <f>'1.배수지용수배분'!F43</f>
        <v>11.8</v>
      </c>
      <c r="F8" s="11">
        <f>'1.배수지용수배분'!G41</f>
        <v>2404</v>
      </c>
      <c r="G8" s="510">
        <f>'1.배수지용수배분'!G43</f>
        <v>10.9</v>
      </c>
      <c r="H8" s="11">
        <f>'1.배수지용수배분'!H41</f>
        <v>3100</v>
      </c>
      <c r="I8" s="510">
        <f>'1.배수지용수배분'!H43</f>
        <v>12.8</v>
      </c>
      <c r="J8" s="11">
        <f>'1.배수지용수배분'!I41</f>
        <v>3100</v>
      </c>
      <c r="K8" s="510">
        <f>'1.배수지용수배분'!I43</f>
        <v>12.3</v>
      </c>
      <c r="L8" s="573"/>
      <c r="O8" s="587">
        <v>1500</v>
      </c>
      <c r="P8" s="281">
        <v>1500</v>
      </c>
      <c r="Q8" s="592">
        <f>P8-O8</f>
        <v>0</v>
      </c>
    </row>
    <row r="9" spans="1:17" ht="20.100000000000001" customHeight="1">
      <c r="A9" s="573" t="s">
        <v>2653</v>
      </c>
      <c r="B9" s="11">
        <f>'1.배수지용수배분'!E35</f>
        <v>900</v>
      </c>
      <c r="C9" s="510">
        <f>'1.배수지용수배분'!E37</f>
        <v>17.3</v>
      </c>
      <c r="D9" s="11">
        <f>'1.배수지용수배분'!F35</f>
        <v>900</v>
      </c>
      <c r="E9" s="510">
        <f>'1.배수지용수배분'!F37</f>
        <v>9.1</v>
      </c>
      <c r="F9" s="11">
        <f>'1.배수지용수배분'!G35</f>
        <v>2500</v>
      </c>
      <c r="G9" s="510">
        <f>'1.배수지용수배분'!G37</f>
        <v>13.7</v>
      </c>
      <c r="H9" s="11">
        <f>'1.배수지용수배분'!H35</f>
        <v>2500</v>
      </c>
      <c r="I9" s="510">
        <f>'1.배수지용수배분'!H37</f>
        <v>12.9</v>
      </c>
      <c r="J9" s="11">
        <f>'1.배수지용수배분'!I35</f>
        <v>2500</v>
      </c>
      <c r="K9" s="510">
        <f>'1.배수지용수배분'!I37</f>
        <v>12.6</v>
      </c>
      <c r="L9" s="573"/>
      <c r="O9" s="587">
        <v>1876</v>
      </c>
      <c r="P9" s="281">
        <v>2578</v>
      </c>
    </row>
    <row r="10" spans="1:17" ht="20.100000000000001" customHeight="1">
      <c r="A10" s="573" t="s">
        <v>1847</v>
      </c>
      <c r="B10" s="11">
        <f>'1.배수지용수배분'!E14</f>
        <v>800</v>
      </c>
      <c r="C10" s="510" t="s">
        <v>2654</v>
      </c>
      <c r="D10" s="11">
        <f>'1.배수지용수배분'!F14</f>
        <v>800</v>
      </c>
      <c r="E10" s="510" t="s">
        <v>2654</v>
      </c>
      <c r="F10" s="11">
        <f>'1.배수지용수배분'!G14</f>
        <v>800</v>
      </c>
      <c r="G10" s="510">
        <f>'1.배수지용수배분'!G16</f>
        <v>12.6</v>
      </c>
      <c r="H10" s="11">
        <f>'1.배수지용수배분'!H14</f>
        <v>800</v>
      </c>
      <c r="I10" s="510">
        <f>'1.배수지용수배분'!H16</f>
        <v>12.2</v>
      </c>
      <c r="J10" s="11">
        <f>'1.배수지용수배분'!I14</f>
        <v>800</v>
      </c>
      <c r="K10" s="510">
        <f>'1.배수지용수배분'!I16</f>
        <v>12</v>
      </c>
      <c r="L10" s="573"/>
      <c r="O10" s="588">
        <v>19.2</v>
      </c>
      <c r="P10" s="589">
        <v>14</v>
      </c>
    </row>
    <row r="11" spans="1:17" ht="20.100000000000001" customHeight="1">
      <c r="A11" s="573" t="s">
        <v>1176</v>
      </c>
      <c r="B11" s="11">
        <v>300</v>
      </c>
      <c r="C11" s="510" t="s">
        <v>2654</v>
      </c>
      <c r="D11" s="11">
        <v>300</v>
      </c>
      <c r="E11" s="510" t="s">
        <v>2654</v>
      </c>
      <c r="F11" s="11">
        <v>300</v>
      </c>
      <c r="G11" s="510" t="s">
        <v>2654</v>
      </c>
      <c r="H11" s="11">
        <v>300</v>
      </c>
      <c r="I11" s="510" t="s">
        <v>2654</v>
      </c>
      <c r="J11" s="11">
        <v>300</v>
      </c>
      <c r="K11" s="510" t="s">
        <v>2654</v>
      </c>
      <c r="L11" s="573"/>
      <c r="O11" s="587">
        <v>3636</v>
      </c>
      <c r="P11" s="281">
        <v>6200</v>
      </c>
      <c r="Q11" s="592">
        <f>P11-O11</f>
        <v>2564</v>
      </c>
    </row>
    <row r="12" spans="1:17" ht="20.100000000000001" customHeight="1">
      <c r="A12" s="573" t="s">
        <v>1868</v>
      </c>
      <c r="B12" s="11"/>
      <c r="C12" s="510"/>
      <c r="D12" s="11"/>
      <c r="E12" s="510"/>
      <c r="F12" s="11">
        <f>'1.배수지용수배분'!G38</f>
        <v>400</v>
      </c>
      <c r="G12" s="510">
        <f>'1.배수지용수배분'!G40</f>
        <v>12.9</v>
      </c>
      <c r="H12" s="11">
        <f>'1.배수지용수배분'!H38</f>
        <v>400</v>
      </c>
      <c r="I12" s="510">
        <f>'1.배수지용수배분'!H40</f>
        <v>12.5</v>
      </c>
      <c r="J12" s="11">
        <f>'1.배수지용수배분'!I38</f>
        <v>400</v>
      </c>
      <c r="K12" s="510">
        <f>'1.배수지용수배분'!I40</f>
        <v>12.3</v>
      </c>
      <c r="L12" s="573"/>
      <c r="O12" s="587">
        <v>8759</v>
      </c>
      <c r="P12" s="281">
        <v>11690</v>
      </c>
    </row>
    <row r="13" spans="1:17" ht="20.100000000000001" customHeight="1">
      <c r="A13" s="573" t="s">
        <v>1746</v>
      </c>
      <c r="B13" s="11"/>
      <c r="C13" s="510"/>
      <c r="D13" s="11">
        <f>'1.배수지용수배분'!F44</f>
        <v>900</v>
      </c>
      <c r="E13" s="510">
        <f>'1.배수지용수배분'!F46</f>
        <v>14.8</v>
      </c>
      <c r="F13" s="11">
        <f>'1.배수지용수배분'!G44</f>
        <v>900</v>
      </c>
      <c r="G13" s="510">
        <f>'1.배수지용수배분'!G46</f>
        <v>9.3000000000000007</v>
      </c>
      <c r="H13" s="11">
        <f>'1.배수지용수배분'!H44</f>
        <v>1300</v>
      </c>
      <c r="I13" s="510">
        <f>'1.배수지용수배분'!H46</f>
        <v>12.7</v>
      </c>
      <c r="J13" s="11">
        <f>'1.배수지용수배분'!I44</f>
        <v>1300</v>
      </c>
      <c r="K13" s="510">
        <f>'1.배수지용수배분'!I46</f>
        <v>12.5</v>
      </c>
      <c r="L13" s="573"/>
      <c r="O13" s="588">
        <v>10</v>
      </c>
      <c r="P13" s="589">
        <v>12.7</v>
      </c>
    </row>
    <row r="14" spans="1:17" ht="20.100000000000001" customHeight="1">
      <c r="A14" s="573" t="s">
        <v>1178</v>
      </c>
      <c r="B14" s="11"/>
      <c r="C14" s="510"/>
      <c r="D14" s="11"/>
      <c r="E14" s="510"/>
      <c r="F14" s="11"/>
      <c r="G14" s="510"/>
      <c r="H14" s="11">
        <f>'1.배수지용수배분'!H47</f>
        <v>1900</v>
      </c>
      <c r="I14" s="510">
        <f>'1.배수지용수배분'!H49</f>
        <v>18.5</v>
      </c>
      <c r="J14" s="11">
        <f>'1.배수지용수배분'!I47</f>
        <v>1900</v>
      </c>
      <c r="K14" s="510">
        <f>'1.배수지용수배분'!I49</f>
        <v>12.4</v>
      </c>
      <c r="L14" s="573"/>
      <c r="O14" s="587">
        <v>2404</v>
      </c>
      <c r="P14" s="281">
        <v>3100</v>
      </c>
      <c r="Q14" s="592">
        <f>P14-O14</f>
        <v>696</v>
      </c>
    </row>
    <row r="15" spans="1:17" ht="20.100000000000001" customHeight="1">
      <c r="I15" s="579"/>
      <c r="O15" s="587">
        <v>4473</v>
      </c>
      <c r="P15" s="281">
        <v>6063</v>
      </c>
    </row>
    <row r="16" spans="1:17" ht="20.100000000000001" customHeight="1">
      <c r="O16" s="588">
        <v>12.9</v>
      </c>
      <c r="P16" s="589">
        <v>12.3</v>
      </c>
    </row>
    <row r="17" spans="15:17" ht="20.100000000000001" customHeight="1">
      <c r="O17" s="588">
        <v>900</v>
      </c>
      <c r="P17" s="281">
        <v>2500</v>
      </c>
      <c r="Q17" s="592">
        <f>P17-O17</f>
        <v>1600</v>
      </c>
    </row>
    <row r="18" spans="15:17" ht="20.100000000000001" customHeight="1">
      <c r="O18" s="587">
        <v>1252</v>
      </c>
      <c r="P18" s="281">
        <v>4747</v>
      </c>
    </row>
    <row r="19" spans="15:17" ht="20.100000000000001" customHeight="1">
      <c r="O19" s="588">
        <v>17.3</v>
      </c>
      <c r="P19" s="589">
        <v>12.6</v>
      </c>
    </row>
    <row r="20" spans="15:17" ht="20.100000000000001" customHeight="1">
      <c r="O20" s="588">
        <v>800</v>
      </c>
      <c r="P20" s="589">
        <v>800</v>
      </c>
      <c r="Q20" s="592">
        <f>P20-O20</f>
        <v>0</v>
      </c>
    </row>
    <row r="21" spans="15:17" ht="20.100000000000001" customHeight="1">
      <c r="O21" s="588" t="s">
        <v>63</v>
      </c>
      <c r="P21" s="281">
        <v>1601</v>
      </c>
    </row>
    <row r="22" spans="15:17" ht="20.100000000000001" customHeight="1">
      <c r="O22" s="588" t="s">
        <v>63</v>
      </c>
      <c r="P22" s="589">
        <v>12</v>
      </c>
    </row>
    <row r="23" spans="15:17" ht="20.100000000000001" customHeight="1">
      <c r="O23" s="588">
        <v>900</v>
      </c>
      <c r="P23" s="281">
        <v>1300</v>
      </c>
      <c r="Q23" s="592">
        <f>P23-O23</f>
        <v>400</v>
      </c>
    </row>
    <row r="24" spans="15:17" ht="20.100000000000001" customHeight="1">
      <c r="O24" s="588" t="s">
        <v>63</v>
      </c>
      <c r="P24" s="281">
        <v>2495</v>
      </c>
    </row>
    <row r="25" spans="15:17" ht="20.100000000000001" customHeight="1">
      <c r="O25" s="588" t="s">
        <v>63</v>
      </c>
      <c r="P25" s="589">
        <v>12.5</v>
      </c>
    </row>
    <row r="26" spans="15:17" ht="20.100000000000001" customHeight="1">
      <c r="O26" s="587">
        <v>2500</v>
      </c>
      <c r="P26" s="281">
        <v>2500</v>
      </c>
      <c r="Q26" s="592">
        <f>P26-O26</f>
        <v>0</v>
      </c>
    </row>
    <row r="27" spans="15:17" ht="20.100000000000001" customHeight="1">
      <c r="O27" s="588" t="s">
        <v>63</v>
      </c>
      <c r="P27" s="281">
        <v>3839</v>
      </c>
    </row>
    <row r="28" spans="15:17" ht="20.100000000000001" customHeight="1">
      <c r="O28" s="588" t="s">
        <v>63</v>
      </c>
      <c r="P28" s="589">
        <v>15.6</v>
      </c>
    </row>
    <row r="29" spans="15:17" ht="20.100000000000001" customHeight="1">
      <c r="O29" s="588">
        <v>0</v>
      </c>
      <c r="P29" s="589">
        <v>400</v>
      </c>
      <c r="Q29" s="592">
        <f>P29-O29</f>
        <v>400</v>
      </c>
    </row>
    <row r="30" spans="15:17" ht="20.100000000000001" customHeight="1">
      <c r="O30" s="588" t="s">
        <v>63</v>
      </c>
      <c r="P30" s="589">
        <v>751</v>
      </c>
    </row>
    <row r="31" spans="15:17" ht="20.100000000000001" customHeight="1">
      <c r="O31" s="588" t="s">
        <v>63</v>
      </c>
      <c r="P31" s="589">
        <v>12.8</v>
      </c>
    </row>
    <row r="32" spans="15:17" ht="20.100000000000001" customHeight="1">
      <c r="O32" s="588">
        <v>0</v>
      </c>
      <c r="P32" s="281">
        <v>1900</v>
      </c>
      <c r="Q32" s="592">
        <f>P32-O32</f>
        <v>1900</v>
      </c>
    </row>
    <row r="33" spans="15:16" ht="20.100000000000001" customHeight="1">
      <c r="O33" s="588" t="s">
        <v>63</v>
      </c>
      <c r="P33" s="281">
        <v>3675</v>
      </c>
    </row>
    <row r="34" spans="15:16" ht="20.100000000000001" customHeight="1" thickBot="1">
      <c r="O34" s="590" t="s">
        <v>63</v>
      </c>
      <c r="P34" s="591">
        <v>12.4</v>
      </c>
    </row>
    <row r="35" spans="15:16" ht="20.100000000000001" customHeight="1" thickTop="1"/>
  </sheetData>
  <mergeCells count="7">
    <mergeCell ref="J1:K1"/>
    <mergeCell ref="L1:L2"/>
    <mergeCell ref="A1:A2"/>
    <mergeCell ref="B1:C1"/>
    <mergeCell ref="D1:E1"/>
    <mergeCell ref="F1:G1"/>
    <mergeCell ref="H1:I1"/>
  </mergeCells>
  <phoneticPr fontId="3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1"/>
  </sheetPr>
  <dimension ref="A3:S20"/>
  <sheetViews>
    <sheetView workbookViewId="0">
      <selection activeCell="G23" sqref="G22:G23"/>
    </sheetView>
  </sheetViews>
  <sheetFormatPr defaultColWidth="8.33203125" defaultRowHeight="20.100000000000001" customHeight="1"/>
  <cols>
    <col min="1" max="1" width="3.109375" style="262" customWidth="1"/>
    <col min="2" max="16384" width="8.33203125" style="262"/>
  </cols>
  <sheetData>
    <row r="3" spans="1:19" ht="20.100000000000001" customHeight="1">
      <c r="A3" s="616" t="s">
        <v>809</v>
      </c>
      <c r="B3" s="616"/>
      <c r="C3" s="616" t="s">
        <v>1184</v>
      </c>
      <c r="D3" s="616"/>
      <c r="E3" s="616"/>
      <c r="F3" s="616"/>
      <c r="G3" s="616" t="s">
        <v>1185</v>
      </c>
      <c r="H3" s="616"/>
      <c r="I3" s="616"/>
      <c r="J3" s="616"/>
      <c r="K3" s="616" t="s">
        <v>1186</v>
      </c>
      <c r="L3" s="616"/>
      <c r="M3" s="616"/>
      <c r="N3" s="616"/>
    </row>
    <row r="4" spans="1:19" ht="20.100000000000001" customHeight="1">
      <c r="A4" s="616"/>
      <c r="B4" s="616"/>
      <c r="C4" s="260">
        <v>2015</v>
      </c>
      <c r="D4" s="260">
        <v>2020</v>
      </c>
      <c r="E4" s="260">
        <v>2025</v>
      </c>
      <c r="F4" s="260">
        <v>2030</v>
      </c>
      <c r="G4" s="260">
        <v>2015</v>
      </c>
      <c r="H4" s="260">
        <v>2020</v>
      </c>
      <c r="I4" s="260">
        <v>2025</v>
      </c>
      <c r="J4" s="260">
        <v>2030</v>
      </c>
      <c r="K4" s="260">
        <v>2015</v>
      </c>
      <c r="L4" s="260">
        <v>2020</v>
      </c>
      <c r="M4" s="260">
        <v>2025</v>
      </c>
      <c r="N4" s="260">
        <v>2030</v>
      </c>
    </row>
    <row r="5" spans="1:19" ht="20.100000000000001" customHeight="1" thickBot="1">
      <c r="A5" s="616" t="s">
        <v>983</v>
      </c>
      <c r="B5" s="616"/>
      <c r="C5" s="240">
        <f>ROUND('[2]2.급수인구'!Q5,-2)</f>
        <v>109100</v>
      </c>
      <c r="D5" s="240">
        <f>ROUND('[2]2.급수인구'!R5,-2)</f>
        <v>132800</v>
      </c>
      <c r="E5" s="240">
        <f>ROUND('[2]2.급수인구'!S5,-2)</f>
        <v>137700</v>
      </c>
      <c r="F5" s="240">
        <f>ROUND('[2]2.급수인구'!T5,-2)</f>
        <v>140500</v>
      </c>
      <c r="G5" s="240"/>
      <c r="H5" s="240"/>
      <c r="I5" s="240"/>
      <c r="J5" s="240"/>
      <c r="K5" s="240">
        <f>'2.생활용수(행정구역)'!R5</f>
        <v>41500</v>
      </c>
      <c r="L5" s="514">
        <f>'2.생활용수(행정구역)'!S5</f>
        <v>51900</v>
      </c>
      <c r="M5" s="514">
        <f>'2.생활용수(행정구역)'!T5</f>
        <v>55200</v>
      </c>
      <c r="N5" s="514">
        <f>'2.생활용수(행정구역)'!U5</f>
        <v>57900</v>
      </c>
    </row>
    <row r="6" spans="1:19" ht="20.100000000000001" customHeight="1" thickTop="1">
      <c r="A6" s="643"/>
      <c r="B6" s="259" t="s">
        <v>721</v>
      </c>
      <c r="C6" s="240">
        <f>ROUND('[2]2.급수인구'!Q6,-2)</f>
        <v>10400</v>
      </c>
      <c r="D6" s="240">
        <f>ROUND('[2]2.급수인구'!R6,-2)</f>
        <v>10300</v>
      </c>
      <c r="E6" s="240">
        <f>ROUND('[2]2.급수인구'!S6,-2)</f>
        <v>10600</v>
      </c>
      <c r="F6" s="240">
        <f>ROUND('[2]2.급수인구'!T6,-2)</f>
        <v>10800</v>
      </c>
      <c r="G6" s="240">
        <f>'[3]5.급수원단위'!D33</f>
        <v>390</v>
      </c>
      <c r="H6" s="240">
        <f>'[3]5.급수원단위'!E33</f>
        <v>417</v>
      </c>
      <c r="I6" s="240">
        <f>'[3]5.급수원단위'!F33</f>
        <v>439</v>
      </c>
      <c r="J6" s="240">
        <f>'[3]5.급수원단위'!G33</f>
        <v>454</v>
      </c>
      <c r="K6" s="240">
        <f>'2.생활용수(행정구역)'!R7</f>
        <v>4100</v>
      </c>
      <c r="L6" s="514">
        <f>'2.생활용수(행정구역)'!S7</f>
        <v>4300</v>
      </c>
      <c r="M6" s="514">
        <f>'2.생활용수(행정구역)'!T7</f>
        <v>4600</v>
      </c>
      <c r="N6" s="514">
        <f>'2.생활용수(행정구역)'!U7</f>
        <v>4900</v>
      </c>
      <c r="P6" s="280">
        <v>71195</v>
      </c>
      <c r="Q6" s="280">
        <v>71195</v>
      </c>
      <c r="R6" s="280">
        <v>71195</v>
      </c>
      <c r="S6" s="280">
        <v>71195</v>
      </c>
    </row>
    <row r="7" spans="1:19" ht="20.100000000000001" customHeight="1">
      <c r="A7" s="644"/>
      <c r="B7" s="259" t="s">
        <v>722</v>
      </c>
      <c r="C7" s="240">
        <f>ROUND('[2]2.급수인구'!Q7,-2)</f>
        <v>18900</v>
      </c>
      <c r="D7" s="240">
        <f>ROUND('[2]2.급수인구'!R7,-2)</f>
        <v>19500</v>
      </c>
      <c r="E7" s="240">
        <f>ROUND('[2]2.급수인구'!S7,-2)</f>
        <v>19900</v>
      </c>
      <c r="F7" s="240">
        <f>ROUND('[2]2.급수인구'!T7,-2)</f>
        <v>20200</v>
      </c>
      <c r="G7" s="240">
        <f>'[3]5.급수원단위'!D33</f>
        <v>390</v>
      </c>
      <c r="H7" s="240">
        <f>'[3]5.급수원단위'!E33</f>
        <v>417</v>
      </c>
      <c r="I7" s="240">
        <f>'[3]5.급수원단위'!F33</f>
        <v>439</v>
      </c>
      <c r="J7" s="240">
        <f>'[3]5.급수원단위'!G33</f>
        <v>454</v>
      </c>
      <c r="K7" s="240">
        <f>'2.생활용수(행정구역)'!R22</f>
        <v>7400</v>
      </c>
      <c r="L7" s="514">
        <f>'2.생활용수(행정구역)'!S22</f>
        <v>8100</v>
      </c>
      <c r="M7" s="514">
        <f>'2.생활용수(행정구역)'!T22</f>
        <v>8700</v>
      </c>
      <c r="N7" s="514">
        <f>'2.생활용수(행정구역)'!U22</f>
        <v>9200</v>
      </c>
      <c r="P7" s="281">
        <v>57500</v>
      </c>
      <c r="Q7" s="281">
        <v>66900</v>
      </c>
      <c r="R7" s="281">
        <v>73100</v>
      </c>
      <c r="S7" s="281">
        <v>75700</v>
      </c>
    </row>
    <row r="8" spans="1:19" ht="20.100000000000001" customHeight="1">
      <c r="A8" s="644"/>
      <c r="B8" s="259" t="s">
        <v>723</v>
      </c>
      <c r="C8" s="240">
        <f>ROUND('[2]2.급수인구'!Q8,-2)</f>
        <v>4500</v>
      </c>
      <c r="D8" s="240">
        <f>ROUND('[2]2.급수인구'!R8,-2)</f>
        <v>4700</v>
      </c>
      <c r="E8" s="240">
        <f>ROUND('[2]2.급수인구'!S8,-2)</f>
        <v>4800</v>
      </c>
      <c r="F8" s="240">
        <f>ROUND('[2]2.급수인구'!T8,-2)</f>
        <v>4900</v>
      </c>
      <c r="G8" s="240">
        <f>'[3]5.급수원단위'!D34</f>
        <v>304</v>
      </c>
      <c r="H8" s="240">
        <f>'[3]5.급수원단위'!E34</f>
        <v>308</v>
      </c>
      <c r="I8" s="240">
        <f>'[3]5.급수원단위'!F34</f>
        <v>310</v>
      </c>
      <c r="J8" s="240">
        <f>'[3]5.급수원단위'!G34</f>
        <v>310</v>
      </c>
      <c r="K8" s="240">
        <f>'2.생활용수(행정구역)'!R37</f>
        <v>1400</v>
      </c>
      <c r="L8" s="514">
        <f>'2.생활용수(행정구역)'!S37</f>
        <v>1500</v>
      </c>
      <c r="M8" s="514">
        <f>'2.생활용수(행정구역)'!T37</f>
        <v>1500</v>
      </c>
      <c r="N8" s="514">
        <f>'2.생활용수(행정구역)'!U37</f>
        <v>1500</v>
      </c>
      <c r="P8" s="282">
        <f>P6-P7</f>
        <v>13695</v>
      </c>
      <c r="Q8" s="282">
        <f t="shared" ref="Q8:S8" si="0">Q6-Q7</f>
        <v>4295</v>
      </c>
      <c r="R8" s="282">
        <f t="shared" si="0"/>
        <v>-1905</v>
      </c>
      <c r="S8" s="282">
        <f t="shared" si="0"/>
        <v>-4505</v>
      </c>
    </row>
    <row r="9" spans="1:19" ht="20.100000000000001" customHeight="1">
      <c r="A9" s="644"/>
      <c r="B9" s="259" t="s">
        <v>724</v>
      </c>
      <c r="C9" s="240">
        <f>ROUND('[2]2.급수인구'!Q9,-2)</f>
        <v>3400</v>
      </c>
      <c r="D9" s="240">
        <f>ROUND('[2]2.급수인구'!R9,-2)</f>
        <v>4400</v>
      </c>
      <c r="E9" s="240">
        <f>ROUND('[2]2.급수인구'!S9,-2)</f>
        <v>4800</v>
      </c>
      <c r="F9" s="240">
        <f>ROUND('[2]2.급수인구'!T9,-2)</f>
        <v>4900</v>
      </c>
      <c r="G9" s="240">
        <f>'[3]5.급수원단위'!D34</f>
        <v>304</v>
      </c>
      <c r="H9" s="240">
        <f>'[3]5.급수원단위'!E34</f>
        <v>308</v>
      </c>
      <c r="I9" s="240">
        <f>'[3]5.급수원단위'!F34</f>
        <v>310</v>
      </c>
      <c r="J9" s="240">
        <f>'[3]5.급수원단위'!G34</f>
        <v>310</v>
      </c>
      <c r="K9" s="240">
        <f>'2.생활용수(행정구역)'!R50</f>
        <v>1000</v>
      </c>
      <c r="L9" s="514">
        <f>'2.생활용수(행정구역)'!S50</f>
        <v>1400</v>
      </c>
      <c r="M9" s="514">
        <f>'2.생활용수(행정구역)'!T50</f>
        <v>1500</v>
      </c>
      <c r="N9" s="514">
        <f>'2.생활용수(행정구역)'!U50</f>
        <v>1500</v>
      </c>
    </row>
    <row r="10" spans="1:19" ht="20.100000000000001" customHeight="1">
      <c r="A10" s="644"/>
      <c r="B10" s="259" t="s">
        <v>725</v>
      </c>
      <c r="C10" s="240">
        <f>ROUND('[2]2.급수인구'!Q10,-2)</f>
        <v>1600</v>
      </c>
      <c r="D10" s="240">
        <f>ROUND('[2]2.급수인구'!R10,-2)</f>
        <v>3200</v>
      </c>
      <c r="E10" s="240">
        <f>ROUND('[2]2.급수인구'!S10,-2)</f>
        <v>3500</v>
      </c>
      <c r="F10" s="240">
        <f>ROUND('[2]2.급수인구'!T10,-2)</f>
        <v>3600</v>
      </c>
      <c r="G10" s="240">
        <f>'[3]5.급수원단위'!D34</f>
        <v>304</v>
      </c>
      <c r="H10" s="240">
        <f>'[3]5.급수원단위'!E34</f>
        <v>308</v>
      </c>
      <c r="I10" s="240">
        <f>'[3]5.급수원단위'!F34</f>
        <v>310</v>
      </c>
      <c r="J10" s="240">
        <f>'[3]5.급수원단위'!G34</f>
        <v>310</v>
      </c>
      <c r="K10" s="240">
        <f>'2.생활용수(행정구역)'!R65</f>
        <v>500</v>
      </c>
      <c r="L10" s="514">
        <f>'2.생활용수(행정구역)'!S65</f>
        <v>1000</v>
      </c>
      <c r="M10" s="514">
        <f>'2.생활용수(행정구역)'!T65</f>
        <v>1100</v>
      </c>
      <c r="N10" s="514">
        <f>'2.생활용수(행정구역)'!U65</f>
        <v>1100</v>
      </c>
    </row>
    <row r="11" spans="1:19" ht="20.100000000000001" customHeight="1">
      <c r="A11" s="644"/>
      <c r="B11" s="259" t="s">
        <v>726</v>
      </c>
      <c r="C11" s="240">
        <f>ROUND('[2]2.급수인구'!Q11,-2)</f>
        <v>1900</v>
      </c>
      <c r="D11" s="240">
        <f>ROUND('[2]2.급수인구'!R11,-2)</f>
        <v>3400</v>
      </c>
      <c r="E11" s="240">
        <f>ROUND('[2]2.급수인구'!S11,-2)</f>
        <v>3700</v>
      </c>
      <c r="F11" s="240">
        <f>ROUND('[2]2.급수인구'!T11,-2)</f>
        <v>3800</v>
      </c>
      <c r="G11" s="240">
        <f>'[3]5.급수원단위'!D34</f>
        <v>304</v>
      </c>
      <c r="H11" s="240">
        <f>'[3]5.급수원단위'!E34</f>
        <v>308</v>
      </c>
      <c r="I11" s="240">
        <f>'[3]5.급수원단위'!F34</f>
        <v>310</v>
      </c>
      <c r="J11" s="240">
        <f>'[3]5.급수원단위'!G34</f>
        <v>310</v>
      </c>
      <c r="K11" s="240">
        <f>'2.생활용수(행정구역)'!R81</f>
        <v>600</v>
      </c>
      <c r="L11" s="514">
        <f>'2.생활용수(행정구역)'!S81</f>
        <v>1100</v>
      </c>
      <c r="M11" s="514">
        <f>'2.생활용수(행정구역)'!T81</f>
        <v>1200</v>
      </c>
      <c r="N11" s="514">
        <f>'2.생활용수(행정구역)'!U81</f>
        <v>1200</v>
      </c>
    </row>
    <row r="12" spans="1:19" ht="20.100000000000001" customHeight="1">
      <c r="A12" s="644"/>
      <c r="B12" s="259" t="s">
        <v>727</v>
      </c>
      <c r="C12" s="240">
        <f>ROUND('[2]2.급수인구'!Q12,-2)</f>
        <v>3400</v>
      </c>
      <c r="D12" s="240">
        <f>ROUND('[2]2.급수인구'!R12,-2)</f>
        <v>3600</v>
      </c>
      <c r="E12" s="240">
        <f>ROUND('[2]2.급수인구'!S12,-2)</f>
        <v>3900</v>
      </c>
      <c r="F12" s="240">
        <f>ROUND('[2]2.급수인구'!T12,-2)</f>
        <v>4000</v>
      </c>
      <c r="G12" s="240">
        <f>'[3]5.급수원단위'!D34</f>
        <v>304</v>
      </c>
      <c r="H12" s="240">
        <f>'[3]5.급수원단위'!E34</f>
        <v>308</v>
      </c>
      <c r="I12" s="240">
        <f>'[3]5.급수원단위'!F34</f>
        <v>310</v>
      </c>
      <c r="J12" s="240">
        <f>'[3]5.급수원단위'!G34</f>
        <v>310</v>
      </c>
      <c r="K12" s="240">
        <f>'2.생활용수(행정구역)'!R96</f>
        <v>1000</v>
      </c>
      <c r="L12" s="514">
        <f>'2.생활용수(행정구역)'!S96</f>
        <v>1100</v>
      </c>
      <c r="M12" s="514">
        <f>'2.생활용수(행정구역)'!T96</f>
        <v>1200</v>
      </c>
      <c r="N12" s="514">
        <f>'2.생활용수(행정구역)'!U96</f>
        <v>1200</v>
      </c>
    </row>
    <row r="13" spans="1:19" ht="20.100000000000001" customHeight="1">
      <c r="A13" s="644"/>
      <c r="B13" s="259" t="s">
        <v>728</v>
      </c>
      <c r="C13" s="240">
        <f>ROUND('[2]2.급수인구'!Q13,-2)</f>
        <v>3900</v>
      </c>
      <c r="D13" s="240">
        <f>ROUND('[2]2.급수인구'!R13,-2)</f>
        <v>5900</v>
      </c>
      <c r="E13" s="240">
        <f>ROUND('[2]2.급수인구'!S13,-2)</f>
        <v>6400</v>
      </c>
      <c r="F13" s="240">
        <f>ROUND('[2]2.급수인구'!T13,-2)</f>
        <v>6600</v>
      </c>
      <c r="G13" s="240">
        <f>'[3]5.급수원단위'!D34</f>
        <v>304</v>
      </c>
      <c r="H13" s="240">
        <f>'[3]5.급수원단위'!E34</f>
        <v>308</v>
      </c>
      <c r="I13" s="240">
        <f>'[3]5.급수원단위'!F34</f>
        <v>310</v>
      </c>
      <c r="J13" s="240">
        <f>'[3]5.급수원단위'!G34</f>
        <v>310</v>
      </c>
      <c r="K13" s="240">
        <f>'2.생활용수(행정구역)'!R110</f>
        <v>1200</v>
      </c>
      <c r="L13" s="514">
        <f>'2.생활용수(행정구역)'!S110</f>
        <v>1800</v>
      </c>
      <c r="M13" s="514">
        <f>'2.생활용수(행정구역)'!T110</f>
        <v>2000</v>
      </c>
      <c r="N13" s="514">
        <f>'2.생활용수(행정구역)'!U110</f>
        <v>2000</v>
      </c>
    </row>
    <row r="14" spans="1:19" ht="20.100000000000001" customHeight="1">
      <c r="A14" s="644"/>
      <c r="B14" s="259" t="s">
        <v>729</v>
      </c>
      <c r="C14" s="240">
        <f>ROUND('[2]2.급수인구'!Q14,-2)</f>
        <v>0</v>
      </c>
      <c r="D14" s="240">
        <f>ROUND('[2]2.급수인구'!R14,-2)</f>
        <v>2200</v>
      </c>
      <c r="E14" s="240">
        <f>ROUND('[2]2.급수인구'!S14,-2)</f>
        <v>2300</v>
      </c>
      <c r="F14" s="240">
        <f>ROUND('[2]2.급수인구'!T14,-2)</f>
        <v>2300</v>
      </c>
      <c r="G14" s="240">
        <f>'[3]5.급수원단위'!D34</f>
        <v>304</v>
      </c>
      <c r="H14" s="240">
        <f>'[3]5.급수원단위'!E34</f>
        <v>308</v>
      </c>
      <c r="I14" s="240">
        <f>'[3]5.급수원단위'!F34</f>
        <v>310</v>
      </c>
      <c r="J14" s="240">
        <f>'[3]5.급수원단위'!G34</f>
        <v>310</v>
      </c>
      <c r="K14" s="240">
        <f>'2.생활용수(행정구역)'!R132</f>
        <v>0</v>
      </c>
      <c r="L14" s="514">
        <f>'2.생활용수(행정구역)'!S132</f>
        <v>700</v>
      </c>
      <c r="M14" s="514">
        <f>'2.생활용수(행정구역)'!T132</f>
        <v>700</v>
      </c>
      <c r="N14" s="514">
        <f>'2.생활용수(행정구역)'!U132</f>
        <v>700</v>
      </c>
    </row>
    <row r="15" spans="1:19" ht="20.100000000000001" customHeight="1">
      <c r="A15" s="644"/>
      <c r="B15" s="259" t="s">
        <v>730</v>
      </c>
      <c r="C15" s="240">
        <f>ROUND('[2]2.급수인구'!Q15,-2)</f>
        <v>3700</v>
      </c>
      <c r="D15" s="240">
        <f>ROUND('[2]2.급수인구'!R15,-2)</f>
        <v>8400</v>
      </c>
      <c r="E15" s="240">
        <f>ROUND('[2]2.급수인구'!S15,-2)</f>
        <v>8500</v>
      </c>
      <c r="F15" s="240">
        <f>ROUND('[2]2.급수인구'!T15,-2)</f>
        <v>8600</v>
      </c>
      <c r="G15" s="240">
        <f>'[3]5.급수원단위'!D34</f>
        <v>304</v>
      </c>
      <c r="H15" s="240">
        <f>'[3]5.급수원단위'!E34</f>
        <v>308</v>
      </c>
      <c r="I15" s="240">
        <f>'[3]5.급수원단위'!F34</f>
        <v>310</v>
      </c>
      <c r="J15" s="240">
        <f>'[3]5.급수원단위'!G34</f>
        <v>310</v>
      </c>
      <c r="K15" s="240">
        <f>'2.생활용수(행정구역)'!R148</f>
        <v>1100</v>
      </c>
      <c r="L15" s="514">
        <f>'2.생활용수(행정구역)'!S148</f>
        <v>3300</v>
      </c>
      <c r="M15" s="514">
        <f>'2.생활용수(행정구역)'!T148</f>
        <v>3400</v>
      </c>
      <c r="N15" s="514">
        <f>'2.생활용수(행정구역)'!U148</f>
        <v>3400</v>
      </c>
    </row>
    <row r="16" spans="1:19" ht="20.100000000000001" customHeight="1">
      <c r="A16" s="644"/>
      <c r="B16" s="259" t="s">
        <v>731</v>
      </c>
      <c r="C16" s="240">
        <f>ROUND('[2]2.급수인구'!Q16,-2)</f>
        <v>1300</v>
      </c>
      <c r="D16" s="240">
        <f>ROUND('[2]2.급수인구'!R16,-2)</f>
        <v>3600</v>
      </c>
      <c r="E16" s="240">
        <f>ROUND('[2]2.급수인구'!S16,-2)</f>
        <v>3600</v>
      </c>
      <c r="F16" s="240">
        <f>ROUND('[2]2.급수인구'!T16,-2)</f>
        <v>3700</v>
      </c>
      <c r="G16" s="240">
        <f>'[3]5.급수원단위'!D34</f>
        <v>304</v>
      </c>
      <c r="H16" s="240">
        <f>'[3]5.급수원단위'!E34</f>
        <v>308</v>
      </c>
      <c r="I16" s="240">
        <f>'[3]5.급수원단위'!F34</f>
        <v>310</v>
      </c>
      <c r="J16" s="240">
        <f>'[3]5.급수원단위'!G34</f>
        <v>310</v>
      </c>
      <c r="K16" s="240">
        <f>'2.생활용수(행정구역)'!R168</f>
        <v>400</v>
      </c>
      <c r="L16" s="514">
        <f>'2.생활용수(행정구역)'!S168</f>
        <v>1100</v>
      </c>
      <c r="M16" s="514">
        <f>'2.생활용수(행정구역)'!T168</f>
        <v>1100</v>
      </c>
      <c r="N16" s="514">
        <f>'2.생활용수(행정구역)'!U168</f>
        <v>1200</v>
      </c>
    </row>
    <row r="17" spans="1:14" ht="20.100000000000001" customHeight="1">
      <c r="A17" s="644"/>
      <c r="B17" s="259" t="s">
        <v>732</v>
      </c>
      <c r="C17" s="240">
        <f>ROUND('[2]2.급수인구'!Q17,-2)</f>
        <v>4200</v>
      </c>
      <c r="D17" s="240">
        <f>ROUND('[2]2.급수인구'!R17,-2)</f>
        <v>4800</v>
      </c>
      <c r="E17" s="240">
        <f>ROUND('[2]2.급수인구'!S17,-2)</f>
        <v>5200</v>
      </c>
      <c r="F17" s="240">
        <f>ROUND('[2]2.급수인구'!T17,-2)</f>
        <v>5200</v>
      </c>
      <c r="G17" s="240">
        <f>'[3]5.급수원단위'!D34</f>
        <v>304</v>
      </c>
      <c r="H17" s="240">
        <f>'[3]5.급수원단위'!E34</f>
        <v>308</v>
      </c>
      <c r="I17" s="240">
        <f>'[3]5.급수원단위'!F34</f>
        <v>310</v>
      </c>
      <c r="J17" s="240">
        <f>'[3]5.급수원단위'!G34</f>
        <v>310</v>
      </c>
      <c r="K17" s="240">
        <f>'2.생활용수(행정구역)'!R184</f>
        <v>1300</v>
      </c>
      <c r="L17" s="514">
        <f>'2.생활용수(행정구역)'!S184</f>
        <v>1500</v>
      </c>
      <c r="M17" s="514">
        <f>'2.생활용수(행정구역)'!T184</f>
        <v>1600</v>
      </c>
      <c r="N17" s="514">
        <f>'2.생활용수(행정구역)'!U184</f>
        <v>1600</v>
      </c>
    </row>
    <row r="18" spans="1:14" ht="20.100000000000001" customHeight="1">
      <c r="A18" s="644"/>
      <c r="B18" s="259" t="s">
        <v>733</v>
      </c>
      <c r="C18" s="240">
        <f>ROUND('[2]2.급수인구'!Q18,-2)</f>
        <v>2600</v>
      </c>
      <c r="D18" s="240">
        <f>ROUND('[2]2.급수인구'!R18,-2)</f>
        <v>2700</v>
      </c>
      <c r="E18" s="240">
        <f>ROUND('[2]2.급수인구'!S18,-2)</f>
        <v>2700</v>
      </c>
      <c r="F18" s="240">
        <f>ROUND('[2]2.급수인구'!T18,-2)</f>
        <v>2800</v>
      </c>
      <c r="G18" s="240">
        <f>'[3]5.급수원단위'!D34</f>
        <v>304</v>
      </c>
      <c r="H18" s="240">
        <f>'[3]5.급수원단위'!E34</f>
        <v>308</v>
      </c>
      <c r="I18" s="240">
        <f>'[3]5.급수원단위'!F34</f>
        <v>310</v>
      </c>
      <c r="J18" s="240">
        <f>'[3]5.급수원단위'!G34</f>
        <v>310</v>
      </c>
      <c r="K18" s="240">
        <f>'2.생활용수(행정구역)'!R196</f>
        <v>800</v>
      </c>
      <c r="L18" s="514">
        <f>'2.생활용수(행정구역)'!S196</f>
        <v>800</v>
      </c>
      <c r="M18" s="514">
        <f>'2.생활용수(행정구역)'!T196</f>
        <v>800</v>
      </c>
      <c r="N18" s="514">
        <f>'2.생활용수(행정구역)'!U196</f>
        <v>900</v>
      </c>
    </row>
    <row r="19" spans="1:14" ht="20.100000000000001" customHeight="1">
      <c r="A19" s="644"/>
      <c r="B19" s="259" t="s">
        <v>734</v>
      </c>
      <c r="C19" s="240">
        <f>ROUND('[2]2.급수인구'!Q19,-2)</f>
        <v>31200</v>
      </c>
      <c r="D19" s="240">
        <f>ROUND('[2]2.급수인구'!R19,-2)</f>
        <v>36500</v>
      </c>
      <c r="E19" s="240">
        <f>ROUND('[2]2.급수인구'!S19,-2)</f>
        <v>37500</v>
      </c>
      <c r="F19" s="240">
        <f>ROUND('[2]2.급수인구'!T19,-2)</f>
        <v>38500</v>
      </c>
      <c r="G19" s="240">
        <f>'[3]5.급수원단위'!D32</f>
        <v>422</v>
      </c>
      <c r="H19" s="240">
        <f>'[3]5.급수원단위'!E32</f>
        <v>433</v>
      </c>
      <c r="I19" s="240">
        <f>'[3]5.급수원단위'!F32</f>
        <v>446</v>
      </c>
      <c r="J19" s="240">
        <f>'[3]5.급수원단위'!G32</f>
        <v>466</v>
      </c>
      <c r="K19" s="240">
        <f>'2.생활용수(행정구역)'!R206</f>
        <v>13200</v>
      </c>
      <c r="L19" s="514">
        <f>'2.생활용수(행정구역)'!S206</f>
        <v>15800</v>
      </c>
      <c r="M19" s="514">
        <f>'2.생활용수(행정구역)'!T206</f>
        <v>16700</v>
      </c>
      <c r="N19" s="514">
        <f>'2.생활용수(행정구역)'!U206</f>
        <v>17900</v>
      </c>
    </row>
    <row r="20" spans="1:14" ht="20.100000000000001" customHeight="1">
      <c r="A20" s="645"/>
      <c r="B20" s="259" t="s">
        <v>735</v>
      </c>
      <c r="C20" s="240">
        <f>C5-SUM(C6:C19)</f>
        <v>18100</v>
      </c>
      <c r="D20" s="240">
        <f>D5-SUM(D6:D19)</f>
        <v>19600</v>
      </c>
      <c r="E20" s="240">
        <f>E5-SUM(E6:E19)</f>
        <v>20300</v>
      </c>
      <c r="F20" s="240">
        <f>F5-SUM(F6:F19)</f>
        <v>20600</v>
      </c>
      <c r="G20" s="240">
        <f>'[3]5.급수원단위'!D32</f>
        <v>422</v>
      </c>
      <c r="H20" s="240">
        <f>'[3]5.급수원단위'!E32</f>
        <v>433</v>
      </c>
      <c r="I20" s="240">
        <f>'[3]5.급수원단위'!F32</f>
        <v>446</v>
      </c>
      <c r="J20" s="240">
        <f>'[3]5.급수원단위'!G32</f>
        <v>466</v>
      </c>
      <c r="K20" s="240">
        <f>K5-SUM(K6:K19)</f>
        <v>7500</v>
      </c>
      <c r="L20" s="514">
        <f>L5-SUM(L6:L19)</f>
        <v>8400</v>
      </c>
      <c r="M20" s="514">
        <f>M5-SUM(M6:M19)</f>
        <v>9100</v>
      </c>
      <c r="N20" s="514">
        <f>N5-SUM(N6:N19)</f>
        <v>9600</v>
      </c>
    </row>
  </sheetData>
  <mergeCells count="6">
    <mergeCell ref="A6:A20"/>
    <mergeCell ref="A3:B4"/>
    <mergeCell ref="C3:F3"/>
    <mergeCell ref="G3:J3"/>
    <mergeCell ref="K3:N3"/>
    <mergeCell ref="A5:B5"/>
  </mergeCells>
  <phoneticPr fontId="3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V219"/>
  <sheetViews>
    <sheetView view="pageBreakPreview" topLeftCell="A142" zoomScale="25" zoomScaleNormal="100" zoomScaleSheetLayoutView="25" workbookViewId="0">
      <selection activeCell="AK208" sqref="AK208"/>
    </sheetView>
  </sheetViews>
  <sheetFormatPr defaultRowHeight="20.100000000000001" customHeight="1" outlineLevelCol="1"/>
  <cols>
    <col min="1" max="2" width="8.33203125" style="1" customWidth="1"/>
    <col min="3" max="3" width="7.77734375" style="1" customWidth="1"/>
    <col min="4" max="4" width="7.77734375" style="1" hidden="1" customWidth="1" outlineLevel="1"/>
    <col min="5" max="5" width="7.77734375" style="1" customWidth="1" collapsed="1"/>
    <col min="6" max="9" width="7.77734375" style="1" customWidth="1"/>
    <col min="10" max="10" width="7.77734375" style="1" hidden="1" customWidth="1" outlineLevel="1"/>
    <col min="11" max="11" width="7.77734375" style="1" customWidth="1" collapsed="1"/>
    <col min="12" max="14" width="7.77734375" style="1" customWidth="1"/>
    <col min="15" max="16384" width="8.88671875" style="1"/>
  </cols>
  <sheetData>
    <row r="1" spans="1:22" s="204" customFormat="1" ht="20.100000000000001" customHeight="1">
      <c r="A1" s="204" t="s">
        <v>804</v>
      </c>
    </row>
    <row r="2" spans="1:22" s="208" customFormat="1" ht="19.5" customHeight="1">
      <c r="A2" s="207" t="s">
        <v>808</v>
      </c>
      <c r="E2" s="209"/>
      <c r="F2" s="209"/>
      <c r="H2" s="209"/>
      <c r="I2" s="209"/>
      <c r="J2" s="209"/>
    </row>
    <row r="3" spans="1:22" ht="19.7" customHeight="1">
      <c r="A3" s="679" t="s">
        <v>809</v>
      </c>
      <c r="B3" s="679"/>
      <c r="C3" s="679" t="s">
        <v>776</v>
      </c>
      <c r="D3" s="679"/>
      <c r="E3" s="679"/>
      <c r="F3" s="679"/>
      <c r="G3" s="679"/>
      <c r="H3" s="679"/>
      <c r="I3" s="679" t="s">
        <v>777</v>
      </c>
      <c r="J3" s="679"/>
      <c r="K3" s="679"/>
      <c r="L3" s="679"/>
      <c r="M3" s="679"/>
      <c r="N3" s="679"/>
    </row>
    <row r="4" spans="1:22" ht="19.7" customHeight="1">
      <c r="A4" s="679"/>
      <c r="B4" s="679"/>
      <c r="C4" s="210">
        <v>2013</v>
      </c>
      <c r="D4" s="253">
        <v>2014</v>
      </c>
      <c r="E4" s="210">
        <v>2015</v>
      </c>
      <c r="F4" s="210">
        <v>2020</v>
      </c>
      <c r="G4" s="210">
        <v>2025</v>
      </c>
      <c r="H4" s="210">
        <v>2030</v>
      </c>
      <c r="I4" s="210">
        <v>2013</v>
      </c>
      <c r="J4" s="253">
        <v>2014</v>
      </c>
      <c r="K4" s="210">
        <v>2015</v>
      </c>
      <c r="L4" s="210">
        <v>2020</v>
      </c>
      <c r="M4" s="210">
        <v>2025</v>
      </c>
      <c r="N4" s="210">
        <v>2030</v>
      </c>
      <c r="Q4" s="511">
        <v>2013</v>
      </c>
      <c r="R4" s="511">
        <v>2015</v>
      </c>
      <c r="S4" s="511">
        <v>2020</v>
      </c>
      <c r="T4" s="511">
        <v>2025</v>
      </c>
      <c r="U4" s="511">
        <v>2030</v>
      </c>
    </row>
    <row r="5" spans="1:22" ht="19.7" customHeight="1">
      <c r="A5" s="679" t="s">
        <v>810</v>
      </c>
      <c r="B5" s="679"/>
      <c r="C5" s="211">
        <f>C7+C22+C37+C65+C81+C96+C110+C132+C148+C168+C184+C196+C206+C215+C50</f>
        <v>89248</v>
      </c>
      <c r="D5" s="211">
        <f t="shared" ref="D5:N5" si="0">D7+D22+D37+D65+D81+D96+D110+D132+D148+D168+D184+D196+D206+D215+D50</f>
        <v>96127</v>
      </c>
      <c r="E5" s="211">
        <f t="shared" si="0"/>
        <v>109118</v>
      </c>
      <c r="F5" s="211">
        <f t="shared" si="0"/>
        <v>132798</v>
      </c>
      <c r="G5" s="211">
        <f t="shared" si="0"/>
        <v>137651</v>
      </c>
      <c r="H5" s="211">
        <f t="shared" si="0"/>
        <v>140465</v>
      </c>
      <c r="I5" s="211">
        <f t="shared" si="0"/>
        <v>34311</v>
      </c>
      <c r="J5" s="211">
        <f t="shared" si="0"/>
        <v>37258</v>
      </c>
      <c r="K5" s="211">
        <f t="shared" si="0"/>
        <v>41526</v>
      </c>
      <c r="L5" s="211">
        <f t="shared" si="0"/>
        <v>51862</v>
      </c>
      <c r="M5" s="211">
        <f t="shared" si="0"/>
        <v>55168</v>
      </c>
      <c r="N5" s="211">
        <f t="shared" si="0"/>
        <v>57947</v>
      </c>
      <c r="Q5" s="213">
        <f>ROUND(I5,-2)</f>
        <v>34300</v>
      </c>
      <c r="R5" s="213">
        <f>ROUND(K5,-2)</f>
        <v>41500</v>
      </c>
      <c r="S5" s="213">
        <f>ROUND(L5,-2)</f>
        <v>51900</v>
      </c>
      <c r="T5" s="213">
        <f>ROUND(M5,-2)</f>
        <v>55200</v>
      </c>
      <c r="U5" s="213">
        <f>ROUND(N5,-2)</f>
        <v>57900</v>
      </c>
    </row>
    <row r="6" spans="1:22" ht="19.7" customHeight="1">
      <c r="A6" s="676" t="s">
        <v>802</v>
      </c>
      <c r="B6" s="215" t="s">
        <v>811</v>
      </c>
      <c r="C6" s="211">
        <f>'[3]5.급수원단위'!C$33</f>
        <v>365</v>
      </c>
      <c r="D6" s="211">
        <f>'[3]5.급수원단위'!$D$40</f>
        <v>381</v>
      </c>
      <c r="E6" s="211">
        <f>'[3]5.급수원단위'!D$33</f>
        <v>390</v>
      </c>
      <c r="F6" s="211">
        <f>'[3]5.급수원단위'!E$33</f>
        <v>417</v>
      </c>
      <c r="G6" s="211">
        <f>'[3]5.급수원단위'!F$33</f>
        <v>439</v>
      </c>
      <c r="H6" s="211">
        <f>'[3]5.급수원단위'!G$33</f>
        <v>454</v>
      </c>
      <c r="I6" s="683"/>
      <c r="J6" s="684"/>
      <c r="K6" s="684"/>
      <c r="L6" s="684"/>
      <c r="M6" s="684"/>
      <c r="N6" s="685"/>
      <c r="Q6" s="511">
        <v>2013</v>
      </c>
      <c r="R6" s="511">
        <v>2015</v>
      </c>
      <c r="S6" s="511">
        <v>2020</v>
      </c>
      <c r="T6" s="511">
        <v>2025</v>
      </c>
      <c r="U6" s="511">
        <v>2030</v>
      </c>
    </row>
    <row r="7" spans="1:22" ht="19.7" customHeight="1">
      <c r="A7" s="677"/>
      <c r="B7" s="214" t="s">
        <v>778</v>
      </c>
      <c r="C7" s="212">
        <f>SUM(C8:C20)</f>
        <v>10575</v>
      </c>
      <c r="D7" s="212">
        <f t="shared" ref="D7:H7" si="1">SUM(D8:D20)</f>
        <v>10596</v>
      </c>
      <c r="E7" s="212">
        <f t="shared" si="1"/>
        <v>10421</v>
      </c>
      <c r="F7" s="212">
        <f t="shared" si="1"/>
        <v>10332</v>
      </c>
      <c r="G7" s="212">
        <f t="shared" si="1"/>
        <v>10581</v>
      </c>
      <c r="H7" s="212">
        <f t="shared" si="1"/>
        <v>10756</v>
      </c>
      <c r="I7" s="212">
        <f t="shared" ref="I7:J7" si="2">SUM(I8:I20)</f>
        <v>4330</v>
      </c>
      <c r="J7" s="212">
        <f t="shared" si="2"/>
        <v>4037</v>
      </c>
      <c r="K7" s="212">
        <f t="shared" ref="K7" si="3">SUM(K8:K20)</f>
        <v>4066</v>
      </c>
      <c r="L7" s="212">
        <f t="shared" ref="L7" si="4">SUM(L8:L20)</f>
        <v>4307</v>
      </c>
      <c r="M7" s="212">
        <f t="shared" ref="M7" si="5">SUM(M8:M20)</f>
        <v>4643</v>
      </c>
      <c r="N7" s="212">
        <f t="shared" ref="N7" si="6">SUM(N8:N20)</f>
        <v>4883</v>
      </c>
      <c r="O7" s="359">
        <f>'2013년도 용수량 비율'!F5</f>
        <v>1.07</v>
      </c>
      <c r="Q7" s="213">
        <f>ROUND(I7,-2)</f>
        <v>4300</v>
      </c>
      <c r="R7" s="213">
        <f>ROUND(K7,-2)</f>
        <v>4100</v>
      </c>
      <c r="S7" s="213">
        <f>ROUND(L7,-2)</f>
        <v>4300</v>
      </c>
      <c r="T7" s="213">
        <f>ROUND(M7,-2)</f>
        <v>4600</v>
      </c>
      <c r="U7" s="213">
        <f>ROUND(N7,-2)</f>
        <v>4900</v>
      </c>
      <c r="V7" s="14"/>
    </row>
    <row r="8" spans="1:22" ht="19.7" customHeight="1">
      <c r="A8" s="677"/>
      <c r="B8" s="210" t="s">
        <v>803</v>
      </c>
      <c r="C8" s="211">
        <f>SUMPRODUCT(('[2]2.행정구역별 급수인구'!$C$7:$C$997=$B8)*('[2]2.행정구역별 급수인구'!S$7:S$997))</f>
        <v>512</v>
      </c>
      <c r="D8" s="211">
        <f>SUMPRODUCT(('[2]2.행정구역별 급수인구'!$C$7:$C$997=$B8)*('[2]2.행정구역별 급수인구'!T$7:T$997))</f>
        <v>522</v>
      </c>
      <c r="E8" s="211">
        <f>SUMPRODUCT(('[2]2.행정구역별 급수인구'!$C$7:$C$997=$B8)*('[2]2.행정구역별 급수인구'!U$7:U$997))</f>
        <v>499</v>
      </c>
      <c r="F8" s="211">
        <f>SUMPRODUCT(('[2]2.행정구역별 급수인구'!$C$7:$C$997=$B8)*('[2]2.행정구역별 급수인구'!V$7:V$997))</f>
        <v>511</v>
      </c>
      <c r="G8" s="211">
        <f>SUMPRODUCT(('[2]2.행정구역별 급수인구'!$C$7:$C$997=$B8)*('[2]2.행정구역별 급수인구'!W$7:W$997))</f>
        <v>526</v>
      </c>
      <c r="H8" s="211">
        <f>SUMPRODUCT(('[2]2.행정구역별 급수인구'!$C$7:$C$997=$B8)*('[2]2.행정구역별 급수인구'!X$7:X$997))</f>
        <v>516</v>
      </c>
      <c r="I8" s="213">
        <f>SUMIF('2013 행정구역 생활용수량'!$B$4:$B$484,B8,'2013 행정구역 생활용수량'!$D$4:$D$484)</f>
        <v>258</v>
      </c>
      <c r="J8" s="213">
        <f t="shared" ref="J8" si="7">ROUND(D8*D$6/1000,0)</f>
        <v>199</v>
      </c>
      <c r="K8" s="213">
        <f t="shared" ref="K8" si="8">ROUND(E8*E$6/1000,0)</f>
        <v>195</v>
      </c>
      <c r="L8" s="213">
        <f t="shared" ref="L8" si="9">ROUND(F8*F$6/1000,0)</f>
        <v>213</v>
      </c>
      <c r="M8" s="213">
        <f t="shared" ref="M8" si="10">ROUND(G8*G$6/1000,0)</f>
        <v>231</v>
      </c>
      <c r="N8" s="213">
        <f t="shared" ref="N8" si="11">ROUND(H8*H$6/1000,0)</f>
        <v>234</v>
      </c>
      <c r="O8" s="359"/>
    </row>
    <row r="9" spans="1:22" ht="19.7" customHeight="1">
      <c r="A9" s="677"/>
      <c r="B9" s="210" t="s">
        <v>812</v>
      </c>
      <c r="C9" s="211">
        <f>SUMPRODUCT(('[2]2.행정구역별 급수인구'!$C$7:$C$997=$B9)*('[2]2.행정구역별 급수인구'!S$7:S$997))</f>
        <v>622</v>
      </c>
      <c r="D9" s="211">
        <f>SUMPRODUCT(('[2]2.행정구역별 급수인구'!$C$7:$C$997=$B9)*('[2]2.행정구역별 급수인구'!T$7:T$997))</f>
        <v>623</v>
      </c>
      <c r="E9" s="211">
        <f>SUMPRODUCT(('[2]2.행정구역별 급수인구'!$C$7:$C$997=$B9)*('[2]2.행정구역별 급수인구'!U$7:U$997))</f>
        <v>614</v>
      </c>
      <c r="F9" s="211">
        <f>SUMPRODUCT(('[2]2.행정구역별 급수인구'!$C$7:$C$997=$B9)*('[2]2.행정구역별 급수인구'!V$7:V$997))</f>
        <v>608</v>
      </c>
      <c r="G9" s="211">
        <f>SUMPRODUCT(('[2]2.행정구역별 급수인구'!$C$7:$C$997=$B9)*('[2]2.행정구역별 급수인구'!W$7:W$997))</f>
        <v>622</v>
      </c>
      <c r="H9" s="211">
        <f>SUMPRODUCT(('[2]2.행정구역별 급수인구'!$C$7:$C$997=$B9)*('[2]2.행정구역별 급수인구'!X$7:X$997))</f>
        <v>633</v>
      </c>
      <c r="I9" s="213">
        <f>SUMIF('2013 행정구역 생활용수량'!$B$4:$B$484,B9,'2013 행정구역 생활용수량'!$D$4:$D$484)</f>
        <v>197</v>
      </c>
      <c r="J9" s="213">
        <f t="shared" ref="J9:J20" si="12">ROUND(D9*D$6/1000,0)</f>
        <v>237</v>
      </c>
      <c r="K9" s="213">
        <f t="shared" ref="K9:K19" si="13">ROUND(E9*E$6/1000,0)</f>
        <v>239</v>
      </c>
      <c r="L9" s="213">
        <f t="shared" ref="L9:L19" si="14">ROUND(F9*F$6/1000,0)</f>
        <v>254</v>
      </c>
      <c r="M9" s="213">
        <f t="shared" ref="M9:M19" si="15">ROUND(G9*G$6/1000,0)</f>
        <v>273</v>
      </c>
      <c r="N9" s="213">
        <f t="shared" ref="N9:N19" si="16">ROUND(H9*H$6/1000,0)</f>
        <v>287</v>
      </c>
      <c r="O9" s="359"/>
    </row>
    <row r="10" spans="1:22" ht="19.7" customHeight="1">
      <c r="A10" s="677"/>
      <c r="B10" s="210" t="s">
        <v>813</v>
      </c>
      <c r="C10" s="211">
        <f>SUMPRODUCT(('[2]2.행정구역별 급수인구'!$C$7:$C$997=$B10)*('[2]2.행정구역별 급수인구'!S$7:S$997))</f>
        <v>210</v>
      </c>
      <c r="D10" s="211">
        <f>SUMPRODUCT(('[2]2.행정구역별 급수인구'!$C$7:$C$997=$B10)*('[2]2.행정구역별 급수인구'!T$7:T$997))</f>
        <v>211</v>
      </c>
      <c r="E10" s="211">
        <f>SUMPRODUCT(('[2]2.행정구역별 급수인구'!$C$7:$C$997=$B10)*('[2]2.행정구역별 급수인구'!U$7:U$997))</f>
        <v>207</v>
      </c>
      <c r="F10" s="211">
        <f>SUMPRODUCT(('[2]2.행정구역별 급수인구'!$C$7:$C$997=$B10)*('[2]2.행정구역별 급수인구'!V$7:V$997))</f>
        <v>205</v>
      </c>
      <c r="G10" s="211">
        <f>SUMPRODUCT(('[2]2.행정구역별 급수인구'!$C$7:$C$997=$B10)*('[2]2.행정구역별 급수인구'!W$7:W$997))</f>
        <v>210</v>
      </c>
      <c r="H10" s="211">
        <f>SUMPRODUCT(('[2]2.행정구역별 급수인구'!$C$7:$C$997=$B10)*('[2]2.행정구역별 급수인구'!X$7:X$997))</f>
        <v>214</v>
      </c>
      <c r="I10" s="213">
        <f>SUMIF('2013 행정구역 생활용수량'!$B$4:$B$484,B10,'2013 행정구역 생활용수량'!$D$4:$D$484)</f>
        <v>68</v>
      </c>
      <c r="J10" s="213">
        <f t="shared" si="12"/>
        <v>80</v>
      </c>
      <c r="K10" s="213">
        <f t="shared" si="13"/>
        <v>81</v>
      </c>
      <c r="L10" s="213">
        <f t="shared" si="14"/>
        <v>85</v>
      </c>
      <c r="M10" s="213">
        <f t="shared" si="15"/>
        <v>92</v>
      </c>
      <c r="N10" s="213">
        <f t="shared" si="16"/>
        <v>97</v>
      </c>
      <c r="O10" s="359"/>
    </row>
    <row r="11" spans="1:22" ht="19.7" customHeight="1">
      <c r="A11" s="677"/>
      <c r="B11" s="210" t="s">
        <v>814</v>
      </c>
      <c r="C11" s="211">
        <f>SUMPRODUCT(('[2]2.행정구역별 급수인구'!$C$7:$C$997=$B11)*('[2]2.행정구역별 급수인구'!S$7:S$997))</f>
        <v>266</v>
      </c>
      <c r="D11" s="211">
        <f>SUMPRODUCT(('[2]2.행정구역별 급수인구'!$C$7:$C$997=$B11)*('[2]2.행정구역별 급수인구'!T$7:T$997))</f>
        <v>266</v>
      </c>
      <c r="E11" s="211">
        <f>SUMPRODUCT(('[2]2.행정구역별 급수인구'!$C$7:$C$997=$B11)*('[2]2.행정구역별 급수인구'!U$7:U$997))</f>
        <v>262</v>
      </c>
      <c r="F11" s="211">
        <f>SUMPRODUCT(('[2]2.행정구역별 급수인구'!$C$7:$C$997=$B11)*('[2]2.행정구역별 급수인구'!V$7:V$997))</f>
        <v>260</v>
      </c>
      <c r="G11" s="211">
        <f>SUMPRODUCT(('[2]2.행정구역별 급수인구'!$C$7:$C$997=$B11)*('[2]2.행정구역별 급수인구'!W$7:W$997))</f>
        <v>266</v>
      </c>
      <c r="H11" s="211">
        <f>SUMPRODUCT(('[2]2.행정구역별 급수인구'!$C$7:$C$997=$B11)*('[2]2.행정구역별 급수인구'!X$7:X$997))</f>
        <v>271</v>
      </c>
      <c r="I11" s="213">
        <f>SUMIF('2013 행정구역 생활용수량'!$B$4:$B$484,B11,'2013 행정구역 생활용수량'!$D$4:$D$484)</f>
        <v>107</v>
      </c>
      <c r="J11" s="213">
        <f t="shared" si="12"/>
        <v>101</v>
      </c>
      <c r="K11" s="213">
        <f t="shared" si="13"/>
        <v>102</v>
      </c>
      <c r="L11" s="213">
        <f t="shared" si="14"/>
        <v>108</v>
      </c>
      <c r="M11" s="213">
        <f t="shared" si="15"/>
        <v>117</v>
      </c>
      <c r="N11" s="213">
        <f t="shared" si="16"/>
        <v>123</v>
      </c>
      <c r="O11" s="359"/>
    </row>
    <row r="12" spans="1:22" ht="19.7" customHeight="1">
      <c r="A12" s="677"/>
      <c r="B12" s="210" t="s">
        <v>815</v>
      </c>
      <c r="C12" s="211">
        <f>SUMPRODUCT(('[2]2.행정구역별 급수인구'!$C$7:$C$997=$B12)*('[2]2.행정구역별 급수인구'!S$7:S$997))</f>
        <v>521</v>
      </c>
      <c r="D12" s="211">
        <f>SUMPRODUCT(('[2]2.행정구역별 급수인구'!$C$7:$C$997=$B12)*('[2]2.행정구역별 급수인구'!T$7:T$997))</f>
        <v>522</v>
      </c>
      <c r="E12" s="211">
        <f>SUMPRODUCT(('[2]2.행정구역별 급수인구'!$C$7:$C$997=$B12)*('[2]2.행정구역별 급수인구'!U$7:U$997))</f>
        <v>514</v>
      </c>
      <c r="F12" s="211">
        <f>SUMPRODUCT(('[2]2.행정구역별 급수인구'!$C$7:$C$997=$B12)*('[2]2.행정구역별 급수인구'!V$7:V$997))</f>
        <v>508</v>
      </c>
      <c r="G12" s="211">
        <f>SUMPRODUCT(('[2]2.행정구역별 급수인구'!$C$7:$C$997=$B12)*('[2]2.행정구역별 급수인구'!W$7:W$997))</f>
        <v>520</v>
      </c>
      <c r="H12" s="211">
        <f>SUMPRODUCT(('[2]2.행정구역별 급수인구'!$C$7:$C$997=$B12)*('[2]2.행정구역별 급수인구'!X$7:X$997))</f>
        <v>530</v>
      </c>
      <c r="I12" s="213">
        <f>SUMIF('2013 행정구역 생활용수량'!$B$4:$B$484,B12,'2013 행정구역 생활용수량'!$D$4:$D$484)</f>
        <v>157</v>
      </c>
      <c r="J12" s="213">
        <f t="shared" si="12"/>
        <v>199</v>
      </c>
      <c r="K12" s="213">
        <f t="shared" si="13"/>
        <v>200</v>
      </c>
      <c r="L12" s="213">
        <f t="shared" si="14"/>
        <v>212</v>
      </c>
      <c r="M12" s="213">
        <f t="shared" si="15"/>
        <v>228</v>
      </c>
      <c r="N12" s="213">
        <f t="shared" si="16"/>
        <v>241</v>
      </c>
      <c r="O12" s="359"/>
    </row>
    <row r="13" spans="1:22" ht="19.7" customHeight="1">
      <c r="A13" s="677"/>
      <c r="B13" s="210" t="s">
        <v>816</v>
      </c>
      <c r="C13" s="211">
        <f>SUMPRODUCT(('[2]2.행정구역별 급수인구'!$C$7:$C$997=$B13)*('[2]2.행정구역별 급수인구'!S$7:S$997))</f>
        <v>571</v>
      </c>
      <c r="D13" s="211">
        <f>SUMPRODUCT(('[2]2.행정구역별 급수인구'!$C$7:$C$997=$B13)*('[2]2.행정구역별 급수인구'!T$7:T$997))</f>
        <v>571</v>
      </c>
      <c r="E13" s="211">
        <f>SUMPRODUCT(('[2]2.행정구역별 급수인구'!$C$7:$C$997=$B13)*('[2]2.행정구역별 급수인구'!U$7:U$997))</f>
        <v>562</v>
      </c>
      <c r="F13" s="211">
        <f>SUMPRODUCT(('[2]2.행정구역별 급수인구'!$C$7:$C$997=$B13)*('[2]2.행정구역별 급수인구'!V$7:V$997))</f>
        <v>558</v>
      </c>
      <c r="G13" s="211">
        <f>SUMPRODUCT(('[2]2.행정구역별 급수인구'!$C$7:$C$997=$B13)*('[2]2.행정구역별 급수인구'!W$7:W$997))</f>
        <v>571</v>
      </c>
      <c r="H13" s="211">
        <f>SUMPRODUCT(('[2]2.행정구역별 급수인구'!$C$7:$C$997=$B13)*('[2]2.행정구역별 급수인구'!X$7:X$997))</f>
        <v>582</v>
      </c>
      <c r="I13" s="213">
        <f>SUMIF('2013 행정구역 생활용수량'!$B$4:$B$484,B13,'2013 행정구역 생활용수량'!$D$4:$D$484)</f>
        <v>224</v>
      </c>
      <c r="J13" s="213">
        <f t="shared" si="12"/>
        <v>218</v>
      </c>
      <c r="K13" s="213">
        <f t="shared" si="13"/>
        <v>219</v>
      </c>
      <c r="L13" s="213">
        <f t="shared" si="14"/>
        <v>233</v>
      </c>
      <c r="M13" s="213">
        <f t="shared" si="15"/>
        <v>251</v>
      </c>
      <c r="N13" s="213">
        <f t="shared" si="16"/>
        <v>264</v>
      </c>
      <c r="O13" s="359"/>
    </row>
    <row r="14" spans="1:22" ht="19.7" customHeight="1">
      <c r="A14" s="677"/>
      <c r="B14" s="210" t="s">
        <v>817</v>
      </c>
      <c r="C14" s="211">
        <f>SUMPRODUCT(('[2]2.행정구역별 급수인구'!$C$7:$C$997=$B14)*('[2]2.행정구역별 급수인구'!S$7:S$997))</f>
        <v>202</v>
      </c>
      <c r="D14" s="211">
        <f>SUMPRODUCT(('[2]2.행정구역별 급수인구'!$C$7:$C$997=$B14)*('[2]2.행정구역별 급수인구'!T$7:T$997))</f>
        <v>202</v>
      </c>
      <c r="E14" s="211">
        <f>SUMPRODUCT(('[2]2.행정구역별 급수인구'!$C$7:$C$997=$B14)*('[2]2.행정구역별 급수인구'!U$7:U$997))</f>
        <v>199</v>
      </c>
      <c r="F14" s="211">
        <f>SUMPRODUCT(('[2]2.행정구역별 급수인구'!$C$7:$C$997=$B14)*('[2]2.행정구역별 급수인구'!V$7:V$997))</f>
        <v>197</v>
      </c>
      <c r="G14" s="211">
        <f>SUMPRODUCT(('[2]2.행정구역별 급수인구'!$C$7:$C$997=$B14)*('[2]2.행정구역별 급수인구'!W$7:W$997))</f>
        <v>201</v>
      </c>
      <c r="H14" s="211">
        <f>SUMPRODUCT(('[2]2.행정구역별 급수인구'!$C$7:$C$997=$B14)*('[2]2.행정구역별 급수인구'!X$7:X$997))</f>
        <v>205</v>
      </c>
      <c r="I14" s="213">
        <f>SUMIF('2013 행정구역 생활용수량'!$B$4:$B$484,B14,'2013 행정구역 생활용수량'!$D$4:$D$484)</f>
        <v>93</v>
      </c>
      <c r="J14" s="213">
        <f t="shared" si="12"/>
        <v>77</v>
      </c>
      <c r="K14" s="213">
        <f t="shared" si="13"/>
        <v>78</v>
      </c>
      <c r="L14" s="213">
        <f t="shared" si="14"/>
        <v>82</v>
      </c>
      <c r="M14" s="213">
        <f t="shared" si="15"/>
        <v>88</v>
      </c>
      <c r="N14" s="213">
        <f t="shared" si="16"/>
        <v>93</v>
      </c>
      <c r="O14" s="359"/>
    </row>
    <row r="15" spans="1:22" ht="19.7" customHeight="1">
      <c r="A15" s="677"/>
      <c r="B15" s="210" t="s">
        <v>818</v>
      </c>
      <c r="C15" s="211">
        <f>SUMPRODUCT(('[2]2.행정구역별 급수인구'!$C$7:$C$997=$B15)*('[2]2.행정구역별 급수인구'!S$7:S$997))</f>
        <v>244</v>
      </c>
      <c r="D15" s="211">
        <f>SUMPRODUCT(('[2]2.행정구역별 급수인구'!$C$7:$C$997=$B15)*('[2]2.행정구역별 급수인구'!T$7:T$997))</f>
        <v>245</v>
      </c>
      <c r="E15" s="211">
        <f>SUMPRODUCT(('[2]2.행정구역별 급수인구'!$C$7:$C$997=$B15)*('[2]2.행정구역별 급수인구'!U$7:U$997))</f>
        <v>241</v>
      </c>
      <c r="F15" s="211">
        <f>SUMPRODUCT(('[2]2.행정구역별 급수인구'!$C$7:$C$997=$B15)*('[2]2.행정구역별 급수인구'!V$7:V$997))</f>
        <v>238</v>
      </c>
      <c r="G15" s="211">
        <f>SUMPRODUCT(('[2]2.행정구역별 급수인구'!$C$7:$C$997=$B15)*('[2]2.행정구역별 급수인구'!W$7:W$997))</f>
        <v>244</v>
      </c>
      <c r="H15" s="211">
        <f>SUMPRODUCT(('[2]2.행정구역별 급수인구'!$C$7:$C$997=$B15)*('[2]2.행정구역별 급수인구'!X$7:X$997))</f>
        <v>248</v>
      </c>
      <c r="I15" s="213">
        <f>SUMIF('2013 행정구역 생활용수량'!$B$4:$B$484,B15,'2013 행정구역 생활용수량'!$D$4:$D$484)</f>
        <v>135</v>
      </c>
      <c r="J15" s="213">
        <f t="shared" si="12"/>
        <v>93</v>
      </c>
      <c r="K15" s="213">
        <f t="shared" si="13"/>
        <v>94</v>
      </c>
      <c r="L15" s="213">
        <f t="shared" si="14"/>
        <v>99</v>
      </c>
      <c r="M15" s="213">
        <f t="shared" si="15"/>
        <v>107</v>
      </c>
      <c r="N15" s="213">
        <f t="shared" si="16"/>
        <v>113</v>
      </c>
      <c r="O15" s="359"/>
    </row>
    <row r="16" spans="1:22" ht="19.7" customHeight="1">
      <c r="A16" s="677"/>
      <c r="B16" s="210" t="s">
        <v>819</v>
      </c>
      <c r="C16" s="211">
        <f>SUMPRODUCT(('[2]2.행정구역별 급수인구'!$C$7:$C$997=$B16)*('[2]2.행정구역별 급수인구'!S$7:S$997))</f>
        <v>2084</v>
      </c>
      <c r="D16" s="211">
        <f>SUMPRODUCT(('[2]2.행정구역별 급수인구'!$C$7:$C$997=$B16)*('[2]2.행정구역별 급수인구'!T$7:T$997))</f>
        <v>2086</v>
      </c>
      <c r="E16" s="211">
        <f>SUMPRODUCT(('[2]2.행정구역별 급수인구'!$C$7:$C$997=$B16)*('[2]2.행정구역별 급수인구'!U$7:U$997))</f>
        <v>2054</v>
      </c>
      <c r="F16" s="211">
        <f>SUMPRODUCT(('[2]2.행정구역별 급수인구'!$C$7:$C$997=$B16)*('[2]2.행정구역별 급수인구'!V$7:V$997))</f>
        <v>2033</v>
      </c>
      <c r="G16" s="211">
        <f>SUMPRODUCT(('[2]2.행정구역별 급수인구'!$C$7:$C$997=$B16)*('[2]2.행정구역별 급수인구'!W$7:W$997))</f>
        <v>2082</v>
      </c>
      <c r="H16" s="211">
        <f>SUMPRODUCT(('[2]2.행정구역별 급수인구'!$C$7:$C$997=$B16)*('[2]2.행정구역별 급수인구'!X$7:X$997))</f>
        <v>2120</v>
      </c>
      <c r="I16" s="213">
        <f>SUMIF('2013 행정구역 생활용수량'!$B$4:$B$484,B16,'2013 행정구역 생활용수량'!$D$4:$D$484)</f>
        <v>990</v>
      </c>
      <c r="J16" s="213">
        <f t="shared" si="12"/>
        <v>795</v>
      </c>
      <c r="K16" s="213">
        <f t="shared" si="13"/>
        <v>801</v>
      </c>
      <c r="L16" s="213">
        <f t="shared" si="14"/>
        <v>848</v>
      </c>
      <c r="M16" s="213">
        <f t="shared" si="15"/>
        <v>914</v>
      </c>
      <c r="N16" s="213">
        <f t="shared" si="16"/>
        <v>962</v>
      </c>
      <c r="O16" s="359"/>
    </row>
    <row r="17" spans="1:21" ht="19.7" customHeight="1">
      <c r="A17" s="677"/>
      <c r="B17" s="210" t="s">
        <v>820</v>
      </c>
      <c r="C17" s="211">
        <f>SUMPRODUCT(('[2]2.행정구역별 급수인구'!$C$7:$C$997=$B17)*('[2]2.행정구역별 급수인구'!S$7:S$997))</f>
        <v>1842</v>
      </c>
      <c r="D17" s="211">
        <f>SUMPRODUCT(('[2]2.행정구역별 급수인구'!$C$7:$C$997=$B17)*('[2]2.행정구역별 급수인구'!T$7:T$997))</f>
        <v>1843</v>
      </c>
      <c r="E17" s="211">
        <f>SUMPRODUCT(('[2]2.행정구역별 급수인구'!$C$7:$C$997=$B17)*('[2]2.행정구역별 급수인구'!U$7:U$997))</f>
        <v>1817</v>
      </c>
      <c r="F17" s="211">
        <f>SUMPRODUCT(('[2]2.행정구역별 급수인구'!$C$7:$C$997=$B17)*('[2]2.행정구역별 급수인구'!V$7:V$997))</f>
        <v>1797</v>
      </c>
      <c r="G17" s="211">
        <f>SUMPRODUCT(('[2]2.행정구역별 급수인구'!$C$7:$C$997=$B17)*('[2]2.행정구역별 급수인구'!W$7:W$997))</f>
        <v>1840</v>
      </c>
      <c r="H17" s="211">
        <f>SUMPRODUCT(('[2]2.행정구역별 급수인구'!$C$7:$C$997=$B17)*('[2]2.행정구역별 급수인구'!X$7:X$997))</f>
        <v>1874</v>
      </c>
      <c r="I17" s="213">
        <f>SUMIF('2013 행정구역 생활용수량'!$B$4:$B$484,B17,'2013 행정구역 생활용수량'!$D$4:$D$484)</f>
        <v>869</v>
      </c>
      <c r="J17" s="213">
        <f t="shared" si="12"/>
        <v>702</v>
      </c>
      <c r="K17" s="213">
        <f t="shared" si="13"/>
        <v>709</v>
      </c>
      <c r="L17" s="213">
        <f t="shared" si="14"/>
        <v>749</v>
      </c>
      <c r="M17" s="213">
        <f t="shared" si="15"/>
        <v>808</v>
      </c>
      <c r="N17" s="213">
        <f t="shared" si="16"/>
        <v>851</v>
      </c>
      <c r="O17" s="359"/>
    </row>
    <row r="18" spans="1:21" ht="19.7" customHeight="1">
      <c r="A18" s="677"/>
      <c r="B18" s="210" t="s">
        <v>821</v>
      </c>
      <c r="C18" s="211">
        <f>SUMPRODUCT(('[2]2.행정구역별 급수인구'!$C$7:$C$997=$B18)*('[2]2.행정구역별 급수인구'!S$7:S$997))</f>
        <v>1499</v>
      </c>
      <c r="D18" s="211">
        <f>SUMPRODUCT(('[2]2.행정구역별 급수인구'!$C$7:$C$997=$B18)*('[2]2.행정구역별 급수인구'!T$7:T$997))</f>
        <v>1500</v>
      </c>
      <c r="E18" s="211">
        <f>SUMPRODUCT(('[2]2.행정구역별 급수인구'!$C$7:$C$997=$B18)*('[2]2.행정구역별 급수인구'!U$7:U$997))</f>
        <v>1478</v>
      </c>
      <c r="F18" s="211">
        <f>SUMPRODUCT(('[2]2.행정구역별 급수인구'!$C$7:$C$997=$B18)*('[2]2.행정구역별 급수인구'!V$7:V$997))</f>
        <v>1462</v>
      </c>
      <c r="G18" s="211">
        <f>SUMPRODUCT(('[2]2.행정구역별 급수인구'!$C$7:$C$997=$B18)*('[2]2.행정구역별 급수인구'!W$7:W$997))</f>
        <v>1497</v>
      </c>
      <c r="H18" s="211">
        <f>SUMPRODUCT(('[2]2.행정구역별 급수인구'!$C$7:$C$997=$B18)*('[2]2.행정구역별 급수인구'!X$7:X$997))</f>
        <v>1525</v>
      </c>
      <c r="I18" s="213">
        <f>SUMIF('2013 행정구역 생활용수량'!$B$4:$B$484,B18,'2013 행정구역 생활용수량'!$D$4:$D$484)</f>
        <v>455</v>
      </c>
      <c r="J18" s="213">
        <f t="shared" si="12"/>
        <v>572</v>
      </c>
      <c r="K18" s="213">
        <f t="shared" si="13"/>
        <v>576</v>
      </c>
      <c r="L18" s="213">
        <f t="shared" si="14"/>
        <v>610</v>
      </c>
      <c r="M18" s="213">
        <f t="shared" si="15"/>
        <v>657</v>
      </c>
      <c r="N18" s="213">
        <f t="shared" si="16"/>
        <v>692</v>
      </c>
      <c r="O18" s="359"/>
    </row>
    <row r="19" spans="1:21" ht="19.7" customHeight="1">
      <c r="A19" s="677"/>
      <c r="B19" s="210" t="s">
        <v>822</v>
      </c>
      <c r="C19" s="211">
        <f>SUMPRODUCT(('[2]2.행정구역별 급수인구'!$C$7:$C$997=$B19)*('[2]2.행정구역별 급수인구'!S$7:S$997))</f>
        <v>1622</v>
      </c>
      <c r="D19" s="211">
        <f>SUMPRODUCT(('[2]2.행정구역별 급수인구'!$C$7:$C$997=$B19)*('[2]2.행정구역별 급수인구'!T$7:T$997))</f>
        <v>1625</v>
      </c>
      <c r="E19" s="211">
        <f>SUMPRODUCT(('[2]2.행정구역별 급수인구'!$C$7:$C$997=$B19)*('[2]2.행정구역별 급수인구'!U$7:U$997))</f>
        <v>1600</v>
      </c>
      <c r="F19" s="211">
        <f>SUMPRODUCT(('[2]2.행정구역별 급수인구'!$C$7:$C$997=$B19)*('[2]2.행정구역별 급수인구'!V$7:V$997))</f>
        <v>1584</v>
      </c>
      <c r="G19" s="211">
        <f>SUMPRODUCT(('[2]2.행정구역별 급수인구'!$C$7:$C$997=$B19)*('[2]2.행정구역별 급수인구'!W$7:W$997))</f>
        <v>1622</v>
      </c>
      <c r="H19" s="211">
        <f>SUMPRODUCT(('[2]2.행정구역별 급수인구'!$C$7:$C$997=$B19)*('[2]2.행정구역별 급수인구'!X$7:X$997))</f>
        <v>1650</v>
      </c>
      <c r="I19" s="213">
        <f>SUMIF('2013 행정구역 생활용수량'!$B$4:$B$484,B19,'2013 행정구역 생활용수량'!$D$4:$D$484)</f>
        <v>715</v>
      </c>
      <c r="J19" s="213">
        <f t="shared" si="12"/>
        <v>619</v>
      </c>
      <c r="K19" s="213">
        <f t="shared" si="13"/>
        <v>624</v>
      </c>
      <c r="L19" s="213">
        <f t="shared" si="14"/>
        <v>661</v>
      </c>
      <c r="M19" s="213">
        <f t="shared" si="15"/>
        <v>712</v>
      </c>
      <c r="N19" s="213">
        <f t="shared" si="16"/>
        <v>749</v>
      </c>
      <c r="O19" s="359"/>
    </row>
    <row r="20" spans="1:21" ht="19.7" customHeight="1">
      <c r="A20" s="678"/>
      <c r="B20" s="210" t="s">
        <v>823</v>
      </c>
      <c r="C20" s="211">
        <f>SUMPRODUCT(('[2]2.행정구역별 급수인구'!$C$7:$C$997=$B20)*('[2]2.행정구역별 급수인구'!S$7:S$997))</f>
        <v>380</v>
      </c>
      <c r="D20" s="211">
        <f>SUMPRODUCT(('[2]2.행정구역별 급수인구'!$C$7:$C$997=$B20)*('[2]2.행정구역별 급수인구'!T$7:T$997))</f>
        <v>380</v>
      </c>
      <c r="E20" s="211">
        <f>SUMPRODUCT(('[2]2.행정구역별 급수인구'!$C$7:$C$997=$B20)*('[2]2.행정구역별 급수인구'!U$7:U$997))</f>
        <v>374</v>
      </c>
      <c r="F20" s="211">
        <f>SUMPRODUCT(('[2]2.행정구역별 급수인구'!$C$7:$C$997=$B20)*('[2]2.행정구역별 급수인구'!V$7:V$997))</f>
        <v>371</v>
      </c>
      <c r="G20" s="211">
        <f>SUMPRODUCT(('[2]2.행정구역별 급수인구'!$C$7:$C$997=$B20)*('[2]2.행정구역별 급수인구'!W$7:W$997))</f>
        <v>380</v>
      </c>
      <c r="H20" s="211">
        <f>SUMPRODUCT(('[2]2.행정구역별 급수인구'!$C$7:$C$997=$B20)*('[2]2.행정구역별 급수인구'!X$7:X$997))</f>
        <v>388</v>
      </c>
      <c r="I20" s="213">
        <f>SUMIF('2013 행정구역 생활용수량'!$B$4:$B$484,B20,'2013 행정구역 생활용수량'!$D$4:$D$484)</f>
        <v>62</v>
      </c>
      <c r="J20" s="213">
        <f t="shared" si="12"/>
        <v>145</v>
      </c>
      <c r="K20" s="213">
        <f>'2.생활용수(급수구역)'!J73-SUM(K8:K19)</f>
        <v>148</v>
      </c>
      <c r="L20" s="213">
        <f>'2.생활용수(급수구역)'!K73-SUM(L8:L19)</f>
        <v>153</v>
      </c>
      <c r="M20" s="213">
        <f>'2.생활용수(급수구역)'!L73-SUM(M8:M19)</f>
        <v>165</v>
      </c>
      <c r="N20" s="213">
        <f>'2.생활용수(급수구역)'!M73-SUM(N8:N19)</f>
        <v>177</v>
      </c>
      <c r="O20" s="359"/>
    </row>
    <row r="21" spans="1:21" ht="19.7" customHeight="1">
      <c r="A21" s="673" t="s">
        <v>800</v>
      </c>
      <c r="B21" s="215" t="s">
        <v>811</v>
      </c>
      <c r="C21" s="211">
        <f>'[3]5.급수원단위'!C$33</f>
        <v>365</v>
      </c>
      <c r="D21" s="211">
        <f>'[3]5.급수원단위'!$D$40</f>
        <v>381</v>
      </c>
      <c r="E21" s="211">
        <f>'[3]5.급수원단위'!D$33</f>
        <v>390</v>
      </c>
      <c r="F21" s="211">
        <f>'[3]5.급수원단위'!E$33</f>
        <v>417</v>
      </c>
      <c r="G21" s="211">
        <f>'[3]5.급수원단위'!F$33</f>
        <v>439</v>
      </c>
      <c r="H21" s="211">
        <f>'[3]5.급수원단위'!G$33</f>
        <v>454</v>
      </c>
      <c r="I21" s="680"/>
      <c r="J21" s="681"/>
      <c r="K21" s="681"/>
      <c r="L21" s="681"/>
      <c r="M21" s="681"/>
      <c r="N21" s="682"/>
      <c r="O21" s="359"/>
      <c r="Q21" s="511">
        <v>2013</v>
      </c>
      <c r="R21" s="511">
        <v>2015</v>
      </c>
      <c r="S21" s="511">
        <v>2020</v>
      </c>
      <c r="T21" s="511">
        <v>2025</v>
      </c>
      <c r="U21" s="511">
        <v>2030</v>
      </c>
    </row>
    <row r="22" spans="1:21" ht="19.7" customHeight="1">
      <c r="A22" s="674"/>
      <c r="B22" s="214" t="s">
        <v>778</v>
      </c>
      <c r="C22" s="212">
        <f>SUM(C23:C35)</f>
        <v>13948</v>
      </c>
      <c r="D22" s="212">
        <f t="shared" ref="D22:H22" si="17">SUM(D23:D35)</f>
        <v>14243</v>
      </c>
      <c r="E22" s="212">
        <f t="shared" si="17"/>
        <v>18940</v>
      </c>
      <c r="F22" s="212">
        <f t="shared" si="17"/>
        <v>19490</v>
      </c>
      <c r="G22" s="212">
        <f t="shared" si="17"/>
        <v>19870</v>
      </c>
      <c r="H22" s="212">
        <f t="shared" si="17"/>
        <v>20163</v>
      </c>
      <c r="I22" s="212">
        <f t="shared" ref="I22:N22" si="18">SUM(I23:I35)</f>
        <v>5199</v>
      </c>
      <c r="J22" s="212">
        <f t="shared" ref="J22" si="19">SUM(J23:J35)</f>
        <v>5427</v>
      </c>
      <c r="K22" s="212">
        <f t="shared" si="18"/>
        <v>7390</v>
      </c>
      <c r="L22" s="212">
        <f t="shared" si="18"/>
        <v>8126</v>
      </c>
      <c r="M22" s="212">
        <f t="shared" si="18"/>
        <v>8723</v>
      </c>
      <c r="N22" s="212">
        <f t="shared" si="18"/>
        <v>9153</v>
      </c>
      <c r="O22" s="359">
        <f>'2013년도 용수량 비율'!F6</f>
        <v>-0.31</v>
      </c>
      <c r="Q22" s="213">
        <f>ROUND(I22,-2)</f>
        <v>5200</v>
      </c>
      <c r="R22" s="213">
        <f>ROUND(K22,-2)</f>
        <v>7400</v>
      </c>
      <c r="S22" s="213">
        <f>ROUND(L22,-2)</f>
        <v>8100</v>
      </c>
      <c r="T22" s="213">
        <f>ROUND(M22,-2)</f>
        <v>8700</v>
      </c>
      <c r="U22" s="213">
        <f>ROUND(N22,-2)</f>
        <v>9200</v>
      </c>
    </row>
    <row r="23" spans="1:21" ht="19.7" customHeight="1">
      <c r="A23" s="674"/>
      <c r="B23" s="210" t="s">
        <v>824</v>
      </c>
      <c r="C23" s="211">
        <f>SUMPRODUCT(('[2]2.행정구역별 급수인구'!$C$7:$C$997=$B23)*('[2]2.행정구역별 급수인구'!S$7:S$997))</f>
        <v>1615</v>
      </c>
      <c r="D23" s="211">
        <f>SUMPRODUCT(('[2]2.행정구역별 급수인구'!$C$7:$C$997=$B23)*('[2]2.행정구역별 급수인구'!T$7:T$997))</f>
        <v>1617</v>
      </c>
      <c r="E23" s="211">
        <f>SUMPRODUCT(('[2]2.행정구역별 급수인구'!$C$7:$C$997=$B23)*('[2]2.행정구역별 급수인구'!U$7:U$997))</f>
        <v>1592</v>
      </c>
      <c r="F23" s="211">
        <f>SUMPRODUCT(('[2]2.행정구역별 급수인구'!$C$7:$C$997=$B23)*('[2]2.행정구역별 급수인구'!V$7:V$997))</f>
        <v>1641</v>
      </c>
      <c r="G23" s="211">
        <f>SUMPRODUCT(('[2]2.행정구역별 급수인구'!$C$7:$C$997=$B23)*('[2]2.행정구역별 급수인구'!W$7:W$997))</f>
        <v>1681</v>
      </c>
      <c r="H23" s="211">
        <f>SUMPRODUCT(('[2]2.행정구역별 급수인구'!$C$7:$C$997=$B23)*('[2]2.행정구역별 급수인구'!X$7:X$997))</f>
        <v>1711</v>
      </c>
      <c r="I23" s="213">
        <f>SUMIF('2013 행정구역 생활용수량'!$B$4:$B$484,B23,'2013 행정구역 생활용수량'!$D$4:$D$484)</f>
        <v>591</v>
      </c>
      <c r="J23" s="213">
        <f t="shared" ref="J23:N23" si="20">ROUND(D23*D$21/1000,0)</f>
        <v>616</v>
      </c>
      <c r="K23" s="213">
        <f t="shared" si="20"/>
        <v>621</v>
      </c>
      <c r="L23" s="213">
        <f t="shared" si="20"/>
        <v>684</v>
      </c>
      <c r="M23" s="213">
        <f t="shared" si="20"/>
        <v>738</v>
      </c>
      <c r="N23" s="213">
        <f t="shared" si="20"/>
        <v>777</v>
      </c>
      <c r="O23" s="359"/>
    </row>
    <row r="24" spans="1:21" ht="19.7" customHeight="1">
      <c r="A24" s="674"/>
      <c r="B24" s="210" t="s">
        <v>825</v>
      </c>
      <c r="C24" s="211">
        <f>SUMPRODUCT(('[2]2.행정구역별 급수인구'!$C$7:$C$997=$B24)*('[2]2.행정구역별 급수인구'!S$7:S$997))</f>
        <v>145</v>
      </c>
      <c r="D24" s="211">
        <f>SUMPRODUCT(('[2]2.행정구역별 급수인구'!$C$7:$C$997=$B24)*('[2]2.행정구역별 급수인구'!T$7:T$997))</f>
        <v>254</v>
      </c>
      <c r="E24" s="211">
        <f>SUMPRODUCT(('[2]2.행정구역별 급수인구'!$C$7:$C$997=$B24)*('[2]2.행정구역별 급수인구'!U$7:U$997))</f>
        <v>252</v>
      </c>
      <c r="F24" s="211">
        <f>SUMPRODUCT(('[2]2.행정구역별 급수인구'!$C$7:$C$997=$B24)*('[2]2.행정구역별 급수인구'!V$7:V$997))</f>
        <v>261</v>
      </c>
      <c r="G24" s="211">
        <f>SUMPRODUCT(('[2]2.행정구역별 급수인구'!$C$7:$C$997=$B24)*('[2]2.행정구역별 급수인구'!W$7:W$997))</f>
        <v>267</v>
      </c>
      <c r="H24" s="211">
        <f>SUMPRODUCT(('[2]2.행정구역별 급수인구'!$C$7:$C$997=$B24)*('[2]2.행정구역별 급수인구'!X$7:X$997))</f>
        <v>271</v>
      </c>
      <c r="I24" s="213">
        <f>SUMIF('2013 행정구역 생활용수량'!$B$4:$B$484,B24,'2013 행정구역 생활용수량'!$D$4:$D$484)</f>
        <v>64</v>
      </c>
      <c r="J24" s="213">
        <f t="shared" ref="J24:J35" si="21">ROUND(D24*D$21/1000,0)</f>
        <v>97</v>
      </c>
      <c r="K24" s="213">
        <f t="shared" ref="K24:K34" si="22">ROUND(E24*E$21/1000,0)</f>
        <v>98</v>
      </c>
      <c r="L24" s="213">
        <f t="shared" ref="L24:L34" si="23">ROUND(F24*F$21/1000,0)</f>
        <v>109</v>
      </c>
      <c r="M24" s="213">
        <f t="shared" ref="M24:M34" si="24">ROUND(G24*G$21/1000,0)</f>
        <v>117</v>
      </c>
      <c r="N24" s="213">
        <f t="shared" ref="N24:N34" si="25">ROUND(H24*H$21/1000,0)</f>
        <v>123</v>
      </c>
      <c r="O24" s="359"/>
    </row>
    <row r="25" spans="1:21" ht="19.7" customHeight="1">
      <c r="A25" s="674"/>
      <c r="B25" s="210" t="s">
        <v>826</v>
      </c>
      <c r="C25" s="211">
        <f>SUMPRODUCT(('[2]2.행정구역별 급수인구'!$C$7:$C$997=$B25)*('[2]2.행정구역별 급수인구'!S$7:S$997))</f>
        <v>1018</v>
      </c>
      <c r="D25" s="211">
        <f>SUMPRODUCT(('[2]2.행정구역별 급수인구'!$C$7:$C$997=$B25)*('[2]2.행정구역별 급수인구'!T$7:T$997))</f>
        <v>1018</v>
      </c>
      <c r="E25" s="211">
        <f>SUMPRODUCT(('[2]2.행정구역별 급수인구'!$C$7:$C$997=$B25)*('[2]2.행정구역별 급수인구'!U$7:U$997))</f>
        <v>1004</v>
      </c>
      <c r="F25" s="211">
        <f>SUMPRODUCT(('[2]2.행정구역별 급수인구'!$C$7:$C$997=$B25)*('[2]2.행정구역별 급수인구'!V$7:V$997))</f>
        <v>1035</v>
      </c>
      <c r="G25" s="211">
        <f>SUMPRODUCT(('[2]2.행정구역별 급수인구'!$C$7:$C$997=$B25)*('[2]2.행정구역별 급수인구'!W$7:W$997))</f>
        <v>1060</v>
      </c>
      <c r="H25" s="211">
        <f>SUMPRODUCT(('[2]2.행정구역별 급수인구'!$C$7:$C$997=$B25)*('[2]2.행정구역별 급수인구'!X$7:X$997))</f>
        <v>1079</v>
      </c>
      <c r="I25" s="213">
        <f>SUMIF('2013 행정구역 생활용수량'!$B$4:$B$484,B25,'2013 행정구역 생활용수량'!$D$4:$D$484)</f>
        <v>452</v>
      </c>
      <c r="J25" s="213">
        <f t="shared" si="21"/>
        <v>388</v>
      </c>
      <c r="K25" s="213">
        <f t="shared" si="22"/>
        <v>392</v>
      </c>
      <c r="L25" s="213">
        <f t="shared" si="23"/>
        <v>432</v>
      </c>
      <c r="M25" s="213">
        <f t="shared" si="24"/>
        <v>465</v>
      </c>
      <c r="N25" s="213">
        <f t="shared" si="25"/>
        <v>490</v>
      </c>
      <c r="O25" s="359"/>
    </row>
    <row r="26" spans="1:21" ht="19.7" customHeight="1">
      <c r="A26" s="674"/>
      <c r="B26" s="210" t="s">
        <v>827</v>
      </c>
      <c r="C26" s="211">
        <f>SUMPRODUCT(('[2]2.행정구역별 급수인구'!$C$7:$C$997=$B26)*('[2]2.행정구역별 급수인구'!S$7:S$997))</f>
        <v>3151</v>
      </c>
      <c r="D26" s="211">
        <f>SUMPRODUCT(('[2]2.행정구역별 급수인구'!$C$7:$C$997=$B26)*('[2]2.행정구역별 급수인구'!T$7:T$997))</f>
        <v>3155</v>
      </c>
      <c r="E26" s="211">
        <f>SUMPRODUCT(('[2]2.행정구역별 급수인구'!$C$7:$C$997=$B26)*('[2]2.행정구역별 급수인구'!U$7:U$997))</f>
        <v>6740</v>
      </c>
      <c r="F26" s="211">
        <f>SUMPRODUCT(('[2]2.행정구역별 급수인구'!$C$7:$C$997=$B26)*('[2]2.행정구역별 급수인구'!V$7:V$997))</f>
        <v>6985</v>
      </c>
      <c r="G26" s="211">
        <f>SUMPRODUCT(('[2]2.행정구역별 급수인구'!$C$7:$C$997=$B26)*('[2]2.행정구역별 급수인구'!W$7:W$997))</f>
        <v>7068</v>
      </c>
      <c r="H26" s="211">
        <f>SUMPRODUCT(('[2]2.행정구역별 급수인구'!$C$7:$C$997=$B26)*('[2]2.행정구역별 급수인구'!X$7:X$997))</f>
        <v>7135</v>
      </c>
      <c r="I26" s="213">
        <f>SUMIF('2013 행정구역 생활용수량'!$B$4:$B$484,B26,'2013 행정구역 생활용수량'!$D$4:$D$484)</f>
        <v>1569</v>
      </c>
      <c r="J26" s="213">
        <f t="shared" si="21"/>
        <v>1202</v>
      </c>
      <c r="K26" s="213">
        <f t="shared" si="22"/>
        <v>2629</v>
      </c>
      <c r="L26" s="213">
        <f t="shared" si="23"/>
        <v>2913</v>
      </c>
      <c r="M26" s="213">
        <f t="shared" si="24"/>
        <v>3103</v>
      </c>
      <c r="N26" s="213">
        <f t="shared" si="25"/>
        <v>3239</v>
      </c>
      <c r="O26" s="359"/>
    </row>
    <row r="27" spans="1:21" ht="19.7" customHeight="1">
      <c r="A27" s="674"/>
      <c r="B27" s="210" t="s">
        <v>828</v>
      </c>
      <c r="C27" s="211">
        <f>SUMPRODUCT(('[2]2.행정구역별 급수인구'!$C$7:$C$997=$B27)*('[2]2.행정구역별 급수인구'!S$7:S$997))</f>
        <v>43</v>
      </c>
      <c r="D27" s="211">
        <f>SUMPRODUCT(('[2]2.행정구역별 급수인구'!$C$7:$C$997=$B27)*('[2]2.행정구역별 급수인구'!T$7:T$997))</f>
        <v>43</v>
      </c>
      <c r="E27" s="211">
        <f>SUMPRODUCT(('[2]2.행정구역별 급수인구'!$C$7:$C$997=$B27)*('[2]2.행정구역별 급수인구'!U$7:U$997))</f>
        <v>244</v>
      </c>
      <c r="F27" s="211">
        <f>SUMPRODUCT(('[2]2.행정구역별 급수인구'!$C$7:$C$997=$B27)*('[2]2.행정구역별 급수인구'!V$7:V$997))</f>
        <v>252</v>
      </c>
      <c r="G27" s="211">
        <f>SUMPRODUCT(('[2]2.행정구역별 급수인구'!$C$7:$C$997=$B27)*('[2]2.행정구역별 급수인구'!W$7:W$997))</f>
        <v>259</v>
      </c>
      <c r="H27" s="211">
        <f>SUMPRODUCT(('[2]2.행정구역별 급수인구'!$C$7:$C$997=$B27)*('[2]2.행정구역별 급수인구'!X$7:X$997))</f>
        <v>263</v>
      </c>
      <c r="I27" s="213">
        <f>SUMIF('2013 행정구역 생활용수량'!$B$4:$B$484,B27,'2013 행정구역 생활용수량'!$D$4:$D$484)</f>
        <v>9</v>
      </c>
      <c r="J27" s="213">
        <f t="shared" si="21"/>
        <v>16</v>
      </c>
      <c r="K27" s="213">
        <f t="shared" si="22"/>
        <v>95</v>
      </c>
      <c r="L27" s="213">
        <f t="shared" si="23"/>
        <v>105</v>
      </c>
      <c r="M27" s="213">
        <f t="shared" si="24"/>
        <v>114</v>
      </c>
      <c r="N27" s="213">
        <f t="shared" si="25"/>
        <v>119</v>
      </c>
      <c r="O27" s="359"/>
    </row>
    <row r="28" spans="1:21" ht="19.7" customHeight="1">
      <c r="A28" s="674"/>
      <c r="B28" s="210" t="s">
        <v>829</v>
      </c>
      <c r="C28" s="211">
        <f>SUMPRODUCT(('[2]2.행정구역별 급수인구'!$C$7:$C$997=$B28)*('[2]2.행정구역별 급수인구'!S$7:S$997))</f>
        <v>264</v>
      </c>
      <c r="D28" s="211">
        <f>SUMPRODUCT(('[2]2.행정구역별 급수인구'!$C$7:$C$997=$B28)*('[2]2.행정구역별 급수인구'!T$7:T$997))</f>
        <v>264</v>
      </c>
      <c r="E28" s="211">
        <f>SUMPRODUCT(('[2]2.행정구역별 급수인구'!$C$7:$C$997=$B28)*('[2]2.행정구역별 급수인구'!U$7:U$997))</f>
        <v>295</v>
      </c>
      <c r="F28" s="211">
        <f>SUMPRODUCT(('[2]2.행정구역별 급수인구'!$C$7:$C$997=$B28)*('[2]2.행정구역별 급수인구'!V$7:V$997))</f>
        <v>305</v>
      </c>
      <c r="G28" s="211">
        <f>SUMPRODUCT(('[2]2.행정구역별 급수인구'!$C$7:$C$997=$B28)*('[2]2.행정구역별 급수인구'!W$7:W$997))</f>
        <v>313</v>
      </c>
      <c r="H28" s="211">
        <f>SUMPRODUCT(('[2]2.행정구역별 급수인구'!$C$7:$C$997=$B28)*('[2]2.행정구역별 급수인구'!X$7:X$997))</f>
        <v>319</v>
      </c>
      <c r="I28" s="213">
        <f>SUMIF('2013 행정구역 생활용수량'!$B$4:$B$484,B28,'2013 행정구역 생활용수량'!$D$4:$D$484)</f>
        <v>35</v>
      </c>
      <c r="J28" s="213">
        <f t="shared" si="21"/>
        <v>101</v>
      </c>
      <c r="K28" s="213">
        <f t="shared" si="22"/>
        <v>115</v>
      </c>
      <c r="L28" s="213">
        <f t="shared" si="23"/>
        <v>127</v>
      </c>
      <c r="M28" s="213">
        <f t="shared" si="24"/>
        <v>137</v>
      </c>
      <c r="N28" s="213">
        <f t="shared" si="25"/>
        <v>145</v>
      </c>
      <c r="O28" s="359"/>
    </row>
    <row r="29" spans="1:21" ht="19.7" customHeight="1">
      <c r="A29" s="674"/>
      <c r="B29" s="210" t="s">
        <v>830</v>
      </c>
      <c r="C29" s="211">
        <f>SUMPRODUCT(('[2]2.행정구역별 급수인구'!$C$7:$C$997=$B29)*('[2]2.행정구역별 급수인구'!S$7:S$997))</f>
        <v>103</v>
      </c>
      <c r="D29" s="211">
        <f>SUMPRODUCT(('[2]2.행정구역별 급수인구'!$C$7:$C$997=$B29)*('[2]2.행정구역별 급수인구'!T$7:T$997))</f>
        <v>103</v>
      </c>
      <c r="E29" s="211">
        <f>SUMPRODUCT(('[2]2.행정구역별 급수인구'!$C$7:$C$997=$B29)*('[2]2.행정구역별 급수인구'!U$7:U$997))</f>
        <v>335</v>
      </c>
      <c r="F29" s="211">
        <f>SUMPRODUCT(('[2]2.행정구역별 급수인구'!$C$7:$C$997=$B29)*('[2]2.행정구역별 급수인구'!V$7:V$997))</f>
        <v>347</v>
      </c>
      <c r="G29" s="211">
        <f>SUMPRODUCT(('[2]2.행정구역별 급수인구'!$C$7:$C$997=$B29)*('[2]2.행정구역별 급수인구'!W$7:W$997))</f>
        <v>355</v>
      </c>
      <c r="H29" s="211">
        <f>SUMPRODUCT(('[2]2.행정구역별 급수인구'!$C$7:$C$997=$B29)*('[2]2.행정구역별 급수인구'!X$7:X$997))</f>
        <v>362</v>
      </c>
      <c r="I29" s="213">
        <f>SUMIF('2013 행정구역 생활용수량'!$B$4:$B$484,B29,'2013 행정구역 생활용수량'!$D$4:$D$484)</f>
        <v>69</v>
      </c>
      <c r="J29" s="213">
        <f t="shared" si="21"/>
        <v>39</v>
      </c>
      <c r="K29" s="213">
        <f t="shared" si="22"/>
        <v>131</v>
      </c>
      <c r="L29" s="213">
        <f t="shared" si="23"/>
        <v>145</v>
      </c>
      <c r="M29" s="213">
        <f t="shared" si="24"/>
        <v>156</v>
      </c>
      <c r="N29" s="213">
        <f t="shared" si="25"/>
        <v>164</v>
      </c>
      <c r="O29" s="359"/>
    </row>
    <row r="30" spans="1:21" ht="19.7" customHeight="1">
      <c r="A30" s="674"/>
      <c r="B30" s="210" t="s">
        <v>831</v>
      </c>
      <c r="C30" s="211">
        <f>SUMPRODUCT(('[2]2.행정구역별 급수인구'!$C$7:$C$997=$B30)*('[2]2.행정구역별 급수인구'!S$7:S$997))</f>
        <v>474</v>
      </c>
      <c r="D30" s="211">
        <f>SUMPRODUCT(('[2]2.행정구역별 급수인구'!$C$7:$C$997=$B30)*('[2]2.행정구역별 급수인구'!T$7:T$997))</f>
        <v>474</v>
      </c>
      <c r="E30" s="211">
        <f>SUMPRODUCT(('[2]2.행정구역별 급수인구'!$C$7:$C$997=$B30)*('[2]2.행정구역별 급수인구'!U$7:U$997))</f>
        <v>751</v>
      </c>
      <c r="F30" s="211">
        <f>SUMPRODUCT(('[2]2.행정구역별 급수인구'!$C$7:$C$997=$B30)*('[2]2.행정구역별 급수인구'!V$7:V$997))</f>
        <v>773</v>
      </c>
      <c r="G30" s="211">
        <f>SUMPRODUCT(('[2]2.행정구역별 급수인구'!$C$7:$C$997=$B30)*('[2]2.행정구역별 급수인구'!W$7:W$997))</f>
        <v>792</v>
      </c>
      <c r="H30" s="211">
        <f>SUMPRODUCT(('[2]2.행정구역별 급수인구'!$C$7:$C$997=$B30)*('[2]2.행정구역별 급수인구'!X$7:X$997))</f>
        <v>807</v>
      </c>
      <c r="I30" s="213">
        <f>SUMIF('2013 행정구역 생활용수량'!$B$4:$B$484,B30,'2013 행정구역 생활용수량'!$D$4:$D$484)</f>
        <v>145</v>
      </c>
      <c r="J30" s="213">
        <f t="shared" si="21"/>
        <v>181</v>
      </c>
      <c r="K30" s="213">
        <f t="shared" si="22"/>
        <v>293</v>
      </c>
      <c r="L30" s="213">
        <f t="shared" si="23"/>
        <v>322</v>
      </c>
      <c r="M30" s="213">
        <f t="shared" si="24"/>
        <v>348</v>
      </c>
      <c r="N30" s="213">
        <f t="shared" si="25"/>
        <v>366</v>
      </c>
      <c r="O30" s="359"/>
    </row>
    <row r="31" spans="1:21" ht="19.7" customHeight="1">
      <c r="A31" s="674"/>
      <c r="B31" s="210" t="s">
        <v>832</v>
      </c>
      <c r="C31" s="211">
        <f>SUMPRODUCT(('[2]2.행정구역별 급수인구'!$C$7:$C$997=$B31)*('[2]2.행정구역별 급수인구'!S$7:S$997))</f>
        <v>525</v>
      </c>
      <c r="D31" s="211">
        <f>SUMPRODUCT(('[2]2.행정구역별 급수인구'!$C$7:$C$997=$B31)*('[2]2.행정구역별 급수인구'!T$7:T$997))</f>
        <v>525</v>
      </c>
      <c r="E31" s="211">
        <f>SUMPRODUCT(('[2]2.행정구역별 급수인구'!$C$7:$C$997=$B31)*('[2]2.행정구역별 급수인구'!U$7:U$997))</f>
        <v>602</v>
      </c>
      <c r="F31" s="211">
        <f>SUMPRODUCT(('[2]2.행정구역별 급수인구'!$C$7:$C$997=$B31)*('[2]2.행정구역별 급수인구'!V$7:V$997))</f>
        <v>624</v>
      </c>
      <c r="G31" s="211">
        <f>SUMPRODUCT(('[2]2.행정구역별 급수인구'!$C$7:$C$997=$B31)*('[2]2.행정구역별 급수인구'!W$7:W$997))</f>
        <v>638</v>
      </c>
      <c r="H31" s="211">
        <f>SUMPRODUCT(('[2]2.행정구역별 급수인구'!$C$7:$C$997=$B31)*('[2]2.행정구역별 급수인구'!X$7:X$997))</f>
        <v>648</v>
      </c>
      <c r="I31" s="213">
        <f>SUMIF('2013 행정구역 생활용수량'!$B$4:$B$484,B31,'2013 행정구역 생활용수량'!$D$4:$D$484)</f>
        <v>115</v>
      </c>
      <c r="J31" s="213">
        <f t="shared" si="21"/>
        <v>200</v>
      </c>
      <c r="K31" s="213">
        <f t="shared" si="22"/>
        <v>235</v>
      </c>
      <c r="L31" s="213">
        <f t="shared" si="23"/>
        <v>260</v>
      </c>
      <c r="M31" s="213">
        <f t="shared" si="24"/>
        <v>280</v>
      </c>
      <c r="N31" s="213">
        <f t="shared" si="25"/>
        <v>294</v>
      </c>
      <c r="O31" s="359"/>
    </row>
    <row r="32" spans="1:21" ht="19.7" customHeight="1">
      <c r="A32" s="674"/>
      <c r="B32" s="210" t="s">
        <v>833</v>
      </c>
      <c r="C32" s="211">
        <f>SUMPRODUCT(('[2]2.행정구역별 급수인구'!$C$7:$C$997=$B32)*('[2]2.행정구역별 급수인구'!S$7:S$997))</f>
        <v>540</v>
      </c>
      <c r="D32" s="211">
        <f>SUMPRODUCT(('[2]2.행정구역별 급수인구'!$C$7:$C$997=$B32)*('[2]2.행정구역별 급수인구'!T$7:T$997))</f>
        <v>541</v>
      </c>
      <c r="E32" s="211">
        <f>SUMPRODUCT(('[2]2.행정구역별 급수인구'!$C$7:$C$997=$B32)*('[2]2.행정구역별 급수인구'!U$7:U$997))</f>
        <v>695</v>
      </c>
      <c r="F32" s="211">
        <f>SUMPRODUCT(('[2]2.행정구역별 급수인구'!$C$7:$C$997=$B32)*('[2]2.행정구역별 급수인구'!V$7:V$997))</f>
        <v>708</v>
      </c>
      <c r="G32" s="211">
        <f>SUMPRODUCT(('[2]2.행정구역별 급수인구'!$C$7:$C$997=$B32)*('[2]2.행정구역별 급수인구'!W$7:W$997))</f>
        <v>725</v>
      </c>
      <c r="H32" s="211">
        <f>SUMPRODUCT(('[2]2.행정구역별 급수인구'!$C$7:$C$997=$B32)*('[2]2.행정구역별 급수인구'!X$7:X$997))</f>
        <v>738</v>
      </c>
      <c r="I32" s="213">
        <f>SUMIF('2013 행정구역 생활용수량'!$B$4:$B$484,B32,'2013 행정구역 생활용수량'!$D$4:$D$484)</f>
        <v>117</v>
      </c>
      <c r="J32" s="213">
        <f t="shared" si="21"/>
        <v>206</v>
      </c>
      <c r="K32" s="213">
        <f t="shared" si="22"/>
        <v>271</v>
      </c>
      <c r="L32" s="213">
        <f t="shared" si="23"/>
        <v>295</v>
      </c>
      <c r="M32" s="213">
        <f t="shared" si="24"/>
        <v>318</v>
      </c>
      <c r="N32" s="213">
        <f t="shared" si="25"/>
        <v>335</v>
      </c>
      <c r="O32" s="359"/>
    </row>
    <row r="33" spans="1:21" ht="19.7" customHeight="1">
      <c r="A33" s="674"/>
      <c r="B33" s="210" t="s">
        <v>834</v>
      </c>
      <c r="C33" s="211">
        <f>SUMPRODUCT(('[2]2.행정구역별 급수인구'!$C$7:$C$997=$B33)*('[2]2.행정구역별 급수인구'!S$7:S$997))</f>
        <v>5196</v>
      </c>
      <c r="D33" s="211">
        <f>SUMPRODUCT(('[2]2.행정구역별 급수인구'!$C$7:$C$997=$B33)*('[2]2.행정구역별 급수인구'!T$7:T$997))</f>
        <v>5375</v>
      </c>
      <c r="E33" s="211">
        <f>SUMPRODUCT(('[2]2.행정구역별 급수인구'!$C$7:$C$997=$B33)*('[2]2.행정구역별 급수인구'!U$7:U$997))</f>
        <v>5384</v>
      </c>
      <c r="F33" s="211">
        <f>SUMPRODUCT(('[2]2.행정구역별 급수인구'!$C$7:$C$997=$B33)*('[2]2.행정구역별 급수인구'!V$7:V$997))</f>
        <v>5480</v>
      </c>
      <c r="G33" s="211">
        <f>SUMPRODUCT(('[2]2.행정구역별 급수인구'!$C$7:$C$997=$B33)*('[2]2.행정구역별 급수인구'!W$7:W$997))</f>
        <v>5606</v>
      </c>
      <c r="H33" s="211">
        <f>SUMPRODUCT(('[2]2.행정구역별 급수인구'!$C$7:$C$997=$B33)*('[2]2.행정구역별 급수인구'!X$7:X$997))</f>
        <v>5704</v>
      </c>
      <c r="I33" s="213">
        <f>SUMIF('2013 행정구역 생활용수량'!$B$4:$B$484,B33,'2013 행정구역 생활용수량'!$D$4:$D$484)</f>
        <v>1862</v>
      </c>
      <c r="J33" s="213">
        <f t="shared" si="21"/>
        <v>2048</v>
      </c>
      <c r="K33" s="213">
        <f t="shared" si="22"/>
        <v>2100</v>
      </c>
      <c r="L33" s="213">
        <f t="shared" si="23"/>
        <v>2285</v>
      </c>
      <c r="M33" s="213">
        <f t="shared" si="24"/>
        <v>2461</v>
      </c>
      <c r="N33" s="213">
        <f t="shared" si="25"/>
        <v>2590</v>
      </c>
      <c r="O33" s="359"/>
    </row>
    <row r="34" spans="1:21" ht="19.7" customHeight="1">
      <c r="A34" s="674"/>
      <c r="B34" s="210" t="s">
        <v>801</v>
      </c>
      <c r="C34" s="211">
        <f>SUMPRODUCT(('[2]2.행정구역별 급수인구'!$C$7:$C$997=$B34)*('[2]2.행정구역별 급수인구'!S$7:S$997))</f>
        <v>365</v>
      </c>
      <c r="D34" s="211">
        <f>SUMPRODUCT(('[2]2.행정구역별 급수인구'!$C$7:$C$997=$B34)*('[2]2.행정구역별 급수인구'!T$7:T$997))</f>
        <v>365</v>
      </c>
      <c r="E34" s="211">
        <f>SUMPRODUCT(('[2]2.행정구역별 급수인구'!$C$7:$C$997=$B34)*('[2]2.행정구역별 급수인구'!U$7:U$997))</f>
        <v>359</v>
      </c>
      <c r="F34" s="211">
        <f>SUMPRODUCT(('[2]2.행정구역별 급수인구'!$C$7:$C$997=$B34)*('[2]2.행정구역별 급수인구'!V$7:V$997))</f>
        <v>370</v>
      </c>
      <c r="G34" s="211">
        <f>SUMPRODUCT(('[2]2.행정구역별 급수인구'!$C$7:$C$997=$B34)*('[2]2.행정구역별 급수인구'!W$7:W$997))</f>
        <v>380</v>
      </c>
      <c r="H34" s="211">
        <f>SUMPRODUCT(('[2]2.행정구역별 급수인구'!$C$7:$C$997=$B34)*('[2]2.행정구역별 급수인구'!X$7:X$997))</f>
        <v>387</v>
      </c>
      <c r="I34" s="213">
        <f>SUMIF('2013 행정구역 생활용수량'!$B$4:$B$484,B34,'2013 행정구역 생활용수량'!$D$4:$D$484)</f>
        <v>75</v>
      </c>
      <c r="J34" s="213">
        <f t="shared" si="21"/>
        <v>139</v>
      </c>
      <c r="K34" s="213">
        <f t="shared" si="22"/>
        <v>140</v>
      </c>
      <c r="L34" s="213">
        <f t="shared" si="23"/>
        <v>154</v>
      </c>
      <c r="M34" s="213">
        <f t="shared" si="24"/>
        <v>167</v>
      </c>
      <c r="N34" s="213">
        <f t="shared" si="25"/>
        <v>176</v>
      </c>
      <c r="O34" s="359"/>
    </row>
    <row r="35" spans="1:21" ht="19.7" customHeight="1">
      <c r="A35" s="675"/>
      <c r="B35" s="210" t="s">
        <v>835</v>
      </c>
      <c r="C35" s="211">
        <f>SUMPRODUCT(('[2]2.행정구역별 급수인구'!$C$7:$C$997=$B35)*('[2]2.행정구역별 급수인구'!S$7:S$997))</f>
        <v>509</v>
      </c>
      <c r="D35" s="211">
        <f>SUMPRODUCT(('[2]2.행정구역별 급수인구'!$C$7:$C$997=$B35)*('[2]2.행정구역별 급수인구'!T$7:T$997))</f>
        <v>509</v>
      </c>
      <c r="E35" s="211">
        <f>SUMPRODUCT(('[2]2.행정구역별 급수인구'!$C$7:$C$997=$B35)*('[2]2.행정구역별 급수인구'!U$7:U$997))</f>
        <v>687</v>
      </c>
      <c r="F35" s="211">
        <f>SUMPRODUCT(('[2]2.행정구역별 급수인구'!$C$7:$C$997=$B35)*('[2]2.행정구역별 급수인구'!V$7:V$997))</f>
        <v>709</v>
      </c>
      <c r="G35" s="211">
        <f>SUMPRODUCT(('[2]2.행정구역별 급수인구'!$C$7:$C$997=$B35)*('[2]2.행정구역별 급수인구'!W$7:W$997))</f>
        <v>726</v>
      </c>
      <c r="H35" s="211">
        <f>SUMPRODUCT(('[2]2.행정구역별 급수인구'!$C$7:$C$997=$B35)*('[2]2.행정구역별 급수인구'!X$7:X$997))</f>
        <v>739</v>
      </c>
      <c r="I35" s="213">
        <f>SUMIF('2013 행정구역 생활용수량'!$B$4:$B$484,B35,'2013 행정구역 생활용수량'!$D$4:$D$484)</f>
        <v>96</v>
      </c>
      <c r="J35" s="213">
        <f t="shared" si="21"/>
        <v>194</v>
      </c>
      <c r="K35" s="213">
        <f>'2.생활용수(급수구역)'!J74-SUM(K23:K34)</f>
        <v>270</v>
      </c>
      <c r="L35" s="213">
        <f>'2.생활용수(급수구역)'!K74-SUM(L23:L34)</f>
        <v>295</v>
      </c>
      <c r="M35" s="213">
        <f>'2.생활용수(급수구역)'!L74-SUM(M23:M34)</f>
        <v>319</v>
      </c>
      <c r="N35" s="213">
        <f>'2.생활용수(급수구역)'!M74-SUM(N23:N34)</f>
        <v>335</v>
      </c>
      <c r="O35" s="359"/>
    </row>
    <row r="36" spans="1:21" ht="19.7" customHeight="1">
      <c r="A36" s="673" t="s">
        <v>836</v>
      </c>
      <c r="B36" s="215" t="s">
        <v>837</v>
      </c>
      <c r="C36" s="211">
        <f>'[3]5.급수원단위'!C$34</f>
        <v>272</v>
      </c>
      <c r="D36" s="211">
        <f>'[3]5.급수원단위'!$D$41</f>
        <v>304</v>
      </c>
      <c r="E36" s="211">
        <f>'[3]5.급수원단위'!D$34</f>
        <v>304</v>
      </c>
      <c r="F36" s="211">
        <f>'[3]5.급수원단위'!E$34</f>
        <v>308</v>
      </c>
      <c r="G36" s="211">
        <f>'[3]5.급수원단위'!F$34</f>
        <v>310</v>
      </c>
      <c r="H36" s="211">
        <f>'[3]5.급수원단위'!G$34</f>
        <v>310</v>
      </c>
      <c r="I36" s="680"/>
      <c r="J36" s="681"/>
      <c r="K36" s="681"/>
      <c r="L36" s="681"/>
      <c r="M36" s="681"/>
      <c r="N36" s="682"/>
      <c r="O36" s="359"/>
      <c r="Q36" s="511">
        <v>2013</v>
      </c>
      <c r="R36" s="511">
        <v>2015</v>
      </c>
      <c r="S36" s="511">
        <v>2020</v>
      </c>
      <c r="T36" s="511">
        <v>2025</v>
      </c>
      <c r="U36" s="511">
        <v>2030</v>
      </c>
    </row>
    <row r="37" spans="1:21" ht="19.7" customHeight="1">
      <c r="A37" s="674"/>
      <c r="B37" s="214" t="s">
        <v>778</v>
      </c>
      <c r="C37" s="212">
        <f>SUM(C38:C48)</f>
        <v>3680</v>
      </c>
      <c r="D37" s="212">
        <f t="shared" ref="D37:H37" si="26">SUM(D38:D48)</f>
        <v>4111</v>
      </c>
      <c r="E37" s="212">
        <f t="shared" si="26"/>
        <v>4509</v>
      </c>
      <c r="F37" s="212">
        <f t="shared" si="26"/>
        <v>4726</v>
      </c>
      <c r="G37" s="212">
        <f t="shared" si="26"/>
        <v>4838</v>
      </c>
      <c r="H37" s="212">
        <f t="shared" si="26"/>
        <v>4925</v>
      </c>
      <c r="I37" s="212">
        <f t="shared" ref="I37:N37" si="27">SUM(I38:I48)</f>
        <v>1248</v>
      </c>
      <c r="J37" s="212">
        <f t="shared" ref="J37" si="28">SUM(J38:J48)</f>
        <v>1250</v>
      </c>
      <c r="K37" s="212">
        <f t="shared" si="27"/>
        <v>1370</v>
      </c>
      <c r="L37" s="212">
        <f t="shared" si="27"/>
        <v>1454</v>
      </c>
      <c r="M37" s="212">
        <f t="shared" si="27"/>
        <v>1502</v>
      </c>
      <c r="N37" s="212">
        <f t="shared" si="27"/>
        <v>1528</v>
      </c>
      <c r="O37" s="359">
        <f>'2013년도 용수량 비율'!F7</f>
        <v>7.03</v>
      </c>
      <c r="Q37" s="213">
        <f>ROUND(I37,-2)</f>
        <v>1200</v>
      </c>
      <c r="R37" s="213">
        <f>ROUND(K37,-2)</f>
        <v>1400</v>
      </c>
      <c r="S37" s="213">
        <f>ROUND(L37,-2)</f>
        <v>1500</v>
      </c>
      <c r="T37" s="213">
        <f>ROUND(M37,-2)</f>
        <v>1500</v>
      </c>
      <c r="U37" s="213">
        <f>ROUND(N37,-2)</f>
        <v>1500</v>
      </c>
    </row>
    <row r="38" spans="1:21" ht="19.7" customHeight="1">
      <c r="A38" s="674"/>
      <c r="B38" s="210" t="s">
        <v>838</v>
      </c>
      <c r="C38" s="211">
        <f>SUMPRODUCT(('[2]2.행정구역별 급수인구'!$C$7:$C$997=$B38)*('[2]2.행정구역별 급수인구'!S$7:S$997))</f>
        <v>290</v>
      </c>
      <c r="D38" s="211">
        <f>SUMPRODUCT(('[2]2.행정구역별 급수인구'!$C$7:$C$997=$B38)*('[2]2.행정구역별 급수인구'!T$7:T$997))</f>
        <v>290</v>
      </c>
      <c r="E38" s="211">
        <f>SUMPRODUCT(('[2]2.행정구역별 급수인구'!$C$7:$C$997=$B38)*('[2]2.행정구역별 급수인구'!U$7:U$997))</f>
        <v>322</v>
      </c>
      <c r="F38" s="211">
        <f>SUMPRODUCT(('[2]2.행정구역별 급수인구'!$C$7:$C$997=$B38)*('[2]2.행정구역별 급수인구'!V$7:V$997))</f>
        <v>336</v>
      </c>
      <c r="G38" s="211">
        <f>SUMPRODUCT(('[2]2.행정구역별 급수인구'!$C$7:$C$997=$B38)*('[2]2.행정구역별 급수인구'!W$7:W$997))</f>
        <v>345</v>
      </c>
      <c r="H38" s="211">
        <f>SUMPRODUCT(('[2]2.행정구역별 급수인구'!$C$7:$C$997=$B38)*('[2]2.행정구역별 급수인구'!X$7:X$997))</f>
        <v>351</v>
      </c>
      <c r="I38" s="213">
        <f>SUMIF('2013 행정구역 생활용수량'!$B$4:$B$484,B38,'2013 행정구역 생활용수량'!$D$4:$D$484)</f>
        <v>84</v>
      </c>
      <c r="J38" s="213">
        <f t="shared" ref="J38:N38" si="29">ROUND(D38*D$36/1000,0)</f>
        <v>88</v>
      </c>
      <c r="K38" s="213">
        <f t="shared" si="29"/>
        <v>98</v>
      </c>
      <c r="L38" s="213">
        <f t="shared" si="29"/>
        <v>103</v>
      </c>
      <c r="M38" s="213">
        <f t="shared" si="29"/>
        <v>107</v>
      </c>
      <c r="N38" s="213">
        <f t="shared" si="29"/>
        <v>109</v>
      </c>
      <c r="O38" s="359"/>
    </row>
    <row r="39" spans="1:21" ht="19.7" customHeight="1">
      <c r="A39" s="674"/>
      <c r="B39" s="210" t="s">
        <v>839</v>
      </c>
      <c r="C39" s="211">
        <f>SUMPRODUCT(('[2]2.행정구역별 급수인구'!$C$7:$C$997=$B39)*('[2]2.행정구역별 급수인구'!S$7:S$997))</f>
        <v>118</v>
      </c>
      <c r="D39" s="211">
        <f>SUMPRODUCT(('[2]2.행정구역별 급수인구'!$C$7:$C$997=$B39)*('[2]2.행정구역별 급수인구'!T$7:T$997))</f>
        <v>389</v>
      </c>
      <c r="E39" s="211">
        <f>SUMPRODUCT(('[2]2.행정구역별 급수인구'!$C$7:$C$997=$B39)*('[2]2.행정구역별 급수인구'!U$7:U$997))</f>
        <v>394</v>
      </c>
      <c r="F39" s="211">
        <f>SUMPRODUCT(('[2]2.행정구역별 급수인구'!$C$7:$C$997=$B39)*('[2]2.행정구역별 급수인구'!V$7:V$997))</f>
        <v>413</v>
      </c>
      <c r="G39" s="211">
        <f>SUMPRODUCT(('[2]2.행정구역별 급수인구'!$C$7:$C$997=$B39)*('[2]2.행정구역별 급수인구'!W$7:W$997))</f>
        <v>422</v>
      </c>
      <c r="H39" s="211">
        <f>SUMPRODUCT(('[2]2.행정구역별 급수인구'!$C$7:$C$997=$B39)*('[2]2.행정구역별 급수인구'!X$7:X$997))</f>
        <v>431</v>
      </c>
      <c r="I39" s="213">
        <f>SUMIF('2013 행정구역 생활용수량'!$B$4:$B$484,B39,'2013 행정구역 생활용수량'!$D$4:$D$484)</f>
        <v>48</v>
      </c>
      <c r="J39" s="213">
        <f t="shared" ref="J39:J48" si="30">ROUND(D39*D$36/1000,0)</f>
        <v>118</v>
      </c>
      <c r="K39" s="213">
        <f t="shared" ref="K39:K47" si="31">ROUND(E39*E$36/1000,0)</f>
        <v>120</v>
      </c>
      <c r="L39" s="213">
        <f t="shared" ref="L39:L47" si="32">ROUND(F39*F$36/1000,0)</f>
        <v>127</v>
      </c>
      <c r="M39" s="213">
        <f t="shared" ref="M39:M47" si="33">ROUND(G39*G$36/1000,0)</f>
        <v>131</v>
      </c>
      <c r="N39" s="213">
        <f t="shared" ref="N39:N47" si="34">ROUND(H39*H$36/1000,0)</f>
        <v>134</v>
      </c>
      <c r="O39" s="359"/>
    </row>
    <row r="40" spans="1:21" ht="19.7" customHeight="1">
      <c r="A40" s="674"/>
      <c r="B40" s="210" t="s">
        <v>840</v>
      </c>
      <c r="C40" s="211">
        <f>SUMPRODUCT(('[2]2.행정구역별 급수인구'!$C$7:$C$997=$B40)*('[2]2.행정구역별 급수인구'!S$7:S$997))</f>
        <v>44</v>
      </c>
      <c r="D40" s="211">
        <f>SUMPRODUCT(('[2]2.행정구역별 급수인구'!$C$7:$C$997=$B40)*('[2]2.행정구역별 급수인구'!T$7:T$997))</f>
        <v>44</v>
      </c>
      <c r="E40" s="211">
        <f>SUMPRODUCT(('[2]2.행정구역별 급수인구'!$C$7:$C$997=$B40)*('[2]2.행정구역별 급수인구'!U$7:U$997))</f>
        <v>251</v>
      </c>
      <c r="F40" s="211">
        <f>SUMPRODUCT(('[2]2.행정구역별 급수인구'!$C$7:$C$997=$B40)*('[2]2.행정구역별 급수인구'!V$7:V$997))</f>
        <v>264</v>
      </c>
      <c r="G40" s="211">
        <f>SUMPRODUCT(('[2]2.행정구역별 급수인구'!$C$7:$C$997=$B40)*('[2]2.행정구역별 급수인구'!W$7:W$997))</f>
        <v>270</v>
      </c>
      <c r="H40" s="211">
        <f>SUMPRODUCT(('[2]2.행정구역별 급수인구'!$C$7:$C$997=$B40)*('[2]2.행정구역별 급수인구'!X$7:X$997))</f>
        <v>274</v>
      </c>
      <c r="I40" s="213">
        <f>SUMIF('2013 행정구역 생활용수량'!$B$4:$B$484,B40,'2013 행정구역 생활용수량'!$D$4:$D$484)</f>
        <v>20</v>
      </c>
      <c r="J40" s="213">
        <f t="shared" si="30"/>
        <v>13</v>
      </c>
      <c r="K40" s="213">
        <f t="shared" si="31"/>
        <v>76</v>
      </c>
      <c r="L40" s="213">
        <f t="shared" si="32"/>
        <v>81</v>
      </c>
      <c r="M40" s="213">
        <f t="shared" si="33"/>
        <v>84</v>
      </c>
      <c r="N40" s="213">
        <f t="shared" si="34"/>
        <v>85</v>
      </c>
      <c r="O40" s="359"/>
    </row>
    <row r="41" spans="1:21" ht="19.7" customHeight="1">
      <c r="A41" s="674"/>
      <c r="B41" s="210" t="s">
        <v>841</v>
      </c>
      <c r="C41" s="211">
        <f>SUMPRODUCT(('[2]2.행정구역별 급수인구'!$C$7:$C$997=$B41)*('[2]2.행정구역별 급수인구'!S$7:S$997))</f>
        <v>457</v>
      </c>
      <c r="D41" s="211">
        <f>SUMPRODUCT(('[2]2.행정구역별 급수인구'!$C$7:$C$997=$B41)*('[2]2.행정구역별 급수인구'!T$7:T$997))</f>
        <v>459</v>
      </c>
      <c r="E41" s="211">
        <f>SUMPRODUCT(('[2]2.행정구역별 급수인구'!$C$7:$C$997=$B41)*('[2]2.행정구역별 급수인구'!U$7:U$997))</f>
        <v>480</v>
      </c>
      <c r="F41" s="211">
        <f>SUMPRODUCT(('[2]2.행정구역별 급수인구'!$C$7:$C$997=$B41)*('[2]2.행정구역별 급수인구'!V$7:V$997))</f>
        <v>500</v>
      </c>
      <c r="G41" s="211">
        <f>SUMPRODUCT(('[2]2.행정구역별 급수인구'!$C$7:$C$997=$B41)*('[2]2.행정구역별 급수인구'!W$7:W$997))</f>
        <v>515</v>
      </c>
      <c r="H41" s="211">
        <f>SUMPRODUCT(('[2]2.행정구역별 급수인구'!$C$7:$C$997=$B41)*('[2]2.행정구역별 급수인구'!X$7:X$997))</f>
        <v>522</v>
      </c>
      <c r="I41" s="213">
        <f>SUMIF('2013 행정구역 생활용수량'!$B$4:$B$484,B41,'2013 행정구역 생활용수량'!$D$4:$D$484)</f>
        <v>165</v>
      </c>
      <c r="J41" s="213">
        <f t="shared" si="30"/>
        <v>140</v>
      </c>
      <c r="K41" s="213">
        <f t="shared" si="31"/>
        <v>146</v>
      </c>
      <c r="L41" s="213">
        <f t="shared" si="32"/>
        <v>154</v>
      </c>
      <c r="M41" s="213">
        <f t="shared" si="33"/>
        <v>160</v>
      </c>
      <c r="N41" s="213">
        <f t="shared" si="34"/>
        <v>162</v>
      </c>
      <c r="O41" s="359"/>
    </row>
    <row r="42" spans="1:21" ht="19.7" customHeight="1">
      <c r="A42" s="674"/>
      <c r="B42" s="210" t="s">
        <v>842</v>
      </c>
      <c r="C42" s="211">
        <f>SUMPRODUCT(('[2]2.행정구역별 급수인구'!$C$7:$C$997=$B42)*('[2]2.행정구역별 급수인구'!S$7:S$997))</f>
        <v>557</v>
      </c>
      <c r="D42" s="211">
        <f>SUMPRODUCT(('[2]2.행정구역별 급수인구'!$C$7:$C$997=$B42)*('[2]2.행정구역별 급수인구'!T$7:T$997))</f>
        <v>557</v>
      </c>
      <c r="E42" s="211">
        <f>SUMPRODUCT(('[2]2.행정구역별 급수인구'!$C$7:$C$997=$B42)*('[2]2.행정구역별 급수인구'!U$7:U$997))</f>
        <v>584</v>
      </c>
      <c r="F42" s="211">
        <f>SUMPRODUCT(('[2]2.행정구역별 급수인구'!$C$7:$C$997=$B42)*('[2]2.행정구역별 급수인구'!V$7:V$997))</f>
        <v>612</v>
      </c>
      <c r="G42" s="211">
        <f>SUMPRODUCT(('[2]2.행정구역별 급수인구'!$C$7:$C$997=$B42)*('[2]2.행정구역별 급수인구'!W$7:W$997))</f>
        <v>628</v>
      </c>
      <c r="H42" s="211">
        <f>SUMPRODUCT(('[2]2.행정구역별 급수인구'!$C$7:$C$997=$B42)*('[2]2.행정구역별 급수인구'!X$7:X$997))</f>
        <v>637</v>
      </c>
      <c r="I42" s="213">
        <f>SUMIF('2013 행정구역 생활용수량'!$B$4:$B$484,B42,'2013 행정구역 생활용수량'!$D$4:$D$484)</f>
        <v>394</v>
      </c>
      <c r="J42" s="213">
        <f t="shared" si="30"/>
        <v>169</v>
      </c>
      <c r="K42" s="213">
        <f t="shared" si="31"/>
        <v>178</v>
      </c>
      <c r="L42" s="213">
        <f t="shared" si="32"/>
        <v>188</v>
      </c>
      <c r="M42" s="213">
        <f t="shared" si="33"/>
        <v>195</v>
      </c>
      <c r="N42" s="213">
        <f t="shared" si="34"/>
        <v>197</v>
      </c>
      <c r="O42" s="359"/>
    </row>
    <row r="43" spans="1:21" ht="19.7" customHeight="1">
      <c r="A43" s="674"/>
      <c r="B43" s="210" t="s">
        <v>843</v>
      </c>
      <c r="C43" s="211">
        <f>SUMPRODUCT(('[2]2.행정구역별 급수인구'!$C$7:$C$997=$B43)*('[2]2.행정구역별 급수인구'!S$7:S$997))</f>
        <v>377</v>
      </c>
      <c r="D43" s="211">
        <f>SUMPRODUCT(('[2]2.행정구역별 급수인구'!$C$7:$C$997=$B43)*('[2]2.행정구역별 급수인구'!T$7:T$997))</f>
        <v>377</v>
      </c>
      <c r="E43" s="211">
        <f>SUMPRODUCT(('[2]2.행정구역별 급수인구'!$C$7:$C$997=$B43)*('[2]2.행정구역별 급수인구'!U$7:U$997))</f>
        <v>394</v>
      </c>
      <c r="F43" s="211">
        <f>SUMPRODUCT(('[2]2.행정구역별 급수인구'!$C$7:$C$997=$B43)*('[2]2.행정구역별 급수인구'!V$7:V$997))</f>
        <v>414</v>
      </c>
      <c r="G43" s="211">
        <f>SUMPRODUCT(('[2]2.행정구역별 급수인구'!$C$7:$C$997=$B43)*('[2]2.행정구역별 급수인구'!W$7:W$997))</f>
        <v>423</v>
      </c>
      <c r="H43" s="211">
        <f>SUMPRODUCT(('[2]2.행정구역별 급수인구'!$C$7:$C$997=$B43)*('[2]2.행정구역별 급수인구'!X$7:X$997))</f>
        <v>430</v>
      </c>
      <c r="I43" s="213">
        <f>SUMIF('2013 행정구역 생활용수량'!$B$4:$B$484,B43,'2013 행정구역 생활용수량'!$D$4:$D$484)</f>
        <v>43</v>
      </c>
      <c r="J43" s="213">
        <f t="shared" si="30"/>
        <v>115</v>
      </c>
      <c r="K43" s="213">
        <f t="shared" si="31"/>
        <v>120</v>
      </c>
      <c r="L43" s="213">
        <f t="shared" si="32"/>
        <v>128</v>
      </c>
      <c r="M43" s="213">
        <f t="shared" si="33"/>
        <v>131</v>
      </c>
      <c r="N43" s="213">
        <f t="shared" si="34"/>
        <v>133</v>
      </c>
      <c r="O43" s="359"/>
    </row>
    <row r="44" spans="1:21" ht="19.7" customHeight="1">
      <c r="A44" s="674"/>
      <c r="B44" s="210" t="s">
        <v>844</v>
      </c>
      <c r="C44" s="211">
        <f>SUMPRODUCT(('[2]2.행정구역별 급수인구'!$C$7:$C$997=$B44)*('[2]2.행정구역별 급수인구'!S$7:S$997))</f>
        <v>455</v>
      </c>
      <c r="D44" s="211">
        <f>SUMPRODUCT(('[2]2.행정구역별 급수인구'!$C$7:$C$997=$B44)*('[2]2.행정구역별 급수인구'!T$7:T$997))</f>
        <v>455</v>
      </c>
      <c r="E44" s="211">
        <f>SUMPRODUCT(('[2]2.행정구역별 급수인구'!$C$7:$C$997=$B44)*('[2]2.행정구역별 급수인구'!U$7:U$997))</f>
        <v>476</v>
      </c>
      <c r="F44" s="211">
        <f>SUMPRODUCT(('[2]2.행정구역별 급수인구'!$C$7:$C$997=$B44)*('[2]2.행정구역별 급수인구'!V$7:V$997))</f>
        <v>500</v>
      </c>
      <c r="G44" s="211">
        <f>SUMPRODUCT(('[2]2.행정구역별 급수인구'!$C$7:$C$997=$B44)*('[2]2.행정구역별 급수인구'!W$7:W$997))</f>
        <v>511</v>
      </c>
      <c r="H44" s="211">
        <f>SUMPRODUCT(('[2]2.행정구역별 급수인구'!$C$7:$C$997=$B44)*('[2]2.행정구역별 급수인구'!X$7:X$997))</f>
        <v>521</v>
      </c>
      <c r="I44" s="213">
        <f>SUMIF('2013 행정구역 생활용수량'!$B$4:$B$484,B44,'2013 행정구역 생활용수량'!$D$4:$D$484)</f>
        <v>136</v>
      </c>
      <c r="J44" s="213">
        <f t="shared" si="30"/>
        <v>138</v>
      </c>
      <c r="K44" s="213">
        <f t="shared" si="31"/>
        <v>145</v>
      </c>
      <c r="L44" s="213">
        <f t="shared" si="32"/>
        <v>154</v>
      </c>
      <c r="M44" s="213">
        <f t="shared" si="33"/>
        <v>158</v>
      </c>
      <c r="N44" s="213">
        <f t="shared" si="34"/>
        <v>162</v>
      </c>
      <c r="O44" s="359"/>
    </row>
    <row r="45" spans="1:21" ht="19.7" customHeight="1">
      <c r="A45" s="674"/>
      <c r="B45" s="210" t="s">
        <v>845</v>
      </c>
      <c r="C45" s="211">
        <f>SUMPRODUCT(('[2]2.행정구역별 급수인구'!$C$7:$C$997=$B45)*('[2]2.행정구역별 급수인구'!S$7:S$997))</f>
        <v>600</v>
      </c>
      <c r="D45" s="211">
        <f>SUMPRODUCT(('[2]2.행정구역별 급수인구'!$C$7:$C$997=$B45)*('[2]2.행정구역별 급수인구'!T$7:T$997))</f>
        <v>601</v>
      </c>
      <c r="E45" s="211">
        <f>SUMPRODUCT(('[2]2.행정구역별 급수인구'!$C$7:$C$997=$B45)*('[2]2.행정구역별 급수인구'!U$7:U$997))</f>
        <v>630</v>
      </c>
      <c r="F45" s="211">
        <f>SUMPRODUCT(('[2]2.행정구역별 급수인구'!$C$7:$C$997=$B45)*('[2]2.행정구역별 급수인구'!V$7:V$997))</f>
        <v>660</v>
      </c>
      <c r="G45" s="211">
        <f>SUMPRODUCT(('[2]2.행정구역별 급수인구'!$C$7:$C$997=$B45)*('[2]2.행정구역별 급수인구'!W$7:W$997))</f>
        <v>675</v>
      </c>
      <c r="H45" s="211">
        <f>SUMPRODUCT(('[2]2.행정구역별 급수인구'!$C$7:$C$997=$B45)*('[2]2.행정구역별 급수인구'!X$7:X$997))</f>
        <v>689</v>
      </c>
      <c r="I45" s="213">
        <f>SUMIF('2013 행정구역 생활용수량'!$B$4:$B$484,B45,'2013 행정구역 생활용수량'!$D$4:$D$484)</f>
        <v>139</v>
      </c>
      <c r="J45" s="213">
        <f t="shared" si="30"/>
        <v>183</v>
      </c>
      <c r="K45" s="213">
        <f t="shared" si="31"/>
        <v>192</v>
      </c>
      <c r="L45" s="213">
        <f t="shared" si="32"/>
        <v>203</v>
      </c>
      <c r="M45" s="213">
        <f t="shared" si="33"/>
        <v>209</v>
      </c>
      <c r="N45" s="213">
        <f t="shared" si="34"/>
        <v>214</v>
      </c>
      <c r="O45" s="359"/>
    </row>
    <row r="46" spans="1:21" ht="19.7" customHeight="1">
      <c r="A46" s="674"/>
      <c r="B46" s="210" t="s">
        <v>846</v>
      </c>
      <c r="C46" s="211">
        <f>SUMPRODUCT(('[2]2.행정구역별 급수인구'!$C$7:$C$997=$B46)*('[2]2.행정구역별 급수인구'!S$7:S$997))</f>
        <v>557</v>
      </c>
      <c r="D46" s="211">
        <f>SUMPRODUCT(('[2]2.행정구역별 급수인구'!$C$7:$C$997=$B46)*('[2]2.행정구역별 급수인구'!T$7:T$997))</f>
        <v>558</v>
      </c>
      <c r="E46" s="211">
        <f>SUMPRODUCT(('[2]2.행정구역별 급수인구'!$C$7:$C$997=$B46)*('[2]2.행정구역별 급수인구'!U$7:U$997))</f>
        <v>585</v>
      </c>
      <c r="F46" s="211">
        <f>SUMPRODUCT(('[2]2.행정구역별 급수인구'!$C$7:$C$997=$B46)*('[2]2.행정구역별 급수인구'!V$7:V$997))</f>
        <v>615</v>
      </c>
      <c r="G46" s="211">
        <f>SUMPRODUCT(('[2]2.행정구역별 급수인구'!$C$7:$C$997=$B46)*('[2]2.행정구역별 급수인구'!W$7:W$997))</f>
        <v>627</v>
      </c>
      <c r="H46" s="211">
        <f>SUMPRODUCT(('[2]2.행정구역별 급수인구'!$C$7:$C$997=$B46)*('[2]2.행정구역별 급수인구'!X$7:X$997))</f>
        <v>640</v>
      </c>
      <c r="I46" s="213">
        <f>SUMIF('2013 행정구역 생활용수량'!$B$4:$B$484,B46,'2013 행정구역 생활용수량'!$D$4:$D$484)</f>
        <v>172</v>
      </c>
      <c r="J46" s="213">
        <f t="shared" si="30"/>
        <v>170</v>
      </c>
      <c r="K46" s="213">
        <f t="shared" si="31"/>
        <v>178</v>
      </c>
      <c r="L46" s="213">
        <f t="shared" si="32"/>
        <v>189</v>
      </c>
      <c r="M46" s="213">
        <f t="shared" si="33"/>
        <v>194</v>
      </c>
      <c r="N46" s="213">
        <f t="shared" si="34"/>
        <v>198</v>
      </c>
      <c r="O46" s="359"/>
    </row>
    <row r="47" spans="1:21" ht="19.7" customHeight="1">
      <c r="A47" s="674"/>
      <c r="B47" s="253" t="s">
        <v>1169</v>
      </c>
      <c r="C47" s="211">
        <f>SUMPRODUCT(('[2]2.행정구역별 급수인구'!$C$7:$C$997=$B47)*('[2]2.행정구역별 급수인구'!S$7:S$997))</f>
        <v>118</v>
      </c>
      <c r="D47" s="211">
        <f>SUMPRODUCT(('[2]2.행정구역별 급수인구'!$C$7:$C$997=$B47)*('[2]2.행정구역별 급수인구'!T$7:T$997))</f>
        <v>274</v>
      </c>
      <c r="E47" s="211">
        <f>SUMPRODUCT(('[2]2.행정구역별 급수인구'!$C$7:$C$997=$B47)*('[2]2.행정구역별 급수인구'!U$7:U$997))</f>
        <v>280</v>
      </c>
      <c r="F47" s="211">
        <f>SUMPRODUCT(('[2]2.행정구역별 급수인구'!$C$7:$C$997=$B47)*('[2]2.행정구역별 급수인구'!V$7:V$997))</f>
        <v>294</v>
      </c>
      <c r="G47" s="211">
        <f>SUMPRODUCT(('[2]2.행정구역별 급수인구'!$C$7:$C$997=$B47)*('[2]2.행정구역별 급수인구'!W$7:W$997))</f>
        <v>300</v>
      </c>
      <c r="H47" s="211">
        <f>SUMPRODUCT(('[2]2.행정구역별 급수인구'!$C$7:$C$997=$B47)*('[2]2.행정구역별 급수인구'!X$7:X$997))</f>
        <v>306</v>
      </c>
      <c r="I47" s="213">
        <f>SUMIF('2013 행정구역 생활용수량'!$B$4:$B$484,B47,'2013 행정구역 생활용수량'!$D$4:$D$484)</f>
        <v>12</v>
      </c>
      <c r="J47" s="213">
        <f t="shared" si="30"/>
        <v>83</v>
      </c>
      <c r="K47" s="213">
        <f t="shared" si="31"/>
        <v>85</v>
      </c>
      <c r="L47" s="213">
        <f t="shared" si="32"/>
        <v>91</v>
      </c>
      <c r="M47" s="213">
        <f t="shared" si="33"/>
        <v>93</v>
      </c>
      <c r="N47" s="213">
        <f t="shared" si="34"/>
        <v>95</v>
      </c>
      <c r="O47" s="359"/>
    </row>
    <row r="48" spans="1:21" ht="19.7" customHeight="1">
      <c r="A48" s="675"/>
      <c r="B48" s="210" t="s">
        <v>847</v>
      </c>
      <c r="C48" s="211">
        <f>SUMPRODUCT(('[2]2.행정구역별 급수인구'!$C$7:$C$997=$B48)*('[2]2.행정구역별 급수인구'!S$7:S$997))</f>
        <v>107</v>
      </c>
      <c r="D48" s="211">
        <f>SUMPRODUCT(('[2]2.행정구역별 급수인구'!$C$7:$C$997=$B48)*('[2]2.행정구역별 급수인구'!T$7:T$997))</f>
        <v>107</v>
      </c>
      <c r="E48" s="211">
        <f>SUMPRODUCT(('[2]2.행정구역별 급수인구'!$C$7:$C$997=$B48)*('[2]2.행정구역별 급수인구'!U$7:U$997))</f>
        <v>113</v>
      </c>
      <c r="F48" s="211">
        <f>SUMPRODUCT(('[2]2.행정구역별 급수인구'!$C$7:$C$997=$B48)*('[2]2.행정구역별 급수인구'!V$7:V$997))</f>
        <v>118</v>
      </c>
      <c r="G48" s="211">
        <f>SUMPRODUCT(('[2]2.행정구역별 급수인구'!$C$7:$C$997=$B48)*('[2]2.행정구역별 급수인구'!W$7:W$997))</f>
        <v>122</v>
      </c>
      <c r="H48" s="211">
        <f>SUMPRODUCT(('[2]2.행정구역별 급수인구'!$C$7:$C$997=$B48)*('[2]2.행정구역별 급수인구'!X$7:X$997))</f>
        <v>124</v>
      </c>
      <c r="I48" s="213">
        <f>SUMIF('2013 행정구역 생활용수량'!$B$4:$B$484,B48,'2013 행정구역 생활용수량'!$D$4:$D$484)</f>
        <v>35</v>
      </c>
      <c r="J48" s="213">
        <f t="shared" si="30"/>
        <v>33</v>
      </c>
      <c r="K48" s="213">
        <f>'2.생활용수(급수구역)'!J75-SUM(K38:K47)</f>
        <v>32</v>
      </c>
      <c r="L48" s="213">
        <f>'2.생활용수(급수구역)'!K75-SUM(L38:L47)</f>
        <v>36</v>
      </c>
      <c r="M48" s="213">
        <f>'2.생활용수(급수구역)'!L75-SUM(M38:M47)</f>
        <v>40</v>
      </c>
      <c r="N48" s="213">
        <f>'2.생활용수(급수구역)'!M75-SUM(N38:N47)</f>
        <v>39</v>
      </c>
      <c r="O48" s="359"/>
    </row>
    <row r="49" spans="1:21" ht="18.95" customHeight="1">
      <c r="A49" s="676" t="s">
        <v>848</v>
      </c>
      <c r="B49" s="215" t="s">
        <v>837</v>
      </c>
      <c r="C49" s="211">
        <f>'[3]5.급수원단위'!C$34</f>
        <v>272</v>
      </c>
      <c r="D49" s="211">
        <f>'[3]5.급수원단위'!$D$41</f>
        <v>304</v>
      </c>
      <c r="E49" s="211">
        <f>'[3]5.급수원단위'!D$34</f>
        <v>304</v>
      </c>
      <c r="F49" s="211">
        <f>'[3]5.급수원단위'!E$34</f>
        <v>308</v>
      </c>
      <c r="G49" s="211">
        <f>'[3]5.급수원단위'!F$34</f>
        <v>310</v>
      </c>
      <c r="H49" s="211">
        <f>'[3]5.급수원단위'!G$34</f>
        <v>310</v>
      </c>
      <c r="I49" s="680"/>
      <c r="J49" s="681"/>
      <c r="K49" s="681"/>
      <c r="L49" s="681"/>
      <c r="M49" s="681"/>
      <c r="N49" s="682"/>
      <c r="O49" s="359"/>
      <c r="Q49" s="511">
        <v>2013</v>
      </c>
      <c r="R49" s="511">
        <v>2015</v>
      </c>
      <c r="S49" s="511">
        <v>2020</v>
      </c>
      <c r="T49" s="511">
        <v>2025</v>
      </c>
      <c r="U49" s="511">
        <v>2030</v>
      </c>
    </row>
    <row r="50" spans="1:21" ht="18.95" customHeight="1">
      <c r="A50" s="677"/>
      <c r="B50" s="214" t="s">
        <v>778</v>
      </c>
      <c r="C50" s="212">
        <f>SUM(C51:C63)</f>
        <v>1841</v>
      </c>
      <c r="D50" s="212">
        <f t="shared" ref="D50:H50" si="35">SUM(D51:D63)</f>
        <v>2010</v>
      </c>
      <c r="E50" s="212">
        <f t="shared" si="35"/>
        <v>3373</v>
      </c>
      <c r="F50" s="212">
        <f t="shared" si="35"/>
        <v>4400</v>
      </c>
      <c r="G50" s="212">
        <f t="shared" si="35"/>
        <v>4769</v>
      </c>
      <c r="H50" s="212">
        <f t="shared" si="35"/>
        <v>4855</v>
      </c>
      <c r="I50" s="212">
        <f t="shared" ref="I50:N50" si="36">SUM(I51:I63)</f>
        <v>396</v>
      </c>
      <c r="J50" s="212">
        <f t="shared" ref="J50" si="37">SUM(J51:J63)</f>
        <v>612</v>
      </c>
      <c r="K50" s="212">
        <f t="shared" si="36"/>
        <v>1025</v>
      </c>
      <c r="L50" s="212">
        <f t="shared" si="36"/>
        <v>1352</v>
      </c>
      <c r="M50" s="212">
        <f t="shared" si="36"/>
        <v>1477</v>
      </c>
      <c r="N50" s="212">
        <f t="shared" si="36"/>
        <v>1503</v>
      </c>
      <c r="O50" s="359">
        <f>'2013년도 용수량 비율'!F8</f>
        <v>0.72</v>
      </c>
      <c r="Q50" s="213">
        <f>ROUND(I50,-2)</f>
        <v>400</v>
      </c>
      <c r="R50" s="213">
        <f>ROUND(K50,-2)</f>
        <v>1000</v>
      </c>
      <c r="S50" s="213">
        <f>ROUND(L50,-2)</f>
        <v>1400</v>
      </c>
      <c r="T50" s="213">
        <f>ROUND(M50,-2)</f>
        <v>1500</v>
      </c>
      <c r="U50" s="213">
        <f>ROUND(N50,-2)</f>
        <v>1500</v>
      </c>
    </row>
    <row r="51" spans="1:21" ht="18.95" customHeight="1">
      <c r="A51" s="677"/>
      <c r="B51" s="210" t="s">
        <v>849</v>
      </c>
      <c r="C51" s="211">
        <f>SUMPRODUCT(('[2]2.행정구역별 급수인구'!$C$7:$C$997=$B51)*('[2]2.행정구역별 급수인구'!S$7:S$997))</f>
        <v>469</v>
      </c>
      <c r="D51" s="211">
        <f>SUMPRODUCT(('[2]2.행정구역별 급수인구'!$C$7:$C$997=$B51)*('[2]2.행정구역별 급수인구'!T$7:T$997))</f>
        <v>470</v>
      </c>
      <c r="E51" s="211">
        <f>SUMPRODUCT(('[2]2.행정구역별 급수인구'!$C$7:$C$997=$B51)*('[2]2.행정구역별 급수인구'!U$7:U$997))</f>
        <v>493</v>
      </c>
      <c r="F51" s="211">
        <f>SUMPRODUCT(('[2]2.행정구역별 급수인구'!$C$7:$C$997=$B51)*('[2]2.행정구역별 급수인구'!V$7:V$997))</f>
        <v>518</v>
      </c>
      <c r="G51" s="211">
        <f>SUMPRODUCT(('[2]2.행정구역별 급수인구'!$C$7:$C$997=$B51)*('[2]2.행정구역별 급수인구'!W$7:W$997))</f>
        <v>563</v>
      </c>
      <c r="H51" s="211">
        <f>SUMPRODUCT(('[2]2.행정구역별 급수인구'!$C$7:$C$997=$B51)*('[2]2.행정구역별 급수인구'!X$7:X$997))</f>
        <v>572</v>
      </c>
      <c r="I51" s="213">
        <f>SUMIF('2013 행정구역 생활용수량'!$B$4:$B$484,B51,'2013 행정구역 생활용수량'!$D$4:$D$484)</f>
        <v>75</v>
      </c>
      <c r="J51" s="213">
        <f t="shared" ref="J51" si="38">ROUND(D51*D$49/1000,0)</f>
        <v>143</v>
      </c>
      <c r="K51" s="213">
        <f>'2.생활용수(급수구역)'!J76-SUM(K52:K63)</f>
        <v>148</v>
      </c>
      <c r="L51" s="213">
        <f>'2.생활용수(급수구역)'!K76-SUM(L52:L63)</f>
        <v>157</v>
      </c>
      <c r="M51" s="213">
        <f>'2.생활용수(급수구역)'!L76-SUM(M52:M63)</f>
        <v>172</v>
      </c>
      <c r="N51" s="213">
        <f>'2.생활용수(급수구역)'!M76-SUM(N52:N63)</f>
        <v>174</v>
      </c>
      <c r="O51" s="359"/>
    </row>
    <row r="52" spans="1:21" ht="18.95" customHeight="1">
      <c r="A52" s="677"/>
      <c r="B52" s="210" t="s">
        <v>850</v>
      </c>
      <c r="C52" s="211">
        <f>SUMPRODUCT(('[2]2.행정구역별 급수인구'!$C$7:$C$997=$B52)*('[2]2.행정구역별 급수인구'!S$7:S$997))</f>
        <v>181</v>
      </c>
      <c r="D52" s="211">
        <f>SUMPRODUCT(('[2]2.행정구역별 급수인구'!$C$7:$C$997=$B52)*('[2]2.행정구역별 급수인구'!T$7:T$997))</f>
        <v>181</v>
      </c>
      <c r="E52" s="211">
        <f>SUMPRODUCT(('[2]2.행정구역별 급수인구'!$C$7:$C$997=$B52)*('[2]2.행정구역별 급수인구'!U$7:U$997))</f>
        <v>188</v>
      </c>
      <c r="F52" s="211">
        <f>SUMPRODUCT(('[2]2.행정구역별 급수인구'!$C$7:$C$997=$B52)*('[2]2.행정구역별 급수인구'!V$7:V$997))</f>
        <v>199</v>
      </c>
      <c r="G52" s="211">
        <f>SUMPRODUCT(('[2]2.행정구역별 급수인구'!$C$7:$C$997=$B52)*('[2]2.행정구역별 급수인구'!W$7:W$997))</f>
        <v>216</v>
      </c>
      <c r="H52" s="211">
        <f>SUMPRODUCT(('[2]2.행정구역별 급수인구'!$C$7:$C$997=$B52)*('[2]2.행정구역별 급수인구'!X$7:X$997))</f>
        <v>219</v>
      </c>
      <c r="I52" s="213">
        <f>SUMIF('2013 행정구역 생활용수량'!$B$4:$B$484,B52,'2013 행정구역 생활용수량'!$D$4:$D$484)</f>
        <v>29</v>
      </c>
      <c r="J52" s="213">
        <f t="shared" ref="J52:J63" si="39">ROUND(D52*D$49/1000,0)</f>
        <v>55</v>
      </c>
      <c r="K52" s="213">
        <f t="shared" ref="K52:K63" si="40">ROUND(E52*E$49/1000,0)</f>
        <v>57</v>
      </c>
      <c r="L52" s="213">
        <f t="shared" ref="L52:L63" si="41">ROUND(F52*F$49/1000,0)</f>
        <v>61</v>
      </c>
      <c r="M52" s="213">
        <f t="shared" ref="M52:M63" si="42">ROUND(G52*G$49/1000,0)</f>
        <v>67</v>
      </c>
      <c r="N52" s="213">
        <f t="shared" ref="N52:N63" si="43">ROUND(H52*H$49/1000,0)</f>
        <v>68</v>
      </c>
      <c r="O52" s="359"/>
    </row>
    <row r="53" spans="1:21" ht="18.95" customHeight="1">
      <c r="A53" s="677"/>
      <c r="B53" s="210" t="s">
        <v>851</v>
      </c>
      <c r="C53" s="211">
        <f>SUMPRODUCT(('[2]2.행정구역별 급수인구'!$C$7:$C$997=$B53)*('[2]2.행정구역별 급수인구'!S$7:S$997))</f>
        <v>281</v>
      </c>
      <c r="D53" s="211">
        <f>SUMPRODUCT(('[2]2.행정구역별 급수인구'!$C$7:$C$997=$B53)*('[2]2.행정구역별 급수인구'!T$7:T$997))</f>
        <v>447</v>
      </c>
      <c r="E53" s="211">
        <f>SUMPRODUCT(('[2]2.행정구역별 급수인구'!$C$7:$C$997=$B53)*('[2]2.행정구역별 급수인구'!U$7:U$997))</f>
        <v>461</v>
      </c>
      <c r="F53" s="211">
        <f>SUMPRODUCT(('[2]2.행정구역별 급수인구'!$C$7:$C$997=$B53)*('[2]2.행정구역별 급수인구'!V$7:V$997))</f>
        <v>487</v>
      </c>
      <c r="G53" s="211">
        <f>SUMPRODUCT(('[2]2.행정구역별 급수인구'!$C$7:$C$997=$B53)*('[2]2.행정구역별 급수인구'!W$7:W$997))</f>
        <v>528</v>
      </c>
      <c r="H53" s="211">
        <f>SUMPRODUCT(('[2]2.행정구역별 급수인구'!$C$7:$C$997=$B53)*('[2]2.행정구역별 급수인구'!X$7:X$997))</f>
        <v>538</v>
      </c>
      <c r="I53" s="213">
        <f>SUMIF('2013 행정구역 생활용수량'!$B$4:$B$484,B53,'2013 행정구역 생활용수량'!$D$4:$D$484)</f>
        <v>7</v>
      </c>
      <c r="J53" s="213">
        <f t="shared" si="39"/>
        <v>136</v>
      </c>
      <c r="K53" s="213">
        <f t="shared" si="40"/>
        <v>140</v>
      </c>
      <c r="L53" s="213">
        <f t="shared" si="41"/>
        <v>150</v>
      </c>
      <c r="M53" s="213">
        <f t="shared" si="42"/>
        <v>164</v>
      </c>
      <c r="N53" s="213">
        <f t="shared" si="43"/>
        <v>167</v>
      </c>
      <c r="O53" s="359"/>
    </row>
    <row r="54" spans="1:21" ht="18.95" customHeight="1">
      <c r="A54" s="677"/>
      <c r="B54" s="210" t="s">
        <v>852</v>
      </c>
      <c r="C54" s="211">
        <f>SUMPRODUCT(('[2]2.행정구역별 급수인구'!$C$7:$C$997=$B54)*('[2]2.행정구역별 급수인구'!S$7:S$997))</f>
        <v>286</v>
      </c>
      <c r="D54" s="211">
        <f>SUMPRODUCT(('[2]2.행정구역별 급수인구'!$C$7:$C$997=$B54)*('[2]2.행정구역별 급수인구'!T$7:T$997))</f>
        <v>286</v>
      </c>
      <c r="E54" s="211">
        <f>SUMPRODUCT(('[2]2.행정구역별 급수인구'!$C$7:$C$997=$B54)*('[2]2.행정구역별 급수인구'!U$7:U$997))</f>
        <v>301</v>
      </c>
      <c r="F54" s="211">
        <f>SUMPRODUCT(('[2]2.행정구역별 급수인구'!$C$7:$C$997=$B54)*('[2]2.행정구역별 급수인구'!V$7:V$997))</f>
        <v>316</v>
      </c>
      <c r="G54" s="211">
        <f>SUMPRODUCT(('[2]2.행정구역별 급수인구'!$C$7:$C$997=$B54)*('[2]2.행정구역별 급수인구'!W$7:W$997))</f>
        <v>343</v>
      </c>
      <c r="H54" s="211">
        <f>SUMPRODUCT(('[2]2.행정구역별 급수인구'!$C$7:$C$997=$B54)*('[2]2.행정구역별 급수인구'!X$7:X$997))</f>
        <v>349</v>
      </c>
      <c r="I54" s="213">
        <f>SUMIF('2013 행정구역 생활용수량'!$B$4:$B$484,B54,'2013 행정구역 생활용수량'!$D$4:$D$484)</f>
        <v>54</v>
      </c>
      <c r="J54" s="213">
        <f t="shared" si="39"/>
        <v>87</v>
      </c>
      <c r="K54" s="213">
        <f t="shared" si="40"/>
        <v>92</v>
      </c>
      <c r="L54" s="213">
        <f t="shared" si="41"/>
        <v>97</v>
      </c>
      <c r="M54" s="213">
        <f t="shared" si="42"/>
        <v>106</v>
      </c>
      <c r="N54" s="213">
        <f t="shared" si="43"/>
        <v>108</v>
      </c>
      <c r="O54" s="359"/>
    </row>
    <row r="55" spans="1:21" ht="18.95" customHeight="1">
      <c r="A55" s="677"/>
      <c r="B55" s="253" t="s">
        <v>1170</v>
      </c>
      <c r="C55" s="211">
        <f>SUMPRODUCT(('[2]2.행정구역별 급수인구'!$C$7:$C$997=$B55)*('[2]2.행정구역별 급수인구'!S$7:S$997))</f>
        <v>117</v>
      </c>
      <c r="D55" s="211">
        <f>SUMPRODUCT(('[2]2.행정구역별 급수인구'!$C$7:$C$997=$B55)*('[2]2.행정구역별 급수인구'!T$7:T$997))</f>
        <v>117</v>
      </c>
      <c r="E55" s="211">
        <f>SUMPRODUCT(('[2]2.행정구역별 급수인구'!$C$7:$C$997=$B55)*('[2]2.행정구역별 급수인구'!U$7:U$997))</f>
        <v>124</v>
      </c>
      <c r="F55" s="211">
        <f>SUMPRODUCT(('[2]2.행정구역별 급수인구'!$C$7:$C$997=$B55)*('[2]2.행정구역별 급수인구'!V$7:V$997))</f>
        <v>130</v>
      </c>
      <c r="G55" s="211">
        <f>SUMPRODUCT(('[2]2.행정구역별 급수인구'!$C$7:$C$997=$B55)*('[2]2.행정구역별 급수인구'!W$7:W$997))</f>
        <v>140</v>
      </c>
      <c r="H55" s="211">
        <f>SUMPRODUCT(('[2]2.행정구역별 급수인구'!$C$7:$C$997=$B55)*('[2]2.행정구역별 급수인구'!X$7:X$997))</f>
        <v>143</v>
      </c>
      <c r="I55" s="213">
        <f>SUMIF('2013 행정구역 생활용수량'!$B$4:$B$484,B55,'2013 행정구역 생활용수량'!$D$4:$D$484)</f>
        <v>16</v>
      </c>
      <c r="J55" s="213">
        <f t="shared" si="39"/>
        <v>36</v>
      </c>
      <c r="K55" s="213">
        <f t="shared" si="40"/>
        <v>38</v>
      </c>
      <c r="L55" s="213">
        <f t="shared" si="41"/>
        <v>40</v>
      </c>
      <c r="M55" s="213">
        <f t="shared" si="42"/>
        <v>43</v>
      </c>
      <c r="N55" s="213">
        <f t="shared" si="43"/>
        <v>44</v>
      </c>
      <c r="O55" s="359"/>
    </row>
    <row r="56" spans="1:21" ht="18.95" customHeight="1">
      <c r="A56" s="677"/>
      <c r="B56" s="210" t="s">
        <v>853</v>
      </c>
      <c r="C56" s="211">
        <f>SUMPRODUCT(('[2]2.행정구역별 급수인구'!$C$7:$C$997=$B56)*('[2]2.행정구역별 급수인구'!S$7:S$997))</f>
        <v>266</v>
      </c>
      <c r="D56" s="211">
        <f>SUMPRODUCT(('[2]2.행정구역별 급수인구'!$C$7:$C$997=$B56)*('[2]2.행정구역별 급수인구'!T$7:T$997))</f>
        <v>267</v>
      </c>
      <c r="E56" s="211">
        <f>SUMPRODUCT(('[2]2.행정구역별 급수인구'!$C$7:$C$997=$B56)*('[2]2.행정구역별 급수인구'!U$7:U$997))</f>
        <v>280</v>
      </c>
      <c r="F56" s="211">
        <f>SUMPRODUCT(('[2]2.행정구역별 급수인구'!$C$7:$C$997=$B56)*('[2]2.행정구역별 급수인구'!V$7:V$997))</f>
        <v>296</v>
      </c>
      <c r="G56" s="211">
        <f>SUMPRODUCT(('[2]2.행정구역별 급수인구'!$C$7:$C$997=$B56)*('[2]2.행정구역별 급수인구'!W$7:W$997))</f>
        <v>319</v>
      </c>
      <c r="H56" s="211">
        <f>SUMPRODUCT(('[2]2.행정구역별 급수인구'!$C$7:$C$997=$B56)*('[2]2.행정구역별 급수인구'!X$7:X$997))</f>
        <v>325</v>
      </c>
      <c r="I56" s="213">
        <f>SUMIF('2013 행정구역 생활용수량'!$B$4:$B$484,B56,'2013 행정구역 생활용수량'!$D$4:$D$484)</f>
        <v>90</v>
      </c>
      <c r="J56" s="213">
        <f t="shared" si="39"/>
        <v>81</v>
      </c>
      <c r="K56" s="213">
        <f t="shared" si="40"/>
        <v>85</v>
      </c>
      <c r="L56" s="213">
        <f t="shared" si="41"/>
        <v>91</v>
      </c>
      <c r="M56" s="213">
        <f t="shared" si="42"/>
        <v>99</v>
      </c>
      <c r="N56" s="213">
        <f t="shared" si="43"/>
        <v>101</v>
      </c>
      <c r="O56" s="359"/>
    </row>
    <row r="57" spans="1:21" ht="18.95" customHeight="1">
      <c r="A57" s="677"/>
      <c r="B57" s="210" t="s">
        <v>854</v>
      </c>
      <c r="C57" s="211">
        <f>SUMPRODUCT(('[2]2.행정구역별 급수인구'!$C$7:$C$997=$B57)*('[2]2.행정구역별 급수인구'!S$7:S$997))</f>
        <v>140</v>
      </c>
      <c r="D57" s="211">
        <f>SUMPRODUCT(('[2]2.행정구역별 급수인구'!$C$7:$C$997=$B57)*('[2]2.행정구역별 급수인구'!T$7:T$997))</f>
        <v>140</v>
      </c>
      <c r="E57" s="211">
        <f>SUMPRODUCT(('[2]2.행정구역별 급수인구'!$C$7:$C$997=$B57)*('[2]2.행정구역별 급수인구'!U$7:U$997))</f>
        <v>147</v>
      </c>
      <c r="F57" s="211">
        <f>SUMPRODUCT(('[2]2.행정구역별 급수인구'!$C$7:$C$997=$B57)*('[2]2.행정구역별 급수인구'!V$7:V$997))</f>
        <v>155</v>
      </c>
      <c r="G57" s="211">
        <f>SUMPRODUCT(('[2]2.행정구역별 급수인구'!$C$7:$C$997=$B57)*('[2]2.행정구역별 급수인구'!W$7:W$997))</f>
        <v>168</v>
      </c>
      <c r="H57" s="211">
        <f>SUMPRODUCT(('[2]2.행정구역별 급수인구'!$C$7:$C$997=$B57)*('[2]2.행정구역별 급수인구'!X$7:X$997))</f>
        <v>171</v>
      </c>
      <c r="I57" s="213">
        <f>SUMIF('2013 행정구역 생활용수량'!$B$4:$B$484,B57,'2013 행정구역 생활용수량'!$D$4:$D$484)</f>
        <v>80</v>
      </c>
      <c r="J57" s="213">
        <f t="shared" si="39"/>
        <v>43</v>
      </c>
      <c r="K57" s="213">
        <f t="shared" si="40"/>
        <v>45</v>
      </c>
      <c r="L57" s="213">
        <f t="shared" si="41"/>
        <v>48</v>
      </c>
      <c r="M57" s="213">
        <f t="shared" si="42"/>
        <v>52</v>
      </c>
      <c r="N57" s="213">
        <f t="shared" si="43"/>
        <v>53</v>
      </c>
      <c r="O57" s="359"/>
    </row>
    <row r="58" spans="1:21" ht="18.95" customHeight="1">
      <c r="A58" s="677"/>
      <c r="B58" s="210" t="s">
        <v>855</v>
      </c>
      <c r="C58" s="211">
        <f>SUMPRODUCT(('[2]2.행정구역별 급수인구'!$C$7:$C$997=$B58)*('[2]2.행정구역별 급수인구'!S$7:S$997))</f>
        <v>48</v>
      </c>
      <c r="D58" s="211">
        <f>SUMPRODUCT(('[2]2.행정구역별 급수인구'!$C$7:$C$997=$B58)*('[2]2.행정구역별 급수인구'!T$7:T$997))</f>
        <v>49</v>
      </c>
      <c r="E58" s="211">
        <f>SUMPRODUCT(('[2]2.행정구역별 급수인구'!$C$7:$C$997=$B58)*('[2]2.행정구역별 급수인구'!U$7:U$997))</f>
        <v>578</v>
      </c>
      <c r="F58" s="211">
        <f>SUMPRODUCT(('[2]2.행정구역별 급수인구'!$C$7:$C$997=$B58)*('[2]2.행정구역별 급수인구'!V$7:V$997))</f>
        <v>607</v>
      </c>
      <c r="G58" s="211">
        <f>SUMPRODUCT(('[2]2.행정구역별 급수인구'!$C$7:$C$997=$B58)*('[2]2.행정구역별 급수인구'!W$7:W$997))</f>
        <v>657</v>
      </c>
      <c r="H58" s="211">
        <f>SUMPRODUCT(('[2]2.행정구역별 급수인구'!$C$7:$C$997=$B58)*('[2]2.행정구역별 급수인구'!X$7:X$997))</f>
        <v>670</v>
      </c>
      <c r="I58" s="213">
        <f>SUMIF('2013 행정구역 생활용수량'!$B$4:$B$484,B58,'2013 행정구역 생활용수량'!$D$4:$D$484)</f>
        <v>16</v>
      </c>
      <c r="J58" s="213">
        <f t="shared" si="39"/>
        <v>15</v>
      </c>
      <c r="K58" s="213">
        <f t="shared" si="40"/>
        <v>176</v>
      </c>
      <c r="L58" s="213">
        <f t="shared" si="41"/>
        <v>187</v>
      </c>
      <c r="M58" s="213">
        <f t="shared" si="42"/>
        <v>204</v>
      </c>
      <c r="N58" s="213">
        <f t="shared" si="43"/>
        <v>208</v>
      </c>
      <c r="O58" s="359"/>
    </row>
    <row r="59" spans="1:21" ht="18.95" customHeight="1">
      <c r="A59" s="677"/>
      <c r="B59" s="210" t="s">
        <v>856</v>
      </c>
      <c r="C59" s="211">
        <f>SUMPRODUCT(('[2]2.행정구역별 급수인구'!$C$7:$C$997=$B59)*('[2]2.행정구역별 급수인구'!S$7:S$997))</f>
        <v>53</v>
      </c>
      <c r="D59" s="211">
        <f>SUMPRODUCT(('[2]2.행정구역별 급수인구'!$C$7:$C$997=$B59)*('[2]2.행정구역별 급수인구'!T$7:T$997))</f>
        <v>53</v>
      </c>
      <c r="E59" s="211">
        <f>SUMPRODUCT(('[2]2.행정구역별 급수인구'!$C$7:$C$997=$B59)*('[2]2.행정구역별 급수인구'!U$7:U$997))</f>
        <v>447</v>
      </c>
      <c r="F59" s="211">
        <f>SUMPRODUCT(('[2]2.행정구역별 급수인구'!$C$7:$C$997=$B59)*('[2]2.행정구역별 급수인구'!V$7:V$997))</f>
        <v>469</v>
      </c>
      <c r="G59" s="211">
        <f>SUMPRODUCT(('[2]2.행정구역별 급수인구'!$C$7:$C$997=$B59)*('[2]2.행정구역별 급수인구'!W$7:W$997))</f>
        <v>510</v>
      </c>
      <c r="H59" s="211">
        <f>SUMPRODUCT(('[2]2.행정구역별 급수인구'!$C$7:$C$997=$B59)*('[2]2.행정구역별 급수인구'!X$7:X$997))</f>
        <v>518</v>
      </c>
      <c r="I59" s="213">
        <f>SUMIF('2013 행정구역 생활용수량'!$B$4:$B$484,B59,'2013 행정구역 생활용수량'!$D$4:$D$484)</f>
        <v>29</v>
      </c>
      <c r="J59" s="213">
        <f t="shared" si="39"/>
        <v>16</v>
      </c>
      <c r="K59" s="213">
        <f t="shared" si="40"/>
        <v>136</v>
      </c>
      <c r="L59" s="213">
        <f t="shared" si="41"/>
        <v>144</v>
      </c>
      <c r="M59" s="213">
        <f t="shared" si="42"/>
        <v>158</v>
      </c>
      <c r="N59" s="213">
        <f t="shared" si="43"/>
        <v>161</v>
      </c>
      <c r="O59" s="359"/>
    </row>
    <row r="60" spans="1:21" ht="18.95" customHeight="1">
      <c r="A60" s="677"/>
      <c r="B60" s="210" t="s">
        <v>857</v>
      </c>
      <c r="C60" s="211">
        <f>SUMPRODUCT(('[2]2.행정구역별 급수인구'!$C$7:$C$997=$B60)*('[2]2.행정구역별 급수인구'!S$7:S$997))</f>
        <v>0</v>
      </c>
      <c r="D60" s="211">
        <f>SUMPRODUCT(('[2]2.행정구역별 급수인구'!$C$7:$C$997=$B60)*('[2]2.행정구역별 급수인구'!T$7:T$997))</f>
        <v>0</v>
      </c>
      <c r="E60" s="211">
        <f>SUMPRODUCT(('[2]2.행정구역별 급수인구'!$C$7:$C$997=$B60)*('[2]2.행정구역별 급수인구'!U$7:U$997))</f>
        <v>354</v>
      </c>
      <c r="F60" s="211">
        <f>SUMPRODUCT(('[2]2.행정구역별 급수인구'!$C$7:$C$997=$B60)*('[2]2.행정구역별 급수인구'!V$7:V$997))</f>
        <v>372</v>
      </c>
      <c r="G60" s="211">
        <f>SUMPRODUCT(('[2]2.행정구역별 급수인구'!$C$7:$C$997=$B60)*('[2]2.행정구역별 급수인구'!W$7:W$997))</f>
        <v>403</v>
      </c>
      <c r="H60" s="211">
        <f>SUMPRODUCT(('[2]2.행정구역별 급수인구'!$C$7:$C$997=$B60)*('[2]2.행정구역별 급수인구'!X$7:X$997))</f>
        <v>409</v>
      </c>
      <c r="I60" s="213">
        <f>SUMIF('2013 행정구역 생활용수량'!$B$4:$B$484,B60,'2013 행정구역 생활용수량'!$D$4:$D$484)</f>
        <v>0</v>
      </c>
      <c r="J60" s="213">
        <f t="shared" si="39"/>
        <v>0</v>
      </c>
      <c r="K60" s="213">
        <f t="shared" si="40"/>
        <v>108</v>
      </c>
      <c r="L60" s="213">
        <f t="shared" si="41"/>
        <v>115</v>
      </c>
      <c r="M60" s="213">
        <f t="shared" si="42"/>
        <v>125</v>
      </c>
      <c r="N60" s="213">
        <f t="shared" si="43"/>
        <v>127</v>
      </c>
      <c r="O60" s="359"/>
    </row>
    <row r="61" spans="1:21" ht="18.95" customHeight="1">
      <c r="A61" s="677"/>
      <c r="B61" s="210" t="s">
        <v>858</v>
      </c>
      <c r="C61" s="211">
        <f>SUMPRODUCT(('[2]2.행정구역별 급수인구'!$C$7:$C$997=$B61)*('[2]2.행정구역별 급수인구'!S$7:S$997))</f>
        <v>0</v>
      </c>
      <c r="D61" s="211">
        <f>SUMPRODUCT(('[2]2.행정구역별 급수인구'!$C$7:$C$997=$B61)*('[2]2.행정구역별 급수인구'!T$7:T$997))</f>
        <v>0</v>
      </c>
      <c r="E61" s="211">
        <f>SUMPRODUCT(('[2]2.행정구역별 급수인구'!$C$7:$C$997=$B61)*('[2]2.행정구역별 급수인구'!U$7:U$997))</f>
        <v>0</v>
      </c>
      <c r="F61" s="211">
        <f>SUMPRODUCT(('[2]2.행정구역별 급수인구'!$C$7:$C$997=$B61)*('[2]2.행정구역별 급수인구'!V$7:V$997))</f>
        <v>308</v>
      </c>
      <c r="G61" s="211">
        <f>SUMPRODUCT(('[2]2.행정구역별 급수인구'!$C$7:$C$997=$B61)*('[2]2.행정구역별 급수인구'!W$7:W$997))</f>
        <v>334</v>
      </c>
      <c r="H61" s="211">
        <f>SUMPRODUCT(('[2]2.행정구역별 급수인구'!$C$7:$C$997=$B61)*('[2]2.행정구역별 급수인구'!X$7:X$997))</f>
        <v>341</v>
      </c>
      <c r="I61" s="213">
        <f>SUMIF('2013 행정구역 생활용수량'!$B$4:$B$484,B61,'2013 행정구역 생활용수량'!$D$4:$D$484)</f>
        <v>0</v>
      </c>
      <c r="J61" s="213">
        <f t="shared" si="39"/>
        <v>0</v>
      </c>
      <c r="K61" s="213">
        <f t="shared" si="40"/>
        <v>0</v>
      </c>
      <c r="L61" s="213">
        <f t="shared" si="41"/>
        <v>95</v>
      </c>
      <c r="M61" s="213">
        <f t="shared" si="42"/>
        <v>104</v>
      </c>
      <c r="N61" s="213">
        <f t="shared" si="43"/>
        <v>106</v>
      </c>
      <c r="O61" s="359"/>
    </row>
    <row r="62" spans="1:21" ht="18.95" customHeight="1">
      <c r="A62" s="677"/>
      <c r="B62" s="210" t="s">
        <v>859</v>
      </c>
      <c r="C62" s="211">
        <f>SUMPRODUCT(('[2]2.행정구역별 급수인구'!$C$7:$C$997=$B62)*('[2]2.행정구역별 급수인구'!S$7:S$997))</f>
        <v>0</v>
      </c>
      <c r="D62" s="211">
        <f>SUMPRODUCT(('[2]2.행정구역별 급수인구'!$C$7:$C$997=$B62)*('[2]2.행정구역별 급수인구'!T$7:T$997))</f>
        <v>0</v>
      </c>
      <c r="E62" s="211">
        <f>SUMPRODUCT(('[2]2.행정구역별 급수인구'!$C$7:$C$997=$B62)*('[2]2.행정구역별 급수인구'!U$7:U$997))</f>
        <v>0</v>
      </c>
      <c r="F62" s="211">
        <f>SUMPRODUCT(('[2]2.행정구역별 급수인구'!$C$7:$C$997=$B62)*('[2]2.행정구역별 급수인구'!V$7:V$997))</f>
        <v>321</v>
      </c>
      <c r="G62" s="211">
        <f>SUMPRODUCT(('[2]2.행정구역별 급수인구'!$C$7:$C$997=$B62)*('[2]2.행정구역별 급수인구'!W$7:W$997))</f>
        <v>347</v>
      </c>
      <c r="H62" s="211">
        <f>SUMPRODUCT(('[2]2.행정구역별 급수인구'!$C$7:$C$997=$B62)*('[2]2.행정구역별 급수인구'!X$7:X$997))</f>
        <v>354</v>
      </c>
      <c r="I62" s="213">
        <f>SUMIF('2013 행정구역 생활용수량'!$B$4:$B$484,B62,'2013 행정구역 생활용수량'!$D$4:$D$484)</f>
        <v>0</v>
      </c>
      <c r="J62" s="213">
        <f t="shared" si="39"/>
        <v>0</v>
      </c>
      <c r="K62" s="213">
        <f t="shared" si="40"/>
        <v>0</v>
      </c>
      <c r="L62" s="213">
        <f t="shared" si="41"/>
        <v>99</v>
      </c>
      <c r="M62" s="213">
        <f t="shared" si="42"/>
        <v>108</v>
      </c>
      <c r="N62" s="213">
        <f t="shared" si="43"/>
        <v>110</v>
      </c>
      <c r="O62" s="359"/>
    </row>
    <row r="63" spans="1:21" ht="18.95" customHeight="1">
      <c r="A63" s="678"/>
      <c r="B63" s="210" t="s">
        <v>860</v>
      </c>
      <c r="C63" s="211">
        <f>SUMPRODUCT(('[2]2.행정구역별 급수인구'!$C$7:$C$997=$B63)*('[2]2.행정구역별 급수인구'!S$7:S$997))</f>
        <v>0</v>
      </c>
      <c r="D63" s="211">
        <f>SUMPRODUCT(('[2]2.행정구역별 급수인구'!$C$7:$C$997=$B63)*('[2]2.행정구역별 급수인구'!T$7:T$997))</f>
        <v>0</v>
      </c>
      <c r="E63" s="211">
        <f>SUMPRODUCT(('[2]2.행정구역별 급수인구'!$C$7:$C$997=$B63)*('[2]2.행정구역별 급수인구'!U$7:U$997))</f>
        <v>0</v>
      </c>
      <c r="F63" s="211">
        <f>SUMPRODUCT(('[2]2.행정구역별 급수인구'!$C$7:$C$997=$B63)*('[2]2.행정구역별 급수인구'!V$7:V$997))</f>
        <v>222</v>
      </c>
      <c r="G63" s="211">
        <f>SUMPRODUCT(('[2]2.행정구역별 급수인구'!$C$7:$C$997=$B63)*('[2]2.행정구역별 급수인구'!W$7:W$997))</f>
        <v>241</v>
      </c>
      <c r="H63" s="211">
        <f>SUMPRODUCT(('[2]2.행정구역별 급수인구'!$C$7:$C$997=$B63)*('[2]2.행정구역별 급수인구'!X$7:X$997))</f>
        <v>246</v>
      </c>
      <c r="I63" s="213">
        <f>SUMIF('2013 행정구역 생활용수량'!$B$4:$B$484,B63,'2013 행정구역 생활용수량'!$D$4:$D$484)</f>
        <v>0</v>
      </c>
      <c r="J63" s="213">
        <f t="shared" si="39"/>
        <v>0</v>
      </c>
      <c r="K63" s="213">
        <f t="shared" si="40"/>
        <v>0</v>
      </c>
      <c r="L63" s="213">
        <f t="shared" si="41"/>
        <v>68</v>
      </c>
      <c r="M63" s="213">
        <f t="shared" si="42"/>
        <v>75</v>
      </c>
      <c r="N63" s="213">
        <f t="shared" si="43"/>
        <v>76</v>
      </c>
      <c r="O63" s="359"/>
    </row>
    <row r="64" spans="1:21" ht="18.95" customHeight="1">
      <c r="A64" s="676" t="s">
        <v>861</v>
      </c>
      <c r="B64" s="215" t="s">
        <v>837</v>
      </c>
      <c r="C64" s="211">
        <f>'[3]5.급수원단위'!C$34</f>
        <v>272</v>
      </c>
      <c r="D64" s="211">
        <f>'[3]5.급수원단위'!$D$41</f>
        <v>304</v>
      </c>
      <c r="E64" s="211">
        <f>'[3]5.급수원단위'!D$34</f>
        <v>304</v>
      </c>
      <c r="F64" s="211">
        <f>'[3]5.급수원단위'!E$34</f>
        <v>308</v>
      </c>
      <c r="G64" s="211">
        <f>'[3]5.급수원단위'!F$34</f>
        <v>310</v>
      </c>
      <c r="H64" s="211">
        <f>'[3]5.급수원단위'!G$34</f>
        <v>310</v>
      </c>
      <c r="I64" s="680"/>
      <c r="J64" s="681"/>
      <c r="K64" s="681"/>
      <c r="L64" s="681"/>
      <c r="M64" s="681"/>
      <c r="N64" s="682"/>
      <c r="O64" s="359"/>
      <c r="Q64" s="511">
        <v>2013</v>
      </c>
      <c r="R64" s="511">
        <v>2015</v>
      </c>
      <c r="S64" s="511">
        <v>2020</v>
      </c>
      <c r="T64" s="511">
        <v>2025</v>
      </c>
      <c r="U64" s="511">
        <v>2030</v>
      </c>
    </row>
    <row r="65" spans="1:21" ht="18.95" customHeight="1">
      <c r="A65" s="677"/>
      <c r="B65" s="214" t="s">
        <v>778</v>
      </c>
      <c r="C65" s="212">
        <f>SUM(C66:C79)</f>
        <v>0</v>
      </c>
      <c r="D65" s="212">
        <f t="shared" ref="D65:H65" si="44">SUM(D66:D79)</f>
        <v>0</v>
      </c>
      <c r="E65" s="212">
        <f t="shared" si="44"/>
        <v>1623</v>
      </c>
      <c r="F65" s="212">
        <f t="shared" si="44"/>
        <v>3235</v>
      </c>
      <c r="G65" s="212">
        <f t="shared" si="44"/>
        <v>3507</v>
      </c>
      <c r="H65" s="212">
        <f t="shared" si="44"/>
        <v>3573</v>
      </c>
      <c r="I65" s="212">
        <f t="shared" ref="I65:N65" si="45">SUM(I66:I79)</f>
        <v>0</v>
      </c>
      <c r="J65" s="212">
        <f t="shared" ref="J65" si="46">SUM(J66:J79)</f>
        <v>0</v>
      </c>
      <c r="K65" s="212">
        <f t="shared" si="45"/>
        <v>493</v>
      </c>
      <c r="L65" s="212">
        <f t="shared" si="45"/>
        <v>998</v>
      </c>
      <c r="M65" s="212">
        <f t="shared" si="45"/>
        <v>1087</v>
      </c>
      <c r="N65" s="212">
        <f t="shared" si="45"/>
        <v>1110</v>
      </c>
      <c r="O65" s="359">
        <f>'2013년도 용수량 비율'!F9</f>
        <v>1</v>
      </c>
      <c r="Q65" s="213">
        <f>ROUND(I65,-2)</f>
        <v>0</v>
      </c>
      <c r="R65" s="213">
        <f>ROUND(K65,-2)</f>
        <v>500</v>
      </c>
      <c r="S65" s="213">
        <f>ROUND(L65,-2)</f>
        <v>1000</v>
      </c>
      <c r="T65" s="213">
        <f>ROUND(M65,-2)</f>
        <v>1100</v>
      </c>
      <c r="U65" s="213">
        <f>ROUND(N65,-2)</f>
        <v>1100</v>
      </c>
    </row>
    <row r="66" spans="1:21" ht="18.95" customHeight="1">
      <c r="A66" s="677"/>
      <c r="B66" s="210" t="s">
        <v>862</v>
      </c>
      <c r="C66" s="211">
        <f>SUMPRODUCT(('[2]2.행정구역별 급수인구'!$C$7:$C$997=$B66)*('[2]2.행정구역별 급수인구'!S$7:S$997))</f>
        <v>0</v>
      </c>
      <c r="D66" s="211">
        <f>SUMPRODUCT(('[2]2.행정구역별 급수인구'!$C$7:$C$997=$B66)*('[2]2.행정구역별 급수인구'!T$7:T$997))</f>
        <v>0</v>
      </c>
      <c r="E66" s="211">
        <f>SUMPRODUCT(('[2]2.행정구역별 급수인구'!$C$7:$C$997=$B66)*('[2]2.행정구역별 급수인구'!U$7:U$997))</f>
        <v>490</v>
      </c>
      <c r="F66" s="211">
        <f>SUMPRODUCT(('[2]2.행정구역별 급수인구'!$C$7:$C$997=$B66)*('[2]2.행정구역별 급수인구'!V$7:V$997))</f>
        <v>514</v>
      </c>
      <c r="G66" s="211">
        <f>SUMPRODUCT(('[2]2.행정구역별 급수인구'!$C$7:$C$997=$B66)*('[2]2.행정구역별 급수인구'!W$7:W$997))</f>
        <v>559</v>
      </c>
      <c r="H66" s="211">
        <f>SUMPRODUCT(('[2]2.행정구역별 급수인구'!$C$7:$C$997=$B66)*('[2]2.행정구역별 급수인구'!X$7:X$997))</f>
        <v>569</v>
      </c>
      <c r="I66" s="213">
        <f>SUMIF('2013 행정구역 생활용수량'!$B$4:$B$484,B66,'2013 행정구역 생활용수량'!$D$4:$D$484)</f>
        <v>0</v>
      </c>
      <c r="J66" s="213">
        <f t="shared" ref="J66" si="47">ROUND(D66*D$64/1000,0)</f>
        <v>0</v>
      </c>
      <c r="K66" s="213">
        <f>'2.생활용수(급수구역)'!J77-SUM(K67:K79)</f>
        <v>149</v>
      </c>
      <c r="L66" s="213">
        <f>'2.생활용수(급수구역)'!K77-SUM(L67:L79)</f>
        <v>159</v>
      </c>
      <c r="M66" s="213">
        <f>'2.생활용수(급수구역)'!L77-SUM(M67:M79)</f>
        <v>173</v>
      </c>
      <c r="N66" s="213">
        <f>'2.생활용수(급수구역)'!M77-SUM(N67:N79)</f>
        <v>178</v>
      </c>
      <c r="O66" s="359"/>
    </row>
    <row r="67" spans="1:21" ht="18.95" customHeight="1">
      <c r="A67" s="677"/>
      <c r="B67" s="210" t="s">
        <v>863</v>
      </c>
      <c r="C67" s="211">
        <f>SUMPRODUCT(('[2]2.행정구역별 급수인구'!$C$7:$C$997=$B67)*('[2]2.행정구역별 급수인구'!S$7:S$997))</f>
        <v>0</v>
      </c>
      <c r="D67" s="211">
        <f>SUMPRODUCT(('[2]2.행정구역별 급수인구'!$C$7:$C$997=$B67)*('[2]2.행정구역별 급수인구'!T$7:T$997))</f>
        <v>0</v>
      </c>
      <c r="E67" s="211">
        <f>SUMPRODUCT(('[2]2.행정구역별 급수인구'!$C$7:$C$997=$B67)*('[2]2.행정구역별 급수인구'!U$7:U$997))</f>
        <v>172</v>
      </c>
      <c r="F67" s="211">
        <f>SUMPRODUCT(('[2]2.행정구역별 급수인구'!$C$7:$C$997=$B67)*('[2]2.행정구역별 급수인구'!V$7:V$997))</f>
        <v>181</v>
      </c>
      <c r="G67" s="211">
        <f>SUMPRODUCT(('[2]2.행정구역별 급수인구'!$C$7:$C$997=$B67)*('[2]2.행정구역별 급수인구'!W$7:W$997))</f>
        <v>196</v>
      </c>
      <c r="H67" s="211">
        <f>SUMPRODUCT(('[2]2.행정구역별 급수인구'!$C$7:$C$997=$B67)*('[2]2.행정구역별 급수인구'!X$7:X$997))</f>
        <v>200</v>
      </c>
      <c r="I67" s="213">
        <f>SUMIF('2013 행정구역 생활용수량'!$B$4:$B$484,B67,'2013 행정구역 생활용수량'!$D$4:$D$484)</f>
        <v>0</v>
      </c>
      <c r="J67" s="213">
        <f t="shared" ref="J67:J79" si="48">ROUND(D67*D$64/1000,0)</f>
        <v>0</v>
      </c>
      <c r="K67" s="213">
        <f t="shared" ref="K67:K79" si="49">ROUND(E67*E$64/1000,0)</f>
        <v>52</v>
      </c>
      <c r="L67" s="213">
        <f t="shared" ref="L67:L79" si="50">ROUND(F67*F$64/1000,0)</f>
        <v>56</v>
      </c>
      <c r="M67" s="213">
        <f t="shared" ref="M67:M79" si="51">ROUND(G67*G$64/1000,0)</f>
        <v>61</v>
      </c>
      <c r="N67" s="213">
        <f t="shared" ref="N67:N79" si="52">ROUND(H67*H$64/1000,0)</f>
        <v>62</v>
      </c>
      <c r="O67" s="359"/>
    </row>
    <row r="68" spans="1:21" ht="18.95" customHeight="1">
      <c r="A68" s="677"/>
      <c r="B68" s="210" t="s">
        <v>864</v>
      </c>
      <c r="C68" s="211">
        <f>SUMPRODUCT(('[2]2.행정구역별 급수인구'!$C$7:$C$997=$B68)*('[2]2.행정구역별 급수인구'!S$7:S$997))</f>
        <v>0</v>
      </c>
      <c r="D68" s="211">
        <f>SUMPRODUCT(('[2]2.행정구역별 급수인구'!$C$7:$C$997=$B68)*('[2]2.행정구역별 급수인구'!T$7:T$997))</f>
        <v>0</v>
      </c>
      <c r="E68" s="211">
        <f>SUMPRODUCT(('[2]2.행정구역별 급수인구'!$C$7:$C$997=$B68)*('[2]2.행정구역별 급수인구'!U$7:U$997))</f>
        <v>539</v>
      </c>
      <c r="F68" s="211">
        <f>SUMPRODUCT(('[2]2.행정구역별 급수인구'!$C$7:$C$997=$B68)*('[2]2.행정구역별 급수인구'!V$7:V$997))</f>
        <v>567</v>
      </c>
      <c r="G68" s="211">
        <f>SUMPRODUCT(('[2]2.행정구역별 급수인구'!$C$7:$C$997=$B68)*('[2]2.행정구역별 급수인구'!W$7:W$997))</f>
        <v>615</v>
      </c>
      <c r="H68" s="211">
        <f>SUMPRODUCT(('[2]2.행정구역별 급수인구'!$C$7:$C$997=$B68)*('[2]2.행정구역별 급수인구'!X$7:X$997))</f>
        <v>627</v>
      </c>
      <c r="I68" s="213">
        <f>SUMIF('2013 행정구역 생활용수량'!$B$4:$B$484,B68,'2013 행정구역 생활용수량'!$D$4:$D$484)</f>
        <v>0</v>
      </c>
      <c r="J68" s="213">
        <f t="shared" si="48"/>
        <v>0</v>
      </c>
      <c r="K68" s="213">
        <f t="shared" si="49"/>
        <v>164</v>
      </c>
      <c r="L68" s="213">
        <f t="shared" si="50"/>
        <v>175</v>
      </c>
      <c r="M68" s="213">
        <f t="shared" si="51"/>
        <v>191</v>
      </c>
      <c r="N68" s="213">
        <f t="shared" si="52"/>
        <v>194</v>
      </c>
      <c r="O68" s="359"/>
    </row>
    <row r="69" spans="1:21" ht="18.95" customHeight="1">
      <c r="A69" s="677"/>
      <c r="B69" s="210" t="s">
        <v>865</v>
      </c>
      <c r="C69" s="211">
        <f>SUMPRODUCT(('[2]2.행정구역별 급수인구'!$C$7:$C$997=$B69)*('[2]2.행정구역별 급수인구'!S$7:S$997))</f>
        <v>0</v>
      </c>
      <c r="D69" s="211">
        <f>SUMPRODUCT(('[2]2.행정구역별 급수인구'!$C$7:$C$997=$B69)*('[2]2.행정구역별 급수인구'!T$7:T$997))</f>
        <v>0</v>
      </c>
      <c r="E69" s="211">
        <f>SUMPRODUCT(('[2]2.행정구역별 급수인구'!$C$7:$C$997=$B69)*('[2]2.행정구역별 급수인구'!U$7:U$997))</f>
        <v>202</v>
      </c>
      <c r="F69" s="211">
        <f>SUMPRODUCT(('[2]2.행정구역별 급수인구'!$C$7:$C$997=$B69)*('[2]2.행정구역별 급수인구'!V$7:V$997))</f>
        <v>213</v>
      </c>
      <c r="G69" s="211">
        <f>SUMPRODUCT(('[2]2.행정구역별 급수인구'!$C$7:$C$997=$B69)*('[2]2.행정구역별 급수인구'!W$7:W$997))</f>
        <v>230</v>
      </c>
      <c r="H69" s="211">
        <f>SUMPRODUCT(('[2]2.행정구역별 급수인구'!$C$7:$C$997=$B69)*('[2]2.행정구역별 급수인구'!X$7:X$997))</f>
        <v>235</v>
      </c>
      <c r="I69" s="213">
        <f>SUMIF('2013 행정구역 생활용수량'!$B$4:$B$484,B69,'2013 행정구역 생활용수량'!$D$4:$D$484)</f>
        <v>0</v>
      </c>
      <c r="J69" s="213">
        <f t="shared" si="48"/>
        <v>0</v>
      </c>
      <c r="K69" s="213">
        <f t="shared" si="49"/>
        <v>61</v>
      </c>
      <c r="L69" s="213">
        <f t="shared" si="50"/>
        <v>66</v>
      </c>
      <c r="M69" s="213">
        <f t="shared" si="51"/>
        <v>71</v>
      </c>
      <c r="N69" s="213">
        <f t="shared" si="52"/>
        <v>73</v>
      </c>
      <c r="O69" s="359"/>
    </row>
    <row r="70" spans="1:21" ht="18.95" customHeight="1">
      <c r="A70" s="677"/>
      <c r="B70" s="210" t="s">
        <v>866</v>
      </c>
      <c r="C70" s="211">
        <f>SUMPRODUCT(('[2]2.행정구역별 급수인구'!$C$7:$C$997=$B70)*('[2]2.행정구역별 급수인구'!S$7:S$997))</f>
        <v>0</v>
      </c>
      <c r="D70" s="211">
        <f>SUMPRODUCT(('[2]2.행정구역별 급수인구'!$C$7:$C$997=$B70)*('[2]2.행정구역별 급수인구'!T$7:T$997))</f>
        <v>0</v>
      </c>
      <c r="E70" s="211">
        <f>SUMPRODUCT(('[2]2.행정구역별 급수인구'!$C$7:$C$997=$B70)*('[2]2.행정구역별 급수인구'!U$7:U$997))</f>
        <v>220</v>
      </c>
      <c r="F70" s="211">
        <f>SUMPRODUCT(('[2]2.행정구역별 급수인구'!$C$7:$C$997=$B70)*('[2]2.행정구역별 급수인구'!V$7:V$997))</f>
        <v>231</v>
      </c>
      <c r="G70" s="211">
        <f>SUMPRODUCT(('[2]2.행정구역별 급수인구'!$C$7:$C$997=$B70)*('[2]2.행정구역별 급수인구'!W$7:W$997))</f>
        <v>251</v>
      </c>
      <c r="H70" s="211">
        <f>SUMPRODUCT(('[2]2.행정구역별 급수인구'!$C$7:$C$997=$B70)*('[2]2.행정구역별 급수인구'!X$7:X$997))</f>
        <v>257</v>
      </c>
      <c r="I70" s="213">
        <f>SUMIF('2013 행정구역 생활용수량'!$B$4:$B$484,B70,'2013 행정구역 생활용수량'!$D$4:$D$484)</f>
        <v>0</v>
      </c>
      <c r="J70" s="213">
        <f t="shared" si="48"/>
        <v>0</v>
      </c>
      <c r="K70" s="213">
        <f t="shared" si="49"/>
        <v>67</v>
      </c>
      <c r="L70" s="213">
        <f t="shared" si="50"/>
        <v>71</v>
      </c>
      <c r="M70" s="213">
        <f t="shared" si="51"/>
        <v>78</v>
      </c>
      <c r="N70" s="213">
        <f t="shared" si="52"/>
        <v>80</v>
      </c>
      <c r="O70" s="359"/>
    </row>
    <row r="71" spans="1:21" ht="18.95" customHeight="1">
      <c r="A71" s="677"/>
      <c r="B71" s="210" t="s">
        <v>867</v>
      </c>
      <c r="C71" s="211">
        <f>SUMPRODUCT(('[2]2.행정구역별 급수인구'!$C$7:$C$997=$B71)*('[2]2.행정구역별 급수인구'!S$7:S$997))</f>
        <v>0</v>
      </c>
      <c r="D71" s="211">
        <f>SUMPRODUCT(('[2]2.행정구역별 급수인구'!$C$7:$C$997=$B71)*('[2]2.행정구역별 급수인구'!T$7:T$997))</f>
        <v>0</v>
      </c>
      <c r="E71" s="211">
        <f>SUMPRODUCT(('[2]2.행정구역별 급수인구'!$C$7:$C$997=$B71)*('[2]2.행정구역별 급수인구'!U$7:U$997))</f>
        <v>0</v>
      </c>
      <c r="F71" s="211">
        <f>SUMPRODUCT(('[2]2.행정구역별 급수인구'!$C$7:$C$997=$B71)*('[2]2.행정구역별 급수인구'!V$7:V$997))</f>
        <v>229</v>
      </c>
      <c r="G71" s="211">
        <f>SUMPRODUCT(('[2]2.행정구역별 급수인구'!$C$7:$C$997=$B71)*('[2]2.행정구역별 급수인구'!W$7:W$997))</f>
        <v>248</v>
      </c>
      <c r="H71" s="211">
        <f>SUMPRODUCT(('[2]2.행정구역별 급수인구'!$C$7:$C$997=$B71)*('[2]2.행정구역별 급수인구'!X$7:X$997))</f>
        <v>253</v>
      </c>
      <c r="I71" s="213">
        <f>SUMIF('2013 행정구역 생활용수량'!$B$4:$B$484,B71,'2013 행정구역 생활용수량'!$D$4:$D$484)</f>
        <v>0</v>
      </c>
      <c r="J71" s="213">
        <f t="shared" si="48"/>
        <v>0</v>
      </c>
      <c r="K71" s="213">
        <f t="shared" si="49"/>
        <v>0</v>
      </c>
      <c r="L71" s="213">
        <f t="shared" si="50"/>
        <v>71</v>
      </c>
      <c r="M71" s="213">
        <f t="shared" si="51"/>
        <v>77</v>
      </c>
      <c r="N71" s="213">
        <f t="shared" si="52"/>
        <v>78</v>
      </c>
      <c r="O71" s="359"/>
    </row>
    <row r="72" spans="1:21" ht="18.95" customHeight="1">
      <c r="A72" s="677"/>
      <c r="B72" s="210" t="s">
        <v>868</v>
      </c>
      <c r="C72" s="211">
        <f>SUMPRODUCT(('[2]2.행정구역별 급수인구'!$C$7:$C$997=$B72)*('[2]2.행정구역별 급수인구'!S$7:S$997))</f>
        <v>0</v>
      </c>
      <c r="D72" s="211">
        <f>SUMPRODUCT(('[2]2.행정구역별 급수인구'!$C$7:$C$997=$B72)*('[2]2.행정구역별 급수인구'!T$7:T$997))</f>
        <v>0</v>
      </c>
      <c r="E72" s="211">
        <f>SUMPRODUCT(('[2]2.행정구역별 급수인구'!$C$7:$C$997=$B72)*('[2]2.행정구역별 급수인구'!U$7:U$997))</f>
        <v>0</v>
      </c>
      <c r="F72" s="211">
        <f>SUMPRODUCT(('[2]2.행정구역별 급수인구'!$C$7:$C$997=$B72)*('[2]2.행정구역별 급수인구'!V$7:V$997))</f>
        <v>128</v>
      </c>
      <c r="G72" s="211">
        <f>SUMPRODUCT(('[2]2.행정구역별 급수인구'!$C$7:$C$997=$B72)*('[2]2.행정구역별 급수인구'!W$7:W$997))</f>
        <v>139</v>
      </c>
      <c r="H72" s="211">
        <f>SUMPRODUCT(('[2]2.행정구역별 급수인구'!$C$7:$C$997=$B72)*('[2]2.행정구역별 급수인구'!X$7:X$997))</f>
        <v>141</v>
      </c>
      <c r="I72" s="213">
        <f>SUMIF('2013 행정구역 생활용수량'!$B$4:$B$484,B72,'2013 행정구역 생활용수량'!$D$4:$D$484)</f>
        <v>0</v>
      </c>
      <c r="J72" s="213">
        <f t="shared" si="48"/>
        <v>0</v>
      </c>
      <c r="K72" s="213">
        <f t="shared" si="49"/>
        <v>0</v>
      </c>
      <c r="L72" s="213">
        <f t="shared" si="50"/>
        <v>39</v>
      </c>
      <c r="M72" s="213">
        <f t="shared" si="51"/>
        <v>43</v>
      </c>
      <c r="N72" s="213">
        <f t="shared" si="52"/>
        <v>44</v>
      </c>
      <c r="O72" s="359"/>
    </row>
    <row r="73" spans="1:21" ht="18.95" customHeight="1">
      <c r="A73" s="677"/>
      <c r="B73" s="210" t="s">
        <v>869</v>
      </c>
      <c r="C73" s="211">
        <f>SUMPRODUCT(('[2]2.행정구역별 급수인구'!$C$7:$C$997=$B73)*('[2]2.행정구역별 급수인구'!S$7:S$997))</f>
        <v>0</v>
      </c>
      <c r="D73" s="211">
        <f>SUMPRODUCT(('[2]2.행정구역별 급수인구'!$C$7:$C$997=$B73)*('[2]2.행정구역별 급수인구'!T$7:T$997))</f>
        <v>0</v>
      </c>
      <c r="E73" s="211">
        <f>SUMPRODUCT(('[2]2.행정구역별 급수인구'!$C$7:$C$997=$B73)*('[2]2.행정구역별 급수인구'!U$7:U$997))</f>
        <v>0</v>
      </c>
      <c r="F73" s="211">
        <f>SUMPRODUCT(('[2]2.행정구역별 급수인구'!$C$7:$C$997=$B73)*('[2]2.행정구역별 급수인구'!V$7:V$997))</f>
        <v>213</v>
      </c>
      <c r="G73" s="211">
        <f>SUMPRODUCT(('[2]2.행정구역별 급수인구'!$C$7:$C$997=$B73)*('[2]2.행정구역별 급수인구'!W$7:W$997))</f>
        <v>230</v>
      </c>
      <c r="H73" s="211">
        <f>SUMPRODUCT(('[2]2.행정구역별 급수인구'!$C$7:$C$997=$B73)*('[2]2.행정구역별 급수인구'!X$7:X$997))</f>
        <v>234</v>
      </c>
      <c r="I73" s="213">
        <f>SUMIF('2013 행정구역 생활용수량'!$B$4:$B$484,B73,'2013 행정구역 생활용수량'!$D$4:$D$484)</f>
        <v>0</v>
      </c>
      <c r="J73" s="213">
        <f t="shared" si="48"/>
        <v>0</v>
      </c>
      <c r="K73" s="213">
        <f t="shared" si="49"/>
        <v>0</v>
      </c>
      <c r="L73" s="213">
        <f t="shared" si="50"/>
        <v>66</v>
      </c>
      <c r="M73" s="213">
        <f t="shared" si="51"/>
        <v>71</v>
      </c>
      <c r="N73" s="213">
        <f t="shared" si="52"/>
        <v>73</v>
      </c>
      <c r="O73" s="359"/>
    </row>
    <row r="74" spans="1:21" ht="18.95" customHeight="1">
      <c r="A74" s="677"/>
      <c r="B74" s="210" t="s">
        <v>870</v>
      </c>
      <c r="C74" s="211">
        <f>SUMPRODUCT(('[2]2.행정구역별 급수인구'!$C$7:$C$997=$B74)*('[2]2.행정구역별 급수인구'!S$7:S$997))</f>
        <v>0</v>
      </c>
      <c r="D74" s="211">
        <f>SUMPRODUCT(('[2]2.행정구역별 급수인구'!$C$7:$C$997=$B74)*('[2]2.행정구역별 급수인구'!T$7:T$997))</f>
        <v>0</v>
      </c>
      <c r="E74" s="211">
        <f>SUMPRODUCT(('[2]2.행정구역별 급수인구'!$C$7:$C$997=$B74)*('[2]2.행정구역별 급수인구'!U$7:U$997))</f>
        <v>0</v>
      </c>
      <c r="F74" s="211">
        <f>SUMPRODUCT(('[2]2.행정구역별 급수인구'!$C$7:$C$997=$B74)*('[2]2.행정구역별 급수인구'!V$7:V$997))</f>
        <v>105</v>
      </c>
      <c r="G74" s="211">
        <f>SUMPRODUCT(('[2]2.행정구역별 급수인구'!$C$7:$C$997=$B74)*('[2]2.행정구역별 급수인구'!W$7:W$997))</f>
        <v>113</v>
      </c>
      <c r="H74" s="211">
        <f>SUMPRODUCT(('[2]2.행정구역별 급수인구'!$C$7:$C$997=$B74)*('[2]2.행정구역별 급수인구'!X$7:X$997))</f>
        <v>115</v>
      </c>
      <c r="I74" s="213">
        <f>SUMIF('2013 행정구역 생활용수량'!$B$4:$B$484,B74,'2013 행정구역 생활용수량'!$D$4:$D$484)</f>
        <v>0</v>
      </c>
      <c r="J74" s="213">
        <f t="shared" si="48"/>
        <v>0</v>
      </c>
      <c r="K74" s="213">
        <f t="shared" si="49"/>
        <v>0</v>
      </c>
      <c r="L74" s="213">
        <f t="shared" si="50"/>
        <v>32</v>
      </c>
      <c r="M74" s="213">
        <f t="shared" si="51"/>
        <v>35</v>
      </c>
      <c r="N74" s="213">
        <f t="shared" si="52"/>
        <v>36</v>
      </c>
      <c r="O74" s="359"/>
    </row>
    <row r="75" spans="1:21" ht="18.95" customHeight="1">
      <c r="A75" s="677"/>
      <c r="B75" s="210" t="s">
        <v>871</v>
      </c>
      <c r="C75" s="211">
        <f>SUMPRODUCT(('[2]2.행정구역별 급수인구'!$C$7:$C$997=$B75)*('[2]2.행정구역별 급수인구'!S$7:S$997))</f>
        <v>0</v>
      </c>
      <c r="D75" s="211">
        <f>SUMPRODUCT(('[2]2.행정구역별 급수인구'!$C$7:$C$997=$B75)*('[2]2.행정구역별 급수인구'!T$7:T$997))</f>
        <v>0</v>
      </c>
      <c r="E75" s="211">
        <f>SUMPRODUCT(('[2]2.행정구역별 급수인구'!$C$7:$C$997=$B75)*('[2]2.행정구역별 급수인구'!U$7:U$997))</f>
        <v>0</v>
      </c>
      <c r="F75" s="211">
        <f>SUMPRODUCT(('[2]2.행정구역별 급수인구'!$C$7:$C$997=$B75)*('[2]2.행정구역별 급수인구'!V$7:V$997))</f>
        <v>266</v>
      </c>
      <c r="G75" s="211">
        <f>SUMPRODUCT(('[2]2.행정구역별 급수인구'!$C$7:$C$997=$B75)*('[2]2.행정구역별 급수인구'!W$7:W$997))</f>
        <v>287</v>
      </c>
      <c r="H75" s="211">
        <f>SUMPRODUCT(('[2]2.행정구역별 급수인구'!$C$7:$C$997=$B75)*('[2]2.행정구역별 급수인구'!X$7:X$997))</f>
        <v>292</v>
      </c>
      <c r="I75" s="213">
        <f>SUMIF('2013 행정구역 생활용수량'!$B$4:$B$484,B75,'2013 행정구역 생활용수량'!$D$4:$D$484)</f>
        <v>0</v>
      </c>
      <c r="J75" s="213">
        <f t="shared" si="48"/>
        <v>0</v>
      </c>
      <c r="K75" s="213">
        <f t="shared" si="49"/>
        <v>0</v>
      </c>
      <c r="L75" s="213">
        <f t="shared" si="50"/>
        <v>82</v>
      </c>
      <c r="M75" s="213">
        <f t="shared" si="51"/>
        <v>89</v>
      </c>
      <c r="N75" s="213">
        <f t="shared" si="52"/>
        <v>91</v>
      </c>
      <c r="O75" s="359"/>
    </row>
    <row r="76" spans="1:21" ht="18.95" customHeight="1">
      <c r="A76" s="677"/>
      <c r="B76" s="210" t="s">
        <v>872</v>
      </c>
      <c r="C76" s="211">
        <f>SUMPRODUCT(('[2]2.행정구역별 급수인구'!$C$7:$C$997=$B76)*('[2]2.행정구역별 급수인구'!S$7:S$997))</f>
        <v>0</v>
      </c>
      <c r="D76" s="211">
        <f>SUMPRODUCT(('[2]2.행정구역별 급수인구'!$C$7:$C$997=$B76)*('[2]2.행정구역별 급수인구'!T$7:T$997))</f>
        <v>0</v>
      </c>
      <c r="E76" s="211">
        <f>SUMPRODUCT(('[2]2.행정구역별 급수인구'!$C$7:$C$997=$B76)*('[2]2.행정구역별 급수인구'!U$7:U$997))</f>
        <v>0</v>
      </c>
      <c r="F76" s="211">
        <f>SUMPRODUCT(('[2]2.행정구역별 급수인구'!$C$7:$C$997=$B76)*('[2]2.행정구역별 급수인구'!V$7:V$997))</f>
        <v>234</v>
      </c>
      <c r="G76" s="211">
        <f>SUMPRODUCT(('[2]2.행정구역별 급수인구'!$C$7:$C$997=$B76)*('[2]2.행정구역별 급수인구'!W$7:W$997))</f>
        <v>255</v>
      </c>
      <c r="H76" s="211">
        <f>SUMPRODUCT(('[2]2.행정구역별 급수인구'!$C$7:$C$997=$B76)*('[2]2.행정구역별 급수인구'!X$7:X$997))</f>
        <v>260</v>
      </c>
      <c r="I76" s="213">
        <f>SUMIF('2013 행정구역 생활용수량'!$B$4:$B$484,B76,'2013 행정구역 생활용수량'!$D$4:$D$484)</f>
        <v>0</v>
      </c>
      <c r="J76" s="213">
        <f t="shared" si="48"/>
        <v>0</v>
      </c>
      <c r="K76" s="213">
        <f t="shared" si="49"/>
        <v>0</v>
      </c>
      <c r="L76" s="213">
        <f t="shared" si="50"/>
        <v>72</v>
      </c>
      <c r="M76" s="213">
        <f t="shared" si="51"/>
        <v>79</v>
      </c>
      <c r="N76" s="213">
        <f t="shared" si="52"/>
        <v>81</v>
      </c>
      <c r="O76" s="359"/>
    </row>
    <row r="77" spans="1:21" ht="18.95" customHeight="1">
      <c r="A77" s="677"/>
      <c r="B77" s="210" t="s">
        <v>873</v>
      </c>
      <c r="C77" s="211">
        <f>SUMPRODUCT(('[2]2.행정구역별 급수인구'!$C$7:$C$997=$B77)*('[2]2.행정구역별 급수인구'!S$7:S$997))</f>
        <v>0</v>
      </c>
      <c r="D77" s="211">
        <f>SUMPRODUCT(('[2]2.행정구역별 급수인구'!$C$7:$C$997=$B77)*('[2]2.행정구역별 급수인구'!T$7:T$997))</f>
        <v>0</v>
      </c>
      <c r="E77" s="211">
        <f>SUMPRODUCT(('[2]2.행정구역별 급수인구'!$C$7:$C$997=$B77)*('[2]2.행정구역별 급수인구'!U$7:U$997))</f>
        <v>0</v>
      </c>
      <c r="F77" s="211">
        <f>SUMPRODUCT(('[2]2.행정구역별 급수인구'!$C$7:$C$997=$B77)*('[2]2.행정구역별 급수인구'!V$7:V$997))</f>
        <v>191</v>
      </c>
      <c r="G77" s="211">
        <f>SUMPRODUCT(('[2]2.행정구역별 급수인구'!$C$7:$C$997=$B77)*('[2]2.행정구역별 급수인구'!W$7:W$997))</f>
        <v>208</v>
      </c>
      <c r="H77" s="211">
        <f>SUMPRODUCT(('[2]2.행정구역별 급수인구'!$C$7:$C$997=$B77)*('[2]2.행정구역별 급수인구'!X$7:X$997))</f>
        <v>211</v>
      </c>
      <c r="I77" s="213">
        <f>SUMIF('2013 행정구역 생활용수량'!$B$4:$B$484,B77,'2013 행정구역 생활용수량'!$D$4:$D$484)</f>
        <v>0</v>
      </c>
      <c r="J77" s="213">
        <f t="shared" si="48"/>
        <v>0</v>
      </c>
      <c r="K77" s="213">
        <f t="shared" si="49"/>
        <v>0</v>
      </c>
      <c r="L77" s="213">
        <f t="shared" si="50"/>
        <v>59</v>
      </c>
      <c r="M77" s="213">
        <f t="shared" si="51"/>
        <v>64</v>
      </c>
      <c r="N77" s="213">
        <f t="shared" si="52"/>
        <v>65</v>
      </c>
      <c r="O77" s="359"/>
    </row>
    <row r="78" spans="1:21" ht="18.95" customHeight="1">
      <c r="A78" s="677"/>
      <c r="B78" s="210" t="s">
        <v>874</v>
      </c>
      <c r="C78" s="211">
        <f>SUMPRODUCT(('[2]2.행정구역별 급수인구'!$C$7:$C$997=$B78)*('[2]2.행정구역별 급수인구'!S$7:S$997))</f>
        <v>0</v>
      </c>
      <c r="D78" s="211">
        <f>SUMPRODUCT(('[2]2.행정구역별 급수인구'!$C$7:$C$997=$B78)*('[2]2.행정구역별 급수인구'!T$7:T$997))</f>
        <v>0</v>
      </c>
      <c r="E78" s="211">
        <f>SUMPRODUCT(('[2]2.행정구역별 급수인구'!$C$7:$C$997=$B78)*('[2]2.행정구역별 급수인구'!U$7:U$997))</f>
        <v>0</v>
      </c>
      <c r="F78" s="211">
        <f>SUMPRODUCT(('[2]2.행정구역별 급수인구'!$C$7:$C$997=$B78)*('[2]2.행정구역별 급수인구'!V$7:V$997))</f>
        <v>92</v>
      </c>
      <c r="G78" s="211">
        <f>SUMPRODUCT(('[2]2.행정구역별 급수인구'!$C$7:$C$997=$B78)*('[2]2.행정구역별 급수인구'!W$7:W$997))</f>
        <v>99</v>
      </c>
      <c r="H78" s="211">
        <f>SUMPRODUCT(('[2]2.행정구역별 급수인구'!$C$7:$C$997=$B78)*('[2]2.행정구역별 급수인구'!X$7:X$997))</f>
        <v>101</v>
      </c>
      <c r="I78" s="213">
        <f>SUMIF('2013 행정구역 생활용수량'!$B$4:$B$484,B78,'2013 행정구역 생활용수량'!$D$4:$D$484)</f>
        <v>0</v>
      </c>
      <c r="J78" s="213">
        <f t="shared" si="48"/>
        <v>0</v>
      </c>
      <c r="K78" s="213">
        <f t="shared" si="49"/>
        <v>0</v>
      </c>
      <c r="L78" s="213">
        <f t="shared" si="50"/>
        <v>28</v>
      </c>
      <c r="M78" s="213">
        <f t="shared" si="51"/>
        <v>31</v>
      </c>
      <c r="N78" s="213">
        <f t="shared" si="52"/>
        <v>31</v>
      </c>
      <c r="O78" s="359"/>
    </row>
    <row r="79" spans="1:21" ht="18.95" customHeight="1">
      <c r="A79" s="678"/>
      <c r="B79" s="210" t="s">
        <v>875</v>
      </c>
      <c r="C79" s="211">
        <f>SUMPRODUCT(('[2]2.행정구역별 급수인구'!$C$7:$C$997=$B79)*('[2]2.행정구역별 급수인구'!S$7:S$997))</f>
        <v>0</v>
      </c>
      <c r="D79" s="211">
        <f>SUMPRODUCT(('[2]2.행정구역별 급수인구'!$C$7:$C$997=$B79)*('[2]2.행정구역별 급수인구'!T$7:T$997))</f>
        <v>0</v>
      </c>
      <c r="E79" s="211">
        <f>SUMPRODUCT(('[2]2.행정구역별 급수인구'!$C$7:$C$997=$B79)*('[2]2.행정구역별 급수인구'!U$7:U$997))</f>
        <v>0</v>
      </c>
      <c r="F79" s="211">
        <f>SUMPRODUCT(('[2]2.행정구역별 급수인구'!$C$7:$C$997=$B79)*('[2]2.행정구역별 급수인구'!V$7:V$997))</f>
        <v>71</v>
      </c>
      <c r="G79" s="211">
        <f>SUMPRODUCT(('[2]2.행정구역별 급수인구'!$C$7:$C$997=$B79)*('[2]2.행정구역별 급수인구'!W$7:W$997))</f>
        <v>77</v>
      </c>
      <c r="H79" s="211">
        <f>SUMPRODUCT(('[2]2.행정구역별 급수인구'!$C$7:$C$997=$B79)*('[2]2.행정구역별 급수인구'!X$7:X$997))</f>
        <v>78</v>
      </c>
      <c r="I79" s="213">
        <f>SUMIF('2013 행정구역 생활용수량'!$B$4:$B$484,B79,'2013 행정구역 생활용수량'!$D$4:$D$484)</f>
        <v>0</v>
      </c>
      <c r="J79" s="213">
        <f t="shared" si="48"/>
        <v>0</v>
      </c>
      <c r="K79" s="213">
        <f t="shared" si="49"/>
        <v>0</v>
      </c>
      <c r="L79" s="213">
        <f t="shared" si="50"/>
        <v>22</v>
      </c>
      <c r="M79" s="213">
        <f t="shared" si="51"/>
        <v>24</v>
      </c>
      <c r="N79" s="213">
        <f t="shared" si="52"/>
        <v>24</v>
      </c>
      <c r="O79" s="359"/>
    </row>
    <row r="80" spans="1:21" ht="18.95" customHeight="1">
      <c r="A80" s="676" t="s">
        <v>876</v>
      </c>
      <c r="B80" s="215" t="s">
        <v>837</v>
      </c>
      <c r="C80" s="211">
        <f>'[3]5.급수원단위'!C$34</f>
        <v>272</v>
      </c>
      <c r="D80" s="211">
        <f>'[3]5.급수원단위'!$D$41</f>
        <v>304</v>
      </c>
      <c r="E80" s="211">
        <f>'[3]5.급수원단위'!D$34</f>
        <v>304</v>
      </c>
      <c r="F80" s="211">
        <f>'[3]5.급수원단위'!E$34</f>
        <v>308</v>
      </c>
      <c r="G80" s="211">
        <f>'[3]5.급수원단위'!F$34</f>
        <v>310</v>
      </c>
      <c r="H80" s="211">
        <f>'[3]5.급수원단위'!G$34</f>
        <v>310</v>
      </c>
      <c r="I80" s="680"/>
      <c r="J80" s="681"/>
      <c r="K80" s="681"/>
      <c r="L80" s="681"/>
      <c r="M80" s="681"/>
      <c r="N80" s="682"/>
      <c r="O80" s="359"/>
      <c r="Q80" s="511">
        <v>2013</v>
      </c>
      <c r="R80" s="511">
        <v>2015</v>
      </c>
      <c r="S80" s="511">
        <v>2020</v>
      </c>
      <c r="T80" s="511">
        <v>2025</v>
      </c>
      <c r="U80" s="511">
        <v>2030</v>
      </c>
    </row>
    <row r="81" spans="1:21" ht="18.95" customHeight="1">
      <c r="A81" s="677"/>
      <c r="B81" s="214" t="s">
        <v>778</v>
      </c>
      <c r="C81" s="212">
        <f>SUM(C82:C94)</f>
        <v>0</v>
      </c>
      <c r="D81" s="212">
        <f t="shared" ref="D81:H81" si="53">SUM(D82:D94)</f>
        <v>0</v>
      </c>
      <c r="E81" s="212">
        <f t="shared" si="53"/>
        <v>1931</v>
      </c>
      <c r="F81" s="212">
        <f t="shared" si="53"/>
        <v>3424</v>
      </c>
      <c r="G81" s="212">
        <f t="shared" si="53"/>
        <v>3713</v>
      </c>
      <c r="H81" s="212">
        <f t="shared" si="53"/>
        <v>3779</v>
      </c>
      <c r="I81" s="212">
        <f t="shared" ref="I81:N81" si="54">SUM(I82:I94)</f>
        <v>0</v>
      </c>
      <c r="J81" s="212">
        <f t="shared" ref="J81" si="55">SUM(J82:J94)</f>
        <v>0</v>
      </c>
      <c r="K81" s="212">
        <f t="shared" si="54"/>
        <v>587</v>
      </c>
      <c r="L81" s="212">
        <f t="shared" si="54"/>
        <v>1054</v>
      </c>
      <c r="M81" s="212">
        <f t="shared" si="54"/>
        <v>1154</v>
      </c>
      <c r="N81" s="212">
        <f t="shared" si="54"/>
        <v>1171</v>
      </c>
      <c r="O81" s="359">
        <f>'2013년도 용수량 비율'!F10</f>
        <v>1</v>
      </c>
      <c r="Q81" s="213">
        <f>ROUND(I81,-2)</f>
        <v>0</v>
      </c>
      <c r="R81" s="213">
        <f>ROUND(K81,-2)</f>
        <v>600</v>
      </c>
      <c r="S81" s="213">
        <f>ROUND(L81,-2)</f>
        <v>1100</v>
      </c>
      <c r="T81" s="213">
        <f>ROUND(M81,-2)</f>
        <v>1200</v>
      </c>
      <c r="U81" s="213">
        <f>ROUND(N81,-2)</f>
        <v>1200</v>
      </c>
    </row>
    <row r="82" spans="1:21" ht="18.95" customHeight="1">
      <c r="A82" s="677"/>
      <c r="B82" s="210" t="s">
        <v>877</v>
      </c>
      <c r="C82" s="211">
        <f>SUMPRODUCT(('[2]2.행정구역별 급수인구'!$C$7:$C$997=$B82)*('[2]2.행정구역별 급수인구'!S$7:S$997))</f>
        <v>0</v>
      </c>
      <c r="D82" s="211">
        <f>SUMPRODUCT(('[2]2.행정구역별 급수인구'!$C$7:$C$997=$B82)*('[2]2.행정구역별 급수인구'!T$7:T$997))</f>
        <v>0</v>
      </c>
      <c r="E82" s="211">
        <f>SUMPRODUCT(('[2]2.행정구역별 급수인구'!$C$7:$C$997=$B82)*('[2]2.행정구역별 급수인구'!U$7:U$997))</f>
        <v>322</v>
      </c>
      <c r="F82" s="211">
        <f>SUMPRODUCT(('[2]2.행정구역별 급수인구'!$C$7:$C$997=$B82)*('[2]2.행정구역별 급수인구'!V$7:V$997))</f>
        <v>338</v>
      </c>
      <c r="G82" s="211">
        <f>SUMPRODUCT(('[2]2.행정구역별 급수인구'!$C$7:$C$997=$B82)*('[2]2.행정구역별 급수인구'!W$7:W$997))</f>
        <v>366</v>
      </c>
      <c r="H82" s="211">
        <f>SUMPRODUCT(('[2]2.행정구역별 급수인구'!$C$7:$C$997=$B82)*('[2]2.행정구역별 급수인구'!X$7:X$997))</f>
        <v>374</v>
      </c>
      <c r="I82" s="213">
        <f>SUMIF('2013 행정구역 생활용수량'!$B$4:$B$484,B82,'2013 행정구역 생활용수량'!$D$4:$D$484)</f>
        <v>0</v>
      </c>
      <c r="J82" s="213">
        <f t="shared" ref="J82:N82" si="56">ROUND(D82*D$80/1000,0)</f>
        <v>0</v>
      </c>
      <c r="K82" s="213">
        <f t="shared" si="56"/>
        <v>98</v>
      </c>
      <c r="L82" s="213">
        <f t="shared" si="56"/>
        <v>104</v>
      </c>
      <c r="M82" s="213">
        <f t="shared" si="56"/>
        <v>113</v>
      </c>
      <c r="N82" s="213">
        <f t="shared" si="56"/>
        <v>116</v>
      </c>
      <c r="O82" s="359"/>
    </row>
    <row r="83" spans="1:21" ht="18.95" customHeight="1">
      <c r="A83" s="677"/>
      <c r="B83" s="210" t="s">
        <v>878</v>
      </c>
      <c r="C83" s="211">
        <f>SUMPRODUCT(('[2]2.행정구역별 급수인구'!$C$7:$C$997=$B83)*('[2]2.행정구역별 급수인구'!S$7:S$997))</f>
        <v>0</v>
      </c>
      <c r="D83" s="211">
        <f>SUMPRODUCT(('[2]2.행정구역별 급수인구'!$C$7:$C$997=$B83)*('[2]2.행정구역별 급수인구'!T$7:T$997))</f>
        <v>0</v>
      </c>
      <c r="E83" s="211">
        <f>SUMPRODUCT(('[2]2.행정구역별 급수인구'!$C$7:$C$997=$B83)*('[2]2.행정구역별 급수인구'!U$7:U$997))</f>
        <v>91</v>
      </c>
      <c r="F83" s="211">
        <f>SUMPRODUCT(('[2]2.행정구역별 급수인구'!$C$7:$C$997=$B83)*('[2]2.행정구역별 급수인구'!V$7:V$997))</f>
        <v>96</v>
      </c>
      <c r="G83" s="211">
        <f>SUMPRODUCT(('[2]2.행정구역별 급수인구'!$C$7:$C$997=$B83)*('[2]2.행정구역별 급수인구'!W$7:W$997))</f>
        <v>104</v>
      </c>
      <c r="H83" s="211">
        <f>SUMPRODUCT(('[2]2.행정구역별 급수인구'!$C$7:$C$997=$B83)*('[2]2.행정구역별 급수인구'!X$7:X$997))</f>
        <v>106</v>
      </c>
      <c r="I83" s="213">
        <f>SUMIF('2013 행정구역 생활용수량'!$B$4:$B$484,B83,'2013 행정구역 생활용수량'!$D$4:$D$484)</f>
        <v>0</v>
      </c>
      <c r="J83" s="213">
        <f t="shared" ref="J83:J94" si="57">ROUND(D83*D$80/1000,0)</f>
        <v>0</v>
      </c>
      <c r="K83" s="213">
        <f t="shared" ref="K83:K93" si="58">ROUND(E83*E$80/1000,0)</f>
        <v>28</v>
      </c>
      <c r="L83" s="213">
        <f t="shared" ref="L83:L93" si="59">ROUND(F83*F$80/1000,0)</f>
        <v>30</v>
      </c>
      <c r="M83" s="213">
        <f t="shared" ref="M83:M93" si="60">ROUND(G83*G$80/1000,0)</f>
        <v>32</v>
      </c>
      <c r="N83" s="213">
        <f t="shared" ref="N83:N93" si="61">ROUND(H83*H$80/1000,0)</f>
        <v>33</v>
      </c>
      <c r="O83" s="359"/>
    </row>
    <row r="84" spans="1:21" ht="18.95" customHeight="1">
      <c r="A84" s="677"/>
      <c r="B84" s="210" t="s">
        <v>879</v>
      </c>
      <c r="C84" s="211">
        <f>SUMPRODUCT(('[2]2.행정구역별 급수인구'!$C$7:$C$997=$B84)*('[2]2.행정구역별 급수인구'!S$7:S$997))</f>
        <v>0</v>
      </c>
      <c r="D84" s="211">
        <f>SUMPRODUCT(('[2]2.행정구역별 급수인구'!$C$7:$C$997=$B84)*('[2]2.행정구역별 급수인구'!T$7:T$997))</f>
        <v>0</v>
      </c>
      <c r="E84" s="211">
        <f>SUMPRODUCT(('[2]2.행정구역별 급수인구'!$C$7:$C$997=$B84)*('[2]2.행정구역별 급수인구'!U$7:U$997))</f>
        <v>345</v>
      </c>
      <c r="F84" s="211">
        <f>SUMPRODUCT(('[2]2.행정구역별 급수인구'!$C$7:$C$997=$B84)*('[2]2.행정구역별 급수인구'!V$7:V$997))</f>
        <v>363</v>
      </c>
      <c r="G84" s="211">
        <f>SUMPRODUCT(('[2]2.행정구역별 급수인구'!$C$7:$C$997=$B84)*('[2]2.행정구역별 급수인구'!W$7:W$997))</f>
        <v>394</v>
      </c>
      <c r="H84" s="211">
        <f>SUMPRODUCT(('[2]2.행정구역별 급수인구'!$C$7:$C$997=$B84)*('[2]2.행정구역별 급수인구'!X$7:X$997))</f>
        <v>401</v>
      </c>
      <c r="I84" s="213">
        <f>SUMIF('2013 행정구역 생활용수량'!$B$4:$B$484,B84,'2013 행정구역 생활용수량'!$D$4:$D$484)</f>
        <v>0</v>
      </c>
      <c r="J84" s="213">
        <f t="shared" si="57"/>
        <v>0</v>
      </c>
      <c r="K84" s="213">
        <f t="shared" si="58"/>
        <v>105</v>
      </c>
      <c r="L84" s="213">
        <f t="shared" si="59"/>
        <v>112</v>
      </c>
      <c r="M84" s="213">
        <f t="shared" si="60"/>
        <v>122</v>
      </c>
      <c r="N84" s="213">
        <f t="shared" si="61"/>
        <v>124</v>
      </c>
      <c r="O84" s="359"/>
    </row>
    <row r="85" spans="1:21" ht="18.95" customHeight="1">
      <c r="A85" s="677"/>
      <c r="B85" s="210" t="s">
        <v>880</v>
      </c>
      <c r="C85" s="211">
        <f>SUMPRODUCT(('[2]2.행정구역별 급수인구'!$C$7:$C$997=$B85)*('[2]2.행정구역별 급수인구'!S$7:S$997))</f>
        <v>0</v>
      </c>
      <c r="D85" s="211">
        <f>SUMPRODUCT(('[2]2.행정구역별 급수인구'!$C$7:$C$997=$B85)*('[2]2.행정구역별 급수인구'!T$7:T$997))</f>
        <v>0</v>
      </c>
      <c r="E85" s="211">
        <f>SUMPRODUCT(('[2]2.행정구역별 급수인구'!$C$7:$C$997=$B85)*('[2]2.행정구역별 급수인구'!U$7:U$997))</f>
        <v>205</v>
      </c>
      <c r="F85" s="211">
        <f>SUMPRODUCT(('[2]2.행정구역별 급수인구'!$C$7:$C$997=$B85)*('[2]2.행정구역별 급수인구'!V$7:V$997))</f>
        <v>215</v>
      </c>
      <c r="G85" s="211">
        <f>SUMPRODUCT(('[2]2.행정구역별 급수인구'!$C$7:$C$997=$B85)*('[2]2.행정구역별 급수인구'!W$7:W$997))</f>
        <v>234</v>
      </c>
      <c r="H85" s="211">
        <f>SUMPRODUCT(('[2]2.행정구역별 급수인구'!$C$7:$C$997=$B85)*('[2]2.행정구역별 급수인구'!X$7:X$997))</f>
        <v>238</v>
      </c>
      <c r="I85" s="213">
        <f>SUMIF('2013 행정구역 생활용수량'!$B$4:$B$484,B85,'2013 행정구역 생활용수량'!$D$4:$D$484)</f>
        <v>0</v>
      </c>
      <c r="J85" s="213">
        <f t="shared" si="57"/>
        <v>0</v>
      </c>
      <c r="K85" s="213">
        <f t="shared" si="58"/>
        <v>62</v>
      </c>
      <c r="L85" s="213">
        <f t="shared" si="59"/>
        <v>66</v>
      </c>
      <c r="M85" s="213">
        <f t="shared" si="60"/>
        <v>73</v>
      </c>
      <c r="N85" s="213">
        <f t="shared" si="61"/>
        <v>74</v>
      </c>
      <c r="O85" s="359"/>
    </row>
    <row r="86" spans="1:21" ht="18.95" customHeight="1">
      <c r="A86" s="677"/>
      <c r="B86" s="210" t="s">
        <v>881</v>
      </c>
      <c r="C86" s="211">
        <f>SUMPRODUCT(('[2]2.행정구역별 급수인구'!$C$7:$C$997=$B86)*('[2]2.행정구역별 급수인구'!S$7:S$997))</f>
        <v>0</v>
      </c>
      <c r="D86" s="211">
        <f>SUMPRODUCT(('[2]2.행정구역별 급수인구'!$C$7:$C$997=$B86)*('[2]2.행정구역별 급수인구'!T$7:T$997))</f>
        <v>0</v>
      </c>
      <c r="E86" s="211">
        <f>SUMPRODUCT(('[2]2.행정구역별 급수인구'!$C$7:$C$997=$B86)*('[2]2.행정구역별 급수인구'!U$7:U$997))</f>
        <v>68</v>
      </c>
      <c r="F86" s="211">
        <f>SUMPRODUCT(('[2]2.행정구역별 급수인구'!$C$7:$C$997=$B86)*('[2]2.행정구역별 급수인구'!V$7:V$997))</f>
        <v>491</v>
      </c>
      <c r="G86" s="211">
        <f>SUMPRODUCT(('[2]2.행정구역별 급수인구'!$C$7:$C$997=$B86)*('[2]2.행정구역별 급수인구'!W$7:W$997))</f>
        <v>533</v>
      </c>
      <c r="H86" s="211">
        <f>SUMPRODUCT(('[2]2.행정구역별 급수인구'!$C$7:$C$997=$B86)*('[2]2.행정구역별 급수인구'!X$7:X$997))</f>
        <v>544</v>
      </c>
      <c r="I86" s="213">
        <f>SUMIF('2013 행정구역 생활용수량'!$B$4:$B$484,B86,'2013 행정구역 생활용수량'!$D$4:$D$484)</f>
        <v>0</v>
      </c>
      <c r="J86" s="213">
        <f t="shared" si="57"/>
        <v>0</v>
      </c>
      <c r="K86" s="213">
        <f t="shared" si="58"/>
        <v>21</v>
      </c>
      <c r="L86" s="213">
        <f t="shared" si="59"/>
        <v>151</v>
      </c>
      <c r="M86" s="213">
        <f t="shared" si="60"/>
        <v>165</v>
      </c>
      <c r="N86" s="213">
        <f t="shared" si="61"/>
        <v>169</v>
      </c>
      <c r="O86" s="359"/>
    </row>
    <row r="87" spans="1:21" ht="18.95" customHeight="1">
      <c r="A87" s="677"/>
      <c r="B87" s="210" t="s">
        <v>882</v>
      </c>
      <c r="C87" s="211">
        <f>SUMPRODUCT(('[2]2.행정구역별 급수인구'!$C$7:$C$997=$B87)*('[2]2.행정구역별 급수인구'!S$7:S$997))</f>
        <v>0</v>
      </c>
      <c r="D87" s="211">
        <f>SUMPRODUCT(('[2]2.행정구역별 급수인구'!$C$7:$C$997=$B87)*('[2]2.행정구역별 급수인구'!T$7:T$997))</f>
        <v>0</v>
      </c>
      <c r="E87" s="211">
        <f>SUMPRODUCT(('[2]2.행정구역별 급수인구'!$C$7:$C$997=$B87)*('[2]2.행정구역별 급수인구'!U$7:U$997))</f>
        <v>0</v>
      </c>
      <c r="F87" s="211">
        <f>SUMPRODUCT(('[2]2.행정구역별 급수인구'!$C$7:$C$997=$B87)*('[2]2.행정구역별 급수인구'!V$7:V$997))</f>
        <v>392</v>
      </c>
      <c r="G87" s="211">
        <f>SUMPRODUCT(('[2]2.행정구역별 급수인구'!$C$7:$C$997=$B87)*('[2]2.행정구역별 급수인구'!W$7:W$997))</f>
        <v>425</v>
      </c>
      <c r="H87" s="211">
        <f>SUMPRODUCT(('[2]2.행정구역별 급수인구'!$C$7:$C$997=$B87)*('[2]2.행정구역별 급수인구'!X$7:X$997))</f>
        <v>433</v>
      </c>
      <c r="I87" s="213">
        <f>SUMIF('2013 행정구역 생활용수량'!$B$4:$B$484,B87,'2013 행정구역 생활용수량'!$D$4:$D$484)</f>
        <v>0</v>
      </c>
      <c r="J87" s="213">
        <f t="shared" si="57"/>
        <v>0</v>
      </c>
      <c r="K87" s="213">
        <f t="shared" si="58"/>
        <v>0</v>
      </c>
      <c r="L87" s="213">
        <f t="shared" si="59"/>
        <v>121</v>
      </c>
      <c r="M87" s="213">
        <f t="shared" si="60"/>
        <v>132</v>
      </c>
      <c r="N87" s="213">
        <f t="shared" si="61"/>
        <v>134</v>
      </c>
      <c r="O87" s="359"/>
    </row>
    <row r="88" spans="1:21" ht="18.95" customHeight="1">
      <c r="A88" s="677"/>
      <c r="B88" s="210" t="s">
        <v>883</v>
      </c>
      <c r="C88" s="211">
        <f>SUMPRODUCT(('[2]2.행정구역별 급수인구'!$C$7:$C$997=$B88)*('[2]2.행정구역별 급수인구'!S$7:S$997))</f>
        <v>0</v>
      </c>
      <c r="D88" s="211">
        <f>SUMPRODUCT(('[2]2.행정구역별 급수인구'!$C$7:$C$997=$B88)*('[2]2.행정구역별 급수인구'!T$7:T$997))</f>
        <v>0</v>
      </c>
      <c r="E88" s="211">
        <f>SUMPRODUCT(('[2]2.행정구역별 급수인구'!$C$7:$C$997=$B88)*('[2]2.행정구역별 급수인구'!U$7:U$997))</f>
        <v>0</v>
      </c>
      <c r="F88" s="211">
        <f>SUMPRODUCT(('[2]2.행정구역별 급수인구'!$C$7:$C$997=$B88)*('[2]2.행정구역별 급수인구'!V$7:V$997))</f>
        <v>426</v>
      </c>
      <c r="G88" s="211">
        <f>SUMPRODUCT(('[2]2.행정구역별 급수인구'!$C$7:$C$997=$B88)*('[2]2.행정구역별 급수인구'!W$7:W$997))</f>
        <v>463</v>
      </c>
      <c r="H88" s="211">
        <f>SUMPRODUCT(('[2]2.행정구역별 급수인구'!$C$7:$C$997=$B88)*('[2]2.행정구역별 급수인구'!X$7:X$997))</f>
        <v>470</v>
      </c>
      <c r="I88" s="213">
        <f>SUMIF('2013 행정구역 생활용수량'!$B$4:$B$484,B88,'2013 행정구역 생활용수량'!$D$4:$D$484)</f>
        <v>0</v>
      </c>
      <c r="J88" s="213">
        <f t="shared" si="57"/>
        <v>0</v>
      </c>
      <c r="K88" s="213">
        <f t="shared" si="58"/>
        <v>0</v>
      </c>
      <c r="L88" s="213">
        <f t="shared" si="59"/>
        <v>131</v>
      </c>
      <c r="M88" s="213">
        <f t="shared" si="60"/>
        <v>144</v>
      </c>
      <c r="N88" s="213">
        <f t="shared" si="61"/>
        <v>146</v>
      </c>
      <c r="O88" s="359"/>
    </row>
    <row r="89" spans="1:21" ht="18.95" customHeight="1">
      <c r="A89" s="677"/>
      <c r="B89" s="210" t="s">
        <v>884</v>
      </c>
      <c r="C89" s="211">
        <f>SUMPRODUCT(('[2]2.행정구역별 급수인구'!$C$7:$C$997=$B89)*('[2]2.행정구역별 급수인구'!S$7:S$997))</f>
        <v>0</v>
      </c>
      <c r="D89" s="211">
        <f>SUMPRODUCT(('[2]2.행정구역별 급수인구'!$C$7:$C$997=$B89)*('[2]2.행정구역별 급수인구'!T$7:T$997))</f>
        <v>0</v>
      </c>
      <c r="E89" s="211">
        <f>SUMPRODUCT(('[2]2.행정구역별 급수인구'!$C$7:$C$997=$B89)*('[2]2.행정구역별 급수인구'!U$7:U$997))</f>
        <v>0</v>
      </c>
      <c r="F89" s="211">
        <f>SUMPRODUCT(('[2]2.행정구역별 급수인구'!$C$7:$C$997=$B89)*('[2]2.행정구역별 급수인구'!V$7:V$997))</f>
        <v>97</v>
      </c>
      <c r="G89" s="211">
        <f>SUMPRODUCT(('[2]2.행정구역별 급수인구'!$C$7:$C$997=$B89)*('[2]2.행정구역별 급수인구'!W$7:W$997))</f>
        <v>105</v>
      </c>
      <c r="H89" s="211">
        <f>SUMPRODUCT(('[2]2.행정구역별 급수인구'!$C$7:$C$997=$B89)*('[2]2.행정구역별 급수인구'!X$7:X$997))</f>
        <v>107</v>
      </c>
      <c r="I89" s="213">
        <f>SUMIF('2013 행정구역 생활용수량'!$B$4:$B$484,B89,'2013 행정구역 생활용수량'!$D$4:$D$484)</f>
        <v>0</v>
      </c>
      <c r="J89" s="213">
        <f t="shared" si="57"/>
        <v>0</v>
      </c>
      <c r="K89" s="213">
        <f t="shared" si="58"/>
        <v>0</v>
      </c>
      <c r="L89" s="213">
        <f t="shared" si="59"/>
        <v>30</v>
      </c>
      <c r="M89" s="213">
        <f t="shared" si="60"/>
        <v>33</v>
      </c>
      <c r="N89" s="213">
        <f t="shared" si="61"/>
        <v>33</v>
      </c>
      <c r="O89" s="359"/>
    </row>
    <row r="90" spans="1:21" ht="18.95" customHeight="1">
      <c r="A90" s="677"/>
      <c r="B90" s="210" t="s">
        <v>885</v>
      </c>
      <c r="C90" s="211">
        <f>SUMPRODUCT(('[2]2.행정구역별 급수인구'!$C$7:$C$997=$B90)*('[2]2.행정구역별 급수인구'!S$7:S$997))</f>
        <v>0</v>
      </c>
      <c r="D90" s="211">
        <f>SUMPRODUCT(('[2]2.행정구역별 급수인구'!$C$7:$C$997=$B90)*('[2]2.행정구역별 급수인구'!T$7:T$997))</f>
        <v>0</v>
      </c>
      <c r="E90" s="211">
        <f>SUMPRODUCT(('[2]2.행정구역별 급수인구'!$C$7:$C$997=$B90)*('[2]2.행정구역별 급수인구'!U$7:U$997))</f>
        <v>187</v>
      </c>
      <c r="F90" s="211">
        <f>SUMPRODUCT(('[2]2.행정구역별 급수인구'!$C$7:$C$997=$B90)*('[2]2.행정구역별 급수인구'!V$7:V$997))</f>
        <v>257</v>
      </c>
      <c r="G90" s="211">
        <f>SUMPRODUCT(('[2]2.행정구역별 급수인구'!$C$7:$C$997=$B90)*('[2]2.행정구역별 급수인구'!W$7:W$997))</f>
        <v>277</v>
      </c>
      <c r="H90" s="211">
        <f>SUMPRODUCT(('[2]2.행정구역별 급수인구'!$C$7:$C$997=$B90)*('[2]2.행정구역별 급수인구'!X$7:X$997))</f>
        <v>281</v>
      </c>
      <c r="I90" s="213">
        <f>SUMIF('2013 행정구역 생활용수량'!$B$4:$B$484,B90,'2013 행정구역 생활용수량'!$D$4:$D$484)</f>
        <v>0</v>
      </c>
      <c r="J90" s="213">
        <f t="shared" si="57"/>
        <v>0</v>
      </c>
      <c r="K90" s="213">
        <f t="shared" si="58"/>
        <v>57</v>
      </c>
      <c r="L90" s="213">
        <f t="shared" si="59"/>
        <v>79</v>
      </c>
      <c r="M90" s="213">
        <f t="shared" si="60"/>
        <v>86</v>
      </c>
      <c r="N90" s="213">
        <f t="shared" si="61"/>
        <v>87</v>
      </c>
      <c r="O90" s="359"/>
    </row>
    <row r="91" spans="1:21" ht="18.95" customHeight="1">
      <c r="A91" s="677"/>
      <c r="B91" s="210" t="s">
        <v>886</v>
      </c>
      <c r="C91" s="211">
        <f>SUMPRODUCT(('[2]2.행정구역별 급수인구'!$C$7:$C$997=$B91)*('[2]2.행정구역별 급수인구'!S$7:S$997))</f>
        <v>0</v>
      </c>
      <c r="D91" s="211">
        <f>SUMPRODUCT(('[2]2.행정구역별 급수인구'!$C$7:$C$997=$B91)*('[2]2.행정구역별 급수인구'!T$7:T$997))</f>
        <v>0</v>
      </c>
      <c r="E91" s="211">
        <f>SUMPRODUCT(('[2]2.행정구역별 급수인구'!$C$7:$C$997=$B91)*('[2]2.행정구역별 급수인구'!U$7:U$997))</f>
        <v>125</v>
      </c>
      <c r="F91" s="211">
        <f>SUMPRODUCT(('[2]2.행정구역별 급수인구'!$C$7:$C$997=$B91)*('[2]2.행정구역별 급수인구'!V$7:V$997))</f>
        <v>131</v>
      </c>
      <c r="G91" s="211">
        <f>SUMPRODUCT(('[2]2.행정구역별 급수인구'!$C$7:$C$997=$B91)*('[2]2.행정구역별 급수인구'!W$7:W$997))</f>
        <v>141</v>
      </c>
      <c r="H91" s="211">
        <f>SUMPRODUCT(('[2]2.행정구역별 급수인구'!$C$7:$C$997=$B91)*('[2]2.행정구역별 급수인구'!X$7:X$997))</f>
        <v>144</v>
      </c>
      <c r="I91" s="213">
        <f>SUMIF('2013 행정구역 생활용수량'!$B$4:$B$484,B91,'2013 행정구역 생활용수량'!$D$4:$D$484)</f>
        <v>0</v>
      </c>
      <c r="J91" s="213">
        <f t="shared" si="57"/>
        <v>0</v>
      </c>
      <c r="K91" s="213">
        <f t="shared" si="58"/>
        <v>38</v>
      </c>
      <c r="L91" s="213">
        <f t="shared" si="59"/>
        <v>40</v>
      </c>
      <c r="M91" s="213">
        <f t="shared" si="60"/>
        <v>44</v>
      </c>
      <c r="N91" s="213">
        <f t="shared" si="61"/>
        <v>45</v>
      </c>
      <c r="O91" s="359"/>
    </row>
    <row r="92" spans="1:21" ht="18.95" customHeight="1">
      <c r="A92" s="677"/>
      <c r="B92" s="210" t="s">
        <v>887</v>
      </c>
      <c r="C92" s="211">
        <f>SUMPRODUCT(('[2]2.행정구역별 급수인구'!$C$7:$C$997=$B92)*('[2]2.행정구역별 급수인구'!S$7:S$997))</f>
        <v>0</v>
      </c>
      <c r="D92" s="211">
        <f>SUMPRODUCT(('[2]2.행정구역별 급수인구'!$C$7:$C$997=$B92)*('[2]2.행정구역별 급수인구'!T$7:T$997))</f>
        <v>0</v>
      </c>
      <c r="E92" s="211">
        <f>SUMPRODUCT(('[2]2.행정구역별 급수인구'!$C$7:$C$997=$B92)*('[2]2.행정구역별 급수인구'!U$7:U$997))</f>
        <v>118</v>
      </c>
      <c r="F92" s="211">
        <f>SUMPRODUCT(('[2]2.행정구역별 급수인구'!$C$7:$C$997=$B92)*('[2]2.행정구역별 급수인구'!V$7:V$997))</f>
        <v>124</v>
      </c>
      <c r="G92" s="211">
        <f>SUMPRODUCT(('[2]2.행정구역별 급수인구'!$C$7:$C$997=$B92)*('[2]2.행정구역별 급수인구'!W$7:W$997))</f>
        <v>135</v>
      </c>
      <c r="H92" s="211">
        <f>SUMPRODUCT(('[2]2.행정구역별 급수인구'!$C$7:$C$997=$B92)*('[2]2.행정구역별 급수인구'!X$7:X$997))</f>
        <v>136</v>
      </c>
      <c r="I92" s="213">
        <f>SUMIF('2013 행정구역 생활용수량'!$B$4:$B$484,B92,'2013 행정구역 생활용수량'!$D$4:$D$484)</f>
        <v>0</v>
      </c>
      <c r="J92" s="213">
        <f t="shared" si="57"/>
        <v>0</v>
      </c>
      <c r="K92" s="213">
        <f t="shared" si="58"/>
        <v>36</v>
      </c>
      <c r="L92" s="213">
        <f t="shared" si="59"/>
        <v>38</v>
      </c>
      <c r="M92" s="213">
        <f t="shared" si="60"/>
        <v>42</v>
      </c>
      <c r="N92" s="213">
        <f t="shared" si="61"/>
        <v>42</v>
      </c>
      <c r="O92" s="359"/>
    </row>
    <row r="93" spans="1:21" ht="18.95" customHeight="1">
      <c r="A93" s="677"/>
      <c r="B93" s="210" t="s">
        <v>888</v>
      </c>
      <c r="C93" s="211">
        <f>SUMPRODUCT(('[2]2.행정구역별 급수인구'!$C$7:$C$997=$B93)*('[2]2.행정구역별 급수인구'!S$7:S$997))</f>
        <v>0</v>
      </c>
      <c r="D93" s="211">
        <f>SUMPRODUCT(('[2]2.행정구역별 급수인구'!$C$7:$C$997=$B93)*('[2]2.행정구역별 급수인구'!T$7:T$997))</f>
        <v>0</v>
      </c>
      <c r="E93" s="211">
        <f>SUMPRODUCT(('[2]2.행정구역별 급수인구'!$C$7:$C$997=$B93)*('[2]2.행정구역별 급수인구'!U$7:U$997))</f>
        <v>266</v>
      </c>
      <c r="F93" s="211">
        <f>SUMPRODUCT(('[2]2.행정구역별 급수인구'!$C$7:$C$997=$B93)*('[2]2.행정구역별 급수인구'!V$7:V$997))</f>
        <v>279</v>
      </c>
      <c r="G93" s="211">
        <f>SUMPRODUCT(('[2]2.행정구역별 급수인구'!$C$7:$C$997=$B93)*('[2]2.행정구역별 급수인구'!W$7:W$997))</f>
        <v>302</v>
      </c>
      <c r="H93" s="211">
        <f>SUMPRODUCT(('[2]2.행정구역별 급수인구'!$C$7:$C$997=$B93)*('[2]2.행정구역별 급수인구'!X$7:X$997))</f>
        <v>309</v>
      </c>
      <c r="I93" s="213">
        <f>SUMIF('2013 행정구역 생활용수량'!$B$4:$B$484,B93,'2013 행정구역 생활용수량'!$D$4:$D$484)</f>
        <v>0</v>
      </c>
      <c r="J93" s="213">
        <f t="shared" si="57"/>
        <v>0</v>
      </c>
      <c r="K93" s="213">
        <f t="shared" si="58"/>
        <v>81</v>
      </c>
      <c r="L93" s="213">
        <f t="shared" si="59"/>
        <v>86</v>
      </c>
      <c r="M93" s="213">
        <f t="shared" si="60"/>
        <v>94</v>
      </c>
      <c r="N93" s="213">
        <f t="shared" si="61"/>
        <v>96</v>
      </c>
      <c r="O93" s="359"/>
    </row>
    <row r="94" spans="1:21" ht="18.95" customHeight="1">
      <c r="A94" s="678"/>
      <c r="B94" s="210" t="s">
        <v>889</v>
      </c>
      <c r="C94" s="211">
        <f>SUMPRODUCT(('[2]2.행정구역별 급수인구'!$C$7:$C$997=$B94)*('[2]2.행정구역별 급수인구'!S$7:S$997))</f>
        <v>0</v>
      </c>
      <c r="D94" s="211">
        <f>SUMPRODUCT(('[2]2.행정구역별 급수인구'!$C$7:$C$997=$B94)*('[2]2.행정구역별 급수인구'!T$7:T$997))</f>
        <v>0</v>
      </c>
      <c r="E94" s="211">
        <f>SUMPRODUCT(('[2]2.행정구역별 급수인구'!$C$7:$C$997=$B94)*('[2]2.행정구역별 급수인구'!U$7:U$997))</f>
        <v>204</v>
      </c>
      <c r="F94" s="211">
        <f>SUMPRODUCT(('[2]2.행정구역별 급수인구'!$C$7:$C$997=$B94)*('[2]2.행정구역별 급수인구'!V$7:V$997))</f>
        <v>215</v>
      </c>
      <c r="G94" s="211">
        <f>SUMPRODUCT(('[2]2.행정구역별 급수인구'!$C$7:$C$997=$B94)*('[2]2.행정구역별 급수인구'!W$7:W$997))</f>
        <v>234</v>
      </c>
      <c r="H94" s="211">
        <f>SUMPRODUCT(('[2]2.행정구역별 급수인구'!$C$7:$C$997=$B94)*('[2]2.행정구역별 급수인구'!X$7:X$997))</f>
        <v>236</v>
      </c>
      <c r="I94" s="213">
        <f>SUMIF('2013 행정구역 생활용수량'!$B$4:$B$484,B94,'2013 행정구역 생활용수량'!$D$4:$D$484)</f>
        <v>0</v>
      </c>
      <c r="J94" s="213">
        <f t="shared" si="57"/>
        <v>0</v>
      </c>
      <c r="K94" s="213">
        <f>'2.생활용수(급수구역)'!J78-SUM(K82:K93)</f>
        <v>61</v>
      </c>
      <c r="L94" s="213">
        <f>'2.생활용수(급수구역)'!K78-SUM(L82:L93)</f>
        <v>66</v>
      </c>
      <c r="M94" s="213">
        <f>'2.생활용수(급수구역)'!L78-SUM(M82:M93)</f>
        <v>74</v>
      </c>
      <c r="N94" s="213">
        <f>'2.생활용수(급수구역)'!M78-SUM(N82:N93)</f>
        <v>72</v>
      </c>
      <c r="O94" s="359"/>
    </row>
    <row r="95" spans="1:21" ht="19.899999999999999" customHeight="1">
      <c r="A95" s="676" t="s">
        <v>890</v>
      </c>
      <c r="B95" s="215" t="s">
        <v>837</v>
      </c>
      <c r="C95" s="211">
        <f>'[3]5.급수원단위'!C$34</f>
        <v>272</v>
      </c>
      <c r="D95" s="211">
        <f>'[3]5.급수원단위'!$D$41</f>
        <v>304</v>
      </c>
      <c r="E95" s="211">
        <f>'[3]5.급수원단위'!D$34</f>
        <v>304</v>
      </c>
      <c r="F95" s="211">
        <f>'[3]5.급수원단위'!E$34</f>
        <v>308</v>
      </c>
      <c r="G95" s="211">
        <f>'[3]5.급수원단위'!F$34</f>
        <v>310</v>
      </c>
      <c r="H95" s="211">
        <f>'[3]5.급수원단위'!G$34</f>
        <v>310</v>
      </c>
      <c r="I95" s="680"/>
      <c r="J95" s="681"/>
      <c r="K95" s="681"/>
      <c r="L95" s="681"/>
      <c r="M95" s="681"/>
      <c r="N95" s="682"/>
      <c r="O95" s="359"/>
      <c r="Q95" s="511">
        <v>2013</v>
      </c>
      <c r="R95" s="511">
        <v>2015</v>
      </c>
      <c r="S95" s="511">
        <v>2020</v>
      </c>
      <c r="T95" s="511">
        <v>2025</v>
      </c>
      <c r="U95" s="511">
        <v>2030</v>
      </c>
    </row>
    <row r="96" spans="1:21" ht="19.899999999999999" customHeight="1">
      <c r="A96" s="677"/>
      <c r="B96" s="214" t="s">
        <v>778</v>
      </c>
      <c r="C96" s="212">
        <f>SUM(C97:C108)</f>
        <v>2961</v>
      </c>
      <c r="D96" s="212">
        <f t="shared" ref="D96:H96" si="62">SUM(D97:D108)</f>
        <v>2965</v>
      </c>
      <c r="E96" s="212">
        <f t="shared" si="62"/>
        <v>3397</v>
      </c>
      <c r="F96" s="212">
        <f t="shared" si="62"/>
        <v>3575</v>
      </c>
      <c r="G96" s="212">
        <f t="shared" si="62"/>
        <v>3877</v>
      </c>
      <c r="H96" s="212">
        <f t="shared" si="62"/>
        <v>3953</v>
      </c>
      <c r="I96" s="212">
        <f t="shared" ref="I96:N96" si="63">SUM(I97:I108)</f>
        <v>941</v>
      </c>
      <c r="J96" s="212">
        <f t="shared" ref="J96" si="64">SUM(J97:J108)</f>
        <v>902</v>
      </c>
      <c r="K96" s="212">
        <f t="shared" si="63"/>
        <v>1033</v>
      </c>
      <c r="L96" s="212">
        <f t="shared" si="63"/>
        <v>1100</v>
      </c>
      <c r="M96" s="212">
        <f t="shared" si="63"/>
        <v>1204</v>
      </c>
      <c r="N96" s="212">
        <f t="shared" si="63"/>
        <v>1223</v>
      </c>
      <c r="O96" s="359">
        <f>'2013년도 용수량 비율'!F11</f>
        <v>0</v>
      </c>
      <c r="Q96" s="213">
        <f>ROUND(I96,-2)</f>
        <v>900</v>
      </c>
      <c r="R96" s="213">
        <f>ROUND(K96,-2)</f>
        <v>1000</v>
      </c>
      <c r="S96" s="213">
        <f>ROUND(L96,-2)</f>
        <v>1100</v>
      </c>
      <c r="T96" s="213">
        <f>ROUND(M96,-2)</f>
        <v>1200</v>
      </c>
      <c r="U96" s="213">
        <f>ROUND(N96,-2)</f>
        <v>1200</v>
      </c>
    </row>
    <row r="97" spans="1:21" ht="19.899999999999999" customHeight="1">
      <c r="A97" s="677"/>
      <c r="B97" s="210" t="s">
        <v>891</v>
      </c>
      <c r="C97" s="211">
        <f>SUMPRODUCT(('[2]2.행정구역별 급수인구'!$C$7:$C$997=$B97)*('[2]2.행정구역별 급수인구'!S$7:S$997))</f>
        <v>597</v>
      </c>
      <c r="D97" s="211">
        <f>SUMPRODUCT(('[2]2.행정구역별 급수인구'!$C$7:$C$997=$B97)*('[2]2.행정구역별 급수인구'!T$7:T$997))</f>
        <v>598</v>
      </c>
      <c r="E97" s="211">
        <f>SUMPRODUCT(('[2]2.행정구역별 급수인구'!$C$7:$C$997=$B97)*('[2]2.행정구역별 급수인구'!U$7:U$997))</f>
        <v>626</v>
      </c>
      <c r="F97" s="211">
        <f>SUMPRODUCT(('[2]2.행정구역별 급수인구'!$C$7:$C$997=$B97)*('[2]2.행정구역별 급수인구'!V$7:V$997))</f>
        <v>658</v>
      </c>
      <c r="G97" s="211">
        <f>SUMPRODUCT(('[2]2.행정구역별 급수인구'!$C$7:$C$997=$B97)*('[2]2.행정구역별 급수인구'!W$7:W$997))</f>
        <v>715</v>
      </c>
      <c r="H97" s="211">
        <f>SUMPRODUCT(('[2]2.행정구역별 급수인구'!$C$7:$C$997=$B97)*('[2]2.행정구역별 급수인구'!X$7:X$997))</f>
        <v>729</v>
      </c>
      <c r="I97" s="213">
        <f>SUMIF('2013 행정구역 생활용수량'!$B$4:$B$484,B97,'2013 행정구역 생활용수량'!$D$4:$D$484)</f>
        <v>225</v>
      </c>
      <c r="J97" s="213">
        <f t="shared" ref="J97:N97" si="65">ROUND(D97*D$95/1000,0)</f>
        <v>182</v>
      </c>
      <c r="K97" s="213">
        <f t="shared" si="65"/>
        <v>190</v>
      </c>
      <c r="L97" s="213">
        <f t="shared" si="65"/>
        <v>203</v>
      </c>
      <c r="M97" s="213">
        <f t="shared" si="65"/>
        <v>222</v>
      </c>
      <c r="N97" s="213">
        <f t="shared" si="65"/>
        <v>226</v>
      </c>
      <c r="O97" s="359"/>
    </row>
    <row r="98" spans="1:21" ht="19.899999999999999" customHeight="1">
      <c r="A98" s="677"/>
      <c r="B98" s="210" t="s">
        <v>892</v>
      </c>
      <c r="C98" s="211">
        <f>SUMPRODUCT(('[2]2.행정구역별 급수인구'!$C$7:$C$997=$B98)*('[2]2.행정구역별 급수인구'!S$7:S$997))</f>
        <v>289</v>
      </c>
      <c r="D98" s="211">
        <f>SUMPRODUCT(('[2]2.행정구역별 급수인구'!$C$7:$C$997=$B98)*('[2]2.행정구역별 급수인구'!T$7:T$997))</f>
        <v>289</v>
      </c>
      <c r="E98" s="211">
        <f>SUMPRODUCT(('[2]2.행정구역별 급수인구'!$C$7:$C$997=$B98)*('[2]2.행정구역별 급수인구'!U$7:U$997))</f>
        <v>303</v>
      </c>
      <c r="F98" s="211">
        <f>SUMPRODUCT(('[2]2.행정구역별 급수인구'!$C$7:$C$997=$B98)*('[2]2.행정구역별 급수인구'!V$7:V$997))</f>
        <v>319</v>
      </c>
      <c r="G98" s="211">
        <f>SUMPRODUCT(('[2]2.행정구역별 급수인구'!$C$7:$C$997=$B98)*('[2]2.행정구역별 급수인구'!W$7:W$997))</f>
        <v>346</v>
      </c>
      <c r="H98" s="211">
        <f>SUMPRODUCT(('[2]2.행정구역별 급수인구'!$C$7:$C$997=$B98)*('[2]2.행정구역별 급수인구'!X$7:X$997))</f>
        <v>352</v>
      </c>
      <c r="I98" s="213">
        <f>SUMIF('2013 행정구역 생활용수량'!$B$4:$B$484,B98,'2013 행정구역 생활용수량'!$D$4:$D$484)</f>
        <v>86</v>
      </c>
      <c r="J98" s="213">
        <f t="shared" ref="J98:J108" si="66">ROUND(D98*D$95/1000,0)</f>
        <v>88</v>
      </c>
      <c r="K98" s="213">
        <f t="shared" ref="K98:K107" si="67">ROUND(E98*E$95/1000,0)</f>
        <v>92</v>
      </c>
      <c r="L98" s="213">
        <f t="shared" ref="L98:L107" si="68">ROUND(F98*F$95/1000,0)</f>
        <v>98</v>
      </c>
      <c r="M98" s="213">
        <f t="shared" ref="M98:M107" si="69">ROUND(G98*G$95/1000,0)</f>
        <v>107</v>
      </c>
      <c r="N98" s="213">
        <f t="shared" ref="N98:N107" si="70">ROUND(H98*H$95/1000,0)</f>
        <v>109</v>
      </c>
      <c r="O98" s="359"/>
    </row>
    <row r="99" spans="1:21" ht="19.899999999999999" customHeight="1">
      <c r="A99" s="677"/>
      <c r="B99" s="210" t="s">
        <v>893</v>
      </c>
      <c r="C99" s="211">
        <f>SUMPRODUCT(('[2]2.행정구역별 급수인구'!$C$7:$C$997=$B99)*('[2]2.행정구역별 급수인구'!S$7:S$997))</f>
        <v>170</v>
      </c>
      <c r="D99" s="211">
        <f>SUMPRODUCT(('[2]2.행정구역별 급수인구'!$C$7:$C$997=$B99)*('[2]2.행정구역별 급수인구'!T$7:T$997))</f>
        <v>170</v>
      </c>
      <c r="E99" s="211">
        <f>SUMPRODUCT(('[2]2.행정구역별 급수인구'!$C$7:$C$997=$B99)*('[2]2.행정구역별 급수인구'!U$7:U$997))</f>
        <v>179</v>
      </c>
      <c r="F99" s="211">
        <f>SUMPRODUCT(('[2]2.행정구역별 급수인구'!$C$7:$C$997=$B99)*('[2]2.행정구역별 급수인구'!V$7:V$997))</f>
        <v>187</v>
      </c>
      <c r="G99" s="211">
        <f>SUMPRODUCT(('[2]2.행정구역별 급수인구'!$C$7:$C$997=$B99)*('[2]2.행정구역별 급수인구'!W$7:W$997))</f>
        <v>204</v>
      </c>
      <c r="H99" s="211">
        <f>SUMPRODUCT(('[2]2.행정구역별 급수인구'!$C$7:$C$997=$B99)*('[2]2.행정구역별 급수인구'!X$7:X$997))</f>
        <v>208</v>
      </c>
      <c r="I99" s="213">
        <f>SUMIF('2013 행정구역 생활용수량'!$B$4:$B$484,B99,'2013 행정구역 생활용수량'!$D$4:$D$484)</f>
        <v>63</v>
      </c>
      <c r="J99" s="213">
        <f t="shared" si="66"/>
        <v>52</v>
      </c>
      <c r="K99" s="213">
        <f t="shared" si="67"/>
        <v>54</v>
      </c>
      <c r="L99" s="213">
        <f t="shared" si="68"/>
        <v>58</v>
      </c>
      <c r="M99" s="213">
        <f t="shared" si="69"/>
        <v>63</v>
      </c>
      <c r="N99" s="213">
        <f t="shared" si="70"/>
        <v>64</v>
      </c>
      <c r="O99" s="359"/>
    </row>
    <row r="100" spans="1:21" ht="19.899999999999999" customHeight="1">
      <c r="A100" s="677"/>
      <c r="B100" s="210" t="s">
        <v>894</v>
      </c>
      <c r="C100" s="211">
        <f>SUMPRODUCT(('[2]2.행정구역별 급수인구'!$C$7:$C$997=$B100)*('[2]2.행정구역별 급수인구'!S$7:S$997))</f>
        <v>280</v>
      </c>
      <c r="D100" s="211">
        <f>SUMPRODUCT(('[2]2.행정구역별 급수인구'!$C$7:$C$997=$B100)*('[2]2.행정구역별 급수인구'!T$7:T$997))</f>
        <v>280</v>
      </c>
      <c r="E100" s="211">
        <f>SUMPRODUCT(('[2]2.행정구역별 급수인구'!$C$7:$C$997=$B100)*('[2]2.행정구역별 급수인구'!U$7:U$997))</f>
        <v>303</v>
      </c>
      <c r="F100" s="211">
        <f>SUMPRODUCT(('[2]2.행정구역별 급수인구'!$C$7:$C$997=$B100)*('[2]2.행정구역별 급수인구'!V$7:V$997))</f>
        <v>319</v>
      </c>
      <c r="G100" s="211">
        <f>SUMPRODUCT(('[2]2.행정구역별 급수인구'!$C$7:$C$997=$B100)*('[2]2.행정구역별 급수인구'!W$7:W$997))</f>
        <v>347</v>
      </c>
      <c r="H100" s="211">
        <f>SUMPRODUCT(('[2]2.행정구역별 급수인구'!$C$7:$C$997=$B100)*('[2]2.행정구역별 급수인구'!X$7:X$997))</f>
        <v>353</v>
      </c>
      <c r="I100" s="213">
        <f>SUMIF('2013 행정구역 생활용수량'!$B$4:$B$484,B100,'2013 행정구역 생활용수량'!$D$4:$D$484)</f>
        <v>90</v>
      </c>
      <c r="J100" s="213">
        <f t="shared" si="66"/>
        <v>85</v>
      </c>
      <c r="K100" s="213">
        <f t="shared" si="67"/>
        <v>92</v>
      </c>
      <c r="L100" s="213">
        <f t="shared" si="68"/>
        <v>98</v>
      </c>
      <c r="M100" s="213">
        <f t="shared" si="69"/>
        <v>108</v>
      </c>
      <c r="N100" s="213">
        <f t="shared" si="70"/>
        <v>109</v>
      </c>
      <c r="O100" s="359"/>
    </row>
    <row r="101" spans="1:21" ht="19.899999999999999" customHeight="1">
      <c r="A101" s="677"/>
      <c r="B101" s="210" t="s">
        <v>895</v>
      </c>
      <c r="C101" s="211">
        <f>SUMPRODUCT(('[2]2.행정구역별 급수인구'!$C$7:$C$997=$B101)*('[2]2.행정구역별 급수인구'!S$7:S$997))</f>
        <v>205</v>
      </c>
      <c r="D101" s="211">
        <f>SUMPRODUCT(('[2]2.행정구역별 급수인구'!$C$7:$C$997=$B101)*('[2]2.행정구역별 급수인구'!T$7:T$997))</f>
        <v>206</v>
      </c>
      <c r="E101" s="211">
        <f>SUMPRODUCT(('[2]2.행정구역별 급수인구'!$C$7:$C$997=$B101)*('[2]2.행정구역별 급수인구'!U$7:U$997))</f>
        <v>216</v>
      </c>
      <c r="F101" s="211">
        <f>SUMPRODUCT(('[2]2.행정구역별 급수인구'!$C$7:$C$997=$B101)*('[2]2.행정구역별 급수인구'!V$7:V$997))</f>
        <v>227</v>
      </c>
      <c r="G101" s="211">
        <f>SUMPRODUCT(('[2]2.행정구역별 급수인구'!$C$7:$C$997=$B101)*('[2]2.행정구역별 급수인구'!W$7:W$997))</f>
        <v>246</v>
      </c>
      <c r="H101" s="211">
        <f>SUMPRODUCT(('[2]2.행정구역별 급수인구'!$C$7:$C$997=$B101)*('[2]2.행정구역별 급수인구'!X$7:X$997))</f>
        <v>251</v>
      </c>
      <c r="I101" s="213">
        <f>SUMIF('2013 행정구역 생활용수량'!$B$4:$B$484,B101,'2013 행정구역 생활용수량'!$D$4:$D$484)</f>
        <v>79</v>
      </c>
      <c r="J101" s="213">
        <f t="shared" si="66"/>
        <v>63</v>
      </c>
      <c r="K101" s="213">
        <f t="shared" si="67"/>
        <v>66</v>
      </c>
      <c r="L101" s="213">
        <f t="shared" si="68"/>
        <v>70</v>
      </c>
      <c r="M101" s="213">
        <f t="shared" si="69"/>
        <v>76</v>
      </c>
      <c r="N101" s="213">
        <f t="shared" si="70"/>
        <v>78</v>
      </c>
      <c r="O101" s="359"/>
    </row>
    <row r="102" spans="1:21" ht="19.899999999999999" customHeight="1">
      <c r="A102" s="677"/>
      <c r="B102" s="210" t="s">
        <v>896</v>
      </c>
      <c r="C102" s="211">
        <f>SUMPRODUCT(('[2]2.행정구역별 급수인구'!$C$7:$C$997=$B102)*('[2]2.행정구역별 급수인구'!S$7:S$997))</f>
        <v>178</v>
      </c>
      <c r="D102" s="211">
        <f>SUMPRODUCT(('[2]2.행정구역별 급수인구'!$C$7:$C$997=$B102)*('[2]2.행정구역별 급수인구'!T$7:T$997))</f>
        <v>179</v>
      </c>
      <c r="E102" s="211">
        <f>SUMPRODUCT(('[2]2.행정구역별 급수인구'!$C$7:$C$997=$B102)*('[2]2.행정구역별 급수인구'!U$7:U$997))</f>
        <v>187</v>
      </c>
      <c r="F102" s="211">
        <f>SUMPRODUCT(('[2]2.행정구역별 급수인구'!$C$7:$C$997=$B102)*('[2]2.행정구역별 급수인구'!V$7:V$997))</f>
        <v>198</v>
      </c>
      <c r="G102" s="211">
        <f>SUMPRODUCT(('[2]2.행정구역별 급수인구'!$C$7:$C$997=$B102)*('[2]2.행정구역별 급수인구'!W$7:W$997))</f>
        <v>214</v>
      </c>
      <c r="H102" s="211">
        <f>SUMPRODUCT(('[2]2.행정구역별 급수인구'!$C$7:$C$997=$B102)*('[2]2.행정구역별 급수인구'!X$7:X$997))</f>
        <v>218</v>
      </c>
      <c r="I102" s="213">
        <f>SUMIF('2013 행정구역 생활용수량'!$B$4:$B$484,B102,'2013 행정구역 생활용수량'!$D$4:$D$484)</f>
        <v>69</v>
      </c>
      <c r="J102" s="213">
        <f t="shared" si="66"/>
        <v>54</v>
      </c>
      <c r="K102" s="213">
        <f t="shared" si="67"/>
        <v>57</v>
      </c>
      <c r="L102" s="213">
        <f t="shared" si="68"/>
        <v>61</v>
      </c>
      <c r="M102" s="213">
        <f t="shared" si="69"/>
        <v>66</v>
      </c>
      <c r="N102" s="213">
        <f t="shared" si="70"/>
        <v>68</v>
      </c>
      <c r="O102" s="359"/>
    </row>
    <row r="103" spans="1:21" ht="19.899999999999999" customHeight="1">
      <c r="A103" s="677"/>
      <c r="B103" s="210" t="s">
        <v>897</v>
      </c>
      <c r="C103" s="211">
        <f>SUMPRODUCT(('[2]2.행정구역별 급수인구'!$C$7:$C$997=$B103)*('[2]2.행정구역별 급수인구'!S$7:S$997))</f>
        <v>0</v>
      </c>
      <c r="D103" s="211">
        <f>SUMPRODUCT(('[2]2.행정구역별 급수인구'!$C$7:$C$997=$B103)*('[2]2.행정구역별 급수인구'!T$7:T$997))</f>
        <v>0</v>
      </c>
      <c r="E103" s="211">
        <f>SUMPRODUCT(('[2]2.행정구역별 급수인구'!$C$7:$C$997=$B103)*('[2]2.행정구역별 급수인구'!U$7:U$997))</f>
        <v>86</v>
      </c>
      <c r="F103" s="211">
        <f>SUMPRODUCT(('[2]2.행정구역별 급수인구'!$C$7:$C$997=$B103)*('[2]2.행정구역별 급수인구'!V$7:V$997))</f>
        <v>92</v>
      </c>
      <c r="G103" s="211">
        <f>SUMPRODUCT(('[2]2.행정구역별 급수인구'!$C$7:$C$997=$B103)*('[2]2.행정구역별 급수인구'!W$7:W$997))</f>
        <v>99</v>
      </c>
      <c r="H103" s="211">
        <f>SUMPRODUCT(('[2]2.행정구역별 급수인구'!$C$7:$C$997=$B103)*('[2]2.행정구역별 급수인구'!X$7:X$997))</f>
        <v>101</v>
      </c>
      <c r="I103" s="213">
        <f>SUMIF('2013 행정구역 생활용수량'!$B$4:$B$484,B103,'2013 행정구역 생활용수량'!$D$4:$D$484)</f>
        <v>0</v>
      </c>
      <c r="J103" s="213">
        <f t="shared" si="66"/>
        <v>0</v>
      </c>
      <c r="K103" s="213">
        <f t="shared" si="67"/>
        <v>26</v>
      </c>
      <c r="L103" s="213">
        <f t="shared" si="68"/>
        <v>28</v>
      </c>
      <c r="M103" s="213">
        <f t="shared" si="69"/>
        <v>31</v>
      </c>
      <c r="N103" s="213">
        <f t="shared" si="70"/>
        <v>31</v>
      </c>
      <c r="O103" s="359"/>
    </row>
    <row r="104" spans="1:21" ht="19.899999999999999" customHeight="1">
      <c r="A104" s="677"/>
      <c r="B104" s="210" t="s">
        <v>898</v>
      </c>
      <c r="C104" s="211">
        <f>SUMPRODUCT(('[2]2.행정구역별 급수인구'!$C$7:$C$997=$B104)*('[2]2.행정구역별 급수인구'!S$7:S$997))</f>
        <v>197</v>
      </c>
      <c r="D104" s="211">
        <f>SUMPRODUCT(('[2]2.행정구역별 급수인구'!$C$7:$C$997=$B104)*('[2]2.행정구역별 급수인구'!T$7:T$997))</f>
        <v>197</v>
      </c>
      <c r="E104" s="211">
        <f>SUMPRODUCT(('[2]2.행정구역별 급수인구'!$C$7:$C$997=$B104)*('[2]2.행정구역별 급수인구'!U$7:U$997))</f>
        <v>207</v>
      </c>
      <c r="F104" s="211">
        <f>SUMPRODUCT(('[2]2.행정구역별 급수인구'!$C$7:$C$997=$B104)*('[2]2.행정구역별 급수인구'!V$7:V$997))</f>
        <v>218</v>
      </c>
      <c r="G104" s="211">
        <f>SUMPRODUCT(('[2]2.행정구역별 급수인구'!$C$7:$C$997=$B104)*('[2]2.행정구역별 급수인구'!W$7:W$997))</f>
        <v>235</v>
      </c>
      <c r="H104" s="211">
        <f>SUMPRODUCT(('[2]2.행정구역별 급수인구'!$C$7:$C$997=$B104)*('[2]2.행정구역별 급수인구'!X$7:X$997))</f>
        <v>241</v>
      </c>
      <c r="I104" s="213">
        <f>SUMIF('2013 행정구역 생활용수량'!$B$4:$B$484,B104,'2013 행정구역 생활용수량'!$D$4:$D$484)</f>
        <v>55</v>
      </c>
      <c r="J104" s="213">
        <f t="shared" si="66"/>
        <v>60</v>
      </c>
      <c r="K104" s="213">
        <f t="shared" si="67"/>
        <v>63</v>
      </c>
      <c r="L104" s="213">
        <f t="shared" si="68"/>
        <v>67</v>
      </c>
      <c r="M104" s="213">
        <f t="shared" si="69"/>
        <v>73</v>
      </c>
      <c r="N104" s="213">
        <f t="shared" si="70"/>
        <v>75</v>
      </c>
      <c r="O104" s="359"/>
    </row>
    <row r="105" spans="1:21" ht="19.899999999999999" customHeight="1">
      <c r="A105" s="677"/>
      <c r="B105" s="210" t="s">
        <v>899</v>
      </c>
      <c r="C105" s="211">
        <f>SUMPRODUCT(('[2]2.행정구역별 급수인구'!$C$7:$C$997=$B105)*('[2]2.행정구역별 급수인구'!S$7:S$997))</f>
        <v>396</v>
      </c>
      <c r="D105" s="211">
        <f>SUMPRODUCT(('[2]2.행정구역별 급수인구'!$C$7:$C$997=$B105)*('[2]2.행정구역별 급수인구'!T$7:T$997))</f>
        <v>397</v>
      </c>
      <c r="E105" s="211">
        <f>SUMPRODUCT(('[2]2.행정구역별 급수인구'!$C$7:$C$997=$B105)*('[2]2.행정구역별 급수인구'!U$7:U$997))</f>
        <v>415</v>
      </c>
      <c r="F105" s="211">
        <f>SUMPRODUCT(('[2]2.행정구역별 급수인구'!$C$7:$C$997=$B105)*('[2]2.행정구역별 급수인구'!V$7:V$997))</f>
        <v>437</v>
      </c>
      <c r="G105" s="211">
        <f>SUMPRODUCT(('[2]2.행정구역별 급수인구'!$C$7:$C$997=$B105)*('[2]2.행정구역별 급수인구'!W$7:W$997))</f>
        <v>474</v>
      </c>
      <c r="H105" s="211">
        <f>SUMPRODUCT(('[2]2.행정구역별 급수인구'!$C$7:$C$997=$B105)*('[2]2.행정구역별 급수인구'!X$7:X$997))</f>
        <v>484</v>
      </c>
      <c r="I105" s="213">
        <f>SUMIF('2013 행정구역 생활용수량'!$B$4:$B$484,B105,'2013 행정구역 생활용수량'!$D$4:$D$484)</f>
        <v>81</v>
      </c>
      <c r="J105" s="213">
        <f t="shared" si="66"/>
        <v>121</v>
      </c>
      <c r="K105" s="213">
        <f t="shared" si="67"/>
        <v>126</v>
      </c>
      <c r="L105" s="213">
        <f t="shared" si="68"/>
        <v>135</v>
      </c>
      <c r="M105" s="213">
        <f t="shared" si="69"/>
        <v>147</v>
      </c>
      <c r="N105" s="213">
        <f t="shared" si="70"/>
        <v>150</v>
      </c>
      <c r="O105" s="359"/>
    </row>
    <row r="106" spans="1:21" ht="19.899999999999999" customHeight="1">
      <c r="A106" s="677"/>
      <c r="B106" s="210" t="s">
        <v>900</v>
      </c>
      <c r="C106" s="211">
        <f>SUMPRODUCT(('[2]2.행정구역별 급수인구'!$C$7:$C$997=$B106)*('[2]2.행정구역별 급수인구'!S$7:S$997))</f>
        <v>379</v>
      </c>
      <c r="D106" s="211">
        <f>SUMPRODUCT(('[2]2.행정구역별 급수인구'!$C$7:$C$997=$B106)*('[2]2.행정구역별 급수인구'!T$7:T$997))</f>
        <v>379</v>
      </c>
      <c r="E106" s="211">
        <f>SUMPRODUCT(('[2]2.행정구역별 급수인구'!$C$7:$C$997=$B106)*('[2]2.행정구역별 급수인구'!U$7:U$997))</f>
        <v>398</v>
      </c>
      <c r="F106" s="211">
        <f>SUMPRODUCT(('[2]2.행정구역별 급수인구'!$C$7:$C$997=$B106)*('[2]2.행정구역별 급수인구'!V$7:V$997))</f>
        <v>420</v>
      </c>
      <c r="G106" s="211">
        <f>SUMPRODUCT(('[2]2.행정구역별 급수인구'!$C$7:$C$997=$B106)*('[2]2.행정구역별 급수인구'!W$7:W$997))</f>
        <v>455</v>
      </c>
      <c r="H106" s="211">
        <f>SUMPRODUCT(('[2]2.행정구역별 급수인구'!$C$7:$C$997=$B106)*('[2]2.행정구역별 급수인구'!X$7:X$997))</f>
        <v>462</v>
      </c>
      <c r="I106" s="213">
        <f>SUMIF('2013 행정구역 생활용수량'!$B$4:$B$484,B106,'2013 행정구역 생활용수량'!$D$4:$D$484)</f>
        <v>123</v>
      </c>
      <c r="J106" s="213">
        <f t="shared" si="66"/>
        <v>115</v>
      </c>
      <c r="K106" s="213">
        <f t="shared" si="67"/>
        <v>121</v>
      </c>
      <c r="L106" s="213">
        <f t="shared" si="68"/>
        <v>129</v>
      </c>
      <c r="M106" s="213">
        <f t="shared" si="69"/>
        <v>141</v>
      </c>
      <c r="N106" s="213">
        <f t="shared" si="70"/>
        <v>143</v>
      </c>
      <c r="O106" s="359"/>
    </row>
    <row r="107" spans="1:21" ht="19.899999999999999" customHeight="1">
      <c r="A107" s="677"/>
      <c r="B107" s="210" t="s">
        <v>901</v>
      </c>
      <c r="C107" s="211">
        <f>SUMPRODUCT(('[2]2.행정구역별 급수인구'!$C$7:$C$997=$B107)*('[2]2.행정구역별 급수인구'!S$7:S$997))</f>
        <v>226</v>
      </c>
      <c r="D107" s="211">
        <f>SUMPRODUCT(('[2]2.행정구역별 급수인구'!$C$7:$C$997=$B107)*('[2]2.행정구역별 급수인구'!T$7:T$997))</f>
        <v>226</v>
      </c>
      <c r="E107" s="211">
        <f>SUMPRODUCT(('[2]2.행정구역별 급수인구'!$C$7:$C$997=$B107)*('[2]2.행정구역별 급수인구'!U$7:U$997))</f>
        <v>236</v>
      </c>
      <c r="F107" s="211">
        <f>SUMPRODUCT(('[2]2.행정구역별 급수인구'!$C$7:$C$997=$B107)*('[2]2.행정구역별 급수인구'!V$7:V$997))</f>
        <v>248</v>
      </c>
      <c r="G107" s="211">
        <f>SUMPRODUCT(('[2]2.행정구역별 급수인구'!$C$7:$C$997=$B107)*('[2]2.행정구역별 급수인구'!W$7:W$997))</f>
        <v>270</v>
      </c>
      <c r="H107" s="211">
        <f>SUMPRODUCT(('[2]2.행정구역별 급수인구'!$C$7:$C$997=$B107)*('[2]2.행정구역별 급수인구'!X$7:X$997))</f>
        <v>275</v>
      </c>
      <c r="I107" s="213">
        <f>SUMIF('2013 행정구역 생활용수량'!$B$4:$B$484,B107,'2013 행정구역 생활용수량'!$D$4:$D$484)</f>
        <v>50</v>
      </c>
      <c r="J107" s="213">
        <f t="shared" si="66"/>
        <v>69</v>
      </c>
      <c r="K107" s="213">
        <f t="shared" si="67"/>
        <v>72</v>
      </c>
      <c r="L107" s="213">
        <f t="shared" si="68"/>
        <v>76</v>
      </c>
      <c r="M107" s="213">
        <f t="shared" si="69"/>
        <v>84</v>
      </c>
      <c r="N107" s="213">
        <f t="shared" si="70"/>
        <v>85</v>
      </c>
      <c r="O107" s="359"/>
    </row>
    <row r="108" spans="1:21" ht="19.899999999999999" customHeight="1">
      <c r="A108" s="678"/>
      <c r="B108" s="210" t="s">
        <v>902</v>
      </c>
      <c r="C108" s="211">
        <f>SUMPRODUCT(('[2]2.행정구역별 급수인구'!$C$7:$C$997=$B108)*('[2]2.행정구역별 급수인구'!S$7:S$997))</f>
        <v>44</v>
      </c>
      <c r="D108" s="211">
        <f>SUMPRODUCT(('[2]2.행정구역별 급수인구'!$C$7:$C$997=$B108)*('[2]2.행정구역별 급수인구'!T$7:T$997))</f>
        <v>44</v>
      </c>
      <c r="E108" s="211">
        <f>SUMPRODUCT(('[2]2.행정구역별 급수인구'!$C$7:$C$997=$B108)*('[2]2.행정구역별 급수인구'!U$7:U$997))</f>
        <v>241</v>
      </c>
      <c r="F108" s="211">
        <f>SUMPRODUCT(('[2]2.행정구역별 급수인구'!$C$7:$C$997=$B108)*('[2]2.행정구역별 급수인구'!V$7:V$997))</f>
        <v>252</v>
      </c>
      <c r="G108" s="211">
        <f>SUMPRODUCT(('[2]2.행정구역별 급수인구'!$C$7:$C$997=$B108)*('[2]2.행정구역별 급수인구'!W$7:W$997))</f>
        <v>272</v>
      </c>
      <c r="H108" s="211">
        <f>SUMPRODUCT(('[2]2.행정구역별 급수인구'!$C$7:$C$997=$B108)*('[2]2.행정구역별 급수인구'!X$7:X$997))</f>
        <v>279</v>
      </c>
      <c r="I108" s="213">
        <f>SUMIF('2013 행정구역 생활용수량'!$B$4:$B$484,B108,'2013 행정구역 생활용수량'!$D$4:$D$484)</f>
        <v>20</v>
      </c>
      <c r="J108" s="213">
        <f t="shared" si="66"/>
        <v>13</v>
      </c>
      <c r="K108" s="213">
        <f>'2.생활용수(급수구역)'!J79-SUM(K97:K107)</f>
        <v>74</v>
      </c>
      <c r="L108" s="213">
        <f>'2.생활용수(급수구역)'!K79-SUM(L97:L107)</f>
        <v>77</v>
      </c>
      <c r="M108" s="213">
        <f>'2.생활용수(급수구역)'!L79-SUM(M97:M107)</f>
        <v>86</v>
      </c>
      <c r="N108" s="213">
        <f>'2.생활용수(급수구역)'!M79-SUM(N97:N107)</f>
        <v>85</v>
      </c>
      <c r="O108" s="359"/>
    </row>
    <row r="109" spans="1:21" ht="19.899999999999999" customHeight="1">
      <c r="A109" s="676" t="s">
        <v>903</v>
      </c>
      <c r="B109" s="215" t="s">
        <v>837</v>
      </c>
      <c r="C109" s="211">
        <f>'[3]5.급수원단위'!C$34</f>
        <v>272</v>
      </c>
      <c r="D109" s="211">
        <f>'[3]5.급수원단위'!$D$41</f>
        <v>304</v>
      </c>
      <c r="E109" s="211">
        <f>'[3]5.급수원단위'!D$34</f>
        <v>304</v>
      </c>
      <c r="F109" s="211">
        <f>'[3]5.급수원단위'!E$34</f>
        <v>308</v>
      </c>
      <c r="G109" s="211">
        <f>'[3]5.급수원단위'!F$34</f>
        <v>310</v>
      </c>
      <c r="H109" s="211">
        <f>'[3]5.급수원단위'!G$34</f>
        <v>310</v>
      </c>
      <c r="I109" s="680"/>
      <c r="J109" s="681"/>
      <c r="K109" s="681"/>
      <c r="L109" s="681"/>
      <c r="M109" s="681"/>
      <c r="N109" s="682"/>
      <c r="O109" s="359"/>
      <c r="Q109" s="511">
        <v>2013</v>
      </c>
      <c r="R109" s="511">
        <v>2015</v>
      </c>
      <c r="S109" s="511">
        <v>2020</v>
      </c>
      <c r="T109" s="511">
        <v>2025</v>
      </c>
      <c r="U109" s="511">
        <v>2030</v>
      </c>
    </row>
    <row r="110" spans="1:21" ht="19.899999999999999" customHeight="1">
      <c r="A110" s="677"/>
      <c r="B110" s="214" t="s">
        <v>778</v>
      </c>
      <c r="C110" s="212">
        <f>SUM(C111:C130)</f>
        <v>2237</v>
      </c>
      <c r="D110" s="212">
        <f t="shared" ref="D110:H110" si="71">SUM(D111:D130)</f>
        <v>2241</v>
      </c>
      <c r="E110" s="212">
        <f t="shared" si="71"/>
        <v>3884</v>
      </c>
      <c r="F110" s="212">
        <f t="shared" si="71"/>
        <v>5938</v>
      </c>
      <c r="G110" s="212">
        <f t="shared" si="71"/>
        <v>6442</v>
      </c>
      <c r="H110" s="212">
        <f t="shared" si="71"/>
        <v>6561</v>
      </c>
      <c r="I110" s="212">
        <f t="shared" ref="I110:N110" si="72">SUM(I111:I130)</f>
        <v>1158</v>
      </c>
      <c r="J110" s="212">
        <f t="shared" ref="J110" si="73">SUM(J111:J130)</f>
        <v>682</v>
      </c>
      <c r="K110" s="212">
        <f t="shared" si="72"/>
        <v>1180</v>
      </c>
      <c r="L110" s="212">
        <f t="shared" si="72"/>
        <v>1831</v>
      </c>
      <c r="M110" s="212">
        <f t="shared" si="72"/>
        <v>1997</v>
      </c>
      <c r="N110" s="212">
        <f t="shared" si="72"/>
        <v>2036</v>
      </c>
      <c r="O110" s="359">
        <f>'2013년도 용수량 비율'!F12</f>
        <v>0</v>
      </c>
      <c r="Q110" s="213">
        <f>ROUND(I110,-2)</f>
        <v>1200</v>
      </c>
      <c r="R110" s="213">
        <f>ROUND(K110,-2)</f>
        <v>1200</v>
      </c>
      <c r="S110" s="213">
        <f>ROUND(L110,-2)</f>
        <v>1800</v>
      </c>
      <c r="T110" s="213">
        <f>ROUND(M110,-2)</f>
        <v>2000</v>
      </c>
      <c r="U110" s="213">
        <f>ROUND(N110,-2)</f>
        <v>2000</v>
      </c>
    </row>
    <row r="111" spans="1:21" ht="19.899999999999999" customHeight="1">
      <c r="A111" s="677"/>
      <c r="B111" s="210" t="s">
        <v>904</v>
      </c>
      <c r="C111" s="211">
        <f>SUMPRODUCT(('[2]2.행정구역별 급수인구'!$C$7:$C$997=$B111)*('[2]2.행정구역별 급수인구'!S$7:S$997))</f>
        <v>0</v>
      </c>
      <c r="D111" s="211">
        <f>SUMPRODUCT(('[2]2.행정구역별 급수인구'!$C$7:$C$997=$B111)*('[2]2.행정구역별 급수인구'!T$7:T$997))</f>
        <v>0</v>
      </c>
      <c r="E111" s="211">
        <f>SUMPRODUCT(('[2]2.행정구역별 급수인구'!$C$7:$C$997=$B111)*('[2]2.행정구역별 급수인구'!U$7:U$997))</f>
        <v>0</v>
      </c>
      <c r="F111" s="211">
        <f>SUMPRODUCT(('[2]2.행정구역별 급수인구'!$C$7:$C$997=$B111)*('[2]2.행정구역별 급수인구'!V$7:V$997))</f>
        <v>224</v>
      </c>
      <c r="G111" s="211">
        <f>SUMPRODUCT(('[2]2.행정구역별 급수인구'!$C$7:$C$997=$B111)*('[2]2.행정구역별 급수인구'!W$7:W$997))</f>
        <v>244</v>
      </c>
      <c r="H111" s="211">
        <f>SUMPRODUCT(('[2]2.행정구역별 급수인구'!$C$7:$C$997=$B111)*('[2]2.행정구역별 급수인구'!X$7:X$997))</f>
        <v>246</v>
      </c>
      <c r="I111" s="213">
        <f>SUMIF('2013 행정구역 생활용수량'!$B$4:$B$484,B111,'2013 행정구역 생활용수량'!$D$4:$D$484)</f>
        <v>0</v>
      </c>
      <c r="J111" s="213">
        <f t="shared" ref="J111:N111" si="74">ROUND(D111*D$109/1000,0)</f>
        <v>0</v>
      </c>
      <c r="K111" s="213">
        <f t="shared" si="74"/>
        <v>0</v>
      </c>
      <c r="L111" s="213">
        <f t="shared" si="74"/>
        <v>69</v>
      </c>
      <c r="M111" s="213">
        <f t="shared" si="74"/>
        <v>76</v>
      </c>
      <c r="N111" s="213">
        <f t="shared" si="74"/>
        <v>76</v>
      </c>
      <c r="O111" s="359"/>
    </row>
    <row r="112" spans="1:21" ht="19.899999999999999" customHeight="1">
      <c r="A112" s="677"/>
      <c r="B112" s="210" t="s">
        <v>905</v>
      </c>
      <c r="C112" s="211">
        <f>SUMPRODUCT(('[2]2.행정구역별 급수인구'!$C$7:$C$997=$B112)*('[2]2.행정구역별 급수인구'!S$7:S$997))</f>
        <v>0</v>
      </c>
      <c r="D112" s="211">
        <f>SUMPRODUCT(('[2]2.행정구역별 급수인구'!$C$7:$C$997=$B112)*('[2]2.행정구역별 급수인구'!T$7:T$997))</f>
        <v>0</v>
      </c>
      <c r="E112" s="211">
        <f>SUMPRODUCT(('[2]2.행정구역별 급수인구'!$C$7:$C$997=$B112)*('[2]2.행정구역별 급수인구'!U$7:U$997))</f>
        <v>0</v>
      </c>
      <c r="F112" s="211">
        <f>SUMPRODUCT(('[2]2.행정구역별 급수인구'!$C$7:$C$997=$B112)*('[2]2.행정구역별 급수인구'!V$7:V$997))</f>
        <v>135</v>
      </c>
      <c r="G112" s="211">
        <f>SUMPRODUCT(('[2]2.행정구역별 급수인구'!$C$7:$C$997=$B112)*('[2]2.행정구역별 급수인구'!W$7:W$997))</f>
        <v>146</v>
      </c>
      <c r="H112" s="211">
        <f>SUMPRODUCT(('[2]2.행정구역별 급수인구'!$C$7:$C$997=$B112)*('[2]2.행정구역별 급수인구'!X$7:X$997))</f>
        <v>149</v>
      </c>
      <c r="I112" s="213">
        <f>SUMIF('2013 행정구역 생활용수량'!$B$4:$B$484,B112,'2013 행정구역 생활용수량'!$D$4:$D$484)</f>
        <v>0</v>
      </c>
      <c r="J112" s="213">
        <f t="shared" ref="J112:J130" si="75">ROUND(D112*D$109/1000,0)</f>
        <v>0</v>
      </c>
      <c r="K112" s="213">
        <f t="shared" ref="K112:K130" si="76">ROUND(E112*E$109/1000,0)</f>
        <v>0</v>
      </c>
      <c r="L112" s="213">
        <f t="shared" ref="L112:L130" si="77">ROUND(F112*F$109/1000,0)</f>
        <v>42</v>
      </c>
      <c r="M112" s="213">
        <f t="shared" ref="M112:M130" si="78">ROUND(G112*G$109/1000,0)</f>
        <v>45</v>
      </c>
      <c r="N112" s="213">
        <f t="shared" ref="N112:N130" si="79">ROUND(H112*H$109/1000,0)</f>
        <v>46</v>
      </c>
      <c r="O112" s="359"/>
    </row>
    <row r="113" spans="1:15" ht="19.899999999999999" customHeight="1">
      <c r="A113" s="677"/>
      <c r="B113" s="210" t="s">
        <v>906</v>
      </c>
      <c r="C113" s="211">
        <f>SUMPRODUCT(('[2]2.행정구역별 급수인구'!$C$7:$C$997=$B113)*('[2]2.행정구역별 급수인구'!S$7:S$997))</f>
        <v>0</v>
      </c>
      <c r="D113" s="211">
        <f>SUMPRODUCT(('[2]2.행정구역별 급수인구'!$C$7:$C$997=$B113)*('[2]2.행정구역별 급수인구'!T$7:T$997))</f>
        <v>0</v>
      </c>
      <c r="E113" s="211">
        <f>SUMPRODUCT(('[2]2.행정구역별 급수인구'!$C$7:$C$997=$B113)*('[2]2.행정구역별 급수인구'!U$7:U$997))</f>
        <v>0</v>
      </c>
      <c r="F113" s="211">
        <f>SUMPRODUCT(('[2]2.행정구역별 급수인구'!$C$7:$C$997=$B113)*('[2]2.행정구역별 급수인구'!V$7:V$997))</f>
        <v>358</v>
      </c>
      <c r="G113" s="211">
        <f>SUMPRODUCT(('[2]2.행정구역별 급수인구'!$C$7:$C$997=$B113)*('[2]2.행정구역별 급수인구'!W$7:W$997))</f>
        <v>387</v>
      </c>
      <c r="H113" s="211">
        <f>SUMPRODUCT(('[2]2.행정구역별 급수인구'!$C$7:$C$997=$B113)*('[2]2.행정구역별 급수인구'!X$7:X$997))</f>
        <v>395</v>
      </c>
      <c r="I113" s="213">
        <f>SUMIF('2013 행정구역 생활용수량'!$B$4:$B$484,B113,'2013 행정구역 생활용수량'!$D$4:$D$484)</f>
        <v>0</v>
      </c>
      <c r="J113" s="213">
        <f t="shared" si="75"/>
        <v>0</v>
      </c>
      <c r="K113" s="213">
        <f t="shared" si="76"/>
        <v>0</v>
      </c>
      <c r="L113" s="213">
        <f t="shared" si="77"/>
        <v>110</v>
      </c>
      <c r="M113" s="213">
        <f t="shared" si="78"/>
        <v>120</v>
      </c>
      <c r="N113" s="213">
        <f t="shared" si="79"/>
        <v>122</v>
      </c>
      <c r="O113" s="359"/>
    </row>
    <row r="114" spans="1:15" ht="19.899999999999999" customHeight="1">
      <c r="A114" s="677"/>
      <c r="B114" s="210" t="s">
        <v>907</v>
      </c>
      <c r="C114" s="211">
        <f>SUMPRODUCT(('[2]2.행정구역별 급수인구'!$C$7:$C$997=$B114)*('[2]2.행정구역별 급수인구'!S$7:S$997))</f>
        <v>0</v>
      </c>
      <c r="D114" s="211">
        <f>SUMPRODUCT(('[2]2.행정구역별 급수인구'!$C$7:$C$997=$B114)*('[2]2.행정구역별 급수인구'!T$7:T$997))</f>
        <v>0</v>
      </c>
      <c r="E114" s="211">
        <f>SUMPRODUCT(('[2]2.행정구역별 급수인구'!$C$7:$C$997=$B114)*('[2]2.행정구역별 급수인구'!U$7:U$997))</f>
        <v>231</v>
      </c>
      <c r="F114" s="211">
        <f>SUMPRODUCT(('[2]2.행정구역별 급수인구'!$C$7:$C$997=$B114)*('[2]2.행정구역별 급수인구'!V$7:V$997))</f>
        <v>242</v>
      </c>
      <c r="G114" s="211">
        <f>SUMPRODUCT(('[2]2.행정구역별 급수인구'!$C$7:$C$997=$B114)*('[2]2.행정구역별 급수인구'!W$7:W$997))</f>
        <v>262</v>
      </c>
      <c r="H114" s="211">
        <f>SUMPRODUCT(('[2]2.행정구역별 급수인구'!$C$7:$C$997=$B114)*('[2]2.행정구역별 급수인구'!X$7:X$997))</f>
        <v>268</v>
      </c>
      <c r="I114" s="213">
        <f>SUMIF('2013 행정구역 생활용수량'!$B$4:$B$484,B114,'2013 행정구역 생활용수량'!$D$4:$D$484)</f>
        <v>0</v>
      </c>
      <c r="J114" s="213">
        <f t="shared" si="75"/>
        <v>0</v>
      </c>
      <c r="K114" s="213">
        <f t="shared" si="76"/>
        <v>70</v>
      </c>
      <c r="L114" s="213">
        <f t="shared" si="77"/>
        <v>75</v>
      </c>
      <c r="M114" s="213">
        <f t="shared" si="78"/>
        <v>81</v>
      </c>
      <c r="N114" s="213">
        <f t="shared" si="79"/>
        <v>83</v>
      </c>
      <c r="O114" s="359"/>
    </row>
    <row r="115" spans="1:15" ht="19.899999999999999" customHeight="1">
      <c r="A115" s="677"/>
      <c r="B115" s="210" t="s">
        <v>908</v>
      </c>
      <c r="C115" s="211">
        <f>SUMPRODUCT(('[2]2.행정구역별 급수인구'!$C$7:$C$997=$B115)*('[2]2.행정구역별 급수인구'!S$7:S$997))</f>
        <v>843</v>
      </c>
      <c r="D115" s="211">
        <f>SUMPRODUCT(('[2]2.행정구역별 급수인구'!$C$7:$C$997=$B115)*('[2]2.행정구역별 급수인구'!T$7:T$997))</f>
        <v>844</v>
      </c>
      <c r="E115" s="211">
        <f>SUMPRODUCT(('[2]2.행정구역별 급수인구'!$C$7:$C$997=$B115)*('[2]2.행정구역별 급수인구'!U$7:U$997))</f>
        <v>886</v>
      </c>
      <c r="F115" s="211">
        <f>SUMPRODUCT(('[2]2.행정구역별 급수인구'!$C$7:$C$997=$B115)*('[2]2.행정구역별 급수인구'!V$7:V$997))</f>
        <v>931</v>
      </c>
      <c r="G115" s="211">
        <f>SUMPRODUCT(('[2]2.행정구역별 급수인구'!$C$7:$C$997=$B115)*('[2]2.행정구역별 급수인구'!W$7:W$997))</f>
        <v>1012</v>
      </c>
      <c r="H115" s="211">
        <f>SUMPRODUCT(('[2]2.행정구역별 급수인구'!$C$7:$C$997=$B115)*('[2]2.행정구역별 급수인구'!X$7:X$997))</f>
        <v>1028</v>
      </c>
      <c r="I115" s="213">
        <f>SUMIF('2013 행정구역 생활용수량'!$B$4:$B$484,B115,'2013 행정구역 생활용수량'!$D$4:$D$484)</f>
        <v>498</v>
      </c>
      <c r="J115" s="213">
        <f t="shared" si="75"/>
        <v>257</v>
      </c>
      <c r="K115" s="213">
        <f t="shared" si="76"/>
        <v>269</v>
      </c>
      <c r="L115" s="213">
        <f t="shared" si="77"/>
        <v>287</v>
      </c>
      <c r="M115" s="213">
        <f t="shared" si="78"/>
        <v>314</v>
      </c>
      <c r="N115" s="213">
        <f t="shared" si="79"/>
        <v>319</v>
      </c>
      <c r="O115" s="359"/>
    </row>
    <row r="116" spans="1:15" ht="19.899999999999999" customHeight="1">
      <c r="A116" s="677"/>
      <c r="B116" s="210" t="s">
        <v>909</v>
      </c>
      <c r="C116" s="211">
        <f>SUMPRODUCT(('[2]2.행정구역별 급수인구'!$C$7:$C$997=$B116)*('[2]2.행정구역별 급수인구'!S$7:S$997))</f>
        <v>570</v>
      </c>
      <c r="D116" s="211">
        <f>SUMPRODUCT(('[2]2.행정구역별 급수인구'!$C$7:$C$997=$B116)*('[2]2.행정구역별 급수인구'!T$7:T$997))</f>
        <v>570</v>
      </c>
      <c r="E116" s="211">
        <f>SUMPRODUCT(('[2]2.행정구역별 급수인구'!$C$7:$C$997=$B116)*('[2]2.행정구역별 급수인구'!U$7:U$997))</f>
        <v>620</v>
      </c>
      <c r="F116" s="211">
        <f>SUMPRODUCT(('[2]2.행정구역별 급수인구'!$C$7:$C$997=$B116)*('[2]2.행정구역별 급수인구'!V$7:V$997))</f>
        <v>652</v>
      </c>
      <c r="G116" s="211">
        <f>SUMPRODUCT(('[2]2.행정구역별 급수인구'!$C$7:$C$997=$B116)*('[2]2.행정구역별 급수인구'!W$7:W$997))</f>
        <v>707</v>
      </c>
      <c r="H116" s="211">
        <f>SUMPRODUCT(('[2]2.행정구역별 급수인구'!$C$7:$C$997=$B116)*('[2]2.행정구역별 급수인구'!X$7:X$997))</f>
        <v>722</v>
      </c>
      <c r="I116" s="213">
        <f>SUMIF('2013 행정구역 생활용수량'!$B$4:$B$484,B116,'2013 행정구역 생활용수량'!$D$4:$D$484)</f>
        <v>297</v>
      </c>
      <c r="J116" s="213">
        <f t="shared" si="75"/>
        <v>173</v>
      </c>
      <c r="K116" s="213">
        <f t="shared" si="76"/>
        <v>188</v>
      </c>
      <c r="L116" s="213">
        <f t="shared" si="77"/>
        <v>201</v>
      </c>
      <c r="M116" s="213">
        <f t="shared" si="78"/>
        <v>219</v>
      </c>
      <c r="N116" s="213">
        <f t="shared" si="79"/>
        <v>224</v>
      </c>
      <c r="O116" s="359"/>
    </row>
    <row r="117" spans="1:15" ht="19.899999999999999" customHeight="1">
      <c r="A117" s="677"/>
      <c r="B117" s="210" t="s">
        <v>910</v>
      </c>
      <c r="C117" s="211">
        <f>SUMPRODUCT(('[2]2.행정구역별 급수인구'!$C$7:$C$997=$B117)*('[2]2.행정구역별 급수인구'!S$7:S$997))</f>
        <v>0</v>
      </c>
      <c r="D117" s="211">
        <f>SUMPRODUCT(('[2]2.행정구역별 급수인구'!$C$7:$C$997=$B117)*('[2]2.행정구역별 급수인구'!T$7:T$997))</f>
        <v>0</v>
      </c>
      <c r="E117" s="211">
        <f>SUMPRODUCT(('[2]2.행정구역별 급수인구'!$C$7:$C$997=$B117)*('[2]2.행정구역별 급수인구'!U$7:U$997))</f>
        <v>127</v>
      </c>
      <c r="F117" s="211">
        <f>SUMPRODUCT(('[2]2.행정구역별 급수인구'!$C$7:$C$997=$B117)*('[2]2.행정구역별 급수인구'!V$7:V$997))</f>
        <v>133</v>
      </c>
      <c r="G117" s="211">
        <f>SUMPRODUCT(('[2]2.행정구역별 급수인구'!$C$7:$C$997=$B117)*('[2]2.행정구역별 급수인구'!W$7:W$997))</f>
        <v>144</v>
      </c>
      <c r="H117" s="211">
        <f>SUMPRODUCT(('[2]2.행정구역별 급수인구'!$C$7:$C$997=$B117)*('[2]2.행정구역별 급수인구'!X$7:X$997))</f>
        <v>147</v>
      </c>
      <c r="I117" s="213">
        <f>SUMIF('2013 행정구역 생활용수량'!$B$4:$B$484,B117,'2013 행정구역 생활용수량'!$D$4:$D$484)</f>
        <v>0</v>
      </c>
      <c r="J117" s="213">
        <f t="shared" si="75"/>
        <v>0</v>
      </c>
      <c r="K117" s="213">
        <f t="shared" si="76"/>
        <v>39</v>
      </c>
      <c r="L117" s="213">
        <f t="shared" si="77"/>
        <v>41</v>
      </c>
      <c r="M117" s="213">
        <f t="shared" si="78"/>
        <v>45</v>
      </c>
      <c r="N117" s="213">
        <f t="shared" si="79"/>
        <v>46</v>
      </c>
      <c r="O117" s="359"/>
    </row>
    <row r="118" spans="1:15" ht="19.899999999999999" customHeight="1">
      <c r="A118" s="677"/>
      <c r="B118" s="210" t="s">
        <v>911</v>
      </c>
      <c r="C118" s="211">
        <f>SUMPRODUCT(('[2]2.행정구역별 급수인구'!$C$7:$C$997=$B118)*('[2]2.행정구역별 급수인구'!S$7:S$997))</f>
        <v>278</v>
      </c>
      <c r="D118" s="211">
        <f>SUMPRODUCT(('[2]2.행정구역별 급수인구'!$C$7:$C$997=$B118)*('[2]2.행정구역별 급수인구'!T$7:T$997))</f>
        <v>279</v>
      </c>
      <c r="E118" s="211">
        <f>SUMPRODUCT(('[2]2.행정구역별 급수인구'!$C$7:$C$997=$B118)*('[2]2.행정구역별 급수인구'!U$7:U$997))</f>
        <v>452</v>
      </c>
      <c r="F118" s="211">
        <f>SUMPRODUCT(('[2]2.행정구역별 급수인구'!$C$7:$C$997=$B118)*('[2]2.행정구역별 급수인구'!V$7:V$997))</f>
        <v>474</v>
      </c>
      <c r="G118" s="211">
        <f>SUMPRODUCT(('[2]2.행정구역별 급수인구'!$C$7:$C$997=$B118)*('[2]2.행정구역별 급수인구'!W$7:W$997))</f>
        <v>514</v>
      </c>
      <c r="H118" s="211">
        <f>SUMPRODUCT(('[2]2.행정구역별 급수인구'!$C$7:$C$997=$B118)*('[2]2.행정구역별 급수인구'!X$7:X$997))</f>
        <v>524</v>
      </c>
      <c r="I118" s="213">
        <f>SUMIF('2013 행정구역 생활용수량'!$B$4:$B$484,B118,'2013 행정구역 생활용수량'!$D$4:$D$484)</f>
        <v>52</v>
      </c>
      <c r="J118" s="213">
        <f t="shared" si="75"/>
        <v>85</v>
      </c>
      <c r="K118" s="213">
        <f t="shared" si="76"/>
        <v>137</v>
      </c>
      <c r="L118" s="213">
        <f t="shared" si="77"/>
        <v>146</v>
      </c>
      <c r="M118" s="213">
        <f t="shared" si="78"/>
        <v>159</v>
      </c>
      <c r="N118" s="213">
        <f t="shared" si="79"/>
        <v>162</v>
      </c>
      <c r="O118" s="359"/>
    </row>
    <row r="119" spans="1:15" ht="19.899999999999999" customHeight="1">
      <c r="A119" s="677"/>
      <c r="B119" s="210" t="s">
        <v>912</v>
      </c>
      <c r="C119" s="211">
        <f>SUMPRODUCT(('[2]2.행정구역별 급수인구'!$C$7:$C$997=$B119)*('[2]2.행정구역별 급수인구'!S$7:S$997))</f>
        <v>0</v>
      </c>
      <c r="D119" s="211">
        <f>SUMPRODUCT(('[2]2.행정구역별 급수인구'!$C$7:$C$997=$B119)*('[2]2.행정구역별 급수인구'!T$7:T$997))</f>
        <v>0</v>
      </c>
      <c r="E119" s="211">
        <f>SUMPRODUCT(('[2]2.행정구역별 급수인구'!$C$7:$C$997=$B119)*('[2]2.행정구역별 급수인구'!U$7:U$997))</f>
        <v>170</v>
      </c>
      <c r="F119" s="211">
        <f>SUMPRODUCT(('[2]2.행정구역별 급수인구'!$C$7:$C$997=$B119)*('[2]2.행정구역별 급수인구'!V$7:V$997))</f>
        <v>179</v>
      </c>
      <c r="G119" s="211">
        <f>SUMPRODUCT(('[2]2.행정구역별 급수인구'!$C$7:$C$997=$B119)*('[2]2.행정구역별 급수인구'!W$7:W$997))</f>
        <v>195</v>
      </c>
      <c r="H119" s="211">
        <f>SUMPRODUCT(('[2]2.행정구역별 급수인구'!$C$7:$C$997=$B119)*('[2]2.행정구역별 급수인구'!X$7:X$997))</f>
        <v>198</v>
      </c>
      <c r="I119" s="213">
        <f>SUMIF('2013 행정구역 생활용수량'!$B$4:$B$484,B119,'2013 행정구역 생활용수량'!$D$4:$D$484)</f>
        <v>0</v>
      </c>
      <c r="J119" s="213">
        <f t="shared" si="75"/>
        <v>0</v>
      </c>
      <c r="K119" s="213">
        <f t="shared" si="76"/>
        <v>52</v>
      </c>
      <c r="L119" s="213">
        <f t="shared" si="77"/>
        <v>55</v>
      </c>
      <c r="M119" s="213">
        <f t="shared" si="78"/>
        <v>60</v>
      </c>
      <c r="N119" s="213">
        <f t="shared" si="79"/>
        <v>61</v>
      </c>
      <c r="O119" s="359"/>
    </row>
    <row r="120" spans="1:15" ht="19.899999999999999" customHeight="1">
      <c r="A120" s="677"/>
      <c r="B120" s="210" t="s">
        <v>913</v>
      </c>
      <c r="C120" s="211">
        <f>SUMPRODUCT(('[2]2.행정구역별 급수인구'!$C$7:$C$997=$B120)*('[2]2.행정구역별 급수인구'!S$7:S$997))</f>
        <v>0</v>
      </c>
      <c r="D120" s="211">
        <f>SUMPRODUCT(('[2]2.행정구역별 급수인구'!$C$7:$C$997=$B120)*('[2]2.행정구역별 급수인구'!T$7:T$997))</f>
        <v>0</v>
      </c>
      <c r="E120" s="211">
        <f>SUMPRODUCT(('[2]2.행정구역별 급수인구'!$C$7:$C$997=$B120)*('[2]2.행정구역별 급수인구'!U$7:U$997))</f>
        <v>0</v>
      </c>
      <c r="F120" s="211">
        <f>SUMPRODUCT(('[2]2.행정구역별 급수인구'!$C$7:$C$997=$B120)*('[2]2.행정구역별 급수인구'!V$7:V$997))</f>
        <v>220</v>
      </c>
      <c r="G120" s="211">
        <f>SUMPRODUCT(('[2]2.행정구역별 급수인구'!$C$7:$C$997=$B120)*('[2]2.행정구역별 급수인구'!W$7:W$997))</f>
        <v>238</v>
      </c>
      <c r="H120" s="211">
        <f>SUMPRODUCT(('[2]2.행정구역별 급수인구'!$C$7:$C$997=$B120)*('[2]2.행정구역별 급수인구'!X$7:X$997))</f>
        <v>243</v>
      </c>
      <c r="I120" s="213">
        <f>SUMIF('2013 행정구역 생활용수량'!$B$4:$B$484,B120,'2013 행정구역 생활용수량'!$D$4:$D$484)</f>
        <v>0</v>
      </c>
      <c r="J120" s="213">
        <f t="shared" si="75"/>
        <v>0</v>
      </c>
      <c r="K120" s="213">
        <f t="shared" si="76"/>
        <v>0</v>
      </c>
      <c r="L120" s="213">
        <f t="shared" si="77"/>
        <v>68</v>
      </c>
      <c r="M120" s="213">
        <f t="shared" si="78"/>
        <v>74</v>
      </c>
      <c r="N120" s="213">
        <f t="shared" si="79"/>
        <v>75</v>
      </c>
      <c r="O120" s="359"/>
    </row>
    <row r="121" spans="1:15" ht="19.899999999999999" customHeight="1">
      <c r="A121" s="677"/>
      <c r="B121" s="210" t="s">
        <v>914</v>
      </c>
      <c r="C121" s="211">
        <f>SUMPRODUCT(('[2]2.행정구역별 급수인구'!$C$7:$C$997=$B121)*('[2]2.행정구역별 급수인구'!S$7:S$997))</f>
        <v>132</v>
      </c>
      <c r="D121" s="211">
        <f>SUMPRODUCT(('[2]2.행정구역별 급수인구'!$C$7:$C$997=$B121)*('[2]2.행정구역별 급수인구'!T$7:T$997))</f>
        <v>132</v>
      </c>
      <c r="E121" s="211">
        <f>SUMPRODUCT(('[2]2.행정구역별 급수인구'!$C$7:$C$997=$B121)*('[2]2.행정구역별 급수인구'!U$7:U$997))</f>
        <v>138</v>
      </c>
      <c r="F121" s="211">
        <f>SUMPRODUCT(('[2]2.행정구역별 급수인구'!$C$7:$C$997=$B121)*('[2]2.행정구역별 급수인구'!V$7:V$997))</f>
        <v>146</v>
      </c>
      <c r="G121" s="211">
        <f>SUMPRODUCT(('[2]2.행정구역별 급수인구'!$C$7:$C$997=$B121)*('[2]2.행정구역별 급수인구'!W$7:W$997))</f>
        <v>158</v>
      </c>
      <c r="H121" s="211">
        <f>SUMPRODUCT(('[2]2.행정구역별 급수인구'!$C$7:$C$997=$B121)*('[2]2.행정구역별 급수인구'!X$7:X$997))</f>
        <v>161</v>
      </c>
      <c r="I121" s="213">
        <f>SUMIF('2013 행정구역 생활용수량'!$B$4:$B$484,B121,'2013 행정구역 생활용수량'!$D$4:$D$484)</f>
        <v>31</v>
      </c>
      <c r="J121" s="213">
        <f t="shared" si="75"/>
        <v>40</v>
      </c>
      <c r="K121" s="213">
        <f t="shared" si="76"/>
        <v>42</v>
      </c>
      <c r="L121" s="213">
        <f t="shared" si="77"/>
        <v>45</v>
      </c>
      <c r="M121" s="213">
        <f t="shared" si="78"/>
        <v>49</v>
      </c>
      <c r="N121" s="213">
        <f t="shared" si="79"/>
        <v>50</v>
      </c>
      <c r="O121" s="359"/>
    </row>
    <row r="122" spans="1:15" ht="19.899999999999999" customHeight="1">
      <c r="A122" s="677"/>
      <c r="B122" s="210" t="s">
        <v>915</v>
      </c>
      <c r="C122" s="211">
        <f>SUMPRODUCT(('[2]2.행정구역별 급수인구'!$C$7:$C$997=$B122)*('[2]2.행정구역별 급수인구'!S$7:S$997))</f>
        <v>0</v>
      </c>
      <c r="D122" s="211">
        <f>SUMPRODUCT(('[2]2.행정구역별 급수인구'!$C$7:$C$997=$B122)*('[2]2.행정구역별 급수인구'!T$7:T$997))</f>
        <v>0</v>
      </c>
      <c r="E122" s="211">
        <f>SUMPRODUCT(('[2]2.행정구역별 급수인구'!$C$7:$C$997=$B122)*('[2]2.행정구역별 급수인구'!U$7:U$997))</f>
        <v>344</v>
      </c>
      <c r="F122" s="211">
        <f>SUMPRODUCT(('[2]2.행정구역별 급수인구'!$C$7:$C$997=$B122)*('[2]2.행정구역별 급수인구'!V$7:V$997))</f>
        <v>361</v>
      </c>
      <c r="G122" s="211">
        <f>SUMPRODUCT(('[2]2.행정구역별 급수인구'!$C$7:$C$997=$B122)*('[2]2.행정구역별 급수인구'!W$7:W$997))</f>
        <v>392</v>
      </c>
      <c r="H122" s="211">
        <f>SUMPRODUCT(('[2]2.행정구역별 급수인구'!$C$7:$C$997=$B122)*('[2]2.행정구역별 급수인구'!X$7:X$997))</f>
        <v>400</v>
      </c>
      <c r="I122" s="213">
        <f>SUMIF('2013 행정구역 생활용수량'!$B$4:$B$484,B122,'2013 행정구역 생활용수량'!$D$4:$D$484)</f>
        <v>0</v>
      </c>
      <c r="J122" s="213">
        <f t="shared" si="75"/>
        <v>0</v>
      </c>
      <c r="K122" s="213">
        <f t="shared" si="76"/>
        <v>105</v>
      </c>
      <c r="L122" s="213">
        <f t="shared" si="77"/>
        <v>111</v>
      </c>
      <c r="M122" s="213">
        <f t="shared" si="78"/>
        <v>122</v>
      </c>
      <c r="N122" s="213">
        <f t="shared" si="79"/>
        <v>124</v>
      </c>
      <c r="O122" s="359"/>
    </row>
    <row r="123" spans="1:15" ht="19.899999999999999" customHeight="1">
      <c r="A123" s="677"/>
      <c r="B123" s="210" t="s">
        <v>916</v>
      </c>
      <c r="C123" s="211">
        <f>SUMPRODUCT(('[2]2.행정구역별 급수인구'!$C$7:$C$997=$B123)*('[2]2.행정구역별 급수인구'!S$7:S$997))</f>
        <v>0</v>
      </c>
      <c r="D123" s="211">
        <f>SUMPRODUCT(('[2]2.행정구역별 급수인구'!$C$7:$C$997=$B123)*('[2]2.행정구역별 급수인구'!T$7:T$997))</f>
        <v>0</v>
      </c>
      <c r="E123" s="211">
        <f>SUMPRODUCT(('[2]2.행정구역별 급수인구'!$C$7:$C$997=$B123)*('[2]2.행정구역별 급수인구'!U$7:U$997))</f>
        <v>0</v>
      </c>
      <c r="F123" s="211">
        <f>SUMPRODUCT(('[2]2.행정구역별 급수인구'!$C$7:$C$997=$B123)*('[2]2.행정구역별 급수인구'!V$7:V$997))</f>
        <v>212</v>
      </c>
      <c r="G123" s="211">
        <f>SUMPRODUCT(('[2]2.행정구역별 급수인구'!$C$7:$C$997=$B123)*('[2]2.행정구역별 급수인구'!W$7:W$997))</f>
        <v>230</v>
      </c>
      <c r="H123" s="211">
        <f>SUMPRODUCT(('[2]2.행정구역별 급수인구'!$C$7:$C$997=$B123)*('[2]2.행정구역별 급수인구'!X$7:X$997))</f>
        <v>234</v>
      </c>
      <c r="I123" s="213">
        <f>SUMIF('2013 행정구역 생활용수량'!$B$4:$B$484,B123,'2013 행정구역 생활용수량'!$D$4:$D$484)</f>
        <v>0</v>
      </c>
      <c r="J123" s="213">
        <f t="shared" si="75"/>
        <v>0</v>
      </c>
      <c r="K123" s="213">
        <f t="shared" si="76"/>
        <v>0</v>
      </c>
      <c r="L123" s="213">
        <f t="shared" si="77"/>
        <v>65</v>
      </c>
      <c r="M123" s="213">
        <f t="shared" si="78"/>
        <v>71</v>
      </c>
      <c r="N123" s="213">
        <f t="shared" si="79"/>
        <v>73</v>
      </c>
      <c r="O123" s="359"/>
    </row>
    <row r="124" spans="1:15" ht="19.899999999999999" customHeight="1">
      <c r="A124" s="677"/>
      <c r="B124" s="210" t="s">
        <v>917</v>
      </c>
      <c r="C124" s="211">
        <f>SUMPRODUCT(('[2]2.행정구역별 급수인구'!$C$7:$C$997=$B124)*('[2]2.행정구역별 급수인구'!S$7:S$997))</f>
        <v>153</v>
      </c>
      <c r="D124" s="211">
        <f>SUMPRODUCT(('[2]2.행정구역별 급수인구'!$C$7:$C$997=$B124)*('[2]2.행정구역별 급수인구'!T$7:T$997))</f>
        <v>154</v>
      </c>
      <c r="E124" s="211">
        <f>SUMPRODUCT(('[2]2.행정구역별 급수인구'!$C$7:$C$997=$B124)*('[2]2.행정구역별 급수인구'!U$7:U$997))</f>
        <v>357</v>
      </c>
      <c r="F124" s="211">
        <f>SUMPRODUCT(('[2]2.행정구역별 급수인구'!$C$7:$C$997=$B124)*('[2]2.행정구역별 급수인구'!V$7:V$997))</f>
        <v>376</v>
      </c>
      <c r="G124" s="211">
        <f>SUMPRODUCT(('[2]2.행정구역별 급수인구'!$C$7:$C$997=$B124)*('[2]2.행정구역별 급수인구'!W$7:W$997))</f>
        <v>407</v>
      </c>
      <c r="H124" s="211">
        <f>SUMPRODUCT(('[2]2.행정구역별 급수인구'!$C$7:$C$997=$B124)*('[2]2.행정구역별 급수인구'!X$7:X$997))</f>
        <v>415</v>
      </c>
      <c r="I124" s="213">
        <f>SUMIF('2013 행정구역 생활용수량'!$B$4:$B$484,B124,'2013 행정구역 생활용수량'!$D$4:$D$484)</f>
        <v>84</v>
      </c>
      <c r="J124" s="213">
        <f t="shared" si="75"/>
        <v>47</v>
      </c>
      <c r="K124" s="213">
        <f t="shared" si="76"/>
        <v>109</v>
      </c>
      <c r="L124" s="213">
        <f t="shared" si="77"/>
        <v>116</v>
      </c>
      <c r="M124" s="213">
        <f t="shared" si="78"/>
        <v>126</v>
      </c>
      <c r="N124" s="213">
        <f t="shared" si="79"/>
        <v>129</v>
      </c>
      <c r="O124" s="359"/>
    </row>
    <row r="125" spans="1:15" ht="19.899999999999999" customHeight="1">
      <c r="A125" s="677"/>
      <c r="B125" s="210" t="s">
        <v>918</v>
      </c>
      <c r="C125" s="211">
        <f>SUMPRODUCT(('[2]2.행정구역별 급수인구'!$C$7:$C$997=$B125)*('[2]2.행정구역별 급수인구'!S$7:S$997))</f>
        <v>0</v>
      </c>
      <c r="D125" s="211">
        <f>SUMPRODUCT(('[2]2.행정구역별 급수인구'!$C$7:$C$997=$B125)*('[2]2.행정구역별 급수인구'!T$7:T$997))</f>
        <v>0</v>
      </c>
      <c r="E125" s="211">
        <f>SUMPRODUCT(('[2]2.행정구역별 급수인구'!$C$7:$C$997=$B125)*('[2]2.행정구역별 급수인구'!U$7:U$997))</f>
        <v>0</v>
      </c>
      <c r="F125" s="211">
        <f>SUMPRODUCT(('[2]2.행정구역별 급수인구'!$C$7:$C$997=$B125)*('[2]2.행정구역별 급수인구'!V$7:V$997))</f>
        <v>411</v>
      </c>
      <c r="G125" s="211">
        <f>SUMPRODUCT(('[2]2.행정구역별 급수인구'!$C$7:$C$997=$B125)*('[2]2.행정구역별 급수인구'!W$7:W$997))</f>
        <v>446</v>
      </c>
      <c r="H125" s="211">
        <f>SUMPRODUCT(('[2]2.행정구역별 급수인구'!$C$7:$C$997=$B125)*('[2]2.행정구역별 급수인구'!X$7:X$997))</f>
        <v>453</v>
      </c>
      <c r="I125" s="213">
        <f>SUMIF('2013 행정구역 생활용수량'!$B$4:$B$484,B125,'2013 행정구역 생활용수량'!$D$4:$D$484)</f>
        <v>0</v>
      </c>
      <c r="J125" s="213">
        <f t="shared" si="75"/>
        <v>0</v>
      </c>
      <c r="K125" s="213">
        <f t="shared" si="76"/>
        <v>0</v>
      </c>
      <c r="L125" s="213">
        <f t="shared" si="77"/>
        <v>127</v>
      </c>
      <c r="M125" s="213">
        <f t="shared" si="78"/>
        <v>138</v>
      </c>
      <c r="N125" s="213">
        <f t="shared" si="79"/>
        <v>140</v>
      </c>
      <c r="O125" s="359"/>
    </row>
    <row r="126" spans="1:15" ht="19.899999999999999" customHeight="1">
      <c r="A126" s="677"/>
      <c r="B126" s="210" t="s">
        <v>919</v>
      </c>
      <c r="C126" s="211">
        <f>SUMPRODUCT(('[2]2.행정구역별 급수인구'!$C$7:$C$997=$B126)*('[2]2.행정구역별 급수인구'!S$7:S$997))</f>
        <v>0</v>
      </c>
      <c r="D126" s="211">
        <f>SUMPRODUCT(('[2]2.행정구역별 급수인구'!$C$7:$C$997=$B126)*('[2]2.행정구역별 급수인구'!T$7:T$997))</f>
        <v>0</v>
      </c>
      <c r="E126" s="211">
        <f>SUMPRODUCT(('[2]2.행정구역별 급수인구'!$C$7:$C$997=$B126)*('[2]2.행정구역별 급수인구'!U$7:U$997))</f>
        <v>0</v>
      </c>
      <c r="F126" s="211">
        <f>SUMPRODUCT(('[2]2.행정구역별 급수인구'!$C$7:$C$997=$B126)*('[2]2.행정구역별 급수인구'!V$7:V$997))</f>
        <v>170</v>
      </c>
      <c r="G126" s="211">
        <f>SUMPRODUCT(('[2]2.행정구역별 급수인구'!$C$7:$C$997=$B126)*('[2]2.행정구역별 급수인구'!W$7:W$997))</f>
        <v>184</v>
      </c>
      <c r="H126" s="211">
        <f>SUMPRODUCT(('[2]2.행정구역별 급수인구'!$C$7:$C$997=$B126)*('[2]2.행정구역별 급수인구'!X$7:X$997))</f>
        <v>187</v>
      </c>
      <c r="I126" s="213">
        <f>SUMIF('2013 행정구역 생활용수량'!$B$4:$B$484,B126,'2013 행정구역 생활용수량'!$D$4:$D$484)</f>
        <v>0</v>
      </c>
      <c r="J126" s="213">
        <f t="shared" si="75"/>
        <v>0</v>
      </c>
      <c r="K126" s="213">
        <f t="shared" si="76"/>
        <v>0</v>
      </c>
      <c r="L126" s="213">
        <f t="shared" si="77"/>
        <v>52</v>
      </c>
      <c r="M126" s="213">
        <f t="shared" si="78"/>
        <v>57</v>
      </c>
      <c r="N126" s="213">
        <f t="shared" si="79"/>
        <v>58</v>
      </c>
      <c r="O126" s="359"/>
    </row>
    <row r="127" spans="1:15" ht="19.899999999999999" customHeight="1">
      <c r="A127" s="677"/>
      <c r="B127" s="210" t="s">
        <v>920</v>
      </c>
      <c r="C127" s="211">
        <f>SUMPRODUCT(('[2]2.행정구역별 급수인구'!$C$7:$C$997=$B127)*('[2]2.행정구역별 급수인구'!S$7:S$997))</f>
        <v>0</v>
      </c>
      <c r="D127" s="211">
        <f>SUMPRODUCT(('[2]2.행정구역별 급수인구'!$C$7:$C$997=$B127)*('[2]2.행정구역별 급수인구'!T$7:T$997))</f>
        <v>0</v>
      </c>
      <c r="E127" s="211">
        <f>SUMPRODUCT(('[2]2.행정구역별 급수인구'!$C$7:$C$997=$B127)*('[2]2.행정구역별 급수인구'!U$7:U$997))</f>
        <v>0</v>
      </c>
      <c r="F127" s="211">
        <f>SUMPRODUCT(('[2]2.행정구역별 급수인구'!$C$7:$C$997=$B127)*('[2]2.행정구역별 급수인구'!V$7:V$997))</f>
        <v>129</v>
      </c>
      <c r="G127" s="211">
        <f>SUMPRODUCT(('[2]2.행정구역별 급수인구'!$C$7:$C$997=$B127)*('[2]2.행정구역별 급수인구'!W$7:W$997))</f>
        <v>142</v>
      </c>
      <c r="H127" s="211">
        <f>SUMPRODUCT(('[2]2.행정구역별 급수인구'!$C$7:$C$997=$B127)*('[2]2.행정구역별 급수인구'!X$7:X$997))</f>
        <v>144</v>
      </c>
      <c r="I127" s="213">
        <f>SUMIF('2013 행정구역 생활용수량'!$B$4:$B$484,B127,'2013 행정구역 생활용수량'!$D$4:$D$484)</f>
        <v>0</v>
      </c>
      <c r="J127" s="213">
        <f t="shared" si="75"/>
        <v>0</v>
      </c>
      <c r="K127" s="213">
        <f t="shared" si="76"/>
        <v>0</v>
      </c>
      <c r="L127" s="213">
        <f t="shared" si="77"/>
        <v>40</v>
      </c>
      <c r="M127" s="213">
        <f t="shared" si="78"/>
        <v>44</v>
      </c>
      <c r="N127" s="213">
        <f t="shared" si="79"/>
        <v>45</v>
      </c>
      <c r="O127" s="359"/>
    </row>
    <row r="128" spans="1:15" ht="19.899999999999999" customHeight="1">
      <c r="A128" s="677"/>
      <c r="B128" s="210" t="s">
        <v>921</v>
      </c>
      <c r="C128" s="211">
        <f>SUMPRODUCT(('[2]2.행정구역별 급수인구'!$C$7:$C$997=$B128)*('[2]2.행정구역별 급수인구'!S$7:S$997))</f>
        <v>150</v>
      </c>
      <c r="D128" s="211">
        <f>SUMPRODUCT(('[2]2.행정구역별 급수인구'!$C$7:$C$997=$B128)*('[2]2.행정구역별 급수인구'!T$7:T$997))</f>
        <v>151</v>
      </c>
      <c r="E128" s="211">
        <f>SUMPRODUCT(('[2]2.행정구역별 급수인구'!$C$7:$C$997=$B128)*('[2]2.행정구역별 급수인구'!U$7:U$997))</f>
        <v>159</v>
      </c>
      <c r="F128" s="211">
        <f>SUMPRODUCT(('[2]2.행정구역별 급수인구'!$C$7:$C$997=$B128)*('[2]2.행정구역별 급수인구'!V$7:V$997))</f>
        <v>165</v>
      </c>
      <c r="G128" s="211">
        <f>SUMPRODUCT(('[2]2.행정구역별 급수인구'!$C$7:$C$997=$B128)*('[2]2.행정구역별 급수인구'!W$7:W$997))</f>
        <v>179</v>
      </c>
      <c r="H128" s="211">
        <f>SUMPRODUCT(('[2]2.행정구역별 급수인구'!$C$7:$C$997=$B128)*('[2]2.행정구역별 급수인구'!X$7:X$997))</f>
        <v>183</v>
      </c>
      <c r="I128" s="213">
        <f>SUMIF('2013 행정구역 생활용수량'!$B$4:$B$484,B128,'2013 행정구역 생활용수량'!$D$4:$D$484)</f>
        <v>121</v>
      </c>
      <c r="J128" s="213">
        <f t="shared" si="75"/>
        <v>46</v>
      </c>
      <c r="K128" s="213">
        <f t="shared" si="76"/>
        <v>48</v>
      </c>
      <c r="L128" s="213">
        <f t="shared" si="77"/>
        <v>51</v>
      </c>
      <c r="M128" s="213">
        <f t="shared" si="78"/>
        <v>55</v>
      </c>
      <c r="N128" s="213">
        <f t="shared" si="79"/>
        <v>57</v>
      </c>
      <c r="O128" s="359"/>
    </row>
    <row r="129" spans="1:21" ht="19.899999999999999" customHeight="1">
      <c r="A129" s="677"/>
      <c r="B129" s="210" t="s">
        <v>922</v>
      </c>
      <c r="C129" s="211">
        <f>SUMPRODUCT(('[2]2.행정구역별 급수인구'!$C$7:$C$997=$B129)*('[2]2.행정구역별 급수인구'!S$7:S$997))</f>
        <v>111</v>
      </c>
      <c r="D129" s="211">
        <f>SUMPRODUCT(('[2]2.행정구역별 급수인구'!$C$7:$C$997=$B129)*('[2]2.행정구역별 급수인구'!T$7:T$997))</f>
        <v>111</v>
      </c>
      <c r="E129" s="211">
        <f>SUMPRODUCT(('[2]2.행정구역별 급수인구'!$C$7:$C$997=$B129)*('[2]2.행정구역별 급수인구'!U$7:U$997))</f>
        <v>117</v>
      </c>
      <c r="F129" s="211">
        <f>SUMPRODUCT(('[2]2.행정구역별 급수인구'!$C$7:$C$997=$B129)*('[2]2.행정구역별 급수인구'!V$7:V$997))</f>
        <v>123</v>
      </c>
      <c r="G129" s="211">
        <f>SUMPRODUCT(('[2]2.행정구역별 급수인구'!$C$7:$C$997=$B129)*('[2]2.행정구역별 급수인구'!W$7:W$997))</f>
        <v>133</v>
      </c>
      <c r="H129" s="211">
        <f>SUMPRODUCT(('[2]2.행정구역별 급수인구'!$C$7:$C$997=$B129)*('[2]2.행정구역별 급수인구'!X$7:X$997))</f>
        <v>136</v>
      </c>
      <c r="I129" s="213">
        <f>SUMIF('2013 행정구역 생활용수량'!$B$4:$B$484,B129,'2013 행정구역 생활용수량'!$D$4:$D$484)</f>
        <v>75</v>
      </c>
      <c r="J129" s="213">
        <f t="shared" si="75"/>
        <v>34</v>
      </c>
      <c r="K129" s="213">
        <f>'2.생활용수(급수구역)'!J80-SUM(K111:K128,K130)</f>
        <v>35</v>
      </c>
      <c r="L129" s="213">
        <f>'2.생활용수(급수구역)'!K80-SUM(L111:L128,L130)</f>
        <v>39</v>
      </c>
      <c r="M129" s="213">
        <f>'2.생활용수(급수구역)'!L80-SUM(M111:M128,M130)</f>
        <v>42</v>
      </c>
      <c r="N129" s="213">
        <f>'2.생활용수(급수구역)'!M80-SUM(N111:N128,N130)</f>
        <v>44</v>
      </c>
      <c r="O129" s="359"/>
    </row>
    <row r="130" spans="1:21" ht="19.899999999999999" customHeight="1">
      <c r="A130" s="678"/>
      <c r="B130" s="210" t="s">
        <v>923</v>
      </c>
      <c r="C130" s="211">
        <f>SUMPRODUCT(('[2]2.행정구역별 급수인구'!$C$7:$C$997=$B130)*('[2]2.행정구역별 급수인구'!S$7:S$997))</f>
        <v>0</v>
      </c>
      <c r="D130" s="211">
        <f>SUMPRODUCT(('[2]2.행정구역별 급수인구'!$C$7:$C$997=$B130)*('[2]2.행정구역별 급수인구'!T$7:T$997))</f>
        <v>0</v>
      </c>
      <c r="E130" s="211">
        <f>SUMPRODUCT(('[2]2.행정구역별 급수인구'!$C$7:$C$997=$B130)*('[2]2.행정구역별 급수인구'!U$7:U$997))</f>
        <v>283</v>
      </c>
      <c r="F130" s="211">
        <f>SUMPRODUCT(('[2]2.행정구역별 급수인구'!$C$7:$C$997=$B130)*('[2]2.행정구역별 급수인구'!V$7:V$997))</f>
        <v>297</v>
      </c>
      <c r="G130" s="211">
        <f>SUMPRODUCT(('[2]2.행정구역별 급수인구'!$C$7:$C$997=$B130)*('[2]2.행정구역별 급수인구'!W$7:W$997))</f>
        <v>322</v>
      </c>
      <c r="H130" s="211">
        <f>SUMPRODUCT(('[2]2.행정구역별 급수인구'!$C$7:$C$997=$B130)*('[2]2.행정구역별 급수인구'!X$7:X$997))</f>
        <v>328</v>
      </c>
      <c r="I130" s="213">
        <f>SUMIF('2013 행정구역 생활용수량'!$B$4:$B$484,B130,'2013 행정구역 생활용수량'!$D$4:$D$484)</f>
        <v>0</v>
      </c>
      <c r="J130" s="213">
        <f t="shared" si="75"/>
        <v>0</v>
      </c>
      <c r="K130" s="213">
        <f t="shared" si="76"/>
        <v>86</v>
      </c>
      <c r="L130" s="213">
        <f t="shared" si="77"/>
        <v>91</v>
      </c>
      <c r="M130" s="213">
        <f t="shared" si="78"/>
        <v>100</v>
      </c>
      <c r="N130" s="213">
        <f t="shared" si="79"/>
        <v>102</v>
      </c>
      <c r="O130" s="359"/>
    </row>
    <row r="131" spans="1:21" ht="19.899999999999999" customHeight="1">
      <c r="A131" s="679" t="s">
        <v>924</v>
      </c>
      <c r="B131" s="210" t="s">
        <v>837</v>
      </c>
      <c r="C131" s="211">
        <f>'[3]5.급수원단위'!C$34</f>
        <v>272</v>
      </c>
      <c r="D131" s="211">
        <f>'[3]5.급수원단위'!$D$41</f>
        <v>304</v>
      </c>
      <c r="E131" s="211">
        <f>'[3]5.급수원단위'!D$34</f>
        <v>304</v>
      </c>
      <c r="F131" s="211">
        <f>'[3]5.급수원단위'!E$34</f>
        <v>308</v>
      </c>
      <c r="G131" s="211">
        <f>'[3]5.급수원단위'!F$34</f>
        <v>310</v>
      </c>
      <c r="H131" s="211">
        <f>'[3]5.급수원단위'!G$34</f>
        <v>310</v>
      </c>
      <c r="I131" s="680"/>
      <c r="J131" s="681"/>
      <c r="K131" s="681"/>
      <c r="L131" s="681"/>
      <c r="M131" s="681"/>
      <c r="N131" s="682"/>
      <c r="O131" s="359"/>
      <c r="Q131" s="511">
        <v>2013</v>
      </c>
      <c r="R131" s="511">
        <v>2015</v>
      </c>
      <c r="S131" s="511">
        <v>2020</v>
      </c>
      <c r="T131" s="511">
        <v>2025</v>
      </c>
      <c r="U131" s="511">
        <v>2030</v>
      </c>
    </row>
    <row r="132" spans="1:21" ht="19.899999999999999" customHeight="1">
      <c r="A132" s="679"/>
      <c r="B132" s="223" t="s">
        <v>778</v>
      </c>
      <c r="C132" s="212">
        <f>SUM(C133:C146)</f>
        <v>0</v>
      </c>
      <c r="D132" s="212">
        <f t="shared" ref="D132:H132" si="80">SUM(D133:D146)</f>
        <v>0</v>
      </c>
      <c r="E132" s="212">
        <f t="shared" si="80"/>
        <v>0</v>
      </c>
      <c r="F132" s="212">
        <f t="shared" si="80"/>
        <v>2241</v>
      </c>
      <c r="G132" s="212">
        <f t="shared" si="80"/>
        <v>2292</v>
      </c>
      <c r="H132" s="212">
        <f t="shared" si="80"/>
        <v>2336</v>
      </c>
      <c r="I132" s="212">
        <f t="shared" ref="I132:N132" si="81">SUM(I133:I146)</f>
        <v>0</v>
      </c>
      <c r="J132" s="212">
        <f t="shared" ref="J132" si="82">SUM(J133:J146)</f>
        <v>0</v>
      </c>
      <c r="K132" s="212">
        <f t="shared" si="81"/>
        <v>0</v>
      </c>
      <c r="L132" s="212">
        <f t="shared" si="81"/>
        <v>689</v>
      </c>
      <c r="M132" s="212">
        <f t="shared" si="81"/>
        <v>710</v>
      </c>
      <c r="N132" s="212">
        <f t="shared" si="81"/>
        <v>725</v>
      </c>
      <c r="O132" s="359">
        <f>'2013년도 용수량 비율'!F13</f>
        <v>1</v>
      </c>
      <c r="Q132" s="213">
        <f>ROUND(I132,-2)</f>
        <v>0</v>
      </c>
      <c r="R132" s="213">
        <f>ROUND(K132,-2)</f>
        <v>0</v>
      </c>
      <c r="S132" s="213">
        <f>ROUND(L132,-2)</f>
        <v>700</v>
      </c>
      <c r="T132" s="213">
        <f>ROUND(M132,-2)</f>
        <v>700</v>
      </c>
      <c r="U132" s="213">
        <f>ROUND(N132,-2)</f>
        <v>700</v>
      </c>
    </row>
    <row r="133" spans="1:21" ht="19.899999999999999" customHeight="1">
      <c r="A133" s="679"/>
      <c r="B133" s="210" t="s">
        <v>925</v>
      </c>
      <c r="C133" s="211">
        <f>SUMPRODUCT(('[2]2.행정구역별 급수인구'!$C$7:$C$997=$B133)*('[2]2.행정구역별 급수인구'!S$7:S$997))</f>
        <v>0</v>
      </c>
      <c r="D133" s="211">
        <f>SUMPRODUCT(('[2]2.행정구역별 급수인구'!$C$7:$C$997=$B133)*('[2]2.행정구역별 급수인구'!T$7:T$997))</f>
        <v>0</v>
      </c>
      <c r="E133" s="211">
        <f>SUMPRODUCT(('[2]2.행정구역별 급수인구'!$C$7:$C$997=$B133)*('[2]2.행정구역별 급수인구'!U$7:U$997))</f>
        <v>0</v>
      </c>
      <c r="F133" s="211">
        <f>SUMPRODUCT(('[2]2.행정구역별 급수인구'!$C$7:$C$997=$B133)*('[2]2.행정구역별 급수인구'!V$7:V$997))</f>
        <v>327</v>
      </c>
      <c r="G133" s="211">
        <f>SUMPRODUCT(('[2]2.행정구역별 급수인구'!$C$7:$C$997=$B133)*('[2]2.행정구역별 급수인구'!W$7:W$997))</f>
        <v>334</v>
      </c>
      <c r="H133" s="211">
        <f>SUMPRODUCT(('[2]2.행정구역별 급수인구'!$C$7:$C$997=$B133)*('[2]2.행정구역별 급수인구'!X$7:X$997))</f>
        <v>341</v>
      </c>
      <c r="I133" s="213">
        <f>SUMIF('2013 행정구역 생활용수량'!$B$4:$B$484,B133,'2013 행정구역 생활용수량'!$D$4:$D$484)</f>
        <v>0</v>
      </c>
      <c r="J133" s="213">
        <f t="shared" ref="J133:N133" si="83">ROUND(D133*D$131/1000,0)</f>
        <v>0</v>
      </c>
      <c r="K133" s="213">
        <f t="shared" si="83"/>
        <v>0</v>
      </c>
      <c r="L133" s="213">
        <f t="shared" si="83"/>
        <v>101</v>
      </c>
      <c r="M133" s="213">
        <f t="shared" si="83"/>
        <v>104</v>
      </c>
      <c r="N133" s="213">
        <f t="shared" si="83"/>
        <v>106</v>
      </c>
      <c r="O133" s="359"/>
    </row>
    <row r="134" spans="1:21" ht="19.899999999999999" customHeight="1">
      <c r="A134" s="679"/>
      <c r="B134" s="210" t="s">
        <v>926</v>
      </c>
      <c r="C134" s="211">
        <f>SUMPRODUCT(('[2]2.행정구역별 급수인구'!$C$7:$C$997=$B134)*('[2]2.행정구역별 급수인구'!S$7:S$997))</f>
        <v>0</v>
      </c>
      <c r="D134" s="211">
        <f>SUMPRODUCT(('[2]2.행정구역별 급수인구'!$C$7:$C$997=$B134)*('[2]2.행정구역별 급수인구'!T$7:T$997))</f>
        <v>0</v>
      </c>
      <c r="E134" s="211">
        <f>SUMPRODUCT(('[2]2.행정구역별 급수인구'!$C$7:$C$997=$B134)*('[2]2.행정구역별 급수인구'!U$7:U$997))</f>
        <v>0</v>
      </c>
      <c r="F134" s="211">
        <f>SUMPRODUCT(('[2]2.행정구역별 급수인구'!$C$7:$C$997=$B134)*('[2]2.행정구역별 급수인구'!V$7:V$997))</f>
        <v>75</v>
      </c>
      <c r="G134" s="211">
        <f>SUMPRODUCT(('[2]2.행정구역별 급수인구'!$C$7:$C$997=$B134)*('[2]2.행정구역별 급수인구'!W$7:W$997))</f>
        <v>77</v>
      </c>
      <c r="H134" s="211">
        <f>SUMPRODUCT(('[2]2.행정구역별 급수인구'!$C$7:$C$997=$B134)*('[2]2.행정구역별 급수인구'!X$7:X$997))</f>
        <v>78</v>
      </c>
      <c r="I134" s="213">
        <f>SUMIF('2013 행정구역 생활용수량'!$B$4:$B$484,B134,'2013 행정구역 생활용수량'!$D$4:$D$484)</f>
        <v>0</v>
      </c>
      <c r="J134" s="213">
        <f t="shared" ref="J134:J146" si="84">ROUND(D134*D$131/1000,0)</f>
        <v>0</v>
      </c>
      <c r="K134" s="213">
        <f t="shared" ref="K134:K145" si="85">ROUND(E134*E$131/1000,0)</f>
        <v>0</v>
      </c>
      <c r="L134" s="213">
        <f t="shared" ref="L134:L145" si="86">ROUND(F134*F$131/1000,0)</f>
        <v>23</v>
      </c>
      <c r="M134" s="213">
        <f t="shared" ref="M134:M145" si="87">ROUND(G134*G$131/1000,0)</f>
        <v>24</v>
      </c>
      <c r="N134" s="213">
        <f t="shared" ref="N134:N145" si="88">ROUND(H134*H$131/1000,0)</f>
        <v>24</v>
      </c>
      <c r="O134" s="359"/>
    </row>
    <row r="135" spans="1:21" ht="19.899999999999999" customHeight="1">
      <c r="A135" s="679"/>
      <c r="B135" s="210" t="s">
        <v>927</v>
      </c>
      <c r="C135" s="211">
        <f>SUMPRODUCT(('[2]2.행정구역별 급수인구'!$C$7:$C$997=$B135)*('[2]2.행정구역별 급수인구'!S$7:S$997))</f>
        <v>0</v>
      </c>
      <c r="D135" s="211">
        <f>SUMPRODUCT(('[2]2.행정구역별 급수인구'!$C$7:$C$997=$B135)*('[2]2.행정구역별 급수인구'!T$7:T$997))</f>
        <v>0</v>
      </c>
      <c r="E135" s="211">
        <f>SUMPRODUCT(('[2]2.행정구역별 급수인구'!$C$7:$C$997=$B135)*('[2]2.행정구역별 급수인구'!U$7:U$997))</f>
        <v>0</v>
      </c>
      <c r="F135" s="211">
        <f>SUMPRODUCT(('[2]2.행정구역별 급수인구'!$C$7:$C$997=$B135)*('[2]2.행정구역별 급수인구'!V$7:V$997))</f>
        <v>106</v>
      </c>
      <c r="G135" s="211">
        <f>SUMPRODUCT(('[2]2.행정구역별 급수인구'!$C$7:$C$997=$B135)*('[2]2.행정구역별 급수인구'!W$7:W$997))</f>
        <v>108</v>
      </c>
      <c r="H135" s="211">
        <f>SUMPRODUCT(('[2]2.행정구역별 급수인구'!$C$7:$C$997=$B135)*('[2]2.행정구역별 급수인구'!X$7:X$997))</f>
        <v>111</v>
      </c>
      <c r="I135" s="213">
        <f>SUMIF('2013 행정구역 생활용수량'!$B$4:$B$484,B135,'2013 행정구역 생활용수량'!$D$4:$D$484)</f>
        <v>0</v>
      </c>
      <c r="J135" s="213">
        <f t="shared" si="84"/>
        <v>0</v>
      </c>
      <c r="K135" s="213">
        <f t="shared" si="85"/>
        <v>0</v>
      </c>
      <c r="L135" s="213">
        <f t="shared" si="86"/>
        <v>33</v>
      </c>
      <c r="M135" s="213">
        <f t="shared" si="87"/>
        <v>33</v>
      </c>
      <c r="N135" s="213">
        <f t="shared" si="88"/>
        <v>34</v>
      </c>
      <c r="O135" s="359"/>
    </row>
    <row r="136" spans="1:21" ht="19.899999999999999" customHeight="1">
      <c r="A136" s="679"/>
      <c r="B136" s="210" t="s">
        <v>928</v>
      </c>
      <c r="C136" s="211">
        <f>SUMPRODUCT(('[2]2.행정구역별 급수인구'!$C$7:$C$997=$B136)*('[2]2.행정구역별 급수인구'!S$7:S$997))</f>
        <v>0</v>
      </c>
      <c r="D136" s="211">
        <f>SUMPRODUCT(('[2]2.행정구역별 급수인구'!$C$7:$C$997=$B136)*('[2]2.행정구역별 급수인구'!T$7:T$997))</f>
        <v>0</v>
      </c>
      <c r="E136" s="211">
        <f>SUMPRODUCT(('[2]2.행정구역별 급수인구'!$C$7:$C$997=$B136)*('[2]2.행정구역별 급수인구'!U$7:U$997))</f>
        <v>0</v>
      </c>
      <c r="F136" s="211">
        <f>SUMPRODUCT(('[2]2.행정구역별 급수인구'!$C$7:$C$997=$B136)*('[2]2.행정구역별 급수인구'!V$7:V$997))</f>
        <v>210</v>
      </c>
      <c r="G136" s="211">
        <f>SUMPRODUCT(('[2]2.행정구역별 급수인구'!$C$7:$C$997=$B136)*('[2]2.행정구역별 급수인구'!W$7:W$997))</f>
        <v>214</v>
      </c>
      <c r="H136" s="211">
        <f>SUMPRODUCT(('[2]2.행정구역별 급수인구'!$C$7:$C$997=$B136)*('[2]2.행정구역별 급수인구'!X$7:X$997))</f>
        <v>218</v>
      </c>
      <c r="I136" s="213">
        <f>SUMIF('2013 행정구역 생활용수량'!$B$4:$B$484,B136,'2013 행정구역 생활용수량'!$D$4:$D$484)</f>
        <v>0</v>
      </c>
      <c r="J136" s="213">
        <f t="shared" si="84"/>
        <v>0</v>
      </c>
      <c r="K136" s="213">
        <f t="shared" si="85"/>
        <v>0</v>
      </c>
      <c r="L136" s="213">
        <f t="shared" si="86"/>
        <v>65</v>
      </c>
      <c r="M136" s="213">
        <f t="shared" si="87"/>
        <v>66</v>
      </c>
      <c r="N136" s="213">
        <f t="shared" si="88"/>
        <v>68</v>
      </c>
      <c r="O136" s="359"/>
    </row>
    <row r="137" spans="1:21" ht="19.899999999999999" customHeight="1">
      <c r="A137" s="679"/>
      <c r="B137" s="210" t="s">
        <v>929</v>
      </c>
      <c r="C137" s="211">
        <f>SUMPRODUCT(('[2]2.행정구역별 급수인구'!$C$7:$C$997=$B137)*('[2]2.행정구역별 급수인구'!S$7:S$997))</f>
        <v>0</v>
      </c>
      <c r="D137" s="211">
        <f>SUMPRODUCT(('[2]2.행정구역별 급수인구'!$C$7:$C$997=$B137)*('[2]2.행정구역별 급수인구'!T$7:T$997))</f>
        <v>0</v>
      </c>
      <c r="E137" s="211">
        <f>SUMPRODUCT(('[2]2.행정구역별 급수인구'!$C$7:$C$997=$B137)*('[2]2.행정구역별 급수인구'!U$7:U$997))</f>
        <v>0</v>
      </c>
      <c r="F137" s="211">
        <f>SUMPRODUCT(('[2]2.행정구역별 급수인구'!$C$7:$C$997=$B137)*('[2]2.행정구역별 급수인구'!V$7:V$997))</f>
        <v>89</v>
      </c>
      <c r="G137" s="211">
        <f>SUMPRODUCT(('[2]2.행정구역별 급수인구'!$C$7:$C$997=$B137)*('[2]2.행정구역별 급수인구'!W$7:W$997))</f>
        <v>90</v>
      </c>
      <c r="H137" s="211">
        <f>SUMPRODUCT(('[2]2.행정구역별 급수인구'!$C$7:$C$997=$B137)*('[2]2.행정구역별 급수인구'!X$7:X$997))</f>
        <v>92</v>
      </c>
      <c r="I137" s="213">
        <f>SUMIF('2013 행정구역 생활용수량'!$B$4:$B$484,B137,'2013 행정구역 생활용수량'!$D$4:$D$484)</f>
        <v>0</v>
      </c>
      <c r="J137" s="213">
        <f t="shared" si="84"/>
        <v>0</v>
      </c>
      <c r="K137" s="213">
        <f t="shared" si="85"/>
        <v>0</v>
      </c>
      <c r="L137" s="213">
        <f t="shared" si="86"/>
        <v>27</v>
      </c>
      <c r="M137" s="213">
        <f t="shared" si="87"/>
        <v>28</v>
      </c>
      <c r="N137" s="213">
        <f t="shared" si="88"/>
        <v>29</v>
      </c>
      <c r="O137" s="359"/>
    </row>
    <row r="138" spans="1:21" ht="19.149999999999999" customHeight="1">
      <c r="A138" s="679" t="s">
        <v>729</v>
      </c>
      <c r="B138" s="210" t="s">
        <v>930</v>
      </c>
      <c r="C138" s="211">
        <f>SUMPRODUCT(('[2]2.행정구역별 급수인구'!$C$7:$C$997=$B138)*('[2]2.행정구역별 급수인구'!S$7:S$997))</f>
        <v>0</v>
      </c>
      <c r="D138" s="211">
        <f>SUMPRODUCT(('[2]2.행정구역별 급수인구'!$C$7:$C$997=$B138)*('[2]2.행정구역별 급수인구'!T$7:T$997))</f>
        <v>0</v>
      </c>
      <c r="E138" s="211">
        <f>SUMPRODUCT(('[2]2.행정구역별 급수인구'!$C$7:$C$997=$B138)*('[2]2.행정구역별 급수인구'!U$7:U$997))</f>
        <v>0</v>
      </c>
      <c r="F138" s="211">
        <f>SUMPRODUCT(('[2]2.행정구역별 급수인구'!$C$7:$C$997=$B138)*('[2]2.행정구역별 급수인구'!V$7:V$997))</f>
        <v>158</v>
      </c>
      <c r="G138" s="211">
        <f>SUMPRODUCT(('[2]2.행정구역별 급수인구'!$C$7:$C$997=$B138)*('[2]2.행정구역별 급수인구'!W$7:W$997))</f>
        <v>162</v>
      </c>
      <c r="H138" s="211">
        <f>SUMPRODUCT(('[2]2.행정구역별 급수인구'!$C$7:$C$997=$B138)*('[2]2.행정구역별 급수인구'!X$7:X$997))</f>
        <v>165</v>
      </c>
      <c r="I138" s="213">
        <f>SUMIF('2013 행정구역 생활용수량'!$B$4:$B$484,B138,'2013 행정구역 생활용수량'!$D$4:$D$484)</f>
        <v>0</v>
      </c>
      <c r="J138" s="213">
        <f t="shared" si="84"/>
        <v>0</v>
      </c>
      <c r="K138" s="213">
        <f t="shared" si="85"/>
        <v>0</v>
      </c>
      <c r="L138" s="213">
        <f t="shared" si="86"/>
        <v>49</v>
      </c>
      <c r="M138" s="213">
        <f t="shared" si="87"/>
        <v>50</v>
      </c>
      <c r="N138" s="213">
        <f t="shared" si="88"/>
        <v>51</v>
      </c>
      <c r="O138" s="359"/>
    </row>
    <row r="139" spans="1:21" ht="19.149999999999999" customHeight="1">
      <c r="A139" s="679"/>
      <c r="B139" s="210" t="s">
        <v>931</v>
      </c>
      <c r="C139" s="211">
        <f>SUMPRODUCT(('[2]2.행정구역별 급수인구'!$C$7:$C$997=$B139)*('[2]2.행정구역별 급수인구'!S$7:S$997))</f>
        <v>0</v>
      </c>
      <c r="D139" s="211">
        <f>SUMPRODUCT(('[2]2.행정구역별 급수인구'!$C$7:$C$997=$B139)*('[2]2.행정구역별 급수인구'!T$7:T$997))</f>
        <v>0</v>
      </c>
      <c r="E139" s="211">
        <f>SUMPRODUCT(('[2]2.행정구역별 급수인구'!$C$7:$C$997=$B139)*('[2]2.행정구역별 급수인구'!U$7:U$997))</f>
        <v>0</v>
      </c>
      <c r="F139" s="211">
        <f>SUMPRODUCT(('[2]2.행정구역별 급수인구'!$C$7:$C$997=$B139)*('[2]2.행정구역별 급수인구'!V$7:V$997))</f>
        <v>152</v>
      </c>
      <c r="G139" s="211">
        <f>SUMPRODUCT(('[2]2.행정구역별 급수인구'!$C$7:$C$997=$B139)*('[2]2.행정구역별 급수인구'!W$7:W$997))</f>
        <v>156</v>
      </c>
      <c r="H139" s="211">
        <f>SUMPRODUCT(('[2]2.행정구역별 급수인구'!$C$7:$C$997=$B139)*('[2]2.행정구역별 급수인구'!X$7:X$997))</f>
        <v>159</v>
      </c>
      <c r="I139" s="213">
        <f>SUMIF('2013 행정구역 생활용수량'!$B$4:$B$484,B139,'2013 행정구역 생활용수량'!$D$4:$D$484)</f>
        <v>0</v>
      </c>
      <c r="J139" s="213">
        <f t="shared" si="84"/>
        <v>0</v>
      </c>
      <c r="K139" s="213">
        <f t="shared" si="85"/>
        <v>0</v>
      </c>
      <c r="L139" s="213">
        <f t="shared" si="86"/>
        <v>47</v>
      </c>
      <c r="M139" s="213">
        <f t="shared" si="87"/>
        <v>48</v>
      </c>
      <c r="N139" s="213">
        <f t="shared" si="88"/>
        <v>49</v>
      </c>
      <c r="O139" s="359"/>
    </row>
    <row r="140" spans="1:21" ht="19.149999999999999" customHeight="1">
      <c r="A140" s="679"/>
      <c r="B140" s="210" t="s">
        <v>932</v>
      </c>
      <c r="C140" s="211">
        <f>SUMPRODUCT(('[2]2.행정구역별 급수인구'!$C$7:$C$997=$B140)*('[2]2.행정구역별 급수인구'!S$7:S$997))</f>
        <v>0</v>
      </c>
      <c r="D140" s="211">
        <f>SUMPRODUCT(('[2]2.행정구역별 급수인구'!$C$7:$C$997=$B140)*('[2]2.행정구역별 급수인구'!T$7:T$997))</f>
        <v>0</v>
      </c>
      <c r="E140" s="211">
        <f>SUMPRODUCT(('[2]2.행정구역별 급수인구'!$C$7:$C$997=$B140)*('[2]2.행정구역별 급수인구'!U$7:U$997))</f>
        <v>0</v>
      </c>
      <c r="F140" s="211">
        <f>SUMPRODUCT(('[2]2.행정구역별 급수인구'!$C$7:$C$997=$B140)*('[2]2.행정구역별 급수인구'!V$7:V$997))</f>
        <v>237</v>
      </c>
      <c r="G140" s="211">
        <f>SUMPRODUCT(('[2]2.행정구역별 급수인구'!$C$7:$C$997=$B140)*('[2]2.행정구역별 급수인구'!W$7:W$997))</f>
        <v>242</v>
      </c>
      <c r="H140" s="211">
        <f>SUMPRODUCT(('[2]2.행정구역별 급수인구'!$C$7:$C$997=$B140)*('[2]2.행정구역별 급수인구'!X$7:X$997))</f>
        <v>246</v>
      </c>
      <c r="I140" s="213">
        <f>SUMIF('2013 행정구역 생활용수량'!$B$4:$B$484,B140,'2013 행정구역 생활용수량'!$D$4:$D$484)</f>
        <v>0</v>
      </c>
      <c r="J140" s="213">
        <f t="shared" si="84"/>
        <v>0</v>
      </c>
      <c r="K140" s="213">
        <f t="shared" si="85"/>
        <v>0</v>
      </c>
      <c r="L140" s="213">
        <f t="shared" si="86"/>
        <v>73</v>
      </c>
      <c r="M140" s="213">
        <f t="shared" si="87"/>
        <v>75</v>
      </c>
      <c r="N140" s="213">
        <f t="shared" si="88"/>
        <v>76</v>
      </c>
      <c r="O140" s="359"/>
    </row>
    <row r="141" spans="1:21" ht="19.149999999999999" customHeight="1">
      <c r="A141" s="679"/>
      <c r="B141" s="210" t="s">
        <v>933</v>
      </c>
      <c r="C141" s="211">
        <f>SUMPRODUCT(('[2]2.행정구역별 급수인구'!$C$7:$C$997=$B141)*('[2]2.행정구역별 급수인구'!S$7:S$997))</f>
        <v>0</v>
      </c>
      <c r="D141" s="211">
        <f>SUMPRODUCT(('[2]2.행정구역별 급수인구'!$C$7:$C$997=$B141)*('[2]2.행정구역별 급수인구'!T$7:T$997))</f>
        <v>0</v>
      </c>
      <c r="E141" s="211">
        <f>SUMPRODUCT(('[2]2.행정구역별 급수인구'!$C$7:$C$997=$B141)*('[2]2.행정구역별 급수인구'!U$7:U$997))</f>
        <v>0</v>
      </c>
      <c r="F141" s="211">
        <f>SUMPRODUCT(('[2]2.행정구역별 급수인구'!$C$7:$C$997=$B141)*('[2]2.행정구역별 급수인구'!V$7:V$997))</f>
        <v>120</v>
      </c>
      <c r="G141" s="211">
        <f>SUMPRODUCT(('[2]2.행정구역별 급수인구'!$C$7:$C$997=$B141)*('[2]2.행정구역별 급수인구'!W$7:W$997))</f>
        <v>123</v>
      </c>
      <c r="H141" s="211">
        <f>SUMPRODUCT(('[2]2.행정구역별 급수인구'!$C$7:$C$997=$B141)*('[2]2.행정구역별 급수인구'!X$7:X$997))</f>
        <v>125</v>
      </c>
      <c r="I141" s="213">
        <f>SUMIF('2013 행정구역 생활용수량'!$B$4:$B$484,B141,'2013 행정구역 생활용수량'!$D$4:$D$484)</f>
        <v>0</v>
      </c>
      <c r="J141" s="213">
        <f t="shared" si="84"/>
        <v>0</v>
      </c>
      <c r="K141" s="213">
        <f t="shared" si="85"/>
        <v>0</v>
      </c>
      <c r="L141" s="213">
        <f t="shared" si="86"/>
        <v>37</v>
      </c>
      <c r="M141" s="213">
        <f t="shared" si="87"/>
        <v>38</v>
      </c>
      <c r="N141" s="213">
        <f t="shared" si="88"/>
        <v>39</v>
      </c>
      <c r="O141" s="359"/>
    </row>
    <row r="142" spans="1:21" ht="19.149999999999999" customHeight="1">
      <c r="A142" s="679"/>
      <c r="B142" s="210" t="s">
        <v>934</v>
      </c>
      <c r="C142" s="211">
        <f>SUMPRODUCT(('[2]2.행정구역별 급수인구'!$C$7:$C$997=$B142)*('[2]2.행정구역별 급수인구'!S$7:S$997))</f>
        <v>0</v>
      </c>
      <c r="D142" s="211">
        <f>SUMPRODUCT(('[2]2.행정구역별 급수인구'!$C$7:$C$997=$B142)*('[2]2.행정구역별 급수인구'!T$7:T$997))</f>
        <v>0</v>
      </c>
      <c r="E142" s="211">
        <f>SUMPRODUCT(('[2]2.행정구역별 급수인구'!$C$7:$C$997=$B142)*('[2]2.행정구역별 급수인구'!U$7:U$997))</f>
        <v>0</v>
      </c>
      <c r="F142" s="211">
        <f>SUMPRODUCT(('[2]2.행정구역별 급수인구'!$C$7:$C$997=$B142)*('[2]2.행정구역별 급수인구'!V$7:V$997))</f>
        <v>120</v>
      </c>
      <c r="G142" s="211">
        <f>SUMPRODUCT(('[2]2.행정구역별 급수인구'!$C$7:$C$997=$B142)*('[2]2.행정구역별 급수인구'!W$7:W$997))</f>
        <v>123</v>
      </c>
      <c r="H142" s="211">
        <f>SUMPRODUCT(('[2]2.행정구역별 급수인구'!$C$7:$C$997=$B142)*('[2]2.행정구역별 급수인구'!X$7:X$997))</f>
        <v>125</v>
      </c>
      <c r="I142" s="213">
        <f>SUMIF('2013 행정구역 생활용수량'!$B$4:$B$484,B142,'2013 행정구역 생활용수량'!$D$4:$D$484)</f>
        <v>0</v>
      </c>
      <c r="J142" s="213">
        <f t="shared" si="84"/>
        <v>0</v>
      </c>
      <c r="K142" s="213">
        <f t="shared" si="85"/>
        <v>0</v>
      </c>
      <c r="L142" s="213">
        <f t="shared" si="86"/>
        <v>37</v>
      </c>
      <c r="M142" s="213">
        <f t="shared" si="87"/>
        <v>38</v>
      </c>
      <c r="N142" s="213">
        <f t="shared" si="88"/>
        <v>39</v>
      </c>
      <c r="O142" s="359"/>
    </row>
    <row r="143" spans="1:21" ht="19.149999999999999" customHeight="1">
      <c r="A143" s="679"/>
      <c r="B143" s="210" t="s">
        <v>935</v>
      </c>
      <c r="C143" s="211">
        <f>SUMPRODUCT(('[2]2.행정구역별 급수인구'!$C$7:$C$997=$B143)*('[2]2.행정구역별 급수인구'!S$7:S$997))</f>
        <v>0</v>
      </c>
      <c r="D143" s="211">
        <f>SUMPRODUCT(('[2]2.행정구역별 급수인구'!$C$7:$C$997=$B143)*('[2]2.행정구역별 급수인구'!T$7:T$997))</f>
        <v>0</v>
      </c>
      <c r="E143" s="211">
        <f>SUMPRODUCT(('[2]2.행정구역별 급수인구'!$C$7:$C$997=$B143)*('[2]2.행정구역별 급수인구'!U$7:U$997))</f>
        <v>0</v>
      </c>
      <c r="F143" s="211">
        <f>SUMPRODUCT(('[2]2.행정구역별 급수인구'!$C$7:$C$997=$B143)*('[2]2.행정구역별 급수인구'!V$7:V$997))</f>
        <v>156</v>
      </c>
      <c r="G143" s="211">
        <f>SUMPRODUCT(('[2]2.행정구역별 급수인구'!$C$7:$C$997=$B143)*('[2]2.행정구역별 급수인구'!W$7:W$997))</f>
        <v>160</v>
      </c>
      <c r="H143" s="211">
        <f>SUMPRODUCT(('[2]2.행정구역별 급수인구'!$C$7:$C$997=$B143)*('[2]2.행정구역별 급수인구'!X$7:X$997))</f>
        <v>163</v>
      </c>
      <c r="I143" s="213">
        <f>SUMIF('2013 행정구역 생활용수량'!$B$4:$B$484,B143,'2013 행정구역 생활용수량'!$D$4:$D$484)</f>
        <v>0</v>
      </c>
      <c r="J143" s="213">
        <f t="shared" si="84"/>
        <v>0</v>
      </c>
      <c r="K143" s="213">
        <f t="shared" si="85"/>
        <v>0</v>
      </c>
      <c r="L143" s="213">
        <f t="shared" si="86"/>
        <v>48</v>
      </c>
      <c r="M143" s="213">
        <f t="shared" si="87"/>
        <v>50</v>
      </c>
      <c r="N143" s="213">
        <f t="shared" si="88"/>
        <v>51</v>
      </c>
      <c r="O143" s="359"/>
    </row>
    <row r="144" spans="1:21" ht="19.149999999999999" customHeight="1">
      <c r="A144" s="679"/>
      <c r="B144" s="210" t="s">
        <v>936</v>
      </c>
      <c r="C144" s="211">
        <f>SUMPRODUCT(('[2]2.행정구역별 급수인구'!$C$7:$C$997=$B144)*('[2]2.행정구역별 급수인구'!S$7:S$997))</f>
        <v>0</v>
      </c>
      <c r="D144" s="211">
        <f>SUMPRODUCT(('[2]2.행정구역별 급수인구'!$C$7:$C$997=$B144)*('[2]2.행정구역별 급수인구'!T$7:T$997))</f>
        <v>0</v>
      </c>
      <c r="E144" s="211">
        <f>SUMPRODUCT(('[2]2.행정구역별 급수인구'!$C$7:$C$997=$B144)*('[2]2.행정구역별 급수인구'!U$7:U$997))</f>
        <v>0</v>
      </c>
      <c r="F144" s="211">
        <f>SUMPRODUCT(('[2]2.행정구역별 급수인구'!$C$7:$C$997=$B144)*('[2]2.행정구역별 급수인구'!V$7:V$997))</f>
        <v>104</v>
      </c>
      <c r="G144" s="211">
        <f>SUMPRODUCT(('[2]2.행정구역별 급수인구'!$C$7:$C$997=$B144)*('[2]2.행정구역별 급수인구'!W$7:W$997))</f>
        <v>107</v>
      </c>
      <c r="H144" s="211">
        <f>SUMPRODUCT(('[2]2.행정구역별 급수인구'!$C$7:$C$997=$B144)*('[2]2.행정구역별 급수인구'!X$7:X$997))</f>
        <v>109</v>
      </c>
      <c r="I144" s="213">
        <f>SUMIF('2013 행정구역 생활용수량'!$B$4:$B$484,B144,'2013 행정구역 생활용수량'!$D$4:$D$484)</f>
        <v>0</v>
      </c>
      <c r="J144" s="213">
        <f t="shared" si="84"/>
        <v>0</v>
      </c>
      <c r="K144" s="213">
        <f t="shared" si="85"/>
        <v>0</v>
      </c>
      <c r="L144" s="213">
        <f t="shared" si="86"/>
        <v>32</v>
      </c>
      <c r="M144" s="213">
        <f t="shared" si="87"/>
        <v>33</v>
      </c>
      <c r="N144" s="213">
        <f t="shared" si="88"/>
        <v>34</v>
      </c>
      <c r="O144" s="359"/>
    </row>
    <row r="145" spans="1:21" ht="19.149999999999999" customHeight="1">
      <c r="A145" s="679"/>
      <c r="B145" s="253" t="s">
        <v>1172</v>
      </c>
      <c r="C145" s="211">
        <f>SUMPRODUCT(('[2]2.행정구역별 급수인구'!$C$7:$C$997=$B145)*('[2]2.행정구역별 급수인구'!S$7:S$997))</f>
        <v>0</v>
      </c>
      <c r="D145" s="211">
        <f>SUMPRODUCT(('[2]2.행정구역별 급수인구'!$C$7:$C$997=$B145)*('[2]2.행정구역별 급수인구'!T$7:T$997))</f>
        <v>0</v>
      </c>
      <c r="E145" s="211">
        <f>SUMPRODUCT(('[2]2.행정구역별 급수인구'!$C$7:$C$997=$B145)*('[2]2.행정구역별 급수인구'!U$7:U$997))</f>
        <v>0</v>
      </c>
      <c r="F145" s="211">
        <f>SUMPRODUCT(('[2]2.행정구역별 급수인구'!$C$7:$C$997=$B145)*('[2]2.행정구역별 급수인구'!V$7:V$997))</f>
        <v>215</v>
      </c>
      <c r="G145" s="211">
        <f>SUMPRODUCT(('[2]2.행정구역별 급수인구'!$C$7:$C$997=$B145)*('[2]2.행정구역별 급수인구'!W$7:W$997))</f>
        <v>220</v>
      </c>
      <c r="H145" s="211">
        <f>SUMPRODUCT(('[2]2.행정구역별 급수인구'!$C$7:$C$997=$B145)*('[2]2.행정구역별 급수인구'!X$7:X$997))</f>
        <v>224</v>
      </c>
      <c r="I145" s="213">
        <f>SUMIF('2013 행정구역 생활용수량'!$B$4:$B$484,B145,'2013 행정구역 생활용수량'!$D$4:$D$484)</f>
        <v>0</v>
      </c>
      <c r="J145" s="213">
        <f t="shared" si="84"/>
        <v>0</v>
      </c>
      <c r="K145" s="213">
        <f t="shared" si="85"/>
        <v>0</v>
      </c>
      <c r="L145" s="213">
        <f t="shared" si="86"/>
        <v>66</v>
      </c>
      <c r="M145" s="213">
        <f t="shared" si="87"/>
        <v>68</v>
      </c>
      <c r="N145" s="213">
        <f t="shared" si="88"/>
        <v>69</v>
      </c>
      <c r="O145" s="359"/>
    </row>
    <row r="146" spans="1:21" ht="19.149999999999999" customHeight="1">
      <c r="A146" s="679"/>
      <c r="B146" s="210" t="s">
        <v>937</v>
      </c>
      <c r="C146" s="211">
        <f>SUMPRODUCT(('[2]2.행정구역별 급수인구'!$C$7:$C$997=$B146)*('[2]2.행정구역별 급수인구'!S$7:S$997))</f>
        <v>0</v>
      </c>
      <c r="D146" s="211">
        <f>SUMPRODUCT(('[2]2.행정구역별 급수인구'!$C$7:$C$997=$B146)*('[2]2.행정구역별 급수인구'!T$7:T$997))</f>
        <v>0</v>
      </c>
      <c r="E146" s="211">
        <f>SUMPRODUCT(('[2]2.행정구역별 급수인구'!$C$7:$C$997=$B146)*('[2]2.행정구역별 급수인구'!U$7:U$997))</f>
        <v>0</v>
      </c>
      <c r="F146" s="211">
        <f>SUMPRODUCT(('[2]2.행정구역별 급수인구'!$C$7:$C$997=$B146)*('[2]2.행정구역별 급수인구'!V$7:V$997))</f>
        <v>172</v>
      </c>
      <c r="G146" s="211">
        <f>SUMPRODUCT(('[2]2.행정구역별 급수인구'!$C$7:$C$997=$B146)*('[2]2.행정구역별 급수인구'!W$7:W$997))</f>
        <v>176</v>
      </c>
      <c r="H146" s="211">
        <f>SUMPRODUCT(('[2]2.행정구역별 급수인구'!$C$7:$C$997=$B146)*('[2]2.행정구역별 급수인구'!X$7:X$997))</f>
        <v>180</v>
      </c>
      <c r="I146" s="213">
        <f>SUMIF('2013 행정구역 생활용수량'!$B$4:$B$484,B146,'2013 행정구역 생활용수량'!$D$4:$D$484)</f>
        <v>0</v>
      </c>
      <c r="J146" s="213">
        <f t="shared" si="84"/>
        <v>0</v>
      </c>
      <c r="K146" s="213">
        <f>'2.생활용수(급수구역)'!J81-SUM(K133:K145)</f>
        <v>0</v>
      </c>
      <c r="L146" s="213">
        <f>'2.생활용수(급수구역)'!K81-SUM(L133:L145)</f>
        <v>51</v>
      </c>
      <c r="M146" s="213">
        <f>'2.생활용수(급수구역)'!L81-SUM(M133:M145)</f>
        <v>55</v>
      </c>
      <c r="N146" s="213">
        <f>'2.생활용수(급수구역)'!M81-SUM(N133:N145)</f>
        <v>56</v>
      </c>
      <c r="O146" s="359"/>
    </row>
    <row r="147" spans="1:21" ht="19.149999999999999" customHeight="1">
      <c r="A147" s="676" t="s">
        <v>938</v>
      </c>
      <c r="B147" s="215" t="s">
        <v>837</v>
      </c>
      <c r="C147" s="211">
        <f>'[3]5.급수원단위'!C$34</f>
        <v>272</v>
      </c>
      <c r="D147" s="211">
        <f>'[3]5.급수원단위'!$D$41</f>
        <v>304</v>
      </c>
      <c r="E147" s="211">
        <f>'[3]5.급수원단위'!D$34</f>
        <v>304</v>
      </c>
      <c r="F147" s="211">
        <f>'[3]5.급수원단위'!E$34</f>
        <v>308</v>
      </c>
      <c r="G147" s="211">
        <f>'[3]5.급수원단위'!F$34</f>
        <v>310</v>
      </c>
      <c r="H147" s="211">
        <f>'[3]5.급수원단위'!G$34</f>
        <v>310</v>
      </c>
      <c r="I147" s="680"/>
      <c r="J147" s="681"/>
      <c r="K147" s="681"/>
      <c r="L147" s="681"/>
      <c r="M147" s="681"/>
      <c r="N147" s="682"/>
      <c r="O147" s="359"/>
      <c r="Q147" s="511">
        <v>2013</v>
      </c>
      <c r="R147" s="511">
        <v>2015</v>
      </c>
      <c r="S147" s="511">
        <v>2020</v>
      </c>
      <c r="T147" s="511">
        <v>2025</v>
      </c>
      <c r="U147" s="511">
        <v>2030</v>
      </c>
    </row>
    <row r="148" spans="1:21" ht="19.149999999999999" customHeight="1">
      <c r="A148" s="677"/>
      <c r="B148" s="214" t="s">
        <v>778</v>
      </c>
      <c r="C148" s="212">
        <f>SUM(C149:C166)</f>
        <v>699</v>
      </c>
      <c r="D148" s="212">
        <f t="shared" ref="D148:H148" si="89">SUM(D149:D166)</f>
        <v>887</v>
      </c>
      <c r="E148" s="212">
        <f t="shared" si="89"/>
        <v>3717</v>
      </c>
      <c r="F148" s="212">
        <f t="shared" si="89"/>
        <v>8408</v>
      </c>
      <c r="G148" s="212">
        <f t="shared" si="89"/>
        <v>8547</v>
      </c>
      <c r="H148" s="212">
        <f t="shared" si="89"/>
        <v>8648</v>
      </c>
      <c r="I148" s="212">
        <f t="shared" ref="I148:N148" si="90">SUM(I149:I166)</f>
        <v>82</v>
      </c>
      <c r="J148" s="212">
        <f t="shared" si="90"/>
        <v>270</v>
      </c>
      <c r="K148" s="212">
        <f t="shared" si="90"/>
        <v>1130</v>
      </c>
      <c r="L148" s="212">
        <f t="shared" si="90"/>
        <v>3313</v>
      </c>
      <c r="M148" s="212">
        <f t="shared" si="90"/>
        <v>3369</v>
      </c>
      <c r="N148" s="212">
        <f t="shared" si="90"/>
        <v>3397</v>
      </c>
      <c r="O148" s="359">
        <f>'2013년도 용수량 비율'!F14</f>
        <v>1.62</v>
      </c>
      <c r="Q148" s="213">
        <f>ROUND(I148,-2)</f>
        <v>100</v>
      </c>
      <c r="R148" s="213">
        <f>ROUND(K148,-2)</f>
        <v>1100</v>
      </c>
      <c r="S148" s="213">
        <f>ROUND(L148,-2)</f>
        <v>3300</v>
      </c>
      <c r="T148" s="213">
        <f>ROUND(M148,-2)</f>
        <v>3400</v>
      </c>
      <c r="U148" s="213">
        <f>ROUND(N148,-2)</f>
        <v>3400</v>
      </c>
    </row>
    <row r="149" spans="1:21" ht="19.149999999999999" customHeight="1">
      <c r="A149" s="677"/>
      <c r="B149" s="210" t="s">
        <v>939</v>
      </c>
      <c r="C149" s="211">
        <f>SUMPRODUCT(('[2]2.행정구역별 급수인구'!$C$7:$C$997=$B149)*('[2]2.행정구역별 급수인구'!S$7:S$997))</f>
        <v>503</v>
      </c>
      <c r="D149" s="211">
        <f>SUMPRODUCT(('[2]2.행정구역별 급수인구'!$C$7:$C$997=$B149)*('[2]2.행정구역별 급수인구'!T$7:T$997))</f>
        <v>503</v>
      </c>
      <c r="E149" s="211">
        <f>SUMPRODUCT(('[2]2.행정구역별 급수인구'!$C$7:$C$997=$B149)*('[2]2.행정구역별 급수인구'!U$7:U$997))</f>
        <v>613</v>
      </c>
      <c r="F149" s="211">
        <f>SUMPRODUCT(('[2]2.행정구역별 급수인구'!$C$7:$C$997=$B149)*('[2]2.행정구역별 급수인구'!V$7:V$997))</f>
        <v>742</v>
      </c>
      <c r="G149" s="211">
        <f>SUMPRODUCT(('[2]2.행정구역별 급수인구'!$C$7:$C$997=$B149)*('[2]2.행정구역별 급수인구'!W$7:W$997))</f>
        <v>761</v>
      </c>
      <c r="H149" s="211">
        <f>SUMPRODUCT(('[2]2.행정구역별 급수인구'!$C$7:$C$997=$B149)*('[2]2.행정구역별 급수인구'!X$7:X$997))</f>
        <v>773</v>
      </c>
      <c r="I149" s="213">
        <f>SUMIF('2013 행정구역 생활용수량'!$B$4:$B$484,B149,'2013 행정구역 생활용수량'!$D$4:$D$484)</f>
        <v>62</v>
      </c>
      <c r="J149" s="213">
        <f t="shared" ref="J149" si="91">ROUND(D149*D$147/1000,0)</f>
        <v>153</v>
      </c>
      <c r="K149" s="213">
        <f>'2.생활용수(급수구역)'!J82-SUM(K150:K166)</f>
        <v>187</v>
      </c>
      <c r="L149" s="213">
        <f>'2.생활용수(급수구역)'!K82-SUM(L150:L166)</f>
        <v>229</v>
      </c>
      <c r="M149" s="213">
        <f>'2.생활용수(급수구역)'!L82-SUM(M150:M166)</f>
        <v>238</v>
      </c>
      <c r="N149" s="213">
        <f>'2.생활용수(급수구역)'!M82-SUM(N150:N166)</f>
        <v>240</v>
      </c>
      <c r="O149" s="359"/>
    </row>
    <row r="150" spans="1:21" ht="19.149999999999999" customHeight="1">
      <c r="A150" s="677"/>
      <c r="B150" s="210" t="s">
        <v>940</v>
      </c>
      <c r="C150" s="211">
        <f>SUMPRODUCT(('[2]2.행정구역별 급수인구'!$C$7:$C$997=$B150)*('[2]2.행정구역별 급수인구'!S$7:S$997))</f>
        <v>108</v>
      </c>
      <c r="D150" s="211">
        <f>SUMPRODUCT(('[2]2.행정구역별 급수인구'!$C$7:$C$997=$B150)*('[2]2.행정구역별 급수인구'!T$7:T$997))</f>
        <v>108</v>
      </c>
      <c r="E150" s="211">
        <f>SUMPRODUCT(('[2]2.행정구역별 급수인구'!$C$7:$C$997=$B150)*('[2]2.행정구역별 급수인구'!U$7:U$997))</f>
        <v>331</v>
      </c>
      <c r="F150" s="211">
        <f>SUMPRODUCT(('[2]2.행정구역별 급수인구'!$C$7:$C$997=$B150)*('[2]2.행정구역별 급수인구'!V$7:V$997))</f>
        <v>346</v>
      </c>
      <c r="G150" s="211">
        <f>SUMPRODUCT(('[2]2.행정구역별 급수인구'!$C$7:$C$997=$B150)*('[2]2.행정구역별 급수인구'!W$7:W$997))</f>
        <v>354</v>
      </c>
      <c r="H150" s="211">
        <f>SUMPRODUCT(('[2]2.행정구역별 급수인구'!$C$7:$C$997=$B150)*('[2]2.행정구역별 급수인구'!X$7:X$997))</f>
        <v>362</v>
      </c>
      <c r="I150" s="213">
        <f>SUMIF('2013 행정구역 생활용수량'!$B$4:$B$484,B150,'2013 행정구역 생활용수량'!$D$4:$D$484)</f>
        <v>4</v>
      </c>
      <c r="J150" s="213">
        <f t="shared" ref="J150:J166" si="92">ROUND(D150*D$147/1000,0)</f>
        <v>33</v>
      </c>
      <c r="K150" s="213">
        <f t="shared" ref="K150:K166" si="93">ROUND(E150*E$147/1000,0)</f>
        <v>101</v>
      </c>
      <c r="L150" s="213">
        <f t="shared" ref="L150:L166" si="94">ROUND(F150*F$147/1000,0)</f>
        <v>107</v>
      </c>
      <c r="M150" s="213">
        <f t="shared" ref="M150:M166" si="95">ROUND(G150*G$147/1000,0)</f>
        <v>110</v>
      </c>
      <c r="N150" s="213">
        <f t="shared" ref="N150:N166" si="96">ROUND(H150*H$147/1000,0)</f>
        <v>112</v>
      </c>
      <c r="O150" s="359"/>
    </row>
    <row r="151" spans="1:21" ht="19.149999999999999" customHeight="1">
      <c r="A151" s="677"/>
      <c r="B151" s="210" t="s">
        <v>941</v>
      </c>
      <c r="C151" s="211">
        <f>SUMPRODUCT(('[2]2.행정구역별 급수인구'!$C$7:$C$997=$B151)*('[2]2.행정구역별 급수인구'!S$7:S$997))</f>
        <v>0</v>
      </c>
      <c r="D151" s="211">
        <f>SUMPRODUCT(('[2]2.행정구역별 급수인구'!$C$7:$C$997=$B151)*('[2]2.행정구역별 급수인구'!T$7:T$997))</f>
        <v>0</v>
      </c>
      <c r="E151" s="211">
        <f>SUMPRODUCT(('[2]2.행정구역별 급수인구'!$C$7:$C$997=$B151)*('[2]2.행정구역별 급수인구'!U$7:U$997))</f>
        <v>217</v>
      </c>
      <c r="F151" s="211">
        <f>SUMPRODUCT(('[2]2.행정구역별 급수인구'!$C$7:$C$997=$B151)*('[2]2.행정구역별 급수인구'!V$7:V$997))</f>
        <v>379</v>
      </c>
      <c r="G151" s="211">
        <f>SUMPRODUCT(('[2]2.행정구역별 급수인구'!$C$7:$C$997=$B151)*('[2]2.행정구역별 급수인구'!W$7:W$997))</f>
        <v>389</v>
      </c>
      <c r="H151" s="211">
        <f>SUMPRODUCT(('[2]2.행정구역별 급수인구'!$C$7:$C$997=$B151)*('[2]2.행정구역별 급수인구'!X$7:X$997))</f>
        <v>397</v>
      </c>
      <c r="I151" s="213">
        <f>SUMIF('2013 행정구역 생활용수량'!$B$4:$B$484,B151,'2013 행정구역 생활용수량'!$D$4:$D$484)</f>
        <v>0</v>
      </c>
      <c r="J151" s="213">
        <f t="shared" si="92"/>
        <v>0</v>
      </c>
      <c r="K151" s="213">
        <f t="shared" si="93"/>
        <v>66</v>
      </c>
      <c r="L151" s="213">
        <f t="shared" si="94"/>
        <v>117</v>
      </c>
      <c r="M151" s="213">
        <f t="shared" si="95"/>
        <v>121</v>
      </c>
      <c r="N151" s="213">
        <f t="shared" si="96"/>
        <v>123</v>
      </c>
      <c r="O151" s="359"/>
    </row>
    <row r="152" spans="1:21" ht="19.149999999999999" customHeight="1">
      <c r="A152" s="677"/>
      <c r="B152" s="253" t="s">
        <v>1168</v>
      </c>
      <c r="C152" s="211">
        <f>SUMPRODUCT(('[2]2.행정구역별 급수인구'!$C$7:$C$997=$B152)*('[2]2.행정구역별 급수인구'!S$7:S$997))</f>
        <v>0</v>
      </c>
      <c r="D152" s="211">
        <f>SUMPRODUCT(('[2]2.행정구역별 급수인구'!$C$7:$C$997=$B152)*('[2]2.행정구역별 급수인구'!T$7:T$997))</f>
        <v>0</v>
      </c>
      <c r="E152" s="211">
        <f>SUMPRODUCT(('[2]2.행정구역별 급수인구'!$C$7:$C$997=$B152)*('[2]2.행정구역별 급수인구'!U$7:U$997))</f>
        <v>0</v>
      </c>
      <c r="F152" s="211">
        <f>SUMPRODUCT(('[2]2.행정구역별 급수인구'!$C$7:$C$997=$B152)*('[2]2.행정구역별 급수인구'!V$7:V$997))</f>
        <v>322</v>
      </c>
      <c r="G152" s="211">
        <f>SUMPRODUCT(('[2]2.행정구역별 급수인구'!$C$7:$C$997=$B152)*('[2]2.행정구역별 급수인구'!W$7:W$997))</f>
        <v>331</v>
      </c>
      <c r="H152" s="211">
        <f>SUMPRODUCT(('[2]2.행정구역별 급수인구'!$C$7:$C$997=$B152)*('[2]2.행정구역별 급수인구'!X$7:X$997))</f>
        <v>337</v>
      </c>
      <c r="I152" s="213">
        <f>SUMIF('2013 행정구역 생활용수량'!$B$4:$B$484,B152,'2013 행정구역 생활용수량'!$D$4:$D$484)</f>
        <v>0</v>
      </c>
      <c r="J152" s="213">
        <f t="shared" si="92"/>
        <v>0</v>
      </c>
      <c r="K152" s="213">
        <f t="shared" si="93"/>
        <v>0</v>
      </c>
      <c r="L152" s="213">
        <f t="shared" si="94"/>
        <v>99</v>
      </c>
      <c r="M152" s="213">
        <f t="shared" si="95"/>
        <v>103</v>
      </c>
      <c r="N152" s="213">
        <f t="shared" si="96"/>
        <v>104</v>
      </c>
      <c r="O152" s="359"/>
    </row>
    <row r="153" spans="1:21" ht="19.149999999999999" customHeight="1">
      <c r="A153" s="677"/>
      <c r="B153" s="210" t="s">
        <v>943</v>
      </c>
      <c r="C153" s="211">
        <f>SUMPRODUCT(('[2]2.행정구역별 급수인구'!$C$7:$C$997=$B153)*('[2]2.행정구역별 급수인구'!S$7:S$997))</f>
        <v>0</v>
      </c>
      <c r="D153" s="211">
        <f>SUMPRODUCT(('[2]2.행정구역별 급수인구'!$C$7:$C$997=$B153)*('[2]2.행정구역별 급수인구'!T$7:T$997))</f>
        <v>0</v>
      </c>
      <c r="E153" s="211">
        <f>SUMPRODUCT(('[2]2.행정구역별 급수인구'!$C$7:$C$997=$B153)*('[2]2.행정구역별 급수인구'!U$7:U$997))</f>
        <v>0</v>
      </c>
      <c r="F153" s="211">
        <f>SUMPRODUCT(('[2]2.행정구역별 급수인구'!$C$7:$C$997=$B153)*('[2]2.행정구역별 급수인구'!V$7:V$997))</f>
        <v>273</v>
      </c>
      <c r="G153" s="211">
        <f>SUMPRODUCT(('[2]2.행정구역별 급수인구'!$C$7:$C$997=$B153)*('[2]2.행정구역별 급수인구'!W$7:W$997))</f>
        <v>279</v>
      </c>
      <c r="H153" s="211">
        <f>SUMPRODUCT(('[2]2.행정구역별 급수인구'!$C$7:$C$997=$B153)*('[2]2.행정구역별 급수인구'!X$7:X$997))</f>
        <v>285</v>
      </c>
      <c r="I153" s="213">
        <f>SUMIF('2013 행정구역 생활용수량'!$B$4:$B$484,B153,'2013 행정구역 생활용수량'!$D$4:$D$484)</f>
        <v>0</v>
      </c>
      <c r="J153" s="213">
        <f t="shared" si="92"/>
        <v>0</v>
      </c>
      <c r="K153" s="213">
        <f t="shared" si="93"/>
        <v>0</v>
      </c>
      <c r="L153" s="213">
        <f t="shared" si="94"/>
        <v>84</v>
      </c>
      <c r="M153" s="213">
        <f t="shared" si="95"/>
        <v>86</v>
      </c>
      <c r="N153" s="213">
        <f t="shared" si="96"/>
        <v>88</v>
      </c>
      <c r="O153" s="359"/>
    </row>
    <row r="154" spans="1:21" ht="19.149999999999999" customHeight="1">
      <c r="A154" s="677"/>
      <c r="B154" s="253" t="s">
        <v>1174</v>
      </c>
      <c r="C154" s="211">
        <f>SUMPRODUCT(('[2]2.행정구역별 급수인구'!$C$7:$C$997=$B154)*('[2]2.행정구역별 급수인구'!S$7:S$997))</f>
        <v>0</v>
      </c>
      <c r="D154" s="211">
        <f>SUMPRODUCT(('[2]2.행정구역별 급수인구'!$C$7:$C$997=$B154)*('[2]2.행정구역별 급수인구'!T$7:T$997))</f>
        <v>0</v>
      </c>
      <c r="E154" s="211">
        <f>SUMPRODUCT(('[2]2.행정구역별 급수인구'!$C$7:$C$997=$B154)*('[2]2.행정구역별 급수인구'!U$7:U$997))</f>
        <v>0</v>
      </c>
      <c r="F154" s="211">
        <f>SUMPRODUCT(('[2]2.행정구역별 급수인구'!$C$7:$C$997=$B154)*('[2]2.행정구역별 급수인구'!V$7:V$997))</f>
        <v>307</v>
      </c>
      <c r="G154" s="211">
        <f>SUMPRODUCT(('[2]2.행정구역별 급수인구'!$C$7:$C$997=$B154)*('[2]2.행정구역별 급수인구'!W$7:W$997))</f>
        <v>315</v>
      </c>
      <c r="H154" s="211">
        <f>SUMPRODUCT(('[2]2.행정구역별 급수인구'!$C$7:$C$997=$B154)*('[2]2.행정구역별 급수인구'!X$7:X$997))</f>
        <v>320</v>
      </c>
      <c r="I154" s="213">
        <f>SUMIF('2013 행정구역 생활용수량'!$B$4:$B$484,B154,'2013 행정구역 생활용수량'!$D$4:$D$484)</f>
        <v>0</v>
      </c>
      <c r="J154" s="213">
        <f t="shared" si="92"/>
        <v>0</v>
      </c>
      <c r="K154" s="213">
        <f t="shared" si="93"/>
        <v>0</v>
      </c>
      <c r="L154" s="213">
        <f t="shared" si="94"/>
        <v>95</v>
      </c>
      <c r="M154" s="213">
        <f t="shared" si="95"/>
        <v>98</v>
      </c>
      <c r="N154" s="213">
        <f t="shared" si="96"/>
        <v>99</v>
      </c>
      <c r="O154" s="359"/>
    </row>
    <row r="155" spans="1:21" ht="19.149999999999999" customHeight="1">
      <c r="A155" s="677"/>
      <c r="B155" s="210" t="s">
        <v>944</v>
      </c>
      <c r="C155" s="211">
        <f>SUMPRODUCT(('[2]2.행정구역별 급수인구'!$C$7:$C$997=$B155)*('[2]2.행정구역별 급수인구'!S$7:S$997))</f>
        <v>0</v>
      </c>
      <c r="D155" s="211">
        <f>SUMPRODUCT(('[2]2.행정구역별 급수인구'!$C$7:$C$997=$B155)*('[2]2.행정구역별 급수인구'!T$7:T$997))</f>
        <v>0</v>
      </c>
      <c r="E155" s="211">
        <f>SUMPRODUCT(('[2]2.행정구역별 급수인구'!$C$7:$C$997=$B155)*('[2]2.행정구역별 급수인구'!U$7:U$997))</f>
        <v>0</v>
      </c>
      <c r="F155" s="211">
        <f>SUMPRODUCT(('[2]2.행정구역별 급수인구'!$C$7:$C$997=$B155)*('[2]2.행정구역별 급수인구'!V$7:V$997))</f>
        <v>243</v>
      </c>
      <c r="G155" s="211">
        <f>SUMPRODUCT(('[2]2.행정구역별 급수인구'!$C$7:$C$997=$B155)*('[2]2.행정구역별 급수인구'!W$7:W$997))</f>
        <v>250</v>
      </c>
      <c r="H155" s="211">
        <f>SUMPRODUCT(('[2]2.행정구역별 급수인구'!$C$7:$C$997=$B155)*('[2]2.행정구역별 급수인구'!X$7:X$997))</f>
        <v>256</v>
      </c>
      <c r="I155" s="213">
        <f>SUMIF('2013 행정구역 생활용수량'!$B$4:$B$484,B155,'2013 행정구역 생활용수량'!$D$4:$D$484)</f>
        <v>0</v>
      </c>
      <c r="J155" s="213">
        <f t="shared" si="92"/>
        <v>0</v>
      </c>
      <c r="K155" s="213">
        <f t="shared" si="93"/>
        <v>0</v>
      </c>
      <c r="L155" s="213">
        <f t="shared" si="94"/>
        <v>75</v>
      </c>
      <c r="M155" s="213">
        <f t="shared" si="95"/>
        <v>78</v>
      </c>
      <c r="N155" s="213">
        <f t="shared" si="96"/>
        <v>79</v>
      </c>
      <c r="O155" s="359"/>
    </row>
    <row r="156" spans="1:21" ht="19.149999999999999" customHeight="1">
      <c r="A156" s="677"/>
      <c r="B156" s="253" t="s">
        <v>1173</v>
      </c>
      <c r="C156" s="211">
        <f>SUMPRODUCT(('[2]2.행정구역별 급수인구'!$C$7:$C$997=$B156)*('[2]2.행정구역별 급수인구'!S$7:S$997))</f>
        <v>0</v>
      </c>
      <c r="D156" s="211">
        <f>SUMPRODUCT(('[2]2.행정구역별 급수인구'!$C$7:$C$997=$B156)*('[2]2.행정구역별 급수인구'!T$7:T$997))</f>
        <v>0</v>
      </c>
      <c r="E156" s="211">
        <f>SUMPRODUCT(('[2]2.행정구역별 급수인구'!$C$7:$C$997=$B156)*('[2]2.행정구역별 급수인구'!U$7:U$997))</f>
        <v>248</v>
      </c>
      <c r="F156" s="211">
        <f>SUMPRODUCT(('[2]2.행정구역별 급수인구'!$C$7:$C$997=$B156)*('[2]2.행정구역별 급수인구'!V$7:V$997))</f>
        <v>260</v>
      </c>
      <c r="G156" s="211">
        <f>SUMPRODUCT(('[2]2.행정구역별 급수인구'!$C$7:$C$997=$B156)*('[2]2.행정구역별 급수인구'!W$7:W$997))</f>
        <v>267</v>
      </c>
      <c r="H156" s="211">
        <f>SUMPRODUCT(('[2]2.행정구역별 급수인구'!$C$7:$C$997=$B156)*('[2]2.행정구역별 급수인구'!X$7:X$997))</f>
        <v>271</v>
      </c>
      <c r="I156" s="213">
        <f>SUMIF('2013 행정구역 생활용수량'!$B$4:$B$484,B156,'2013 행정구역 생활용수량'!$D$4:$D$484)</f>
        <v>0</v>
      </c>
      <c r="J156" s="213">
        <f t="shared" si="92"/>
        <v>0</v>
      </c>
      <c r="K156" s="213">
        <f t="shared" si="93"/>
        <v>75</v>
      </c>
      <c r="L156" s="213">
        <f t="shared" si="94"/>
        <v>80</v>
      </c>
      <c r="M156" s="213">
        <f t="shared" si="95"/>
        <v>83</v>
      </c>
      <c r="N156" s="213">
        <f t="shared" si="96"/>
        <v>84</v>
      </c>
      <c r="O156" s="359"/>
    </row>
    <row r="157" spans="1:21" ht="19.149999999999999" customHeight="1">
      <c r="A157" s="677"/>
      <c r="B157" s="210" t="s">
        <v>945</v>
      </c>
      <c r="C157" s="211">
        <f>SUMPRODUCT(('[2]2.행정구역별 급수인구'!$C$7:$C$997=$B157)*('[2]2.행정구역별 급수인구'!S$7:S$997))</f>
        <v>0</v>
      </c>
      <c r="D157" s="211">
        <f>SUMPRODUCT(('[2]2.행정구역별 급수인구'!$C$7:$C$997=$B157)*('[2]2.행정구역별 급수인구'!T$7:T$997))</f>
        <v>188</v>
      </c>
      <c r="E157" s="211">
        <f>SUMPRODUCT(('[2]2.행정구역별 급수인구'!$C$7:$C$997=$B157)*('[2]2.행정구역별 급수인구'!U$7:U$997))</f>
        <v>188</v>
      </c>
      <c r="F157" s="211">
        <f>SUMPRODUCT(('[2]2.행정구역별 급수인구'!$C$7:$C$997=$B157)*('[2]2.행정구역별 급수인구'!V$7:V$997))</f>
        <v>198</v>
      </c>
      <c r="G157" s="211">
        <f>SUMPRODUCT(('[2]2.행정구역별 급수인구'!$C$7:$C$997=$B157)*('[2]2.행정구역별 급수인구'!W$7:W$997))</f>
        <v>203</v>
      </c>
      <c r="H157" s="211">
        <f>SUMPRODUCT(('[2]2.행정구역별 급수인구'!$C$7:$C$997=$B157)*('[2]2.행정구역별 급수인구'!X$7:X$997))</f>
        <v>206</v>
      </c>
      <c r="I157" s="213">
        <f>SUMIF('2013 행정구역 생활용수량'!$B$4:$B$484,B157,'2013 행정구역 생활용수량'!$D$4:$D$484)</f>
        <v>0</v>
      </c>
      <c r="J157" s="213">
        <f t="shared" si="92"/>
        <v>57</v>
      </c>
      <c r="K157" s="213">
        <f t="shared" si="93"/>
        <v>57</v>
      </c>
      <c r="L157" s="213">
        <f t="shared" si="94"/>
        <v>61</v>
      </c>
      <c r="M157" s="213">
        <f t="shared" si="95"/>
        <v>63</v>
      </c>
      <c r="N157" s="213">
        <f t="shared" si="96"/>
        <v>64</v>
      </c>
      <c r="O157" s="359"/>
    </row>
    <row r="158" spans="1:21" ht="19.149999999999999" customHeight="1">
      <c r="A158" s="677"/>
      <c r="B158" s="210" t="s">
        <v>946</v>
      </c>
      <c r="C158" s="211">
        <f>SUMPRODUCT(('[2]2.행정구역별 급수인구'!$C$7:$C$997=$B158)*('[2]2.행정구역별 급수인구'!S$7:S$997))</f>
        <v>0</v>
      </c>
      <c r="D158" s="211">
        <f>SUMPRODUCT(('[2]2.행정구역별 급수인구'!$C$7:$C$997=$B158)*('[2]2.행정구역별 급수인구'!T$7:T$997))</f>
        <v>0</v>
      </c>
      <c r="E158" s="211">
        <f>SUMPRODUCT(('[2]2.행정구역별 급수인구'!$C$7:$C$997=$B158)*('[2]2.행정구역별 급수인구'!U$7:U$997))</f>
        <v>0</v>
      </c>
      <c r="F158" s="211">
        <f>SUMPRODUCT(('[2]2.행정구역별 급수인구'!$C$7:$C$997=$B158)*('[2]2.행정구역별 급수인구'!V$7:V$997))</f>
        <v>171</v>
      </c>
      <c r="G158" s="211">
        <f>SUMPRODUCT(('[2]2.행정구역별 급수인구'!$C$7:$C$997=$B158)*('[2]2.행정구역별 급수인구'!W$7:W$997))</f>
        <v>176</v>
      </c>
      <c r="H158" s="211">
        <f>SUMPRODUCT(('[2]2.행정구역별 급수인구'!$C$7:$C$997=$B158)*('[2]2.행정구역별 급수인구'!X$7:X$997))</f>
        <v>180</v>
      </c>
      <c r="I158" s="213">
        <f>SUMIF('2013 행정구역 생활용수량'!$B$4:$B$484,B158,'2013 행정구역 생활용수량'!$D$4:$D$484)</f>
        <v>0</v>
      </c>
      <c r="J158" s="213">
        <f t="shared" si="92"/>
        <v>0</v>
      </c>
      <c r="K158" s="213">
        <f t="shared" si="93"/>
        <v>0</v>
      </c>
      <c r="L158" s="213">
        <f t="shared" si="94"/>
        <v>53</v>
      </c>
      <c r="M158" s="213">
        <f t="shared" si="95"/>
        <v>55</v>
      </c>
      <c r="N158" s="213">
        <f t="shared" si="96"/>
        <v>56</v>
      </c>
      <c r="O158" s="359"/>
    </row>
    <row r="159" spans="1:21" ht="19.149999999999999" customHeight="1">
      <c r="A159" s="677"/>
      <c r="B159" s="210" t="s">
        <v>947</v>
      </c>
      <c r="C159" s="211">
        <f>SUMPRODUCT(('[2]2.행정구역별 급수인구'!$C$7:$C$997=$B159)*('[2]2.행정구역별 급수인구'!S$7:S$997))</f>
        <v>88</v>
      </c>
      <c r="D159" s="211">
        <f>SUMPRODUCT(('[2]2.행정구역별 급수인구'!$C$7:$C$997=$B159)*('[2]2.행정구역별 급수인구'!T$7:T$997))</f>
        <v>88</v>
      </c>
      <c r="E159" s="211">
        <f>SUMPRODUCT(('[2]2.행정구역별 급수인구'!$C$7:$C$997=$B159)*('[2]2.행정구역별 급수인구'!U$7:U$997))</f>
        <v>362</v>
      </c>
      <c r="F159" s="211">
        <f>SUMPRODUCT(('[2]2.행정구역별 급수인구'!$C$7:$C$997=$B159)*('[2]2.행정구역별 급수인구'!V$7:V$997))</f>
        <v>381</v>
      </c>
      <c r="G159" s="211">
        <f>SUMPRODUCT(('[2]2.행정구역별 급수인구'!$C$7:$C$997=$B159)*('[2]2.행정구역별 급수인구'!W$7:W$997))</f>
        <v>391</v>
      </c>
      <c r="H159" s="211">
        <f>SUMPRODUCT(('[2]2.행정구역별 급수인구'!$C$7:$C$997=$B159)*('[2]2.행정구역별 급수인구'!X$7:X$997))</f>
        <v>398</v>
      </c>
      <c r="I159" s="213">
        <f>SUMIF('2013 행정구역 생활용수량'!$B$4:$B$484,B159,'2013 행정구역 생활용수량'!$D$4:$D$484)</f>
        <v>16</v>
      </c>
      <c r="J159" s="213">
        <f t="shared" si="92"/>
        <v>27</v>
      </c>
      <c r="K159" s="213">
        <f t="shared" si="93"/>
        <v>110</v>
      </c>
      <c r="L159" s="213">
        <f t="shared" si="94"/>
        <v>117</v>
      </c>
      <c r="M159" s="213">
        <f t="shared" si="95"/>
        <v>121</v>
      </c>
      <c r="N159" s="213">
        <f t="shared" si="96"/>
        <v>123</v>
      </c>
      <c r="O159" s="359"/>
    </row>
    <row r="160" spans="1:21" ht="19.149999999999999" customHeight="1">
      <c r="A160" s="677"/>
      <c r="B160" s="210" t="s">
        <v>948</v>
      </c>
      <c r="C160" s="211">
        <f>SUMPRODUCT(('[2]2.행정구역별 급수인구'!$C$7:$C$997=$B160)*('[2]2.행정구역별 급수인구'!S$7:S$997))</f>
        <v>0</v>
      </c>
      <c r="D160" s="211">
        <f>SUMPRODUCT(('[2]2.행정구역별 급수인구'!$C$7:$C$997=$B160)*('[2]2.행정구역별 급수인구'!T$7:T$997))</f>
        <v>0</v>
      </c>
      <c r="E160" s="211">
        <f>SUMPRODUCT(('[2]2.행정구역별 급수인구'!$C$7:$C$997=$B160)*('[2]2.행정구역별 급수인구'!U$7:U$997))</f>
        <v>258</v>
      </c>
      <c r="F160" s="211">
        <f>SUMPRODUCT(('[2]2.행정구역별 급수인구'!$C$7:$C$997=$B160)*('[2]2.행정구역별 급수인구'!V$7:V$997))</f>
        <v>272</v>
      </c>
      <c r="G160" s="211">
        <f>SUMPRODUCT(('[2]2.행정구역별 급수인구'!$C$7:$C$997=$B160)*('[2]2.행정구역별 급수인구'!W$7:W$997))</f>
        <v>279</v>
      </c>
      <c r="H160" s="211">
        <f>SUMPRODUCT(('[2]2.행정구역별 급수인구'!$C$7:$C$997=$B160)*('[2]2.행정구역별 급수인구'!X$7:X$997))</f>
        <v>283</v>
      </c>
      <c r="I160" s="213">
        <f>SUMIF('2013 행정구역 생활용수량'!$B$4:$B$484,B160,'2013 행정구역 생활용수량'!$D$4:$D$484)</f>
        <v>0</v>
      </c>
      <c r="J160" s="213">
        <f t="shared" si="92"/>
        <v>0</v>
      </c>
      <c r="K160" s="213">
        <f t="shared" si="93"/>
        <v>78</v>
      </c>
      <c r="L160" s="213">
        <f t="shared" si="94"/>
        <v>84</v>
      </c>
      <c r="M160" s="213">
        <f t="shared" si="95"/>
        <v>86</v>
      </c>
      <c r="N160" s="213">
        <f t="shared" si="96"/>
        <v>88</v>
      </c>
      <c r="O160" s="359"/>
    </row>
    <row r="161" spans="1:21" ht="19.149999999999999" customHeight="1">
      <c r="A161" s="677"/>
      <c r="B161" s="210" t="s">
        <v>949</v>
      </c>
      <c r="C161" s="211">
        <f>SUMPRODUCT(('[2]2.행정구역별 급수인구'!$C$7:$C$997=$B161)*('[2]2.행정구역별 급수인구'!S$7:S$997))-C162</f>
        <v>0</v>
      </c>
      <c r="D161" s="211">
        <f>SUMPRODUCT(('[2]2.행정구역별 급수인구'!$C$7:$C$997=$B161)*('[2]2.행정구역별 급수인구'!T$7:T$997))-D162</f>
        <v>0</v>
      </c>
      <c r="E161" s="211">
        <f>SUMPRODUCT(('[2]2.행정구역별 급수인구'!$C$7:$C$997=$B161)*('[2]2.행정구역별 급수인구'!U$7:U$997))-E162</f>
        <v>313</v>
      </c>
      <c r="F161" s="211">
        <f>SUMPRODUCT(('[2]2.행정구역별 급수인구'!$C$7:$C$997=$B161)*('[2]2.행정구역별 급수인구'!V$7:V$997))-F162</f>
        <v>338</v>
      </c>
      <c r="G161" s="211">
        <f>SUMPRODUCT(('[2]2.행정구역별 급수인구'!$C$7:$C$997=$B161)*('[2]2.행정구역별 급수인구'!W$7:W$997))-G162</f>
        <v>345</v>
      </c>
      <c r="H161" s="211">
        <f>SUMPRODUCT(('[2]2.행정구역별 급수인구'!$C$7:$C$997=$B161)*('[2]2.행정구역별 급수인구'!X$7:X$997))-H162</f>
        <v>352</v>
      </c>
      <c r="I161" s="213">
        <f>SUMIF('2013 행정구역 생활용수량'!$B$4:$B$484,B161,'2013 행정구역 생활용수량'!$D$4:$D$484)</f>
        <v>0</v>
      </c>
      <c r="J161" s="213">
        <f t="shared" si="92"/>
        <v>0</v>
      </c>
      <c r="K161" s="213">
        <f t="shared" si="93"/>
        <v>95</v>
      </c>
      <c r="L161" s="213">
        <f t="shared" si="94"/>
        <v>104</v>
      </c>
      <c r="M161" s="213">
        <f t="shared" si="95"/>
        <v>107</v>
      </c>
      <c r="N161" s="213">
        <f t="shared" si="96"/>
        <v>109</v>
      </c>
      <c r="O161" s="359"/>
    </row>
    <row r="162" spans="1:21" s="256" customFormat="1" ht="19.149999999999999" customHeight="1">
      <c r="A162" s="677"/>
      <c r="B162" s="241" t="s">
        <v>1175</v>
      </c>
      <c r="C162" s="254"/>
      <c r="D162" s="254"/>
      <c r="E162" s="254">
        <f>'2.생활용수(급수구역)'!E52</f>
        <v>0</v>
      </c>
      <c r="F162" s="254">
        <f>'2.생활용수(급수구역)'!F52</f>
        <v>2927</v>
      </c>
      <c r="G162" s="254">
        <f>'2.생활용수(급수구역)'!G52</f>
        <v>2927</v>
      </c>
      <c r="H162" s="254">
        <f>'2.생활용수(급수구역)'!H52</f>
        <v>2927</v>
      </c>
      <c r="I162" s="213">
        <f>SUMIF('2013 행정구역 생활용수량'!$B$4:$B$484,B162,'2013 행정구역 생활용수량'!$D$4:$D$484)</f>
        <v>0</v>
      </c>
      <c r="J162" s="255">
        <f t="shared" ref="J162:M162" si="97">ROUND(D162*555/1000,0)</f>
        <v>0</v>
      </c>
      <c r="K162" s="255">
        <f t="shared" si="97"/>
        <v>0</v>
      </c>
      <c r="L162" s="255">
        <f t="shared" si="97"/>
        <v>1624</v>
      </c>
      <c r="M162" s="255">
        <f t="shared" si="97"/>
        <v>1624</v>
      </c>
      <c r="N162" s="255">
        <f>ROUND(H162*555/1000,0)</f>
        <v>1624</v>
      </c>
      <c r="O162" s="360"/>
    </row>
    <row r="163" spans="1:21" ht="19.149999999999999" customHeight="1">
      <c r="A163" s="677"/>
      <c r="B163" s="210" t="s">
        <v>950</v>
      </c>
      <c r="C163" s="211">
        <f>SUMPRODUCT(('[2]2.행정구역별 급수인구'!$C$7:$C$997=$B163)*('[2]2.행정구역별 급수인구'!S$7:S$997))</f>
        <v>0</v>
      </c>
      <c r="D163" s="211">
        <f>SUMPRODUCT(('[2]2.행정구역별 급수인구'!$C$7:$C$997=$B163)*('[2]2.행정구역별 급수인구'!T$7:T$997))</f>
        <v>0</v>
      </c>
      <c r="E163" s="211">
        <f>SUMPRODUCT(('[2]2.행정구역별 급수인구'!$C$7:$C$997=$B163)*('[2]2.행정구역별 급수인구'!U$7:U$997))</f>
        <v>480</v>
      </c>
      <c r="F163" s="211">
        <f>SUMPRODUCT(('[2]2.행정구역별 급수인구'!$C$7:$C$997=$B163)*('[2]2.행정구역별 급수인구'!V$7:V$997))</f>
        <v>504</v>
      </c>
      <c r="G163" s="211">
        <f>SUMPRODUCT(('[2]2.행정구역별 급수인구'!$C$7:$C$997=$B163)*('[2]2.행정구역별 급수인구'!W$7:W$997))</f>
        <v>517</v>
      </c>
      <c r="H163" s="211">
        <f>SUMPRODUCT(('[2]2.행정구역별 급수인구'!$C$7:$C$997=$B163)*('[2]2.행정구역별 급수인구'!X$7:X$997))</f>
        <v>525</v>
      </c>
      <c r="I163" s="213">
        <f>SUMIF('2013 행정구역 생활용수량'!$B$4:$B$484,B163,'2013 행정구역 생활용수량'!$D$4:$D$484)</f>
        <v>0</v>
      </c>
      <c r="J163" s="213">
        <f t="shared" si="92"/>
        <v>0</v>
      </c>
      <c r="K163" s="213">
        <f t="shared" si="93"/>
        <v>146</v>
      </c>
      <c r="L163" s="213">
        <f t="shared" si="94"/>
        <v>155</v>
      </c>
      <c r="M163" s="213">
        <f t="shared" si="95"/>
        <v>160</v>
      </c>
      <c r="N163" s="213">
        <f t="shared" si="96"/>
        <v>163</v>
      </c>
      <c r="O163" s="359"/>
    </row>
    <row r="164" spans="1:21" ht="19.149999999999999" customHeight="1">
      <c r="A164" s="677"/>
      <c r="B164" s="210" t="s">
        <v>951</v>
      </c>
      <c r="C164" s="211">
        <f>SUMPRODUCT(('[2]2.행정구역별 급수인구'!$C$7:$C$997=$B164)*('[2]2.행정구역별 급수인구'!S$7:S$997))</f>
        <v>0</v>
      </c>
      <c r="D164" s="211">
        <f>SUMPRODUCT(('[2]2.행정구역별 급수인구'!$C$7:$C$997=$B164)*('[2]2.행정구역별 급수인구'!T$7:T$997))</f>
        <v>0</v>
      </c>
      <c r="E164" s="211">
        <f>SUMPRODUCT(('[2]2.행정구역별 급수인구'!$C$7:$C$997=$B164)*('[2]2.행정구역별 급수인구'!U$7:U$997))</f>
        <v>213</v>
      </c>
      <c r="F164" s="211">
        <f>SUMPRODUCT(('[2]2.행정구역별 급수인구'!$C$7:$C$997=$B164)*('[2]2.행정구역별 급수인구'!V$7:V$997))</f>
        <v>225</v>
      </c>
      <c r="G164" s="211">
        <f>SUMPRODUCT(('[2]2.행정구역별 급수인구'!$C$7:$C$997=$B164)*('[2]2.행정구역별 급수인구'!W$7:W$997))</f>
        <v>230</v>
      </c>
      <c r="H164" s="211">
        <f>SUMPRODUCT(('[2]2.행정구역별 급수인구'!$C$7:$C$997=$B164)*('[2]2.행정구역별 급수인구'!X$7:X$997))</f>
        <v>235</v>
      </c>
      <c r="I164" s="213">
        <f>SUMIF('2013 행정구역 생활용수량'!$B$4:$B$484,B164,'2013 행정구역 생활용수량'!$D$4:$D$484)</f>
        <v>0</v>
      </c>
      <c r="J164" s="213">
        <f t="shared" si="92"/>
        <v>0</v>
      </c>
      <c r="K164" s="213">
        <f t="shared" si="93"/>
        <v>65</v>
      </c>
      <c r="L164" s="213">
        <f t="shared" si="94"/>
        <v>69</v>
      </c>
      <c r="M164" s="213">
        <f t="shared" si="95"/>
        <v>71</v>
      </c>
      <c r="N164" s="213">
        <f t="shared" si="96"/>
        <v>73</v>
      </c>
      <c r="O164" s="359"/>
    </row>
    <row r="165" spans="1:21" ht="19.149999999999999" customHeight="1">
      <c r="A165" s="677"/>
      <c r="B165" s="210" t="s">
        <v>952</v>
      </c>
      <c r="C165" s="211">
        <f>SUMPRODUCT(('[2]2.행정구역별 급수인구'!$C$7:$C$997=$B165)*('[2]2.행정구역별 급수인구'!S$7:S$997))</f>
        <v>0</v>
      </c>
      <c r="D165" s="211">
        <f>SUMPRODUCT(('[2]2.행정구역별 급수인구'!$C$7:$C$997=$B165)*('[2]2.행정구역별 급수인구'!T$7:T$997))</f>
        <v>0</v>
      </c>
      <c r="E165" s="211">
        <f>SUMPRODUCT(('[2]2.행정구역별 급수인구'!$C$7:$C$997=$B165)*('[2]2.행정구역별 급수인구'!U$7:U$997))</f>
        <v>182</v>
      </c>
      <c r="F165" s="211">
        <f>SUMPRODUCT(('[2]2.행정구역별 급수인구'!$C$7:$C$997=$B165)*('[2]2.행정구역별 급수인구'!V$7:V$997))</f>
        <v>191</v>
      </c>
      <c r="G165" s="211">
        <f>SUMPRODUCT(('[2]2.행정구역별 급수인구'!$C$7:$C$997=$B165)*('[2]2.행정구역별 급수인구'!W$7:W$997))</f>
        <v>196</v>
      </c>
      <c r="H165" s="211">
        <f>SUMPRODUCT(('[2]2.행정구역별 급수인구'!$C$7:$C$997=$B165)*('[2]2.행정구역별 급수인구'!X$7:X$997))</f>
        <v>199</v>
      </c>
      <c r="I165" s="213">
        <f>SUMIF('2013 행정구역 생활용수량'!$B$4:$B$484,B165,'2013 행정구역 생활용수량'!$D$4:$D$484)</f>
        <v>0</v>
      </c>
      <c r="J165" s="213">
        <f t="shared" si="92"/>
        <v>0</v>
      </c>
      <c r="K165" s="213">
        <f t="shared" si="93"/>
        <v>55</v>
      </c>
      <c r="L165" s="213">
        <f t="shared" si="94"/>
        <v>59</v>
      </c>
      <c r="M165" s="213">
        <f t="shared" si="95"/>
        <v>61</v>
      </c>
      <c r="N165" s="213">
        <f t="shared" si="96"/>
        <v>62</v>
      </c>
      <c r="O165" s="359"/>
    </row>
    <row r="166" spans="1:21" ht="19.149999999999999" customHeight="1">
      <c r="A166" s="678"/>
      <c r="B166" s="210" t="s">
        <v>953</v>
      </c>
      <c r="C166" s="211">
        <f>SUMPRODUCT(('[2]2.행정구역별 급수인구'!$C$7:$C$997=$B166)*('[2]2.행정구역별 급수인구'!S$7:S$997))</f>
        <v>0</v>
      </c>
      <c r="D166" s="211">
        <f>SUMPRODUCT(('[2]2.행정구역별 급수인구'!$C$7:$C$997=$B166)*('[2]2.행정구역별 급수인구'!T$7:T$997))</f>
        <v>0</v>
      </c>
      <c r="E166" s="211">
        <f>SUMPRODUCT(('[2]2.행정구역별 급수인구'!$C$7:$C$997=$B166)*('[2]2.행정구역별 급수인구'!U$7:U$997))</f>
        <v>312</v>
      </c>
      <c r="F166" s="211">
        <f>SUMPRODUCT(('[2]2.행정구역별 급수인구'!$C$7:$C$997=$B166)*('[2]2.행정구역별 급수인구'!V$7:V$997))</f>
        <v>329</v>
      </c>
      <c r="G166" s="211">
        <f>SUMPRODUCT(('[2]2.행정구역별 급수인구'!$C$7:$C$997=$B166)*('[2]2.행정구역별 급수인구'!W$7:W$997))</f>
        <v>337</v>
      </c>
      <c r="H166" s="211">
        <f>SUMPRODUCT(('[2]2.행정구역별 급수인구'!$C$7:$C$997=$B166)*('[2]2.행정구역별 급수인구'!X$7:X$997))</f>
        <v>342</v>
      </c>
      <c r="I166" s="213">
        <f>SUMIF('2013 행정구역 생활용수량'!$B$4:$B$484,B166,'2013 행정구역 생활용수량'!$D$4:$D$484)</f>
        <v>0</v>
      </c>
      <c r="J166" s="213">
        <f t="shared" si="92"/>
        <v>0</v>
      </c>
      <c r="K166" s="213">
        <f t="shared" si="93"/>
        <v>95</v>
      </c>
      <c r="L166" s="213">
        <f t="shared" si="94"/>
        <v>101</v>
      </c>
      <c r="M166" s="213">
        <f t="shared" si="95"/>
        <v>104</v>
      </c>
      <c r="N166" s="213">
        <f t="shared" si="96"/>
        <v>106</v>
      </c>
      <c r="O166" s="359"/>
    </row>
    <row r="167" spans="1:21" ht="19.149999999999999" customHeight="1">
      <c r="A167" s="676" t="s">
        <v>954</v>
      </c>
      <c r="B167" s="215" t="s">
        <v>837</v>
      </c>
      <c r="C167" s="211">
        <f>'[3]5.급수원단위'!C$34</f>
        <v>272</v>
      </c>
      <c r="D167" s="211">
        <f>'[3]5.급수원단위'!$D$41</f>
        <v>304</v>
      </c>
      <c r="E167" s="211">
        <f>'[3]5.급수원단위'!D$34</f>
        <v>304</v>
      </c>
      <c r="F167" s="211">
        <f>'[3]5.급수원단위'!E$34</f>
        <v>308</v>
      </c>
      <c r="G167" s="211">
        <f>'[3]5.급수원단위'!F$34</f>
        <v>310</v>
      </c>
      <c r="H167" s="211">
        <f>'[3]5.급수원단위'!G$34</f>
        <v>310</v>
      </c>
      <c r="I167" s="680"/>
      <c r="J167" s="681"/>
      <c r="K167" s="681"/>
      <c r="L167" s="681"/>
      <c r="M167" s="681"/>
      <c r="N167" s="682"/>
      <c r="O167" s="359"/>
      <c r="Q167" s="511">
        <v>2013</v>
      </c>
      <c r="R167" s="511">
        <v>2015</v>
      </c>
      <c r="S167" s="511">
        <v>2020</v>
      </c>
      <c r="T167" s="511">
        <v>2025</v>
      </c>
      <c r="U167" s="511">
        <v>2030</v>
      </c>
    </row>
    <row r="168" spans="1:21" ht="19.149999999999999" customHeight="1">
      <c r="A168" s="677"/>
      <c r="B168" s="214" t="s">
        <v>778</v>
      </c>
      <c r="C168" s="212">
        <f>SUM(C169:C182)</f>
        <v>602</v>
      </c>
      <c r="D168" s="212">
        <f t="shared" ref="D168:H168" si="98">SUM(D169:D182)</f>
        <v>671</v>
      </c>
      <c r="E168" s="212">
        <f t="shared" si="98"/>
        <v>1252</v>
      </c>
      <c r="F168" s="212">
        <f t="shared" si="98"/>
        <v>3563</v>
      </c>
      <c r="G168" s="212">
        <f t="shared" si="98"/>
        <v>3642</v>
      </c>
      <c r="H168" s="212">
        <f t="shared" si="98"/>
        <v>3711</v>
      </c>
      <c r="I168" s="212">
        <f t="shared" ref="I168:N168" si="99">SUM(I169:I182)</f>
        <v>105</v>
      </c>
      <c r="J168" s="212">
        <f t="shared" ref="J168" si="100">SUM(J169:J182)</f>
        <v>204</v>
      </c>
      <c r="K168" s="212">
        <f t="shared" si="99"/>
        <v>382</v>
      </c>
      <c r="L168" s="212">
        <f t="shared" si="99"/>
        <v>1095</v>
      </c>
      <c r="M168" s="212">
        <f t="shared" si="99"/>
        <v>1128</v>
      </c>
      <c r="N168" s="212">
        <f t="shared" si="99"/>
        <v>1150</v>
      </c>
      <c r="O168" s="359">
        <f>'2013년도 용수량 비율'!F15</f>
        <v>0</v>
      </c>
      <c r="Q168" s="213">
        <f>ROUND(I168,-2)</f>
        <v>100</v>
      </c>
      <c r="R168" s="213">
        <f>ROUND(K168,-2)</f>
        <v>400</v>
      </c>
      <c r="S168" s="213">
        <f>ROUND(L168,-2)</f>
        <v>1100</v>
      </c>
      <c r="T168" s="213">
        <f>ROUND(M168,-2)</f>
        <v>1100</v>
      </c>
      <c r="U168" s="213">
        <f>ROUND(N168,-2)</f>
        <v>1200</v>
      </c>
    </row>
    <row r="169" spans="1:21" ht="19.149999999999999" customHeight="1">
      <c r="A169" s="677"/>
      <c r="B169" s="210" t="s">
        <v>955</v>
      </c>
      <c r="C169" s="211">
        <f>SUMPRODUCT(('[2]2.행정구역별 급수인구'!$C$7:$C$997=$B169)*('[2]2.행정구역별 급수인구'!S$7:S$997))</f>
        <v>421</v>
      </c>
      <c r="D169" s="211">
        <f>SUMPRODUCT(('[2]2.행정구역별 급수인구'!$C$7:$C$997=$B169)*('[2]2.행정구역별 급수인구'!T$7:T$997))</f>
        <v>421</v>
      </c>
      <c r="E169" s="211">
        <f>SUMPRODUCT(('[2]2.행정구역별 급수인구'!$C$7:$C$997=$B169)*('[2]2.행정구역별 급수인구'!U$7:U$997))</f>
        <v>443</v>
      </c>
      <c r="F169" s="211">
        <f>SUMPRODUCT(('[2]2.행정구역별 급수인구'!$C$7:$C$997=$B169)*('[2]2.행정구역별 급수인구'!V$7:V$997))</f>
        <v>493</v>
      </c>
      <c r="G169" s="211">
        <f>SUMPRODUCT(('[2]2.행정구역별 급수인구'!$C$7:$C$997=$B169)*('[2]2.행정구역별 급수인구'!W$7:W$997))</f>
        <v>504</v>
      </c>
      <c r="H169" s="211">
        <f>SUMPRODUCT(('[2]2.행정구역별 급수인구'!$C$7:$C$997=$B169)*('[2]2.행정구역별 급수인구'!X$7:X$997))</f>
        <v>514</v>
      </c>
      <c r="I169" s="213">
        <f>SUMIF('2013 행정구역 생활용수량'!$B$4:$B$484,B169,'2013 행정구역 생활용수량'!$D$4:$D$484)</f>
        <v>90</v>
      </c>
      <c r="J169" s="213">
        <f t="shared" ref="J169" si="101">ROUND(D169*D$167/1000,0)</f>
        <v>128</v>
      </c>
      <c r="K169" s="213">
        <f>'2.생활용수(급수구역)'!J83-SUM(K170:K182)</f>
        <v>136</v>
      </c>
      <c r="L169" s="213">
        <f>'2.생활용수(급수구역)'!K83-SUM(L170:L182)</f>
        <v>149</v>
      </c>
      <c r="M169" s="213">
        <f>'2.생활용수(급수구역)'!L83-SUM(M170:M182)</f>
        <v>154</v>
      </c>
      <c r="N169" s="213">
        <f>'2.생활용수(급수구역)'!M83-SUM(N170:N182)</f>
        <v>160</v>
      </c>
      <c r="O169" s="359"/>
    </row>
    <row r="170" spans="1:21" ht="19.149999999999999" customHeight="1">
      <c r="A170" s="677"/>
      <c r="B170" s="210" t="s">
        <v>956</v>
      </c>
      <c r="C170" s="211">
        <f>SUMPRODUCT(('[2]2.행정구역별 급수인구'!$C$7:$C$997=$B170)*('[2]2.행정구역별 급수인구'!S$7:S$997))</f>
        <v>0</v>
      </c>
      <c r="D170" s="211">
        <f>SUMPRODUCT(('[2]2.행정구역별 급수인구'!$C$7:$C$997=$B170)*('[2]2.행정구역별 급수인구'!T$7:T$997))</f>
        <v>0</v>
      </c>
      <c r="E170" s="211">
        <f>SUMPRODUCT(('[2]2.행정구역별 급수인구'!$C$7:$C$997=$B170)*('[2]2.행정구역별 급수인구'!U$7:U$997))</f>
        <v>0</v>
      </c>
      <c r="F170" s="211">
        <f>SUMPRODUCT(('[2]2.행정구역별 급수인구'!$C$7:$C$997=$B170)*('[2]2.행정구역별 급수인구'!V$7:V$997))</f>
        <v>303</v>
      </c>
      <c r="G170" s="211">
        <f>SUMPRODUCT(('[2]2.행정구역별 급수인구'!$C$7:$C$997=$B170)*('[2]2.행정구역별 급수인구'!W$7:W$997))</f>
        <v>309</v>
      </c>
      <c r="H170" s="211">
        <f>SUMPRODUCT(('[2]2.행정구역별 급수인구'!$C$7:$C$997=$B170)*('[2]2.행정구역별 급수인구'!X$7:X$997))</f>
        <v>315</v>
      </c>
      <c r="I170" s="213">
        <f>SUMIF('2013 행정구역 생활용수량'!$B$4:$B$484,B170,'2013 행정구역 생활용수량'!$D$4:$D$484)</f>
        <v>0</v>
      </c>
      <c r="J170" s="213">
        <f t="shared" ref="J170:J182" si="102">ROUND(D170*D$167/1000,0)</f>
        <v>0</v>
      </c>
      <c r="K170" s="213">
        <f t="shared" ref="K170:K182" si="103">ROUND(E170*E$167/1000,0)</f>
        <v>0</v>
      </c>
      <c r="L170" s="213">
        <f t="shared" ref="L170:L182" si="104">ROUND(F170*F$167/1000,0)</f>
        <v>93</v>
      </c>
      <c r="M170" s="213">
        <f t="shared" ref="M170:M182" si="105">ROUND(G170*G$167/1000,0)</f>
        <v>96</v>
      </c>
      <c r="N170" s="213">
        <f t="shared" ref="N170:N182" si="106">ROUND(H170*H$167/1000,0)</f>
        <v>98</v>
      </c>
      <c r="O170" s="359"/>
    </row>
    <row r="171" spans="1:21" ht="19.149999999999999" customHeight="1">
      <c r="A171" s="677"/>
      <c r="B171" s="210" t="s">
        <v>957</v>
      </c>
      <c r="C171" s="211">
        <f>SUMPRODUCT(('[2]2.행정구역별 급수인구'!$C$7:$C$997=$B171)*('[2]2.행정구역별 급수인구'!S$7:S$997))</f>
        <v>0</v>
      </c>
      <c r="D171" s="211">
        <f>SUMPRODUCT(('[2]2.행정구역별 급수인구'!$C$7:$C$997=$B171)*('[2]2.행정구역별 급수인구'!T$7:T$997))</f>
        <v>0</v>
      </c>
      <c r="E171" s="211">
        <f>SUMPRODUCT(('[2]2.행정구역별 급수인구'!$C$7:$C$997=$B171)*('[2]2.행정구역별 급수인구'!U$7:U$997))</f>
        <v>0</v>
      </c>
      <c r="F171" s="211">
        <f>SUMPRODUCT(('[2]2.행정구역별 급수인구'!$C$7:$C$997=$B171)*('[2]2.행정구역별 급수인구'!V$7:V$997))</f>
        <v>148</v>
      </c>
      <c r="G171" s="211">
        <f>SUMPRODUCT(('[2]2.행정구역별 급수인구'!$C$7:$C$997=$B171)*('[2]2.행정구역별 급수인구'!W$7:W$997))</f>
        <v>150</v>
      </c>
      <c r="H171" s="211">
        <f>SUMPRODUCT(('[2]2.행정구역별 급수인구'!$C$7:$C$997=$B171)*('[2]2.행정구역별 급수인구'!X$7:X$997))</f>
        <v>153</v>
      </c>
      <c r="I171" s="213">
        <f>SUMIF('2013 행정구역 생활용수량'!$B$4:$B$484,B171,'2013 행정구역 생활용수량'!$D$4:$D$484)</f>
        <v>0</v>
      </c>
      <c r="J171" s="213">
        <f t="shared" si="102"/>
        <v>0</v>
      </c>
      <c r="K171" s="213">
        <f t="shared" si="103"/>
        <v>0</v>
      </c>
      <c r="L171" s="213">
        <f t="shared" si="104"/>
        <v>46</v>
      </c>
      <c r="M171" s="213">
        <f t="shared" si="105"/>
        <v>47</v>
      </c>
      <c r="N171" s="213">
        <f t="shared" si="106"/>
        <v>47</v>
      </c>
      <c r="O171" s="359"/>
    </row>
    <row r="172" spans="1:21" ht="19.149999999999999" customHeight="1">
      <c r="A172" s="677"/>
      <c r="B172" s="210" t="s">
        <v>958</v>
      </c>
      <c r="C172" s="211">
        <f>SUMPRODUCT(('[2]2.행정구역별 급수인구'!$C$7:$C$997=$B172)*('[2]2.행정구역별 급수인구'!S$7:S$997))</f>
        <v>0</v>
      </c>
      <c r="D172" s="211">
        <f>SUMPRODUCT(('[2]2.행정구역별 급수인구'!$C$7:$C$997=$B172)*('[2]2.행정구역별 급수인구'!T$7:T$997))</f>
        <v>0</v>
      </c>
      <c r="E172" s="211">
        <f>SUMPRODUCT(('[2]2.행정구역별 급수인구'!$C$7:$C$997=$B172)*('[2]2.행정구역별 급수인구'!U$7:U$997))</f>
        <v>0</v>
      </c>
      <c r="F172" s="211">
        <f>SUMPRODUCT(('[2]2.행정구역별 급수인구'!$C$7:$C$997=$B172)*('[2]2.행정구역별 급수인구'!V$7:V$997))</f>
        <v>150</v>
      </c>
      <c r="G172" s="211">
        <f>SUMPRODUCT(('[2]2.행정구역별 급수인구'!$C$7:$C$997=$B172)*('[2]2.행정구역별 급수인구'!W$7:W$997))</f>
        <v>153</v>
      </c>
      <c r="H172" s="211">
        <f>SUMPRODUCT(('[2]2.행정구역별 급수인구'!$C$7:$C$997=$B172)*('[2]2.행정구역별 급수인구'!X$7:X$997))</f>
        <v>156</v>
      </c>
      <c r="I172" s="213">
        <f>SUMIF('2013 행정구역 생활용수량'!$B$4:$B$484,B172,'2013 행정구역 생활용수량'!$D$4:$D$484)</f>
        <v>0</v>
      </c>
      <c r="J172" s="213">
        <f t="shared" si="102"/>
        <v>0</v>
      </c>
      <c r="K172" s="213">
        <f t="shared" si="103"/>
        <v>0</v>
      </c>
      <c r="L172" s="213">
        <f t="shared" si="104"/>
        <v>46</v>
      </c>
      <c r="M172" s="213">
        <f t="shared" si="105"/>
        <v>47</v>
      </c>
      <c r="N172" s="213">
        <f t="shared" si="106"/>
        <v>48</v>
      </c>
      <c r="O172" s="359"/>
    </row>
    <row r="173" spans="1:21" ht="19.149999999999999" customHeight="1">
      <c r="A173" s="677"/>
      <c r="B173" s="210" t="s">
        <v>959</v>
      </c>
      <c r="C173" s="211">
        <f>SUMPRODUCT(('[2]2.행정구역별 급수인구'!$C$7:$C$997=$B173)*('[2]2.행정구역별 급수인구'!S$7:S$997))</f>
        <v>0</v>
      </c>
      <c r="D173" s="211">
        <f>SUMPRODUCT(('[2]2.행정구역별 급수인구'!$C$7:$C$997=$B173)*('[2]2.행정구역별 급수인구'!T$7:T$997))</f>
        <v>0</v>
      </c>
      <c r="E173" s="211">
        <f>SUMPRODUCT(('[2]2.행정구역별 급수인구'!$C$7:$C$997=$B173)*('[2]2.행정구역별 급수인구'!U$7:U$997))</f>
        <v>0</v>
      </c>
      <c r="F173" s="211">
        <f>SUMPRODUCT(('[2]2.행정구역별 급수인구'!$C$7:$C$997=$B173)*('[2]2.행정구역별 급수인구'!V$7:V$997))</f>
        <v>307</v>
      </c>
      <c r="G173" s="211">
        <f>SUMPRODUCT(('[2]2.행정구역별 급수인구'!$C$7:$C$997=$B173)*('[2]2.행정구역별 급수인구'!W$7:W$997))</f>
        <v>315</v>
      </c>
      <c r="H173" s="211">
        <f>SUMPRODUCT(('[2]2.행정구역별 급수인구'!$C$7:$C$997=$B173)*('[2]2.행정구역별 급수인구'!X$7:X$997))</f>
        <v>320</v>
      </c>
      <c r="I173" s="213">
        <f>SUMIF('2013 행정구역 생활용수량'!$B$4:$B$484,B173,'2013 행정구역 생활용수량'!$D$4:$D$484)</f>
        <v>0</v>
      </c>
      <c r="J173" s="213">
        <f t="shared" si="102"/>
        <v>0</v>
      </c>
      <c r="K173" s="213">
        <f t="shared" si="103"/>
        <v>0</v>
      </c>
      <c r="L173" s="213">
        <f t="shared" si="104"/>
        <v>95</v>
      </c>
      <c r="M173" s="213">
        <f t="shared" si="105"/>
        <v>98</v>
      </c>
      <c r="N173" s="213">
        <f t="shared" si="106"/>
        <v>99</v>
      </c>
      <c r="O173" s="359"/>
    </row>
    <row r="174" spans="1:21" ht="19.149999999999999" customHeight="1">
      <c r="A174" s="677"/>
      <c r="B174" s="210" t="s">
        <v>960</v>
      </c>
      <c r="C174" s="211">
        <f>SUMPRODUCT(('[2]2.행정구역별 급수인구'!$C$7:$C$997=$B174)*('[2]2.행정구역별 급수인구'!S$7:S$997))</f>
        <v>92</v>
      </c>
      <c r="D174" s="211">
        <f>SUMPRODUCT(('[2]2.행정구역별 급수인구'!$C$7:$C$997=$B174)*('[2]2.행정구역별 급수인구'!T$7:T$997))</f>
        <v>161</v>
      </c>
      <c r="E174" s="211">
        <f>SUMPRODUCT(('[2]2.행정구역별 급수인구'!$C$7:$C$997=$B174)*('[2]2.행정구역별 급수인구'!U$7:U$997))</f>
        <v>165</v>
      </c>
      <c r="F174" s="211">
        <f>SUMPRODUCT(('[2]2.행정구역별 급수인구'!$C$7:$C$997=$B174)*('[2]2.행정구역별 급수인구'!V$7:V$997))</f>
        <v>173</v>
      </c>
      <c r="G174" s="211">
        <f>SUMPRODUCT(('[2]2.행정구역별 급수인구'!$C$7:$C$997=$B174)*('[2]2.행정구역별 급수인구'!W$7:W$997))</f>
        <v>178</v>
      </c>
      <c r="H174" s="211">
        <f>SUMPRODUCT(('[2]2.행정구역별 급수인구'!$C$7:$C$997=$B174)*('[2]2.행정구역별 급수인구'!X$7:X$997))</f>
        <v>180</v>
      </c>
      <c r="I174" s="213">
        <f>SUMIF('2013 행정구역 생활용수량'!$B$4:$B$484,B174,'2013 행정구역 생활용수량'!$D$4:$D$484)</f>
        <v>12</v>
      </c>
      <c r="J174" s="213">
        <f t="shared" si="102"/>
        <v>49</v>
      </c>
      <c r="K174" s="213">
        <f t="shared" si="103"/>
        <v>50</v>
      </c>
      <c r="L174" s="213">
        <f t="shared" si="104"/>
        <v>53</v>
      </c>
      <c r="M174" s="213">
        <f t="shared" si="105"/>
        <v>55</v>
      </c>
      <c r="N174" s="213">
        <f t="shared" si="106"/>
        <v>56</v>
      </c>
      <c r="O174" s="359"/>
    </row>
    <row r="175" spans="1:21" ht="19.149999999999999" customHeight="1">
      <c r="A175" s="677"/>
      <c r="B175" s="210" t="s">
        <v>961</v>
      </c>
      <c r="C175" s="211">
        <f>SUMPRODUCT(('[2]2.행정구역별 급수인구'!$C$7:$C$997=$B175)*('[2]2.행정구역별 급수인구'!S$7:S$997))</f>
        <v>0</v>
      </c>
      <c r="D175" s="211">
        <f>SUMPRODUCT(('[2]2.행정구역별 급수인구'!$C$7:$C$997=$B175)*('[2]2.행정구역별 급수인구'!T$7:T$997))</f>
        <v>0</v>
      </c>
      <c r="E175" s="211">
        <f>SUMPRODUCT(('[2]2.행정구역별 급수인구'!$C$7:$C$997=$B175)*('[2]2.행정구역별 급수인구'!U$7:U$997))</f>
        <v>0</v>
      </c>
      <c r="F175" s="211">
        <f>SUMPRODUCT(('[2]2.행정구역별 급수인구'!$C$7:$C$997=$B175)*('[2]2.행정구역별 급수인구'!V$7:V$997))</f>
        <v>36</v>
      </c>
      <c r="G175" s="211">
        <f>SUMPRODUCT(('[2]2.행정구역별 급수인구'!$C$7:$C$997=$B175)*('[2]2.행정구역별 급수인구'!W$7:W$997))</f>
        <v>37</v>
      </c>
      <c r="H175" s="211">
        <f>SUMPRODUCT(('[2]2.행정구역별 급수인구'!$C$7:$C$997=$B175)*('[2]2.행정구역별 급수인구'!X$7:X$997))</f>
        <v>37</v>
      </c>
      <c r="I175" s="213">
        <f>SUMIF('2013 행정구역 생활용수량'!$B$4:$B$484,B175,'2013 행정구역 생활용수량'!$D$4:$D$484)</f>
        <v>0</v>
      </c>
      <c r="J175" s="213">
        <f t="shared" si="102"/>
        <v>0</v>
      </c>
      <c r="K175" s="213">
        <f t="shared" si="103"/>
        <v>0</v>
      </c>
      <c r="L175" s="213">
        <f t="shared" si="104"/>
        <v>11</v>
      </c>
      <c r="M175" s="213">
        <f t="shared" si="105"/>
        <v>11</v>
      </c>
      <c r="N175" s="213">
        <f t="shared" si="106"/>
        <v>11</v>
      </c>
      <c r="O175" s="359"/>
    </row>
    <row r="176" spans="1:21" ht="19.149999999999999" customHeight="1">
      <c r="A176" s="677"/>
      <c r="B176" s="210" t="s">
        <v>962</v>
      </c>
      <c r="C176" s="211">
        <f>SUMPRODUCT(('[2]2.행정구역별 급수인구'!$C$7:$C$997=$B176)*('[2]2.행정구역별 급수인구'!S$7:S$997))</f>
        <v>0</v>
      </c>
      <c r="D176" s="211">
        <f>SUMPRODUCT(('[2]2.행정구역별 급수인구'!$C$7:$C$997=$B176)*('[2]2.행정구역별 급수인구'!T$7:T$997))</f>
        <v>0</v>
      </c>
      <c r="E176" s="211">
        <f>SUMPRODUCT(('[2]2.행정구역별 급수인구'!$C$7:$C$997=$B176)*('[2]2.행정구역별 급수인구'!U$7:U$997))</f>
        <v>0</v>
      </c>
      <c r="F176" s="211">
        <f>SUMPRODUCT(('[2]2.행정구역별 급수인구'!$C$7:$C$997=$B176)*('[2]2.행정구역별 급수인구'!V$7:V$997))</f>
        <v>295</v>
      </c>
      <c r="G176" s="211">
        <f>SUMPRODUCT(('[2]2.행정구역별 급수인구'!$C$7:$C$997=$B176)*('[2]2.행정구역별 급수인구'!W$7:W$997))</f>
        <v>302</v>
      </c>
      <c r="H176" s="211">
        <f>SUMPRODUCT(('[2]2.행정구역별 급수인구'!$C$7:$C$997=$B176)*('[2]2.행정구역별 급수인구'!X$7:X$997))</f>
        <v>307</v>
      </c>
      <c r="I176" s="213">
        <f>SUMIF('2013 행정구역 생활용수량'!$B$4:$B$484,B176,'2013 행정구역 생활용수량'!$D$4:$D$484)</f>
        <v>0</v>
      </c>
      <c r="J176" s="213">
        <f t="shared" si="102"/>
        <v>0</v>
      </c>
      <c r="K176" s="213">
        <f t="shared" si="103"/>
        <v>0</v>
      </c>
      <c r="L176" s="213">
        <f t="shared" si="104"/>
        <v>91</v>
      </c>
      <c r="M176" s="213">
        <f t="shared" si="105"/>
        <v>94</v>
      </c>
      <c r="N176" s="213">
        <f t="shared" si="106"/>
        <v>95</v>
      </c>
      <c r="O176" s="359"/>
    </row>
    <row r="177" spans="1:21" ht="19.149999999999999" customHeight="1">
      <c r="A177" s="677"/>
      <c r="B177" s="210" t="s">
        <v>963</v>
      </c>
      <c r="C177" s="211">
        <f>SUMPRODUCT(('[2]2.행정구역별 급수인구'!$C$7:$C$997=$B177)*('[2]2.행정구역별 급수인구'!S$7:S$997))</f>
        <v>0</v>
      </c>
      <c r="D177" s="211">
        <f>SUMPRODUCT(('[2]2.행정구역별 급수인구'!$C$7:$C$997=$B177)*('[2]2.행정구역별 급수인구'!T$7:T$997))</f>
        <v>0</v>
      </c>
      <c r="E177" s="211">
        <f>SUMPRODUCT(('[2]2.행정구역별 급수인구'!$C$7:$C$997=$B177)*('[2]2.행정구역별 급수인구'!U$7:U$997))</f>
        <v>0</v>
      </c>
      <c r="F177" s="211">
        <f>SUMPRODUCT(('[2]2.행정구역별 급수인구'!$C$7:$C$997=$B177)*('[2]2.행정구역별 급수인구'!V$7:V$997))</f>
        <v>350</v>
      </c>
      <c r="G177" s="211">
        <f>SUMPRODUCT(('[2]2.행정구역별 급수인구'!$C$7:$C$997=$B177)*('[2]2.행정구역별 급수인구'!W$7:W$997))</f>
        <v>358</v>
      </c>
      <c r="H177" s="211">
        <f>SUMPRODUCT(('[2]2.행정구역별 급수인구'!$C$7:$C$997=$B177)*('[2]2.행정구역별 급수인구'!X$7:X$997))</f>
        <v>365</v>
      </c>
      <c r="I177" s="213">
        <f>SUMIF('2013 행정구역 생활용수량'!$B$4:$B$484,B177,'2013 행정구역 생활용수량'!$D$4:$D$484)</f>
        <v>0</v>
      </c>
      <c r="J177" s="213">
        <f t="shared" si="102"/>
        <v>0</v>
      </c>
      <c r="K177" s="213">
        <f t="shared" si="103"/>
        <v>0</v>
      </c>
      <c r="L177" s="213">
        <f t="shared" si="104"/>
        <v>108</v>
      </c>
      <c r="M177" s="213">
        <f t="shared" si="105"/>
        <v>111</v>
      </c>
      <c r="N177" s="213">
        <f t="shared" si="106"/>
        <v>113</v>
      </c>
      <c r="O177" s="359"/>
    </row>
    <row r="178" spans="1:21" ht="19.149999999999999" customHeight="1">
      <c r="A178" s="677"/>
      <c r="B178" s="210" t="s">
        <v>964</v>
      </c>
      <c r="C178" s="211">
        <f>SUMPRODUCT(('[2]2.행정구역별 급수인구'!$C$7:$C$997=$B178)*('[2]2.행정구역별 급수인구'!S$7:S$997))</f>
        <v>89</v>
      </c>
      <c r="D178" s="211">
        <f>SUMPRODUCT(('[2]2.행정구역별 급수인구'!$C$7:$C$997=$B178)*('[2]2.행정구역별 급수인구'!T$7:T$997))</f>
        <v>89</v>
      </c>
      <c r="E178" s="211">
        <f>SUMPRODUCT(('[2]2.행정구역별 급수인구'!$C$7:$C$997=$B178)*('[2]2.행정구역별 급수인구'!U$7:U$997))</f>
        <v>162</v>
      </c>
      <c r="F178" s="211">
        <f>SUMPRODUCT(('[2]2.행정구역별 급수인구'!$C$7:$C$997=$B178)*('[2]2.행정구역별 급수인구'!V$7:V$997))</f>
        <v>201</v>
      </c>
      <c r="G178" s="211">
        <f>SUMPRODUCT(('[2]2.행정구역별 급수인구'!$C$7:$C$997=$B178)*('[2]2.행정구역별 급수인구'!W$7:W$997))</f>
        <v>205</v>
      </c>
      <c r="H178" s="211">
        <f>SUMPRODUCT(('[2]2.행정구역별 급수인구'!$C$7:$C$997=$B178)*('[2]2.행정구역별 급수인구'!X$7:X$997))</f>
        <v>209</v>
      </c>
      <c r="I178" s="213">
        <f>SUMIF('2013 행정구역 생활용수량'!$B$4:$B$484,B178,'2013 행정구역 생활용수량'!$D$4:$D$484)</f>
        <v>3</v>
      </c>
      <c r="J178" s="213">
        <f t="shared" si="102"/>
        <v>27</v>
      </c>
      <c r="K178" s="213">
        <f t="shared" si="103"/>
        <v>49</v>
      </c>
      <c r="L178" s="213">
        <f t="shared" si="104"/>
        <v>62</v>
      </c>
      <c r="M178" s="213">
        <f t="shared" si="105"/>
        <v>64</v>
      </c>
      <c r="N178" s="213">
        <f t="shared" si="106"/>
        <v>65</v>
      </c>
      <c r="O178" s="359"/>
    </row>
    <row r="179" spans="1:21" ht="19.149999999999999" customHeight="1">
      <c r="A179" s="677"/>
      <c r="B179" s="210" t="s">
        <v>965</v>
      </c>
      <c r="C179" s="211">
        <f>SUMPRODUCT(('[2]2.행정구역별 급수인구'!$C$7:$C$997=$B179)*('[2]2.행정구역별 급수인구'!S$7:S$997))</f>
        <v>0</v>
      </c>
      <c r="D179" s="211">
        <f>SUMPRODUCT(('[2]2.행정구역별 급수인구'!$C$7:$C$997=$B179)*('[2]2.행정구역별 급수인구'!T$7:T$997))</f>
        <v>0</v>
      </c>
      <c r="E179" s="211">
        <f>SUMPRODUCT(('[2]2.행정구역별 급수인구'!$C$7:$C$997=$B179)*('[2]2.행정구역별 급수인구'!U$7:U$997))</f>
        <v>401</v>
      </c>
      <c r="F179" s="211">
        <f>SUMPRODUCT(('[2]2.행정구역별 급수인구'!$C$7:$C$997=$B179)*('[2]2.행정구역별 급수인구'!V$7:V$997))</f>
        <v>421</v>
      </c>
      <c r="G179" s="211">
        <f>SUMPRODUCT(('[2]2.행정구역별 급수인구'!$C$7:$C$997=$B179)*('[2]2.행정구역별 급수인구'!W$7:W$997))</f>
        <v>431</v>
      </c>
      <c r="H179" s="211">
        <f>SUMPRODUCT(('[2]2.행정구역별 급수인구'!$C$7:$C$997=$B179)*('[2]2.행정구역별 급수인구'!X$7:X$997))</f>
        <v>439</v>
      </c>
      <c r="I179" s="213">
        <f>SUMIF('2013 행정구역 생활용수량'!$B$4:$B$484,B179,'2013 행정구역 생활용수량'!$D$4:$D$484)</f>
        <v>0</v>
      </c>
      <c r="J179" s="213">
        <f t="shared" si="102"/>
        <v>0</v>
      </c>
      <c r="K179" s="213">
        <f t="shared" si="103"/>
        <v>122</v>
      </c>
      <c r="L179" s="213">
        <f t="shared" si="104"/>
        <v>130</v>
      </c>
      <c r="M179" s="213">
        <f t="shared" si="105"/>
        <v>134</v>
      </c>
      <c r="N179" s="213">
        <f t="shared" si="106"/>
        <v>136</v>
      </c>
      <c r="O179" s="359"/>
    </row>
    <row r="180" spans="1:21" ht="19.149999999999999" customHeight="1">
      <c r="A180" s="677"/>
      <c r="B180" s="210" t="s">
        <v>966</v>
      </c>
      <c r="C180" s="211">
        <f>SUMPRODUCT(('[2]2.행정구역별 급수인구'!$C$7:$C$997=$B180)*('[2]2.행정구역별 급수인구'!S$7:S$997))</f>
        <v>0</v>
      </c>
      <c r="D180" s="211">
        <f>SUMPRODUCT(('[2]2.행정구역별 급수인구'!$C$7:$C$997=$B180)*('[2]2.행정구역별 급수인구'!T$7:T$997))</f>
        <v>0</v>
      </c>
      <c r="E180" s="211">
        <f>SUMPRODUCT(('[2]2.행정구역별 급수인구'!$C$7:$C$997=$B180)*('[2]2.행정구역별 급수인구'!U$7:U$997))</f>
        <v>0</v>
      </c>
      <c r="F180" s="211">
        <f>SUMPRODUCT(('[2]2.행정구역별 급수인구'!$C$7:$C$997=$B180)*('[2]2.행정구역별 급수인구'!V$7:V$997))</f>
        <v>276</v>
      </c>
      <c r="G180" s="211">
        <f>SUMPRODUCT(('[2]2.행정구역별 급수인구'!$C$7:$C$997=$B180)*('[2]2.행정구역별 급수인구'!W$7:W$997))</f>
        <v>281</v>
      </c>
      <c r="H180" s="211">
        <f>SUMPRODUCT(('[2]2.행정구역별 급수인구'!$C$7:$C$997=$B180)*('[2]2.행정구역별 급수인구'!X$7:X$997))</f>
        <v>287</v>
      </c>
      <c r="I180" s="213">
        <f>SUMIF('2013 행정구역 생활용수량'!$B$4:$B$484,B180,'2013 행정구역 생활용수량'!$D$4:$D$484)</f>
        <v>0</v>
      </c>
      <c r="J180" s="213">
        <f t="shared" si="102"/>
        <v>0</v>
      </c>
      <c r="K180" s="213">
        <f t="shared" si="103"/>
        <v>0</v>
      </c>
      <c r="L180" s="213">
        <f t="shared" si="104"/>
        <v>85</v>
      </c>
      <c r="M180" s="213">
        <f t="shared" si="105"/>
        <v>87</v>
      </c>
      <c r="N180" s="213">
        <f t="shared" si="106"/>
        <v>89</v>
      </c>
      <c r="O180" s="359"/>
    </row>
    <row r="181" spans="1:21" ht="19.149999999999999" customHeight="1">
      <c r="A181" s="677"/>
      <c r="B181" s="210" t="s">
        <v>967</v>
      </c>
      <c r="C181" s="211">
        <f>SUMPRODUCT(('[2]2.행정구역별 급수인구'!$C$7:$C$997=$B181)*('[2]2.행정구역별 급수인구'!S$7:S$997))</f>
        <v>0</v>
      </c>
      <c r="D181" s="211">
        <f>SUMPRODUCT(('[2]2.행정구역별 급수인구'!$C$7:$C$997=$B181)*('[2]2.행정구역별 급수인구'!T$7:T$997))</f>
        <v>0</v>
      </c>
      <c r="E181" s="211">
        <f>SUMPRODUCT(('[2]2.행정구역별 급수인구'!$C$7:$C$997=$B181)*('[2]2.행정구역별 급수인구'!U$7:U$997))</f>
        <v>0</v>
      </c>
      <c r="F181" s="211">
        <f>SUMPRODUCT(('[2]2.행정구역별 급수인구'!$C$7:$C$997=$B181)*('[2]2.행정구역별 급수인구'!V$7:V$997))</f>
        <v>308</v>
      </c>
      <c r="G181" s="211">
        <f>SUMPRODUCT(('[2]2.행정구역별 급수인구'!$C$7:$C$997=$B181)*('[2]2.행정구역별 급수인구'!W$7:W$997))</f>
        <v>314</v>
      </c>
      <c r="H181" s="211">
        <f>SUMPRODUCT(('[2]2.행정구역별 급수인구'!$C$7:$C$997=$B181)*('[2]2.행정구역별 급수인구'!X$7:X$997))</f>
        <v>322</v>
      </c>
      <c r="I181" s="213">
        <f>SUMIF('2013 행정구역 생활용수량'!$B$4:$B$484,B181,'2013 행정구역 생활용수량'!$D$4:$D$484)</f>
        <v>0</v>
      </c>
      <c r="J181" s="213">
        <f t="shared" si="102"/>
        <v>0</v>
      </c>
      <c r="K181" s="213">
        <f t="shared" si="103"/>
        <v>0</v>
      </c>
      <c r="L181" s="213">
        <f t="shared" si="104"/>
        <v>95</v>
      </c>
      <c r="M181" s="213">
        <f t="shared" si="105"/>
        <v>97</v>
      </c>
      <c r="N181" s="213">
        <f t="shared" si="106"/>
        <v>100</v>
      </c>
      <c r="O181" s="359"/>
    </row>
    <row r="182" spans="1:21" ht="19.149999999999999" customHeight="1">
      <c r="A182" s="678"/>
      <c r="B182" s="210" t="s">
        <v>942</v>
      </c>
      <c r="C182" s="211">
        <f>SUMPRODUCT(('[2]2.행정구역별 급수인구'!$C$7:$C$997=$B182)*('[2]2.행정구역별 급수인구'!S$7:S$997))</f>
        <v>0</v>
      </c>
      <c r="D182" s="211">
        <f>SUMPRODUCT(('[2]2.행정구역별 급수인구'!$C$7:$C$997=$B182)*('[2]2.행정구역별 급수인구'!T$7:T$997))</f>
        <v>0</v>
      </c>
      <c r="E182" s="211">
        <f>SUMPRODUCT(('[2]2.행정구역별 급수인구'!$C$7:$C$997=$B182)*('[2]2.행정구역별 급수인구'!U$7:U$997))</f>
        <v>81</v>
      </c>
      <c r="F182" s="211">
        <f>SUMPRODUCT(('[2]2.행정구역별 급수인구'!$C$7:$C$997=$B182)*('[2]2.행정구역별 급수인구'!V$7:V$997))</f>
        <v>102</v>
      </c>
      <c r="G182" s="211">
        <f>SUMPRODUCT(('[2]2.행정구역별 급수인구'!$C$7:$C$997=$B182)*('[2]2.행정구역별 급수인구'!W$7:W$997))</f>
        <v>105</v>
      </c>
      <c r="H182" s="211">
        <f>SUMPRODUCT(('[2]2.행정구역별 급수인구'!$C$7:$C$997=$B182)*('[2]2.행정구역별 급수인구'!X$7:X$997))</f>
        <v>107</v>
      </c>
      <c r="I182" s="213">
        <f>SUMIF('2013 행정구역 생활용수량'!$B$4:$B$484,B182,'2013 행정구역 생활용수량'!$D$4:$D$484)</f>
        <v>0</v>
      </c>
      <c r="J182" s="213">
        <f t="shared" si="102"/>
        <v>0</v>
      </c>
      <c r="K182" s="213">
        <f t="shared" si="103"/>
        <v>25</v>
      </c>
      <c r="L182" s="213">
        <f t="shared" si="104"/>
        <v>31</v>
      </c>
      <c r="M182" s="213">
        <f t="shared" si="105"/>
        <v>33</v>
      </c>
      <c r="N182" s="213">
        <f t="shared" si="106"/>
        <v>33</v>
      </c>
      <c r="O182" s="359"/>
    </row>
    <row r="183" spans="1:21" ht="20.100000000000001" customHeight="1">
      <c r="A183" s="676" t="s">
        <v>797</v>
      </c>
      <c r="B183" s="215" t="s">
        <v>837</v>
      </c>
      <c r="C183" s="211">
        <f>'[3]5.급수원단위'!C$34</f>
        <v>272</v>
      </c>
      <c r="D183" s="211">
        <f>'[3]5.급수원단위'!$D$41</f>
        <v>304</v>
      </c>
      <c r="E183" s="211">
        <f>'[3]5.급수원단위'!D$34</f>
        <v>304</v>
      </c>
      <c r="F183" s="211">
        <f>'[3]5.급수원단위'!E$34</f>
        <v>308</v>
      </c>
      <c r="G183" s="211">
        <f>'[3]5.급수원단위'!F$34</f>
        <v>310</v>
      </c>
      <c r="H183" s="211">
        <f>'[3]5.급수원단위'!G$34</f>
        <v>310</v>
      </c>
      <c r="I183" s="680"/>
      <c r="J183" s="681"/>
      <c r="K183" s="681"/>
      <c r="L183" s="681"/>
      <c r="M183" s="681"/>
      <c r="N183" s="682"/>
      <c r="O183" s="359"/>
      <c r="Q183" s="511">
        <v>2013</v>
      </c>
      <c r="R183" s="511">
        <v>2015</v>
      </c>
      <c r="S183" s="511">
        <v>2020</v>
      </c>
      <c r="T183" s="511">
        <v>2025</v>
      </c>
      <c r="U183" s="511">
        <v>2030</v>
      </c>
    </row>
    <row r="184" spans="1:21" ht="20.100000000000001" customHeight="1">
      <c r="A184" s="677"/>
      <c r="B184" s="214" t="s">
        <v>778</v>
      </c>
      <c r="C184" s="212">
        <f>SUM(C185:C194)</f>
        <v>2785</v>
      </c>
      <c r="D184" s="212">
        <f t="shared" ref="D184:H184" si="107">SUM(D185:D194)</f>
        <v>3067</v>
      </c>
      <c r="E184" s="212">
        <f t="shared" si="107"/>
        <v>4156</v>
      </c>
      <c r="F184" s="212">
        <f t="shared" si="107"/>
        <v>4838</v>
      </c>
      <c r="G184" s="212">
        <f t="shared" si="107"/>
        <v>5152</v>
      </c>
      <c r="H184" s="212">
        <f t="shared" si="107"/>
        <v>5243</v>
      </c>
      <c r="I184" s="212">
        <f t="shared" ref="I184:N184" si="108">SUM(I185:I194)</f>
        <v>893</v>
      </c>
      <c r="J184" s="212">
        <f t="shared" ref="J184" si="109">SUM(J185:J194)</f>
        <v>931</v>
      </c>
      <c r="K184" s="212">
        <f t="shared" si="108"/>
        <v>1264</v>
      </c>
      <c r="L184" s="212">
        <f t="shared" si="108"/>
        <v>1489</v>
      </c>
      <c r="M184" s="212">
        <f t="shared" si="108"/>
        <v>1599</v>
      </c>
      <c r="N184" s="212">
        <f t="shared" si="108"/>
        <v>1626</v>
      </c>
      <c r="O184" s="359">
        <f>'2013년도 용수량 비율'!F16</f>
        <v>0.05</v>
      </c>
      <c r="Q184" s="213">
        <f>ROUND(I184,-2)</f>
        <v>900</v>
      </c>
      <c r="R184" s="213">
        <f>ROUND(K184,-2)</f>
        <v>1300</v>
      </c>
      <c r="S184" s="213">
        <f>ROUND(L184,-2)</f>
        <v>1500</v>
      </c>
      <c r="T184" s="213">
        <f>ROUND(M184,-2)</f>
        <v>1600</v>
      </c>
      <c r="U184" s="213">
        <f>ROUND(N184,-2)</f>
        <v>1600</v>
      </c>
    </row>
    <row r="185" spans="1:21" ht="20.100000000000001" customHeight="1">
      <c r="A185" s="677"/>
      <c r="B185" s="210" t="s">
        <v>968</v>
      </c>
      <c r="C185" s="211">
        <f>SUMPRODUCT(('[2]2.행정구역별 급수인구'!$C$7:$C$997=$B185)*('[2]2.행정구역별 급수인구'!S$7:S$997))</f>
        <v>396</v>
      </c>
      <c r="D185" s="211">
        <f>SUMPRODUCT(('[2]2.행정구역별 급수인구'!$C$7:$C$997=$B185)*('[2]2.행정구역별 급수인구'!T$7:T$997))</f>
        <v>396</v>
      </c>
      <c r="E185" s="211">
        <f>SUMPRODUCT(('[2]2.행정구역별 급수인구'!$C$7:$C$997=$B185)*('[2]2.행정구역별 급수인구'!U$7:U$997))</f>
        <v>441</v>
      </c>
      <c r="F185" s="211">
        <f>SUMPRODUCT(('[2]2.행정구역별 급수인구'!$C$7:$C$997=$B185)*('[2]2.행정구역별 급수인구'!V$7:V$997))</f>
        <v>463</v>
      </c>
      <c r="G185" s="211">
        <f>SUMPRODUCT(('[2]2.행정구역별 급수인구'!$C$7:$C$997=$B185)*('[2]2.행정구역별 급수인구'!W$7:W$997))</f>
        <v>502</v>
      </c>
      <c r="H185" s="211">
        <f>SUMPRODUCT(('[2]2.행정구역별 급수인구'!$C$7:$C$997=$B185)*('[2]2.행정구역별 급수인구'!X$7:X$997))</f>
        <v>508</v>
      </c>
      <c r="I185" s="213">
        <f>SUMIF('2013 행정구역 생활용수량'!$B$4:$B$484,B185,'2013 행정구역 생활용수량'!$D$4:$D$484)</f>
        <v>97</v>
      </c>
      <c r="J185" s="213">
        <f t="shared" ref="J185" si="110">ROUND(D185*D$183/1000,0)</f>
        <v>120</v>
      </c>
      <c r="K185" s="213">
        <f>'2.생활용수(급수구역)'!J84-SUM(K186:K194)</f>
        <v>135</v>
      </c>
      <c r="L185" s="213">
        <f>'2.생활용수(급수구역)'!K84-SUM(L186:L194)</f>
        <v>140</v>
      </c>
      <c r="M185" s="213">
        <f>'2.생활용수(급수구역)'!L84-SUM(M186:M194)</f>
        <v>158</v>
      </c>
      <c r="N185" s="213">
        <f>'2.생활용수(급수구역)'!M84-SUM(N186:N194)</f>
        <v>157</v>
      </c>
      <c r="O185" s="359"/>
    </row>
    <row r="186" spans="1:21" ht="20.100000000000001" customHeight="1">
      <c r="A186" s="677"/>
      <c r="B186" s="210" t="s">
        <v>799</v>
      </c>
      <c r="C186" s="211">
        <f>SUMPRODUCT(('[2]2.행정구역별 급수인구'!$C$7:$C$997=$B186)*('[2]2.행정구역별 급수인구'!S$7:S$997))</f>
        <v>356</v>
      </c>
      <c r="D186" s="211">
        <f>SUMPRODUCT(('[2]2.행정구역별 급수인구'!$C$7:$C$997=$B186)*('[2]2.행정구역별 급수인구'!T$7:T$997))</f>
        <v>356</v>
      </c>
      <c r="E186" s="211">
        <f>SUMPRODUCT(('[2]2.행정구역별 급수인구'!$C$7:$C$997=$B186)*('[2]2.행정구역별 급수인구'!U$7:U$997))</f>
        <v>397</v>
      </c>
      <c r="F186" s="211">
        <f>SUMPRODUCT(('[2]2.행정구역별 급수인구'!$C$7:$C$997=$B186)*('[2]2.행정구역별 급수인구'!V$7:V$997))</f>
        <v>416</v>
      </c>
      <c r="G186" s="211">
        <f>SUMPRODUCT(('[2]2.행정구역별 급수인구'!$C$7:$C$997=$B186)*('[2]2.행정구역별 급수인구'!W$7:W$997))</f>
        <v>450</v>
      </c>
      <c r="H186" s="211">
        <f>SUMPRODUCT(('[2]2.행정구역별 급수인구'!$C$7:$C$997=$B186)*('[2]2.행정구역별 급수인구'!X$7:X$997))</f>
        <v>457</v>
      </c>
      <c r="I186" s="213">
        <f>SUMIF('2013 행정구역 생활용수량'!$B$4:$B$484,B186,'2013 행정구역 생활용수량'!$D$4:$D$484)</f>
        <v>86</v>
      </c>
      <c r="J186" s="213">
        <f t="shared" ref="J186:J194" si="111">ROUND(D186*D$183/1000,0)</f>
        <v>108</v>
      </c>
      <c r="K186" s="213">
        <f t="shared" ref="K186:K194" si="112">ROUND(E186*E$183/1000,0)</f>
        <v>121</v>
      </c>
      <c r="L186" s="213">
        <f t="shared" ref="L186:L194" si="113">ROUND(F186*F$183/1000,0)</f>
        <v>128</v>
      </c>
      <c r="M186" s="213">
        <f t="shared" ref="M186:M194" si="114">ROUND(G186*G$183/1000,0)</f>
        <v>140</v>
      </c>
      <c r="N186" s="213">
        <f t="shared" ref="N186:N194" si="115">ROUND(H186*H$183/1000,0)</f>
        <v>142</v>
      </c>
      <c r="O186" s="359"/>
    </row>
    <row r="187" spans="1:21" ht="20.100000000000001" customHeight="1">
      <c r="A187" s="677"/>
      <c r="B187" s="210" t="s">
        <v>969</v>
      </c>
      <c r="C187" s="211">
        <f>SUMPRODUCT(('[2]2.행정구역별 급수인구'!$C$7:$C$997=$B187)*('[2]2.행정구역별 급수인구'!S$7:S$997))</f>
        <v>53</v>
      </c>
      <c r="D187" s="211">
        <f>SUMPRODUCT(('[2]2.행정구역별 급수인구'!$C$7:$C$997=$B187)*('[2]2.행정구역별 급수인구'!T$7:T$997))</f>
        <v>332</v>
      </c>
      <c r="E187" s="211">
        <f>SUMPRODUCT(('[2]2.행정구역별 급수인구'!$C$7:$C$997=$B187)*('[2]2.행정구역별 급수인구'!U$7:U$997))</f>
        <v>339</v>
      </c>
      <c r="F187" s="211">
        <f>SUMPRODUCT(('[2]2.행정구역별 급수인구'!$C$7:$C$997=$B187)*('[2]2.행정구역별 급수인구'!V$7:V$997))</f>
        <v>355</v>
      </c>
      <c r="G187" s="211">
        <f>SUMPRODUCT(('[2]2.행정구역별 급수인구'!$C$7:$C$997=$B187)*('[2]2.행정구역별 급수인구'!W$7:W$997))</f>
        <v>382</v>
      </c>
      <c r="H187" s="211">
        <f>SUMPRODUCT(('[2]2.행정구역별 급수인구'!$C$7:$C$997=$B187)*('[2]2.행정구역별 급수인구'!X$7:X$997))</f>
        <v>390</v>
      </c>
      <c r="I187" s="213">
        <f>SUMIF('2013 행정구역 생활용수량'!$B$4:$B$484,B187,'2013 행정구역 생활용수량'!$D$4:$D$484)</f>
        <v>48</v>
      </c>
      <c r="J187" s="213">
        <f t="shared" si="111"/>
        <v>101</v>
      </c>
      <c r="K187" s="213">
        <f t="shared" si="112"/>
        <v>103</v>
      </c>
      <c r="L187" s="213">
        <f t="shared" si="113"/>
        <v>109</v>
      </c>
      <c r="M187" s="213">
        <f t="shared" si="114"/>
        <v>118</v>
      </c>
      <c r="N187" s="213">
        <f t="shared" si="115"/>
        <v>121</v>
      </c>
      <c r="O187" s="359"/>
    </row>
    <row r="188" spans="1:21" ht="20.100000000000001" customHeight="1">
      <c r="A188" s="677"/>
      <c r="B188" s="210" t="s">
        <v>970</v>
      </c>
      <c r="C188" s="211">
        <f>SUMPRODUCT(('[2]2.행정구역별 급수인구'!$C$7:$C$997=$B188)*('[2]2.행정구역별 급수인구'!S$7:S$997))</f>
        <v>18</v>
      </c>
      <c r="D188" s="211">
        <f>SUMPRODUCT(('[2]2.행정구역별 급수인구'!$C$7:$C$997=$B188)*('[2]2.행정구역별 급수인구'!T$7:T$997))</f>
        <v>18</v>
      </c>
      <c r="E188" s="211">
        <f>SUMPRODUCT(('[2]2.행정구역별 급수인구'!$C$7:$C$997=$B188)*('[2]2.행정구역별 급수인구'!U$7:U$997))</f>
        <v>402</v>
      </c>
      <c r="F188" s="211">
        <f>SUMPRODUCT(('[2]2.행정구역별 급수인구'!$C$7:$C$997=$B188)*('[2]2.행정구역별 급수인구'!V$7:V$997))</f>
        <v>421</v>
      </c>
      <c r="G188" s="211">
        <f>SUMPRODUCT(('[2]2.행정구역별 급수인구'!$C$7:$C$997=$B188)*('[2]2.행정구역별 급수인구'!W$7:W$997))</f>
        <v>454</v>
      </c>
      <c r="H188" s="211">
        <f>SUMPRODUCT(('[2]2.행정구역별 급수인구'!$C$7:$C$997=$B188)*('[2]2.행정구역별 급수인구'!X$7:X$997))</f>
        <v>463</v>
      </c>
      <c r="I188" s="213">
        <f>SUMIF('2013 행정구역 생활용수량'!$B$4:$B$484,B188,'2013 행정구역 생활용수량'!$D$4:$D$484)</f>
        <v>102</v>
      </c>
      <c r="J188" s="213">
        <f t="shared" si="111"/>
        <v>5</v>
      </c>
      <c r="K188" s="213">
        <f t="shared" si="112"/>
        <v>122</v>
      </c>
      <c r="L188" s="213">
        <f t="shared" si="113"/>
        <v>130</v>
      </c>
      <c r="M188" s="213">
        <f t="shared" si="114"/>
        <v>141</v>
      </c>
      <c r="N188" s="213">
        <f t="shared" si="115"/>
        <v>144</v>
      </c>
      <c r="O188" s="359"/>
    </row>
    <row r="189" spans="1:21" ht="20.100000000000001" customHeight="1">
      <c r="A189" s="677"/>
      <c r="B189" s="210" t="s">
        <v>971</v>
      </c>
      <c r="C189" s="211">
        <f>SUMPRODUCT(('[2]2.행정구역별 급수인구'!$C$7:$C$997=$B189)*('[2]2.행정구역별 급수인구'!S$7:S$997))</f>
        <v>258</v>
      </c>
      <c r="D189" s="211">
        <f>SUMPRODUCT(('[2]2.행정구역별 급수인구'!$C$7:$C$997=$B189)*('[2]2.행정구역별 급수인구'!T$7:T$997))</f>
        <v>258</v>
      </c>
      <c r="E189" s="211">
        <f>SUMPRODUCT(('[2]2.행정구역별 급수인구'!$C$7:$C$997=$B189)*('[2]2.행정구역별 급수인구'!U$7:U$997))</f>
        <v>287</v>
      </c>
      <c r="F189" s="211">
        <f>SUMPRODUCT(('[2]2.행정구역별 급수인구'!$C$7:$C$997=$B189)*('[2]2.행정구역별 급수인구'!V$7:V$997))</f>
        <v>301</v>
      </c>
      <c r="G189" s="211">
        <f>SUMPRODUCT(('[2]2.행정구역별 급수인구'!$C$7:$C$997=$B189)*('[2]2.행정구역별 급수인구'!W$7:W$997))</f>
        <v>326</v>
      </c>
      <c r="H189" s="211">
        <f>SUMPRODUCT(('[2]2.행정구역별 급수인구'!$C$7:$C$997=$B189)*('[2]2.행정구역별 급수인구'!X$7:X$997))</f>
        <v>331</v>
      </c>
      <c r="I189" s="213">
        <f>SUMIF('2013 행정구역 생활용수량'!$B$4:$B$484,B189,'2013 행정구역 생활용수량'!$D$4:$D$484)</f>
        <v>12</v>
      </c>
      <c r="J189" s="213">
        <f t="shared" si="111"/>
        <v>78</v>
      </c>
      <c r="K189" s="213">
        <f t="shared" si="112"/>
        <v>87</v>
      </c>
      <c r="L189" s="213">
        <f t="shared" si="113"/>
        <v>93</v>
      </c>
      <c r="M189" s="213">
        <f t="shared" si="114"/>
        <v>101</v>
      </c>
      <c r="N189" s="213">
        <f t="shared" si="115"/>
        <v>103</v>
      </c>
      <c r="O189" s="359"/>
    </row>
    <row r="190" spans="1:21" ht="20.100000000000001" customHeight="1">
      <c r="A190" s="677"/>
      <c r="B190" s="253" t="s">
        <v>1171</v>
      </c>
      <c r="C190" s="211">
        <f>SUMPRODUCT(('[2]2.행정구역별 급수인구'!$C$7:$C$997=$B190)*('[2]2.행정구역별 급수인구'!S$7:S$997))</f>
        <v>462</v>
      </c>
      <c r="D190" s="211">
        <f>SUMPRODUCT(('[2]2.행정구역별 급수인구'!$C$7:$C$997=$B190)*('[2]2.행정구역별 급수인구'!T$7:T$997))</f>
        <v>463</v>
      </c>
      <c r="E190" s="211">
        <f>SUMPRODUCT(('[2]2.행정구역별 급수인구'!$C$7:$C$997=$B190)*('[2]2.행정구역별 급수인구'!U$7:U$997))</f>
        <v>546</v>
      </c>
      <c r="F190" s="211">
        <f>SUMPRODUCT(('[2]2.행정구역별 급수인구'!$C$7:$C$997=$B190)*('[2]2.행정구역별 급수인구'!V$7:V$997))</f>
        <v>570</v>
      </c>
      <c r="G190" s="211">
        <f>SUMPRODUCT(('[2]2.행정구역별 급수인구'!$C$7:$C$997=$B190)*('[2]2.행정구역별 급수인구'!W$7:W$997))</f>
        <v>608</v>
      </c>
      <c r="H190" s="211">
        <f>SUMPRODUCT(('[2]2.행정구역별 급수인구'!$C$7:$C$997=$B190)*('[2]2.행정구역별 급수인구'!X$7:X$997))</f>
        <v>620</v>
      </c>
      <c r="I190" s="213">
        <f>SUMIF('2013 행정구역 생활용수량'!$B$4:$B$484,B190,'2013 행정구역 생활용수량'!$D$4:$D$484)</f>
        <v>123</v>
      </c>
      <c r="J190" s="213">
        <f t="shared" si="111"/>
        <v>141</v>
      </c>
      <c r="K190" s="213">
        <f t="shared" si="112"/>
        <v>166</v>
      </c>
      <c r="L190" s="213">
        <f t="shared" si="113"/>
        <v>176</v>
      </c>
      <c r="M190" s="213">
        <f t="shared" si="114"/>
        <v>188</v>
      </c>
      <c r="N190" s="213">
        <f t="shared" si="115"/>
        <v>192</v>
      </c>
      <c r="O190" s="359"/>
    </row>
    <row r="191" spans="1:21" ht="20.100000000000001" customHeight="1">
      <c r="A191" s="677"/>
      <c r="B191" s="210" t="s">
        <v>972</v>
      </c>
      <c r="C191" s="211">
        <f>SUMPRODUCT(('[2]2.행정구역별 급수인구'!$C$7:$C$997=$B191)*('[2]2.행정구역별 급수인구'!S$7:S$997))</f>
        <v>721</v>
      </c>
      <c r="D191" s="211">
        <f>SUMPRODUCT(('[2]2.행정구역별 급수인구'!$C$7:$C$997=$B191)*('[2]2.행정구역별 급수인구'!T$7:T$997))</f>
        <v>722</v>
      </c>
      <c r="E191" s="211">
        <f>SUMPRODUCT(('[2]2.행정구역별 급수인구'!$C$7:$C$997=$B191)*('[2]2.행정구역별 급수인구'!U$7:U$997))</f>
        <v>1162</v>
      </c>
      <c r="F191" s="211">
        <f>SUMPRODUCT(('[2]2.행정구역별 급수인구'!$C$7:$C$997=$B191)*('[2]2.행정구역별 급수인구'!V$7:V$997))</f>
        <v>1214</v>
      </c>
      <c r="G191" s="211">
        <f>SUMPRODUCT(('[2]2.행정구역별 급수인구'!$C$7:$C$997=$B191)*('[2]2.행정구역별 급수인구'!W$7:W$997))</f>
        <v>1244</v>
      </c>
      <c r="H191" s="211">
        <f>SUMPRODUCT(('[2]2.행정구역별 급수인구'!$C$7:$C$997=$B191)*('[2]2.행정구역별 급수인구'!X$7:X$997))</f>
        <v>1265</v>
      </c>
      <c r="I191" s="213">
        <f>SUMIF('2013 행정구역 생활용수량'!$B$4:$B$484,B191,'2013 행정구역 생활용수량'!$D$4:$D$484)</f>
        <v>373</v>
      </c>
      <c r="J191" s="213">
        <f t="shared" si="111"/>
        <v>219</v>
      </c>
      <c r="K191" s="213">
        <f t="shared" si="112"/>
        <v>353</v>
      </c>
      <c r="L191" s="213">
        <f t="shared" si="113"/>
        <v>374</v>
      </c>
      <c r="M191" s="213">
        <f t="shared" si="114"/>
        <v>386</v>
      </c>
      <c r="N191" s="213">
        <f t="shared" si="115"/>
        <v>392</v>
      </c>
      <c r="O191" s="359"/>
    </row>
    <row r="192" spans="1:21" ht="20.100000000000001" customHeight="1">
      <c r="A192" s="677"/>
      <c r="B192" s="210" t="s">
        <v>798</v>
      </c>
      <c r="C192" s="211">
        <f>SUMPRODUCT(('[2]2.행정구역별 급수인구'!$C$7:$C$997=$B192)*('[2]2.행정구역별 급수인구'!S$7:S$997))</f>
        <v>318</v>
      </c>
      <c r="D192" s="211">
        <f>SUMPRODUCT(('[2]2.행정구역별 급수인구'!$C$7:$C$997=$B192)*('[2]2.행정구역별 급수인구'!T$7:T$997))</f>
        <v>319</v>
      </c>
      <c r="E192" s="211">
        <f>SUMPRODUCT(('[2]2.행정구역별 급수인구'!$C$7:$C$997=$B192)*('[2]2.행정구역별 급수인구'!U$7:U$997))</f>
        <v>356</v>
      </c>
      <c r="F192" s="211">
        <f>SUMPRODUCT(('[2]2.행정구역별 급수인구'!$C$7:$C$997=$B192)*('[2]2.행정구역별 급수인구'!V$7:V$997))</f>
        <v>372</v>
      </c>
      <c r="G192" s="211">
        <f>SUMPRODUCT(('[2]2.행정구역별 급수인구'!$C$7:$C$997=$B192)*('[2]2.행정구역별 급수인구'!W$7:W$997))</f>
        <v>401</v>
      </c>
      <c r="H192" s="211">
        <f>SUMPRODUCT(('[2]2.행정구역별 급수인구'!$C$7:$C$997=$B192)*('[2]2.행정구역별 급수인구'!X$7:X$997))</f>
        <v>410</v>
      </c>
      <c r="I192" s="213">
        <f>SUMIF('2013 행정구역 생활용수량'!$B$4:$B$484,B192,'2013 행정구역 생활용수량'!$D$4:$D$484)</f>
        <v>21</v>
      </c>
      <c r="J192" s="213">
        <f t="shared" si="111"/>
        <v>97</v>
      </c>
      <c r="K192" s="213">
        <f t="shared" si="112"/>
        <v>108</v>
      </c>
      <c r="L192" s="213">
        <f t="shared" si="113"/>
        <v>115</v>
      </c>
      <c r="M192" s="213">
        <f t="shared" si="114"/>
        <v>124</v>
      </c>
      <c r="N192" s="213">
        <f t="shared" si="115"/>
        <v>127</v>
      </c>
      <c r="O192" s="359"/>
    </row>
    <row r="193" spans="1:21" ht="20.100000000000001" customHeight="1">
      <c r="A193" s="677"/>
      <c r="B193" s="210" t="s">
        <v>973</v>
      </c>
      <c r="C193" s="211">
        <f>SUMPRODUCT(('[2]2.행정구역별 급수인구'!$C$7:$C$997=$B193)*('[2]2.행정구역별 급수인구'!S$7:S$997))</f>
        <v>0</v>
      </c>
      <c r="D193" s="211">
        <f>SUMPRODUCT(('[2]2.행정구역별 급수인구'!$C$7:$C$997=$B193)*('[2]2.행정구역별 급수인구'!T$7:T$997))</f>
        <v>0</v>
      </c>
      <c r="E193" s="211">
        <f>SUMPRODUCT(('[2]2.행정구역별 급수인구'!$C$7:$C$997=$B193)*('[2]2.행정구역별 급수인구'!U$7:U$997))</f>
        <v>0</v>
      </c>
      <c r="F193" s="211">
        <f>SUMPRODUCT(('[2]2.행정구역별 급수인구'!$C$7:$C$997=$B193)*('[2]2.행정구역별 급수인구'!V$7:V$997))</f>
        <v>247</v>
      </c>
      <c r="G193" s="211">
        <f>SUMPRODUCT(('[2]2.행정구역별 급수인구'!$C$7:$C$997=$B193)*('[2]2.행정구역별 급수인구'!W$7:W$997))</f>
        <v>268</v>
      </c>
      <c r="H193" s="211">
        <f>SUMPRODUCT(('[2]2.행정구역별 급수인구'!$C$7:$C$997=$B193)*('[2]2.행정구역별 급수인구'!X$7:X$997))</f>
        <v>273</v>
      </c>
      <c r="I193" s="213">
        <f>SUMIF('2013 행정구역 생활용수량'!$B$4:$B$484,B193,'2013 행정구역 생활용수량'!$D$4:$D$484)</f>
        <v>0</v>
      </c>
      <c r="J193" s="213">
        <f t="shared" si="111"/>
        <v>0</v>
      </c>
      <c r="K193" s="213">
        <f t="shared" si="112"/>
        <v>0</v>
      </c>
      <c r="L193" s="213">
        <f t="shared" si="113"/>
        <v>76</v>
      </c>
      <c r="M193" s="213">
        <f t="shared" si="114"/>
        <v>83</v>
      </c>
      <c r="N193" s="213">
        <f t="shared" si="115"/>
        <v>85</v>
      </c>
      <c r="O193" s="359"/>
    </row>
    <row r="194" spans="1:21" ht="20.100000000000001" customHeight="1">
      <c r="A194" s="678"/>
      <c r="B194" s="210" t="s">
        <v>974</v>
      </c>
      <c r="C194" s="211">
        <f>SUMPRODUCT(('[2]2.행정구역별 급수인구'!$C$7:$C$997=$B194)*('[2]2.행정구역별 급수인구'!S$7:S$997))</f>
        <v>203</v>
      </c>
      <c r="D194" s="211">
        <f>SUMPRODUCT(('[2]2.행정구역별 급수인구'!$C$7:$C$997=$B194)*('[2]2.행정구역별 급수인구'!T$7:T$997))</f>
        <v>203</v>
      </c>
      <c r="E194" s="211">
        <f>SUMPRODUCT(('[2]2.행정구역별 급수인구'!$C$7:$C$997=$B194)*('[2]2.행정구역별 급수인구'!U$7:U$997))</f>
        <v>226</v>
      </c>
      <c r="F194" s="211">
        <f>SUMPRODUCT(('[2]2.행정구역별 급수인구'!$C$7:$C$997=$B194)*('[2]2.행정구역별 급수인구'!V$7:V$997))</f>
        <v>479</v>
      </c>
      <c r="G194" s="211">
        <f>SUMPRODUCT(('[2]2.행정구역별 급수인구'!$C$7:$C$997=$B194)*('[2]2.행정구역별 급수인구'!W$7:W$997))</f>
        <v>517</v>
      </c>
      <c r="H194" s="211">
        <f>SUMPRODUCT(('[2]2.행정구역별 급수인구'!$C$7:$C$997=$B194)*('[2]2.행정구역별 급수인구'!X$7:X$997))</f>
        <v>526</v>
      </c>
      <c r="I194" s="213">
        <f>SUMIF('2013 행정구역 생활용수량'!$B$4:$B$484,B194,'2013 행정구역 생활용수량'!$D$4:$D$484)</f>
        <v>31</v>
      </c>
      <c r="J194" s="213">
        <f t="shared" si="111"/>
        <v>62</v>
      </c>
      <c r="K194" s="213">
        <f t="shared" si="112"/>
        <v>69</v>
      </c>
      <c r="L194" s="213">
        <f t="shared" si="113"/>
        <v>148</v>
      </c>
      <c r="M194" s="213">
        <f t="shared" si="114"/>
        <v>160</v>
      </c>
      <c r="N194" s="213">
        <f t="shared" si="115"/>
        <v>163</v>
      </c>
      <c r="O194" s="359"/>
    </row>
    <row r="195" spans="1:21" ht="20.100000000000001" customHeight="1">
      <c r="A195" s="676" t="s">
        <v>790</v>
      </c>
      <c r="B195" s="215" t="s">
        <v>837</v>
      </c>
      <c r="C195" s="211">
        <f>'[3]5.급수원단위'!C$34</f>
        <v>272</v>
      </c>
      <c r="D195" s="211">
        <f>'[3]5.급수원단위'!$D$41</f>
        <v>304</v>
      </c>
      <c r="E195" s="211">
        <f>'[3]5.급수원단위'!D$34</f>
        <v>304</v>
      </c>
      <c r="F195" s="211">
        <f>'[3]5.급수원단위'!E$34</f>
        <v>308</v>
      </c>
      <c r="G195" s="211">
        <f>'[3]5.급수원단위'!F$34</f>
        <v>310</v>
      </c>
      <c r="H195" s="211">
        <f>'[3]5.급수원단위'!G$34</f>
        <v>310</v>
      </c>
      <c r="I195" s="680"/>
      <c r="J195" s="681"/>
      <c r="K195" s="681"/>
      <c r="L195" s="681"/>
      <c r="M195" s="681"/>
      <c r="N195" s="682"/>
      <c r="O195" s="359"/>
      <c r="Q195" s="511">
        <v>2013</v>
      </c>
      <c r="R195" s="511">
        <v>2015</v>
      </c>
      <c r="S195" s="511">
        <v>2020</v>
      </c>
      <c r="T195" s="511">
        <v>2025</v>
      </c>
      <c r="U195" s="511">
        <v>2030</v>
      </c>
    </row>
    <row r="196" spans="1:21" ht="20.100000000000001" customHeight="1">
      <c r="A196" s="677"/>
      <c r="B196" s="214" t="s">
        <v>778</v>
      </c>
      <c r="C196" s="212">
        <f>SUM(C197:C204)</f>
        <v>2109</v>
      </c>
      <c r="D196" s="212">
        <f t="shared" ref="D196:H196" si="116">SUM(D197:D204)</f>
        <v>2111</v>
      </c>
      <c r="E196" s="212">
        <f t="shared" si="116"/>
        <v>2557</v>
      </c>
      <c r="F196" s="212">
        <f t="shared" si="116"/>
        <v>2667</v>
      </c>
      <c r="G196" s="212">
        <f t="shared" si="116"/>
        <v>2735</v>
      </c>
      <c r="H196" s="212">
        <f t="shared" si="116"/>
        <v>2783</v>
      </c>
      <c r="I196" s="212">
        <f t="shared" ref="I196:N196" si="117">SUM(I197:I204)</f>
        <v>605</v>
      </c>
      <c r="J196" s="212">
        <f t="shared" ref="J196" si="118">SUM(J197:J204)</f>
        <v>642</v>
      </c>
      <c r="K196" s="212">
        <f t="shared" si="117"/>
        <v>777</v>
      </c>
      <c r="L196" s="212">
        <f t="shared" si="117"/>
        <v>823</v>
      </c>
      <c r="M196" s="212">
        <f t="shared" si="117"/>
        <v>849</v>
      </c>
      <c r="N196" s="212">
        <f t="shared" si="117"/>
        <v>864</v>
      </c>
      <c r="O196" s="359">
        <f>'2013년도 용수량 비율'!F17</f>
        <v>0.47</v>
      </c>
      <c r="Q196" s="213">
        <f>ROUND(I196,-2)</f>
        <v>600</v>
      </c>
      <c r="R196" s="213">
        <f>ROUND(K196,-2)</f>
        <v>800</v>
      </c>
      <c r="S196" s="213">
        <f>ROUND(L196,-2)</f>
        <v>800</v>
      </c>
      <c r="T196" s="213">
        <f>ROUND(M196,-2)</f>
        <v>800</v>
      </c>
      <c r="U196" s="213">
        <f>ROUND(N196,-2)</f>
        <v>900</v>
      </c>
    </row>
    <row r="197" spans="1:21" ht="20.100000000000001" customHeight="1">
      <c r="A197" s="677"/>
      <c r="B197" s="210" t="s">
        <v>791</v>
      </c>
      <c r="C197" s="211">
        <f>SUMPRODUCT(('[2]2.행정구역별 급수인구'!$C$7:$C$997=$B197)*('[2]2.행정구역별 급수인구'!S$7:S$997))</f>
        <v>444</v>
      </c>
      <c r="D197" s="211">
        <f>SUMPRODUCT(('[2]2.행정구역별 급수인구'!$C$7:$C$997=$B197)*('[2]2.행정구역별 급수인구'!T$7:T$997))</f>
        <v>445</v>
      </c>
      <c r="E197" s="211">
        <f>SUMPRODUCT(('[2]2.행정구역별 급수인구'!$C$7:$C$997=$B197)*('[2]2.행정구역별 급수인구'!U$7:U$997))</f>
        <v>526</v>
      </c>
      <c r="F197" s="211">
        <f>SUMPRODUCT(('[2]2.행정구역별 급수인구'!$C$7:$C$997=$B197)*('[2]2.행정구역별 급수인구'!V$7:V$997))</f>
        <v>547</v>
      </c>
      <c r="G197" s="211">
        <f>SUMPRODUCT(('[2]2.행정구역별 급수인구'!$C$7:$C$997=$B197)*('[2]2.행정구역별 급수인구'!W$7:W$997))</f>
        <v>561</v>
      </c>
      <c r="H197" s="211">
        <f>SUMPRODUCT(('[2]2.행정구역별 급수인구'!$C$7:$C$997=$B197)*('[2]2.행정구역별 급수인구'!X$7:X$997))</f>
        <v>572</v>
      </c>
      <c r="I197" s="213">
        <f>SUMIF('2013 행정구역 생활용수량'!$B$4:$B$484,B197,'2013 행정구역 생활용수량'!$D$4:$D$484)</f>
        <v>160</v>
      </c>
      <c r="J197" s="213">
        <f t="shared" ref="J197" si="119">ROUND(D197*D$195/1000,0)</f>
        <v>135</v>
      </c>
      <c r="K197" s="213">
        <f>'2.생활용수(급수구역)'!J85-SUM(K198:K204)</f>
        <v>160</v>
      </c>
      <c r="L197" s="213">
        <f>'2.생활용수(급수구역)'!K85-SUM(L198:L204)</f>
        <v>170</v>
      </c>
      <c r="M197" s="213">
        <f>'2.생활용수(급수구역)'!L85-SUM(M198:M204)</f>
        <v>175</v>
      </c>
      <c r="N197" s="213">
        <f>'2.생활용수(급수구역)'!M85-SUM(N198:N204)</f>
        <v>180</v>
      </c>
      <c r="O197" s="359"/>
    </row>
    <row r="198" spans="1:21" ht="20.100000000000001" customHeight="1">
      <c r="A198" s="677"/>
      <c r="B198" s="210" t="s">
        <v>792</v>
      </c>
      <c r="C198" s="211">
        <f>SUMPRODUCT(('[2]2.행정구역별 급수인구'!$C$7:$C$997=$B198)*('[2]2.행정구역별 급수인구'!S$7:S$997))</f>
        <v>387</v>
      </c>
      <c r="D198" s="211">
        <f>SUMPRODUCT(('[2]2.행정구역별 급수인구'!$C$7:$C$997=$B198)*('[2]2.행정구역별 급수인구'!T$7:T$997))</f>
        <v>387</v>
      </c>
      <c r="E198" s="211">
        <f>SUMPRODUCT(('[2]2.행정구역별 급수인구'!$C$7:$C$997=$B198)*('[2]2.행정구역별 급수인구'!U$7:U$997))</f>
        <v>457</v>
      </c>
      <c r="F198" s="211">
        <f>SUMPRODUCT(('[2]2.행정구역별 급수인구'!$C$7:$C$997=$B198)*('[2]2.행정구역별 급수인구'!V$7:V$997))</f>
        <v>477</v>
      </c>
      <c r="G198" s="211">
        <f>SUMPRODUCT(('[2]2.행정구역별 급수인구'!$C$7:$C$997=$B198)*('[2]2.행정구역별 급수인구'!W$7:W$997))</f>
        <v>488</v>
      </c>
      <c r="H198" s="211">
        <f>SUMPRODUCT(('[2]2.행정구역별 급수인구'!$C$7:$C$997=$B198)*('[2]2.행정구역별 급수인구'!X$7:X$997))</f>
        <v>496</v>
      </c>
      <c r="I198" s="213">
        <f>SUMIF('2013 행정구역 생활용수량'!$B$4:$B$484,B198,'2013 행정구역 생활용수량'!$D$4:$D$484)</f>
        <v>90</v>
      </c>
      <c r="J198" s="213">
        <f t="shared" ref="J198:J204" si="120">ROUND(D198*D$195/1000,0)</f>
        <v>118</v>
      </c>
      <c r="K198" s="213">
        <f t="shared" ref="K198:K204" si="121">ROUND(E198*E$195/1000,0)</f>
        <v>139</v>
      </c>
      <c r="L198" s="213">
        <f t="shared" ref="L198:L204" si="122">ROUND(F198*F$195/1000,0)</f>
        <v>147</v>
      </c>
      <c r="M198" s="213">
        <f t="shared" ref="M198:M204" si="123">ROUND(G198*G$195/1000,0)</f>
        <v>151</v>
      </c>
      <c r="N198" s="213">
        <f t="shared" ref="N198:N204" si="124">ROUND(H198*H$195/1000,0)</f>
        <v>154</v>
      </c>
      <c r="O198" s="359"/>
    </row>
    <row r="199" spans="1:21" ht="20.100000000000001" customHeight="1">
      <c r="A199" s="677"/>
      <c r="B199" s="210" t="s">
        <v>793</v>
      </c>
      <c r="C199" s="211">
        <f>SUMPRODUCT(('[2]2.행정구역별 급수인구'!$C$7:$C$997=$B199)*('[2]2.행정구역별 급수인구'!S$7:S$997))</f>
        <v>383</v>
      </c>
      <c r="D199" s="211">
        <f>SUMPRODUCT(('[2]2.행정구역별 급수인구'!$C$7:$C$997=$B199)*('[2]2.행정구역별 급수인구'!T$7:T$997))</f>
        <v>384</v>
      </c>
      <c r="E199" s="211">
        <f>SUMPRODUCT(('[2]2.행정구역별 급수인구'!$C$7:$C$997=$B199)*('[2]2.행정구역별 급수인구'!U$7:U$997))</f>
        <v>454</v>
      </c>
      <c r="F199" s="211">
        <f>SUMPRODUCT(('[2]2.행정구역별 급수인구'!$C$7:$C$997=$B199)*('[2]2.행정구역별 급수인구'!V$7:V$997))</f>
        <v>474</v>
      </c>
      <c r="G199" s="211">
        <f>SUMPRODUCT(('[2]2.행정구역별 급수인구'!$C$7:$C$997=$B199)*('[2]2.행정구역별 급수인구'!W$7:W$997))</f>
        <v>486</v>
      </c>
      <c r="H199" s="211">
        <f>SUMPRODUCT(('[2]2.행정구역별 급수인구'!$C$7:$C$997=$B199)*('[2]2.행정구역별 급수인구'!X$7:X$997))</f>
        <v>495</v>
      </c>
      <c r="I199" s="213">
        <f>SUMIF('2013 행정구역 생활용수량'!$B$4:$B$484,B199,'2013 행정구역 생활용수량'!$D$4:$D$484)</f>
        <v>64</v>
      </c>
      <c r="J199" s="213">
        <f t="shared" si="120"/>
        <v>117</v>
      </c>
      <c r="K199" s="213">
        <f t="shared" si="121"/>
        <v>138</v>
      </c>
      <c r="L199" s="213">
        <f t="shared" si="122"/>
        <v>146</v>
      </c>
      <c r="M199" s="213">
        <f t="shared" si="123"/>
        <v>151</v>
      </c>
      <c r="N199" s="213">
        <f t="shared" si="124"/>
        <v>153</v>
      </c>
      <c r="O199" s="359"/>
    </row>
    <row r="200" spans="1:21" ht="20.100000000000001" customHeight="1">
      <c r="A200" s="677"/>
      <c r="B200" s="210" t="s">
        <v>794</v>
      </c>
      <c r="C200" s="211">
        <f>SUMPRODUCT(('[2]2.행정구역별 급수인구'!$C$7:$C$997=$B200)*('[2]2.행정구역별 급수인구'!S$7:S$997))</f>
        <v>132</v>
      </c>
      <c r="D200" s="211">
        <f>SUMPRODUCT(('[2]2.행정구역별 급수인구'!$C$7:$C$997=$B200)*('[2]2.행정구역별 급수인구'!T$7:T$997))</f>
        <v>132</v>
      </c>
      <c r="E200" s="211">
        <f>SUMPRODUCT(('[2]2.행정구역별 급수인구'!$C$7:$C$997=$B200)*('[2]2.행정구역별 급수인구'!U$7:U$997))</f>
        <v>222</v>
      </c>
      <c r="F200" s="211">
        <f>SUMPRODUCT(('[2]2.행정구역별 급수인구'!$C$7:$C$997=$B200)*('[2]2.행정구역별 급수인구'!V$7:V$997))</f>
        <v>231</v>
      </c>
      <c r="G200" s="211">
        <f>SUMPRODUCT(('[2]2.행정구역별 급수인구'!$C$7:$C$997=$B200)*('[2]2.행정구역별 급수인구'!W$7:W$997))</f>
        <v>237</v>
      </c>
      <c r="H200" s="211">
        <f>SUMPRODUCT(('[2]2.행정구역별 급수인구'!$C$7:$C$997=$B200)*('[2]2.행정구역별 급수인구'!X$7:X$997))</f>
        <v>242</v>
      </c>
      <c r="I200" s="213">
        <f>SUMIF('2013 행정구역 생활용수량'!$B$4:$B$484,B200,'2013 행정구역 생활용수량'!$D$4:$D$484)</f>
        <v>24</v>
      </c>
      <c r="J200" s="213">
        <f t="shared" si="120"/>
        <v>40</v>
      </c>
      <c r="K200" s="213">
        <f t="shared" si="121"/>
        <v>67</v>
      </c>
      <c r="L200" s="213">
        <f t="shared" si="122"/>
        <v>71</v>
      </c>
      <c r="M200" s="213">
        <f t="shared" si="123"/>
        <v>73</v>
      </c>
      <c r="N200" s="213">
        <f t="shared" si="124"/>
        <v>75</v>
      </c>
      <c r="O200" s="359"/>
    </row>
    <row r="201" spans="1:21" ht="20.100000000000001" customHeight="1">
      <c r="A201" s="677"/>
      <c r="B201" s="210" t="s">
        <v>795</v>
      </c>
      <c r="C201" s="211">
        <f>SUMPRODUCT(('[2]2.행정구역별 급수인구'!$C$7:$C$997=$B201)*('[2]2.행정구역별 급수인구'!S$7:S$997))</f>
        <v>246</v>
      </c>
      <c r="D201" s="211">
        <f>SUMPRODUCT(('[2]2.행정구역별 급수인구'!$C$7:$C$997=$B201)*('[2]2.행정구역별 급수인구'!T$7:T$997))</f>
        <v>246</v>
      </c>
      <c r="E201" s="211">
        <f>SUMPRODUCT(('[2]2.행정구역별 급수인구'!$C$7:$C$997=$B201)*('[2]2.행정구역별 급수인구'!U$7:U$997))</f>
        <v>290</v>
      </c>
      <c r="F201" s="211">
        <f>SUMPRODUCT(('[2]2.행정구역별 급수인구'!$C$7:$C$997=$B201)*('[2]2.행정구역별 급수인구'!V$7:V$997))</f>
        <v>305</v>
      </c>
      <c r="G201" s="211">
        <f>SUMPRODUCT(('[2]2.행정구역별 급수인구'!$C$7:$C$997=$B201)*('[2]2.행정구역별 급수인구'!W$7:W$997))</f>
        <v>312</v>
      </c>
      <c r="H201" s="211">
        <f>SUMPRODUCT(('[2]2.행정구역별 급수인구'!$C$7:$C$997=$B201)*('[2]2.행정구역별 급수인구'!X$7:X$997))</f>
        <v>317</v>
      </c>
      <c r="I201" s="213">
        <f>SUMIF('2013 행정구역 생활용수량'!$B$4:$B$484,B201,'2013 행정구역 생활용수량'!$D$4:$D$484)</f>
        <v>64</v>
      </c>
      <c r="J201" s="213">
        <f t="shared" si="120"/>
        <v>75</v>
      </c>
      <c r="K201" s="213">
        <f t="shared" si="121"/>
        <v>88</v>
      </c>
      <c r="L201" s="213">
        <f t="shared" si="122"/>
        <v>94</v>
      </c>
      <c r="M201" s="213">
        <f t="shared" si="123"/>
        <v>97</v>
      </c>
      <c r="N201" s="213">
        <f t="shared" si="124"/>
        <v>98</v>
      </c>
      <c r="O201" s="359"/>
    </row>
    <row r="202" spans="1:21" ht="20.100000000000001" customHeight="1">
      <c r="A202" s="677"/>
      <c r="B202" s="210" t="s">
        <v>975</v>
      </c>
      <c r="C202" s="211">
        <f>SUMPRODUCT(('[2]2.행정구역별 급수인구'!$C$7:$C$997=$B202)*('[2]2.행정구역별 급수인구'!S$7:S$997))</f>
        <v>152</v>
      </c>
      <c r="D202" s="211">
        <f>SUMPRODUCT(('[2]2.행정구역별 급수인구'!$C$7:$C$997=$B202)*('[2]2.행정구역별 급수인구'!T$7:T$997))</f>
        <v>152</v>
      </c>
      <c r="E202" s="211">
        <f>SUMPRODUCT(('[2]2.행정구역별 급수인구'!$C$7:$C$997=$B202)*('[2]2.행정구역별 급수인구'!U$7:U$997))</f>
        <v>180</v>
      </c>
      <c r="F202" s="211">
        <f>SUMPRODUCT(('[2]2.행정구역별 급수인구'!$C$7:$C$997=$B202)*('[2]2.행정구역별 급수인구'!V$7:V$997))</f>
        <v>188</v>
      </c>
      <c r="G202" s="211">
        <f>SUMPRODUCT(('[2]2.행정구역별 급수인구'!$C$7:$C$997=$B202)*('[2]2.행정구역별 급수인구'!W$7:W$997))</f>
        <v>193</v>
      </c>
      <c r="H202" s="211">
        <f>SUMPRODUCT(('[2]2.행정구역별 급수인구'!$C$7:$C$997=$B202)*('[2]2.행정구역별 급수인구'!X$7:X$997))</f>
        <v>195</v>
      </c>
      <c r="I202" s="213">
        <f>SUMIF('2013 행정구역 생활용수량'!$B$4:$B$484,B202,'2013 행정구역 생활용수량'!$D$4:$D$484)</f>
        <v>63</v>
      </c>
      <c r="J202" s="213">
        <f t="shared" si="120"/>
        <v>46</v>
      </c>
      <c r="K202" s="213">
        <f t="shared" si="121"/>
        <v>55</v>
      </c>
      <c r="L202" s="213">
        <f t="shared" si="122"/>
        <v>58</v>
      </c>
      <c r="M202" s="213">
        <f t="shared" si="123"/>
        <v>60</v>
      </c>
      <c r="N202" s="213">
        <f t="shared" si="124"/>
        <v>60</v>
      </c>
      <c r="O202" s="359"/>
    </row>
    <row r="203" spans="1:21" ht="20.100000000000001" customHeight="1">
      <c r="A203" s="677"/>
      <c r="B203" s="210" t="s">
        <v>976</v>
      </c>
      <c r="C203" s="211">
        <f>SUMPRODUCT(('[2]2.행정구역별 급수인구'!$C$7:$C$997=$B203)*('[2]2.행정구역별 급수인구'!S$7:S$997))</f>
        <v>114</v>
      </c>
      <c r="D203" s="211">
        <f>SUMPRODUCT(('[2]2.행정구역별 급수인구'!$C$7:$C$997=$B203)*('[2]2.행정구역별 급수인구'!T$7:T$997))</f>
        <v>114</v>
      </c>
      <c r="E203" s="211">
        <f>SUMPRODUCT(('[2]2.행정구역별 급수인구'!$C$7:$C$997=$B203)*('[2]2.행정구역별 급수인구'!U$7:U$997))</f>
        <v>134</v>
      </c>
      <c r="F203" s="211">
        <f>SUMPRODUCT(('[2]2.행정구역별 급수인구'!$C$7:$C$997=$B203)*('[2]2.행정구역별 급수인구'!V$7:V$997))</f>
        <v>140</v>
      </c>
      <c r="G203" s="211">
        <f>SUMPRODUCT(('[2]2.행정구역별 급수인구'!$C$7:$C$997=$B203)*('[2]2.행정구역별 급수인구'!W$7:W$997))</f>
        <v>144</v>
      </c>
      <c r="H203" s="211">
        <f>SUMPRODUCT(('[2]2.행정구역별 급수인구'!$C$7:$C$997=$B203)*('[2]2.행정구역별 급수인구'!X$7:X$997))</f>
        <v>146</v>
      </c>
      <c r="I203" s="213">
        <f>SUMIF('2013 행정구역 생활용수량'!$B$4:$B$484,B203,'2013 행정구역 생활용수량'!$D$4:$D$484)</f>
        <v>55</v>
      </c>
      <c r="J203" s="213">
        <f t="shared" si="120"/>
        <v>35</v>
      </c>
      <c r="K203" s="213">
        <f t="shared" si="121"/>
        <v>41</v>
      </c>
      <c r="L203" s="213">
        <f t="shared" si="122"/>
        <v>43</v>
      </c>
      <c r="M203" s="213">
        <f t="shared" si="123"/>
        <v>45</v>
      </c>
      <c r="N203" s="213">
        <f t="shared" si="124"/>
        <v>45</v>
      </c>
      <c r="O203" s="359"/>
    </row>
    <row r="204" spans="1:21" ht="20.100000000000001" customHeight="1">
      <c r="A204" s="678"/>
      <c r="B204" s="210" t="s">
        <v>796</v>
      </c>
      <c r="C204" s="211">
        <f>SUMPRODUCT(('[2]2.행정구역별 급수인구'!$C$7:$C$997=$B204)*('[2]2.행정구역별 급수인구'!S$7:S$997))</f>
        <v>251</v>
      </c>
      <c r="D204" s="211">
        <f>SUMPRODUCT(('[2]2.행정구역별 급수인구'!$C$7:$C$997=$B204)*('[2]2.행정구역별 급수인구'!T$7:T$997))</f>
        <v>251</v>
      </c>
      <c r="E204" s="211">
        <f>SUMPRODUCT(('[2]2.행정구역별 급수인구'!$C$7:$C$997=$B204)*('[2]2.행정구역별 급수인구'!U$7:U$997))</f>
        <v>294</v>
      </c>
      <c r="F204" s="211">
        <f>SUMPRODUCT(('[2]2.행정구역별 급수인구'!$C$7:$C$997=$B204)*('[2]2.행정구역별 급수인구'!V$7:V$997))</f>
        <v>305</v>
      </c>
      <c r="G204" s="211">
        <f>SUMPRODUCT(('[2]2.행정구역별 급수인구'!$C$7:$C$997=$B204)*('[2]2.행정구역별 급수인구'!W$7:W$997))</f>
        <v>314</v>
      </c>
      <c r="H204" s="211">
        <f>SUMPRODUCT(('[2]2.행정구역별 급수인구'!$C$7:$C$997=$B204)*('[2]2.행정구역별 급수인구'!X$7:X$997))</f>
        <v>320</v>
      </c>
      <c r="I204" s="213">
        <f>SUMIF('2013 행정구역 생활용수량'!$B$4:$B$484,B204,'2013 행정구역 생활용수량'!$D$4:$D$484)</f>
        <v>85</v>
      </c>
      <c r="J204" s="213">
        <f t="shared" si="120"/>
        <v>76</v>
      </c>
      <c r="K204" s="213">
        <f t="shared" si="121"/>
        <v>89</v>
      </c>
      <c r="L204" s="213">
        <f t="shared" si="122"/>
        <v>94</v>
      </c>
      <c r="M204" s="213">
        <f t="shared" si="123"/>
        <v>97</v>
      </c>
      <c r="N204" s="213">
        <f t="shared" si="124"/>
        <v>99</v>
      </c>
      <c r="O204" s="359"/>
    </row>
    <row r="205" spans="1:21" ht="20.100000000000001" customHeight="1">
      <c r="A205" s="676" t="s">
        <v>779</v>
      </c>
      <c r="B205" s="215" t="s">
        <v>977</v>
      </c>
      <c r="C205" s="211">
        <f>'[3]5.급수원단위'!C$32</f>
        <v>420</v>
      </c>
      <c r="D205" s="211">
        <f>'[3]5.급수원단위'!$D$39</f>
        <v>419</v>
      </c>
      <c r="E205" s="211">
        <f>'[3]5.급수원단위'!D$32</f>
        <v>422</v>
      </c>
      <c r="F205" s="211">
        <f>'[3]5.급수원단위'!E$32</f>
        <v>433</v>
      </c>
      <c r="G205" s="211">
        <f>'[3]5.급수원단위'!F$32</f>
        <v>446</v>
      </c>
      <c r="H205" s="211">
        <f>'[3]5.급수원단위'!G$32</f>
        <v>466</v>
      </c>
      <c r="I205" s="680"/>
      <c r="J205" s="681"/>
      <c r="K205" s="681"/>
      <c r="L205" s="681"/>
      <c r="M205" s="681"/>
      <c r="N205" s="682"/>
      <c r="O205" s="359"/>
      <c r="Q205" s="511">
        <v>2013</v>
      </c>
      <c r="R205" s="511">
        <v>2015</v>
      </c>
      <c r="S205" s="511">
        <v>2020</v>
      </c>
      <c r="T205" s="511">
        <v>2025</v>
      </c>
      <c r="U205" s="511">
        <v>2030</v>
      </c>
    </row>
    <row r="206" spans="1:21" ht="20.100000000000001" customHeight="1">
      <c r="A206" s="677"/>
      <c r="B206" s="214" t="s">
        <v>778</v>
      </c>
      <c r="C206" s="212">
        <f>SUM(C207:C213)</f>
        <v>29627</v>
      </c>
      <c r="D206" s="212">
        <f t="shared" ref="D206:H206" si="125">SUM(D207:D213)</f>
        <v>34824</v>
      </c>
      <c r="E206" s="212">
        <f t="shared" si="125"/>
        <v>31241</v>
      </c>
      <c r="F206" s="212">
        <f t="shared" si="125"/>
        <v>36463</v>
      </c>
      <c r="G206" s="212">
        <f t="shared" si="125"/>
        <v>37547</v>
      </c>
      <c r="H206" s="212">
        <f t="shared" si="125"/>
        <v>38493</v>
      </c>
      <c r="I206" s="212">
        <f t="shared" ref="I206:N206" si="126">SUM(I207:I213)</f>
        <v>13574</v>
      </c>
      <c r="J206" s="212">
        <f t="shared" ref="J206" si="127">SUM(J207:J213)</f>
        <v>14591</v>
      </c>
      <c r="K206" s="212">
        <f t="shared" si="126"/>
        <v>13184</v>
      </c>
      <c r="L206" s="212">
        <f t="shared" si="126"/>
        <v>15788</v>
      </c>
      <c r="M206" s="212">
        <f t="shared" si="126"/>
        <v>16745</v>
      </c>
      <c r="N206" s="212">
        <f t="shared" si="126"/>
        <v>17938</v>
      </c>
      <c r="O206" s="359">
        <f>'2013년도 용수량 비율'!F18</f>
        <v>0</v>
      </c>
      <c r="Q206" s="213">
        <f>ROUND(I206,-2)</f>
        <v>13600</v>
      </c>
      <c r="R206" s="213">
        <f>ROUND(K206,-2)</f>
        <v>13200</v>
      </c>
      <c r="S206" s="213">
        <f>ROUND(L206,-2)</f>
        <v>15800</v>
      </c>
      <c r="T206" s="213">
        <f>ROUND(M206,-2)</f>
        <v>16700</v>
      </c>
      <c r="U206" s="213">
        <f>ROUND(N206,-2)</f>
        <v>17900</v>
      </c>
    </row>
    <row r="207" spans="1:21" ht="20.100000000000001" customHeight="1">
      <c r="A207" s="677"/>
      <c r="B207" s="210" t="s">
        <v>780</v>
      </c>
      <c r="C207" s="211">
        <f>SUMPRODUCT(('[2]2.행정구역별 급수인구'!$C$7:$C$997=$B207)*('[2]2.행정구역별 급수인구'!S$7:S$997))</f>
        <v>2665</v>
      </c>
      <c r="D207" s="211">
        <f>SUMPRODUCT(('[2]2.행정구역별 급수인구'!$C$7:$C$997=$B207)*('[2]2.행정구역별 급수인구'!T$7:T$997))</f>
        <v>2668</v>
      </c>
      <c r="E207" s="211">
        <f>SUMPRODUCT(('[2]2.행정구역별 급수인구'!$C$7:$C$997=$B207)*('[2]2.행정구역별 급수인구'!U$7:U$997))</f>
        <v>2654</v>
      </c>
      <c r="F207" s="211">
        <f>SUMPRODUCT(('[2]2.행정구역별 급수인구'!$C$7:$C$997=$B207)*('[2]2.행정구역별 급수인구'!V$7:V$997))</f>
        <v>2653</v>
      </c>
      <c r="G207" s="211">
        <f>SUMPRODUCT(('[2]2.행정구역별 급수인구'!$C$7:$C$997=$B207)*('[2]2.행정구역별 급수인구'!W$7:W$997))</f>
        <v>2744</v>
      </c>
      <c r="H207" s="211">
        <f>SUMPRODUCT(('[2]2.행정구역별 급수인구'!$C$7:$C$997=$B207)*('[2]2.행정구역별 급수인구'!X$7:X$997))</f>
        <v>2824</v>
      </c>
      <c r="I207" s="213">
        <f>SUMIF('2013 행정구역 생활용수량'!$B$4:$B$484,B207,'2013 행정구역 생활용수량'!$D$4:$D$484)</f>
        <v>1376</v>
      </c>
      <c r="J207" s="213">
        <f t="shared" ref="J207:N207" si="128">ROUND(D207*D$205/1000,0)</f>
        <v>1118</v>
      </c>
      <c r="K207" s="213">
        <f t="shared" si="128"/>
        <v>1120</v>
      </c>
      <c r="L207" s="213">
        <f t="shared" si="128"/>
        <v>1149</v>
      </c>
      <c r="M207" s="213">
        <f t="shared" si="128"/>
        <v>1224</v>
      </c>
      <c r="N207" s="213">
        <f t="shared" si="128"/>
        <v>1316</v>
      </c>
      <c r="O207" s="359"/>
    </row>
    <row r="208" spans="1:21" ht="20.100000000000001" customHeight="1">
      <c r="A208" s="677"/>
      <c r="B208" s="210" t="s">
        <v>781</v>
      </c>
      <c r="C208" s="211">
        <f>SUMPRODUCT(('[2]2.행정구역별 급수인구'!$C$7:$C$997=$B208)*('[2]2.행정구역별 급수인구'!S$7:S$997))</f>
        <v>1674</v>
      </c>
      <c r="D208" s="211">
        <f>SUMPRODUCT(('[2]2.행정구역별 급수인구'!$C$7:$C$997=$B208)*('[2]2.행정구역별 급수인구'!T$7:T$997))</f>
        <v>1677</v>
      </c>
      <c r="E208" s="211">
        <f>SUMPRODUCT(('[2]2.행정구역별 급수인구'!$C$7:$C$997=$B208)*('[2]2.행정구역별 급수인구'!U$7:U$997))</f>
        <v>1668</v>
      </c>
      <c r="F208" s="211">
        <f>SUMPRODUCT(('[2]2.행정구역별 급수인구'!$C$7:$C$997=$B208)*('[2]2.행정구역별 급수인구'!V$7:V$997))</f>
        <v>1668</v>
      </c>
      <c r="G208" s="211">
        <f>SUMPRODUCT(('[2]2.행정구역별 급수인구'!$C$7:$C$997=$B208)*('[2]2.행정구역별 급수인구'!W$7:W$997))</f>
        <v>1726</v>
      </c>
      <c r="H208" s="211">
        <f>SUMPRODUCT(('[2]2.행정구역별 급수인구'!$C$7:$C$997=$B208)*('[2]2.행정구역별 급수인구'!X$7:X$997))</f>
        <v>1775</v>
      </c>
      <c r="I208" s="213">
        <f>SUMIF('2013 행정구역 생활용수량'!$B$4:$B$484,B208,'2013 행정구역 생활용수량'!$D$4:$D$484)</f>
        <v>965</v>
      </c>
      <c r="J208" s="213">
        <f t="shared" ref="J208:J213" si="129">ROUND(D208*D$205/1000,0)</f>
        <v>703</v>
      </c>
      <c r="K208" s="213">
        <f t="shared" ref="K208:K212" si="130">ROUND(E208*E$205/1000,0)</f>
        <v>704</v>
      </c>
      <c r="L208" s="213">
        <f t="shared" ref="L208:L212" si="131">ROUND(F208*F$205/1000,0)</f>
        <v>722</v>
      </c>
      <c r="M208" s="213">
        <f t="shared" ref="M208:M212" si="132">ROUND(G208*G$205/1000,0)</f>
        <v>770</v>
      </c>
      <c r="N208" s="213">
        <f t="shared" ref="N208:N212" si="133">ROUND(H208*H$205/1000,0)</f>
        <v>827</v>
      </c>
      <c r="O208" s="359"/>
    </row>
    <row r="209" spans="1:21" ht="20.100000000000001" customHeight="1">
      <c r="A209" s="677"/>
      <c r="B209" s="210" t="s">
        <v>779</v>
      </c>
      <c r="C209" s="211">
        <f>SUMPRODUCT(('[2]2.행정구역별 급수인구'!$C$7:$C$997=$B209)*('[2]2.행정구역별 급수인구'!S$7:S$997))</f>
        <v>12324</v>
      </c>
      <c r="D209" s="211">
        <f>SUMPRODUCT(('[2]2.행정구역별 급수인구'!$C$7:$C$997=$B209)*('[2]2.행정구역별 급수인구'!T$7:T$997))</f>
        <v>12526</v>
      </c>
      <c r="E209" s="211">
        <f>SUMPRODUCT(('[2]2.행정구역별 급수인구'!$C$7:$C$997=$B209)*('[2]2.행정구역별 급수인구'!U$7:U$997))</f>
        <v>12468</v>
      </c>
      <c r="F209" s="211">
        <f>SUMPRODUCT(('[2]2.행정구역별 급수인구'!$C$7:$C$997=$B209)*('[2]2.행정구역별 급수인구'!V$7:V$997))</f>
        <v>12822</v>
      </c>
      <c r="G209" s="211">
        <f>SUMPRODUCT(('[2]2.행정구역별 급수인구'!$C$7:$C$997=$B209)*('[2]2.행정구역별 급수인구'!W$7:W$997))</f>
        <v>13250</v>
      </c>
      <c r="H209" s="211">
        <f>SUMPRODUCT(('[2]2.행정구역별 급수인구'!$C$7:$C$997=$B209)*('[2]2.행정구역별 급수인구'!X$7:X$997))</f>
        <v>13618</v>
      </c>
      <c r="I209" s="213">
        <f>SUMIF('2013 행정구역 생활용수량'!$B$4:$B$484,B209,'2013 행정구역 생활용수량'!$D$4:$D$484)</f>
        <v>5931</v>
      </c>
      <c r="J209" s="213">
        <f t="shared" si="129"/>
        <v>5248</v>
      </c>
      <c r="K209" s="213">
        <f t="shared" si="130"/>
        <v>5261</v>
      </c>
      <c r="L209" s="213">
        <f t="shared" si="131"/>
        <v>5552</v>
      </c>
      <c r="M209" s="213">
        <f t="shared" si="132"/>
        <v>5910</v>
      </c>
      <c r="N209" s="213">
        <f t="shared" si="133"/>
        <v>6346</v>
      </c>
      <c r="O209" s="359"/>
    </row>
    <row r="210" spans="1:21" ht="20.100000000000001" customHeight="1">
      <c r="A210" s="677"/>
      <c r="B210" s="210" t="s">
        <v>782</v>
      </c>
      <c r="C210" s="211">
        <f>SUMPRODUCT(('[2]2.행정구역별 급수인구'!$C$7:$C$997=$B210)*('[2]2.행정구역별 급수인구'!S$7:S$997))</f>
        <v>791</v>
      </c>
      <c r="D210" s="211">
        <f>SUMPRODUCT(('[2]2.행정구역별 급수인구'!$C$7:$C$997=$B210)*('[2]2.행정구역별 급수인구'!T$7:T$997))</f>
        <v>793</v>
      </c>
      <c r="E210" s="211">
        <f>SUMPRODUCT(('[2]2.행정구역별 급수인구'!$C$7:$C$997=$B210)*('[2]2.행정구역별 급수인구'!U$7:U$997))</f>
        <v>789</v>
      </c>
      <c r="F210" s="211">
        <f>SUMPRODUCT(('[2]2.행정구역별 급수인구'!$C$7:$C$997=$B210)*('[2]2.행정구역별 급수인구'!V$7:V$997))</f>
        <v>787</v>
      </c>
      <c r="G210" s="211">
        <f>SUMPRODUCT(('[2]2.행정구역별 급수인구'!$C$7:$C$997=$B210)*('[2]2.행정구역별 급수인구'!W$7:W$997))</f>
        <v>814</v>
      </c>
      <c r="H210" s="211">
        <f>SUMPRODUCT(('[2]2.행정구역별 급수인구'!$C$7:$C$997=$B210)*('[2]2.행정구역별 급수인구'!X$7:X$997))</f>
        <v>837</v>
      </c>
      <c r="I210" s="213">
        <f>SUMIF('2013 행정구역 생활용수량'!$B$4:$B$484,B210,'2013 행정구역 생활용수량'!$D$4:$D$484)</f>
        <v>270</v>
      </c>
      <c r="J210" s="213">
        <f t="shared" si="129"/>
        <v>332</v>
      </c>
      <c r="K210" s="213">
        <f t="shared" si="130"/>
        <v>333</v>
      </c>
      <c r="L210" s="213">
        <f t="shared" si="131"/>
        <v>341</v>
      </c>
      <c r="M210" s="213">
        <f t="shared" si="132"/>
        <v>363</v>
      </c>
      <c r="N210" s="213">
        <f t="shared" si="133"/>
        <v>390</v>
      </c>
      <c r="O210" s="359"/>
    </row>
    <row r="211" spans="1:21" ht="20.100000000000001" customHeight="1">
      <c r="A211" s="677"/>
      <c r="B211" s="210" t="s">
        <v>783</v>
      </c>
      <c r="C211" s="211">
        <f>SUMPRODUCT(('[2]2.행정구역별 급수인구'!$C$7:$C$997=$B211)*('[2]2.행정구역별 급수인구'!S$7:S$997))</f>
        <v>370</v>
      </c>
      <c r="D211" s="211">
        <f>SUMPRODUCT(('[2]2.행정구역별 급수인구'!$C$7:$C$997=$B211)*('[2]2.행정구역별 급수인구'!T$7:T$997))</f>
        <v>370</v>
      </c>
      <c r="E211" s="211">
        <f>SUMPRODUCT(('[2]2.행정구역별 급수인구'!$C$7:$C$997=$B211)*('[2]2.행정구역별 급수인구'!U$7:U$997))</f>
        <v>369</v>
      </c>
      <c r="F211" s="211">
        <f>SUMPRODUCT(('[2]2.행정구역별 급수인구'!$C$7:$C$997=$B211)*('[2]2.행정구역별 급수인구'!V$7:V$997))</f>
        <v>368</v>
      </c>
      <c r="G211" s="211">
        <f>SUMPRODUCT(('[2]2.행정구역별 급수인구'!$C$7:$C$997=$B211)*('[2]2.행정구역별 급수인구'!W$7:W$997))</f>
        <v>380</v>
      </c>
      <c r="H211" s="211">
        <f>SUMPRODUCT(('[2]2.행정구역별 급수인구'!$C$7:$C$997=$B211)*('[2]2.행정구역별 급수인구'!X$7:X$997))</f>
        <v>391</v>
      </c>
      <c r="I211" s="213">
        <f>SUMIF('2013 행정구역 생활용수량'!$B$4:$B$484,B211,'2013 행정구역 생활용수량'!$D$4:$D$484)</f>
        <v>144</v>
      </c>
      <c r="J211" s="213">
        <f t="shared" si="129"/>
        <v>155</v>
      </c>
      <c r="K211" s="213">
        <f t="shared" si="130"/>
        <v>156</v>
      </c>
      <c r="L211" s="213">
        <f t="shared" si="131"/>
        <v>159</v>
      </c>
      <c r="M211" s="213">
        <f t="shared" si="132"/>
        <v>169</v>
      </c>
      <c r="N211" s="213">
        <f t="shared" si="133"/>
        <v>182</v>
      </c>
      <c r="O211" s="359"/>
    </row>
    <row r="212" spans="1:21" ht="20.100000000000001" customHeight="1">
      <c r="A212" s="677"/>
      <c r="B212" s="210" t="s">
        <v>784</v>
      </c>
      <c r="C212" s="211">
        <f>SUMPRODUCT(('[2]2.행정구역별 급수인구'!$C$7:$C$997=$B212)*('[2]2.행정구역별 급수인구'!S$7:S$997))</f>
        <v>11260</v>
      </c>
      <c r="D212" s="211">
        <f>SUMPRODUCT(('[2]2.행정구역별 급수인구'!$C$7:$C$997=$B212)*('[2]2.행정구역별 급수인구'!T$7:T$997))</f>
        <v>16247</v>
      </c>
      <c r="E212" s="211">
        <f>SUMPRODUCT(('[2]2.행정구역별 급수인구'!$C$7:$C$997=$B212)*('[2]2.행정구역별 급수인구'!U$7:U$997))</f>
        <v>12752</v>
      </c>
      <c r="F212" s="211">
        <f>SUMPRODUCT(('[2]2.행정구역별 급수인구'!$C$7:$C$997=$B212)*('[2]2.행정구역별 급수인구'!V$7:V$997))</f>
        <v>17624</v>
      </c>
      <c r="G212" s="211">
        <f>SUMPRODUCT(('[2]2.행정구역별 급수인구'!$C$7:$C$997=$B212)*('[2]2.행정구역별 급수인구'!W$7:W$997))</f>
        <v>18073</v>
      </c>
      <c r="H212" s="211">
        <f>SUMPRODUCT(('[2]2.행정구역별 급수인구'!$C$7:$C$997=$B212)*('[2]2.행정구역별 급수인구'!X$7:X$997))</f>
        <v>18472</v>
      </c>
      <c r="I212" s="213">
        <f>SUMIF('2013 행정구역 생활용수량'!$B$4:$B$484,B212,'2013 행정구역 생활용수량'!$D$4:$D$484)</f>
        <v>4661</v>
      </c>
      <c r="J212" s="213">
        <f t="shared" si="129"/>
        <v>6807</v>
      </c>
      <c r="K212" s="213">
        <f t="shared" si="130"/>
        <v>5381</v>
      </c>
      <c r="L212" s="213">
        <f t="shared" si="131"/>
        <v>7631</v>
      </c>
      <c r="M212" s="213">
        <f t="shared" si="132"/>
        <v>8061</v>
      </c>
      <c r="N212" s="213">
        <f t="shared" si="133"/>
        <v>8608</v>
      </c>
      <c r="O212" s="359"/>
    </row>
    <row r="213" spans="1:21" ht="20.100000000000001" customHeight="1">
      <c r="A213" s="678"/>
      <c r="B213" s="210" t="s">
        <v>785</v>
      </c>
      <c r="C213" s="211">
        <f>SUMPRODUCT(('[2]2.행정구역별 급수인구'!$C$7:$C$997=$B213)*('[2]2.행정구역별 급수인구'!S$7:S$997))</f>
        <v>543</v>
      </c>
      <c r="D213" s="211">
        <f>SUMPRODUCT(('[2]2.행정구역별 급수인구'!$C$7:$C$997=$B213)*('[2]2.행정구역별 급수인구'!T$7:T$997))</f>
        <v>543</v>
      </c>
      <c r="E213" s="211">
        <f>SUMPRODUCT(('[2]2.행정구역별 급수인구'!$C$7:$C$997=$B213)*('[2]2.행정구역별 급수인구'!U$7:U$997))</f>
        <v>541</v>
      </c>
      <c r="F213" s="211">
        <f>SUMPRODUCT(('[2]2.행정구역별 급수인구'!$C$7:$C$997=$B213)*('[2]2.행정구역별 급수인구'!V$7:V$997))</f>
        <v>541</v>
      </c>
      <c r="G213" s="211">
        <f>SUMPRODUCT(('[2]2.행정구역별 급수인구'!$C$7:$C$997=$B213)*('[2]2.행정구역별 급수인구'!W$7:W$997))</f>
        <v>560</v>
      </c>
      <c r="H213" s="211">
        <f>SUMPRODUCT(('[2]2.행정구역별 급수인구'!$C$7:$C$997=$B213)*('[2]2.행정구역별 급수인구'!X$7:X$997))</f>
        <v>576</v>
      </c>
      <c r="I213" s="213">
        <f>SUMIF('2013 행정구역 생활용수량'!$B$4:$B$484,B213,'2013 행정구역 생활용수량'!$D$4:$D$484)</f>
        <v>227</v>
      </c>
      <c r="J213" s="213">
        <f t="shared" si="129"/>
        <v>228</v>
      </c>
      <c r="K213" s="213">
        <f>'2.생활용수(급수구역)'!J86-SUM(K207:K212)</f>
        <v>229</v>
      </c>
      <c r="L213" s="213">
        <f>'2.생활용수(급수구역)'!K86-SUM(L207:L212)</f>
        <v>234</v>
      </c>
      <c r="M213" s="213">
        <f>'2.생활용수(급수구역)'!L86-SUM(M207:M212)</f>
        <v>248</v>
      </c>
      <c r="N213" s="213">
        <f>'2.생활용수(급수구역)'!M86-SUM(N207:N212)</f>
        <v>269</v>
      </c>
      <c r="O213" s="359"/>
    </row>
    <row r="214" spans="1:21" ht="20.100000000000001" customHeight="1">
      <c r="A214" s="676" t="s">
        <v>786</v>
      </c>
      <c r="B214" s="215" t="s">
        <v>977</v>
      </c>
      <c r="C214" s="211">
        <f>'[3]5.급수원단위'!C$32</f>
        <v>420</v>
      </c>
      <c r="D214" s="211">
        <f>'[3]5.급수원단위'!$D$39</f>
        <v>419</v>
      </c>
      <c r="E214" s="211">
        <f>'[3]5.급수원단위'!D$32</f>
        <v>422</v>
      </c>
      <c r="F214" s="211">
        <f>'[3]5.급수원단위'!E$32</f>
        <v>433</v>
      </c>
      <c r="G214" s="211">
        <f>'[3]5.급수원단위'!F$32</f>
        <v>446</v>
      </c>
      <c r="H214" s="211">
        <f>'[3]5.급수원단위'!G$32</f>
        <v>466</v>
      </c>
      <c r="I214" s="680"/>
      <c r="J214" s="681"/>
      <c r="K214" s="681"/>
      <c r="L214" s="681"/>
      <c r="M214" s="681"/>
      <c r="N214" s="682"/>
      <c r="O214" s="359"/>
      <c r="Q214" s="511">
        <v>2013</v>
      </c>
      <c r="R214" s="511">
        <v>2015</v>
      </c>
      <c r="S214" s="511">
        <v>2020</v>
      </c>
      <c r="T214" s="511">
        <v>2025</v>
      </c>
      <c r="U214" s="511">
        <v>2030</v>
      </c>
    </row>
    <row r="215" spans="1:21" ht="20.100000000000001" customHeight="1">
      <c r="A215" s="677"/>
      <c r="B215" s="214" t="s">
        <v>778</v>
      </c>
      <c r="C215" s="212">
        <f>SUM(C216:C219)</f>
        <v>18184</v>
      </c>
      <c r="D215" s="212">
        <f t="shared" ref="D215:H215" si="134">SUM(D216:D219)</f>
        <v>18401</v>
      </c>
      <c r="E215" s="212">
        <f t="shared" si="134"/>
        <v>18117</v>
      </c>
      <c r="F215" s="212">
        <f t="shared" si="134"/>
        <v>19498</v>
      </c>
      <c r="G215" s="212">
        <f t="shared" si="134"/>
        <v>20139</v>
      </c>
      <c r="H215" s="212">
        <f t="shared" si="134"/>
        <v>20686</v>
      </c>
      <c r="I215" s="212">
        <f t="shared" ref="I215:N215" si="135">SUM(I216:I219)</f>
        <v>5780</v>
      </c>
      <c r="J215" s="212">
        <f t="shared" ref="J215" si="136">SUM(J216:J219)</f>
        <v>7710</v>
      </c>
      <c r="K215" s="212">
        <f t="shared" si="135"/>
        <v>7645</v>
      </c>
      <c r="L215" s="212">
        <f t="shared" si="135"/>
        <v>8443</v>
      </c>
      <c r="M215" s="212">
        <f t="shared" si="135"/>
        <v>8981</v>
      </c>
      <c r="N215" s="212">
        <f t="shared" si="135"/>
        <v>9640</v>
      </c>
      <c r="O215" s="359">
        <f>'2013년도 용수량 비율'!F19</f>
        <v>0.01</v>
      </c>
      <c r="Q215" s="213">
        <f>ROUND(I215,-2)</f>
        <v>5800</v>
      </c>
      <c r="R215" s="213">
        <f>ROUND(K215,-2)</f>
        <v>7600</v>
      </c>
      <c r="S215" s="213">
        <f>ROUND(L215,-2)</f>
        <v>8400</v>
      </c>
      <c r="T215" s="213">
        <f>ROUND(M215,-2)</f>
        <v>9000</v>
      </c>
      <c r="U215" s="213">
        <f>ROUND(N215,-2)</f>
        <v>9600</v>
      </c>
    </row>
    <row r="216" spans="1:21" ht="20.100000000000001" customHeight="1">
      <c r="A216" s="677"/>
      <c r="B216" s="210" t="s">
        <v>787</v>
      </c>
      <c r="C216" s="211">
        <f>SUMPRODUCT(('[2]2.행정구역별 급수인구'!$C$7:$C$997=$B216)*('[2]2.행정구역별 급수인구'!S$7:S$997))</f>
        <v>4380</v>
      </c>
      <c r="D216" s="211">
        <f>SUMPRODUCT(('[2]2.행정구역별 급수인구'!$C$7:$C$997=$B216)*('[2]2.행정구역별 급수인구'!T$7:T$997))</f>
        <v>4433</v>
      </c>
      <c r="E216" s="211">
        <f>SUMPRODUCT(('[2]2.행정구역별 급수인구'!$C$7:$C$997=$B216)*('[2]2.행정구역별 급수인구'!U$7:U$997))</f>
        <v>4363</v>
      </c>
      <c r="F216" s="211">
        <f>SUMPRODUCT(('[2]2.행정구역별 급수인구'!$C$7:$C$997=$B216)*('[2]2.행정구역별 급수인구'!V$7:V$997))</f>
        <v>5749</v>
      </c>
      <c r="G216" s="211">
        <f>SUMPRODUCT(('[2]2.행정구역별 급수인구'!$C$7:$C$997=$B216)*('[2]2.행정구역별 급수인구'!W$7:W$997))</f>
        <v>5913</v>
      </c>
      <c r="H216" s="211">
        <f>SUMPRODUCT(('[2]2.행정구역별 급수인구'!$C$7:$C$997=$B216)*('[2]2.행정구역별 급수인구'!X$7:X$997))</f>
        <v>6056</v>
      </c>
      <c r="I216" s="213">
        <f>SUMIF('2013 행정구역 생활용수량'!$B$4:$B$484,B216,'2013 행정구역 생활용수량'!$D$4:$D$484)</f>
        <v>1484</v>
      </c>
      <c r="J216" s="213">
        <f t="shared" ref="J216:J219" si="137">ROUND(D216*D$214/1000,0)</f>
        <v>1857</v>
      </c>
      <c r="K216" s="213">
        <f t="shared" ref="K216:N218" si="138">ROUND(E216*E$214/1000,0)</f>
        <v>1841</v>
      </c>
      <c r="L216" s="213">
        <f t="shared" si="138"/>
        <v>2489</v>
      </c>
      <c r="M216" s="213">
        <f t="shared" si="138"/>
        <v>2637</v>
      </c>
      <c r="N216" s="213">
        <f t="shared" si="138"/>
        <v>2822</v>
      </c>
    </row>
    <row r="217" spans="1:21" ht="20.100000000000001" customHeight="1">
      <c r="A217" s="677"/>
      <c r="B217" s="210" t="s">
        <v>786</v>
      </c>
      <c r="C217" s="211">
        <f>SUMPRODUCT(('[2]2.행정구역별 급수인구'!$C$7:$C$997=$B217)*('[2]2.행정구역별 급수인구'!S$7:S$997))</f>
        <v>6571</v>
      </c>
      <c r="D217" s="211">
        <f>SUMPRODUCT(('[2]2.행정구역별 급수인구'!$C$7:$C$997=$B217)*('[2]2.행정구역별 급수인구'!T$7:T$997))</f>
        <v>6648</v>
      </c>
      <c r="E217" s="211">
        <f>SUMPRODUCT(('[2]2.행정구역별 급수인구'!$C$7:$C$997=$B217)*('[2]2.행정구역별 급수인구'!U$7:U$997))</f>
        <v>6548</v>
      </c>
      <c r="F217" s="211">
        <f>SUMPRODUCT(('[2]2.행정구역별 급수인구'!$C$7:$C$997=$B217)*('[2]2.행정구역별 급수인구'!V$7:V$997))</f>
        <v>6546</v>
      </c>
      <c r="G217" s="211">
        <f>SUMPRODUCT(('[2]2.행정구역별 급수인구'!$C$7:$C$997=$B217)*('[2]2.행정구역별 급수인구'!W$7:W$997))</f>
        <v>6772</v>
      </c>
      <c r="H217" s="211">
        <f>SUMPRODUCT(('[2]2.행정구역별 급수인구'!$C$7:$C$997=$B217)*('[2]2.행정구역별 급수인구'!X$7:X$997))</f>
        <v>6964</v>
      </c>
      <c r="I217" s="213">
        <f>SUMIF('2013 행정구역 생활용수량'!$B$4:$B$484,B217,'2013 행정구역 생활용수량'!$D$4:$D$484)</f>
        <v>2157</v>
      </c>
      <c r="J217" s="213">
        <f t="shared" si="137"/>
        <v>2786</v>
      </c>
      <c r="K217" s="213">
        <f t="shared" si="138"/>
        <v>2763</v>
      </c>
      <c r="L217" s="213">
        <f t="shared" si="138"/>
        <v>2834</v>
      </c>
      <c r="M217" s="213">
        <f t="shared" si="138"/>
        <v>3020</v>
      </c>
      <c r="N217" s="213">
        <f t="shared" si="138"/>
        <v>3245</v>
      </c>
    </row>
    <row r="218" spans="1:21" ht="20.100000000000001" customHeight="1">
      <c r="A218" s="677"/>
      <c r="B218" s="210" t="s">
        <v>788</v>
      </c>
      <c r="C218" s="211">
        <f>SUMPRODUCT(('[2]2.행정구역별 급수인구'!$C$7:$C$997=$B218)*('[2]2.행정구역별 급수인구'!S$7:S$997))</f>
        <v>686</v>
      </c>
      <c r="D218" s="211">
        <f>SUMPRODUCT(('[2]2.행정구역별 급수인구'!$C$7:$C$997=$B218)*('[2]2.행정구역별 급수인구'!T$7:T$997))</f>
        <v>695</v>
      </c>
      <c r="E218" s="211">
        <f>SUMPRODUCT(('[2]2.행정구역별 급수인구'!$C$7:$C$997=$B218)*('[2]2.행정구역별 급수인구'!U$7:U$997))</f>
        <v>684</v>
      </c>
      <c r="F218" s="211">
        <f>SUMPRODUCT(('[2]2.행정구역별 급수인구'!$C$7:$C$997=$B218)*('[2]2.행정구역별 급수인구'!V$7:V$997))</f>
        <v>683</v>
      </c>
      <c r="G218" s="211">
        <f>SUMPRODUCT(('[2]2.행정구역별 급수인구'!$C$7:$C$997=$B218)*('[2]2.행정구역별 급수인구'!W$7:W$997))</f>
        <v>707</v>
      </c>
      <c r="H218" s="211">
        <f>SUMPRODUCT(('[2]2.행정구역별 급수인구'!$C$7:$C$997=$B218)*('[2]2.행정구역별 급수인구'!X$7:X$997))</f>
        <v>727</v>
      </c>
      <c r="I218" s="213">
        <f>SUMIF('2013 행정구역 생활용수량'!$B$4:$B$484,B218,'2013 행정구역 생활용수량'!$D$4:$D$484)</f>
        <v>85</v>
      </c>
      <c r="J218" s="213">
        <f t="shared" si="137"/>
        <v>291</v>
      </c>
      <c r="K218" s="213">
        <f t="shared" si="138"/>
        <v>289</v>
      </c>
      <c r="L218" s="213">
        <f t="shared" si="138"/>
        <v>296</v>
      </c>
      <c r="M218" s="213">
        <f t="shared" si="138"/>
        <v>315</v>
      </c>
      <c r="N218" s="213">
        <f t="shared" si="138"/>
        <v>339</v>
      </c>
    </row>
    <row r="219" spans="1:21" ht="20.100000000000001" customHeight="1">
      <c r="A219" s="678"/>
      <c r="B219" s="210" t="s">
        <v>789</v>
      </c>
      <c r="C219" s="211">
        <f>SUMPRODUCT(('[2]2.행정구역별 급수인구'!$C$7:$C$997=$B219)*('[2]2.행정구역별 급수인구'!S$7:S$997))</f>
        <v>6547</v>
      </c>
      <c r="D219" s="211">
        <f>SUMPRODUCT(('[2]2.행정구역별 급수인구'!$C$7:$C$997=$B219)*('[2]2.행정구역별 급수인구'!T$7:T$997))</f>
        <v>6625</v>
      </c>
      <c r="E219" s="211">
        <f>SUMPRODUCT(('[2]2.행정구역별 급수인구'!$C$7:$C$997=$B219)*('[2]2.행정구역별 급수인구'!U$7:U$997))</f>
        <v>6522</v>
      </c>
      <c r="F219" s="211">
        <f>SUMPRODUCT(('[2]2.행정구역별 급수인구'!$C$7:$C$997=$B219)*('[2]2.행정구역별 급수인구'!V$7:V$997))</f>
        <v>6520</v>
      </c>
      <c r="G219" s="211">
        <f>SUMPRODUCT(('[2]2.행정구역별 급수인구'!$C$7:$C$997=$B219)*('[2]2.행정구역별 급수인구'!W$7:W$997))</f>
        <v>6747</v>
      </c>
      <c r="H219" s="211">
        <f>SUMPRODUCT(('[2]2.행정구역별 급수인구'!$C$7:$C$997=$B219)*('[2]2.행정구역별 급수인구'!X$7:X$997))</f>
        <v>6939</v>
      </c>
      <c r="I219" s="213">
        <f>SUMIF('2013 행정구역 생활용수량'!$B$4:$B$484,B219,'2013 행정구역 생활용수량'!$D$4:$D$484)</f>
        <v>2054</v>
      </c>
      <c r="J219" s="213">
        <f t="shared" si="137"/>
        <v>2776</v>
      </c>
      <c r="K219" s="213">
        <f>'2.생활용수(급수구역)'!J87-SUM(K216:K218)</f>
        <v>2752</v>
      </c>
      <c r="L219" s="213">
        <f>'2.생활용수(급수구역)'!K87-SUM(L216:L218)</f>
        <v>2824</v>
      </c>
      <c r="M219" s="213">
        <f>'2.생활용수(급수구역)'!L87-SUM(M216:M218)</f>
        <v>3009</v>
      </c>
      <c r="N219" s="213">
        <f>'2.생활용수(급수구역)'!M87-SUM(N216:N218)</f>
        <v>3234</v>
      </c>
    </row>
  </sheetData>
  <mergeCells count="35">
    <mergeCell ref="I36:N36"/>
    <mergeCell ref="I21:N21"/>
    <mergeCell ref="I6:N6"/>
    <mergeCell ref="I64:N64"/>
    <mergeCell ref="I80:N80"/>
    <mergeCell ref="A205:A213"/>
    <mergeCell ref="A214:A219"/>
    <mergeCell ref="I49:N49"/>
    <mergeCell ref="I95:N95"/>
    <mergeCell ref="I109:N109"/>
    <mergeCell ref="I214:N214"/>
    <mergeCell ref="I131:N131"/>
    <mergeCell ref="I147:N147"/>
    <mergeCell ref="I167:N167"/>
    <mergeCell ref="I183:N183"/>
    <mergeCell ref="I195:N195"/>
    <mergeCell ref="I205:N205"/>
    <mergeCell ref="A195:A204"/>
    <mergeCell ref="A3:B4"/>
    <mergeCell ref="C3:H3"/>
    <mergeCell ref="A5:B5"/>
    <mergeCell ref="I3:N3"/>
    <mergeCell ref="A6:A20"/>
    <mergeCell ref="A21:A35"/>
    <mergeCell ref="A147:A166"/>
    <mergeCell ref="A167:A182"/>
    <mergeCell ref="A183:A194"/>
    <mergeCell ref="A36:A48"/>
    <mergeCell ref="A49:A63"/>
    <mergeCell ref="A64:A79"/>
    <mergeCell ref="A80:A94"/>
    <mergeCell ref="A95:A108"/>
    <mergeCell ref="A109:A130"/>
    <mergeCell ref="A131:A137"/>
    <mergeCell ref="A138:A146"/>
  </mergeCells>
  <phoneticPr fontId="3" type="noConversion"/>
  <printOptions horizontalCentered="1"/>
  <pageMargins left="0.62992125984251968" right="0.62992125984251968" top="0.62992125984251968" bottom="0.62992125984251968" header="0.31496062992125984" footer="0.31496062992125984"/>
  <pageSetup paperSize="9" scale="80" orientation="portrait" r:id="rId1"/>
  <ignoredErrors>
    <ignoredError sqref="J129:N129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>
  <dimension ref="A1:O146"/>
  <sheetViews>
    <sheetView view="pageBreakPreview" zoomScale="85" zoomScaleNormal="100" zoomScaleSheetLayoutView="85" workbookViewId="0">
      <selection activeCell="P10" sqref="P10"/>
    </sheetView>
  </sheetViews>
  <sheetFormatPr defaultColWidth="8.88671875" defaultRowHeight="24.95" customHeight="1" outlineLevelCol="1"/>
  <cols>
    <col min="1" max="2" width="1.77734375" customWidth="1"/>
    <col min="3" max="3" width="11.77734375" style="351" customWidth="1"/>
    <col min="4" max="4" width="7.77734375" hidden="1" customWidth="1" outlineLevel="1"/>
    <col min="5" max="5" width="7.77734375" customWidth="1" collapsed="1"/>
    <col min="6" max="8" width="7.77734375" customWidth="1"/>
    <col min="9" max="9" width="7.77734375" hidden="1" customWidth="1" outlineLevel="1"/>
    <col min="10" max="10" width="7.77734375" customWidth="1" collapsed="1"/>
    <col min="11" max="13" width="7.77734375" customWidth="1"/>
  </cols>
  <sheetData>
    <row r="1" spans="1:14" s="204" customFormat="1" ht="24.95" customHeight="1">
      <c r="A1" s="204" t="s">
        <v>804</v>
      </c>
      <c r="C1" s="348"/>
    </row>
    <row r="2" spans="1:14" s="208" customFormat="1" ht="24.95" customHeight="1">
      <c r="A2" s="207" t="s">
        <v>1763</v>
      </c>
      <c r="B2" s="207"/>
      <c r="C2" s="349"/>
      <c r="F2" s="209"/>
      <c r="G2" s="209"/>
      <c r="I2" s="209"/>
      <c r="J2" s="209"/>
      <c r="K2" s="209"/>
      <c r="L2" s="209"/>
      <c r="M2" s="209"/>
    </row>
    <row r="3" spans="1:14" s="338" customFormat="1" ht="20.100000000000001" customHeight="1">
      <c r="A3" s="616" t="s">
        <v>1762</v>
      </c>
      <c r="B3" s="616"/>
      <c r="C3" s="616"/>
      <c r="D3" s="616" t="s">
        <v>50</v>
      </c>
      <c r="E3" s="616"/>
      <c r="F3" s="616"/>
      <c r="G3" s="616"/>
      <c r="H3" s="616"/>
      <c r="I3" s="613" t="s">
        <v>1243</v>
      </c>
      <c r="J3" s="614"/>
      <c r="K3" s="614"/>
      <c r="L3" s="614"/>
      <c r="M3" s="615"/>
    </row>
    <row r="4" spans="1:14" s="338" customFormat="1" ht="20.100000000000001" customHeight="1">
      <c r="A4" s="616"/>
      <c r="B4" s="616"/>
      <c r="C4" s="616"/>
      <c r="D4" s="553">
        <v>2013</v>
      </c>
      <c r="E4" s="553">
        <v>2015</v>
      </c>
      <c r="F4" s="553">
        <v>2020</v>
      </c>
      <c r="G4" s="553">
        <v>2025</v>
      </c>
      <c r="H4" s="553">
        <v>2030</v>
      </c>
      <c r="I4" s="553">
        <v>2013</v>
      </c>
      <c r="J4" s="553">
        <v>2015</v>
      </c>
      <c r="K4" s="553">
        <v>2020</v>
      </c>
      <c r="L4" s="553">
        <v>2025</v>
      </c>
      <c r="M4" s="553">
        <v>2030</v>
      </c>
    </row>
    <row r="5" spans="1:14" s="338" customFormat="1" ht="21.6" customHeight="1">
      <c r="A5" s="642" t="s">
        <v>698</v>
      </c>
      <c r="B5" s="642"/>
      <c r="C5" s="642"/>
      <c r="D5" s="352">
        <f t="shared" ref="D5:M5" si="0">D6+D9+D12+D15+D29+D35+D40+D53+D57+D60+D68+D24</f>
        <v>89248</v>
      </c>
      <c r="E5" s="352">
        <f t="shared" si="0"/>
        <v>109118</v>
      </c>
      <c r="F5" s="352">
        <f t="shared" si="0"/>
        <v>132797</v>
      </c>
      <c r="G5" s="352">
        <f t="shared" si="0"/>
        <v>137651</v>
      </c>
      <c r="H5" s="352">
        <f t="shared" si="0"/>
        <v>140466</v>
      </c>
      <c r="I5" s="352">
        <f t="shared" si="0"/>
        <v>34311</v>
      </c>
      <c r="J5" s="352">
        <f t="shared" si="0"/>
        <v>41526</v>
      </c>
      <c r="K5" s="352">
        <f t="shared" si="0"/>
        <v>51862</v>
      </c>
      <c r="L5" s="352">
        <f t="shared" si="0"/>
        <v>55168</v>
      </c>
      <c r="M5" s="352">
        <f t="shared" si="0"/>
        <v>57947</v>
      </c>
    </row>
    <row r="6" spans="1:14" s="403" customFormat="1" ht="21.6" customHeight="1">
      <c r="A6" s="642" t="s">
        <v>1871</v>
      </c>
      <c r="B6" s="642"/>
      <c r="C6" s="642"/>
      <c r="D6" s="352">
        <f>SUM(D7:D8)</f>
        <v>1648</v>
      </c>
      <c r="E6" s="352">
        <f t="shared" ref="E6:M6" si="1">SUM(E7:E8)</f>
        <v>1920</v>
      </c>
      <c r="F6" s="352">
        <f t="shared" si="1"/>
        <v>3274</v>
      </c>
      <c r="G6" s="352">
        <f t="shared" si="1"/>
        <v>3547</v>
      </c>
      <c r="H6" s="352">
        <f t="shared" si="1"/>
        <v>3610</v>
      </c>
      <c r="I6" s="352">
        <f t="shared" si="1"/>
        <v>287</v>
      </c>
      <c r="J6" s="352">
        <f t="shared" si="1"/>
        <v>585</v>
      </c>
      <c r="K6" s="352">
        <f t="shared" si="1"/>
        <v>1006</v>
      </c>
      <c r="L6" s="352">
        <f t="shared" si="1"/>
        <v>1098</v>
      </c>
      <c r="M6" s="352">
        <f t="shared" si="1"/>
        <v>1118</v>
      </c>
      <c r="N6" s="403" t="str">
        <f>IF(SUM(I6:M6)=SUM('2.생활용수(광석)'!$Q$5:$U$5),"OK","NG")</f>
        <v>OK</v>
      </c>
    </row>
    <row r="7" spans="1:14" s="403" customFormat="1" ht="21.6" customHeight="1">
      <c r="A7" s="616"/>
      <c r="B7" s="616"/>
      <c r="C7" s="553" t="s">
        <v>702</v>
      </c>
      <c r="D7" s="229">
        <f>'2.생활용수(광석)'!G6</f>
        <v>1648</v>
      </c>
      <c r="E7" s="229">
        <f>'2.생활용수(광석)'!H6</f>
        <v>1920</v>
      </c>
      <c r="F7" s="229">
        <f>'2.생활용수(광석)'!I6</f>
        <v>2780</v>
      </c>
      <c r="G7" s="229">
        <f>'2.생활용수(광석)'!J6</f>
        <v>3013</v>
      </c>
      <c r="H7" s="229">
        <f>'2.생활용수(광석)'!K6</f>
        <v>3067</v>
      </c>
      <c r="I7" s="229">
        <f>'2.생활용수(광석)'!Q6</f>
        <v>287</v>
      </c>
      <c r="J7" s="229">
        <f>'2.생활용수(광석)'!R6</f>
        <v>585</v>
      </c>
      <c r="K7" s="229">
        <f>'2.생활용수(광석)'!S6</f>
        <v>854</v>
      </c>
      <c r="L7" s="229">
        <f>'2.생활용수(광석)'!T6</f>
        <v>933</v>
      </c>
      <c r="M7" s="229">
        <f>'2.생활용수(광석)'!U6</f>
        <v>949</v>
      </c>
    </row>
    <row r="8" spans="1:14" s="403" customFormat="1" ht="21.6" customHeight="1">
      <c r="A8" s="616"/>
      <c r="B8" s="616"/>
      <c r="C8" s="553" t="s">
        <v>703</v>
      </c>
      <c r="D8" s="229">
        <f>'2.생활용수(광석)'!G30</f>
        <v>0</v>
      </c>
      <c r="E8" s="229">
        <f>'2.생활용수(광석)'!H30</f>
        <v>0</v>
      </c>
      <c r="F8" s="229">
        <f>'2.생활용수(광석)'!I30</f>
        <v>494</v>
      </c>
      <c r="G8" s="229">
        <f>'2.생활용수(광석)'!J30</f>
        <v>534</v>
      </c>
      <c r="H8" s="229">
        <f>'2.생활용수(광석)'!K30</f>
        <v>543</v>
      </c>
      <c r="I8" s="229">
        <f>'2.생활용수(광석)'!Q30</f>
        <v>0</v>
      </c>
      <c r="J8" s="229">
        <f>'2.생활용수(광석)'!R30</f>
        <v>0</v>
      </c>
      <c r="K8" s="229">
        <f>'2.생활용수(광석)'!S30</f>
        <v>152</v>
      </c>
      <c r="L8" s="229">
        <f>'2.생활용수(광석)'!T30</f>
        <v>165</v>
      </c>
      <c r="M8" s="229">
        <f>'2.생활용수(광석)'!U30</f>
        <v>169</v>
      </c>
    </row>
    <row r="9" spans="1:14" s="403" customFormat="1" ht="21.6" customHeight="1">
      <c r="A9" s="642" t="s">
        <v>1874</v>
      </c>
      <c r="B9" s="642"/>
      <c r="C9" s="642"/>
      <c r="D9" s="352">
        <f>SUM(D10:D11)</f>
        <v>3873</v>
      </c>
      <c r="E9" s="352">
        <f t="shared" ref="E9" si="2">SUM(E10:E11)</f>
        <v>4712</v>
      </c>
      <c r="F9" s="352">
        <f t="shared" ref="F9" si="3">SUM(F10:F11)</f>
        <v>4940</v>
      </c>
      <c r="G9" s="352">
        <f t="shared" ref="G9" si="4">SUM(G10:G11)</f>
        <v>5070</v>
      </c>
      <c r="H9" s="352">
        <f t="shared" ref="H9" si="5">SUM(H10:H11)</f>
        <v>5161</v>
      </c>
      <c r="I9" s="352">
        <f t="shared" ref="I9" si="6">SUM(I10:I11)</f>
        <v>1357</v>
      </c>
      <c r="J9" s="352">
        <f t="shared" ref="J9" si="7">SUM(J10:J11)</f>
        <v>1432</v>
      </c>
      <c r="K9" s="352">
        <f t="shared" ref="K9" si="8">SUM(K10:K11)</f>
        <v>1520</v>
      </c>
      <c r="L9" s="352">
        <f t="shared" ref="L9" si="9">SUM(L10:L11)</f>
        <v>1574</v>
      </c>
      <c r="M9" s="352">
        <f t="shared" ref="M9" si="10">SUM(M10:M11)</f>
        <v>1601</v>
      </c>
      <c r="N9" s="463" t="str">
        <f>IF(SUM(I9:M9)=SUM('2.생활용수(성동)'!$Q$5:$U$5),"OK","NG")</f>
        <v>OK</v>
      </c>
    </row>
    <row r="10" spans="1:14" s="403" customFormat="1" ht="21.6" customHeight="1">
      <c r="A10" s="686"/>
      <c r="B10" s="687"/>
      <c r="C10" s="553" t="s">
        <v>701</v>
      </c>
      <c r="D10" s="229">
        <f>'2.생활용수(성동)'!G6</f>
        <v>3680</v>
      </c>
      <c r="E10" s="229">
        <f>'2.생활용수(성동)'!H6</f>
        <v>4509</v>
      </c>
      <c r="F10" s="229">
        <f>'2.생활용수(성동)'!I6</f>
        <v>4726</v>
      </c>
      <c r="G10" s="229">
        <f>'2.생활용수(성동)'!J6</f>
        <v>4838</v>
      </c>
      <c r="H10" s="229">
        <f>'2.생활용수(성동)'!K6</f>
        <v>4925</v>
      </c>
      <c r="I10" s="229">
        <f>'2.생활용수(성동)'!Q6</f>
        <v>1248</v>
      </c>
      <c r="J10" s="229">
        <f>'2.생활용수(성동)'!R6</f>
        <v>1370</v>
      </c>
      <c r="K10" s="229">
        <f>'2.생활용수(성동)'!S6</f>
        <v>1454</v>
      </c>
      <c r="L10" s="229">
        <f>'2.생활용수(성동)'!T6</f>
        <v>1502</v>
      </c>
      <c r="M10" s="229">
        <f>'2.생활용수(성동)'!U6</f>
        <v>1528</v>
      </c>
    </row>
    <row r="11" spans="1:14" s="403" customFormat="1" ht="21.6" customHeight="1">
      <c r="A11" s="688"/>
      <c r="B11" s="689"/>
      <c r="C11" s="553" t="s">
        <v>702</v>
      </c>
      <c r="D11" s="229">
        <f>'2.생활용수(성동)'!G38</f>
        <v>193</v>
      </c>
      <c r="E11" s="229">
        <f>'2.생활용수(성동)'!H38</f>
        <v>203</v>
      </c>
      <c r="F11" s="229">
        <f>'2.생활용수(성동)'!I38</f>
        <v>214</v>
      </c>
      <c r="G11" s="229">
        <f>'2.생활용수(성동)'!J38</f>
        <v>232</v>
      </c>
      <c r="H11" s="229">
        <f>'2.생활용수(성동)'!K38</f>
        <v>236</v>
      </c>
      <c r="I11" s="229">
        <f>'2.생활용수(성동)'!Q38</f>
        <v>109</v>
      </c>
      <c r="J11" s="229">
        <f>'2.생활용수(성동)'!R38</f>
        <v>62</v>
      </c>
      <c r="K11" s="229">
        <f>'2.생활용수(성동)'!S38</f>
        <v>66</v>
      </c>
      <c r="L11" s="229">
        <f>'2.생활용수(성동)'!T38</f>
        <v>72</v>
      </c>
      <c r="M11" s="229">
        <f>'2.생활용수(성동)'!U38</f>
        <v>73</v>
      </c>
    </row>
    <row r="12" spans="1:14" s="403" customFormat="1" ht="21.6" customHeight="1">
      <c r="A12" s="610" t="s">
        <v>1875</v>
      </c>
      <c r="B12" s="611"/>
      <c r="C12" s="612"/>
      <c r="D12" s="352">
        <f>SUM(D13:D14)</f>
        <v>4933</v>
      </c>
      <c r="E12" s="352">
        <f t="shared" ref="E12" si="11">SUM(E13:E14)</f>
        <v>4916</v>
      </c>
      <c r="F12" s="352">
        <f t="shared" ref="F12" si="12">SUM(F13:F14)</f>
        <v>5213</v>
      </c>
      <c r="G12" s="352">
        <f t="shared" ref="G12" si="13">SUM(G13:G14)</f>
        <v>5385</v>
      </c>
      <c r="H12" s="352">
        <f t="shared" ref="H12" si="14">SUM(H13:H14)</f>
        <v>5532</v>
      </c>
      <c r="I12" s="352">
        <f t="shared" ref="I12" si="15">SUM(I13:I14)</f>
        <v>1876</v>
      </c>
      <c r="J12" s="352">
        <f t="shared" ref="J12" si="16">SUM(J13:J14)</f>
        <v>2074</v>
      </c>
      <c r="K12" s="352">
        <f t="shared" ref="K12" si="17">SUM(K13:K14)</f>
        <v>2258</v>
      </c>
      <c r="L12" s="352">
        <f t="shared" ref="L12" si="18">SUM(L13:L14)</f>
        <v>2401</v>
      </c>
      <c r="M12" s="352">
        <f t="shared" ref="M12" si="19">SUM(M13:M14)</f>
        <v>2578</v>
      </c>
      <c r="N12" s="463" t="str">
        <f>IF(SUM(I12:M12)=SUM('2.생활용수(봉화)'!$Q$5:$U$5),"OK","NG")</f>
        <v>OK</v>
      </c>
    </row>
    <row r="13" spans="1:14" s="403" customFormat="1" ht="21.6" customHeight="1">
      <c r="A13" s="686"/>
      <c r="B13" s="687"/>
      <c r="C13" s="553" t="s">
        <v>712</v>
      </c>
      <c r="D13" s="229">
        <f>'2.생활용수(봉화)'!G6</f>
        <v>1262</v>
      </c>
      <c r="E13" s="229">
        <f>'2.생활용수(봉화)'!H6</f>
        <v>1258</v>
      </c>
      <c r="F13" s="229">
        <f>'2.생활용수(봉화)'!I6</f>
        <v>1258</v>
      </c>
      <c r="G13" s="229">
        <f>'2.생활용수(봉화)'!J6</f>
        <v>1301</v>
      </c>
      <c r="H13" s="229">
        <f>'2.생활용수(봉화)'!K6</f>
        <v>1338</v>
      </c>
      <c r="I13" s="229">
        <f>'2.생활용수(봉화)'!Q6</f>
        <v>736</v>
      </c>
      <c r="J13" s="229">
        <f>'2.생활용수(봉화)'!R6</f>
        <v>530</v>
      </c>
      <c r="K13" s="229">
        <f>'2.생활용수(봉화)'!S6</f>
        <v>545</v>
      </c>
      <c r="L13" s="229">
        <f>'2.생활용수(봉화)'!T6</f>
        <v>580</v>
      </c>
      <c r="M13" s="229">
        <f>'2.생활용수(봉화)'!U6</f>
        <v>623</v>
      </c>
    </row>
    <row r="14" spans="1:14" s="403" customFormat="1" ht="21.6" customHeight="1">
      <c r="A14" s="688"/>
      <c r="B14" s="689"/>
      <c r="C14" s="553" t="s">
        <v>713</v>
      </c>
      <c r="D14" s="229">
        <f>'2.생활용수(봉화)'!G14</f>
        <v>3671</v>
      </c>
      <c r="E14" s="229">
        <f>'2.생활용수(봉화)'!H14</f>
        <v>3658</v>
      </c>
      <c r="F14" s="229">
        <f>'2.생활용수(봉화)'!I14</f>
        <v>3955</v>
      </c>
      <c r="G14" s="229">
        <f>'2.생활용수(봉화)'!J14</f>
        <v>4084</v>
      </c>
      <c r="H14" s="229">
        <f>'2.생활용수(봉화)'!K14</f>
        <v>4194</v>
      </c>
      <c r="I14" s="229">
        <f>'2.생활용수(봉화)'!Q14</f>
        <v>1140</v>
      </c>
      <c r="J14" s="229">
        <f>'2.생활용수(봉화)'!R14</f>
        <v>1544</v>
      </c>
      <c r="K14" s="229">
        <f>'2.생활용수(봉화)'!S14</f>
        <v>1713</v>
      </c>
      <c r="L14" s="229">
        <f>'2.생활용수(봉화)'!T14</f>
        <v>1821</v>
      </c>
      <c r="M14" s="229">
        <f>'2.생활용수(봉화)'!U14</f>
        <v>1955</v>
      </c>
    </row>
    <row r="15" spans="1:14" s="338" customFormat="1" ht="21.6" customHeight="1">
      <c r="A15" s="642" t="s">
        <v>1764</v>
      </c>
      <c r="B15" s="642"/>
      <c r="C15" s="642"/>
      <c r="D15" s="352">
        <f>D16+D20+D22</f>
        <v>41415</v>
      </c>
      <c r="E15" s="352">
        <f t="shared" ref="E15:M15" si="20">E16+E20+E22</f>
        <v>42781</v>
      </c>
      <c r="F15" s="352">
        <f t="shared" si="20"/>
        <v>48377</v>
      </c>
      <c r="G15" s="352">
        <f t="shared" si="20"/>
        <v>49883</v>
      </c>
      <c r="H15" s="352">
        <f t="shared" si="20"/>
        <v>51175</v>
      </c>
      <c r="I15" s="352">
        <f t="shared" si="20"/>
        <v>16771</v>
      </c>
      <c r="J15" s="352">
        <f t="shared" si="20"/>
        <v>18028</v>
      </c>
      <c r="K15" s="352">
        <f t="shared" si="20"/>
        <v>20917</v>
      </c>
      <c r="L15" s="352">
        <f t="shared" si="20"/>
        <v>22212</v>
      </c>
      <c r="M15" s="352">
        <f t="shared" si="20"/>
        <v>23807</v>
      </c>
      <c r="N15" s="463" t="str">
        <f>IF(SUM(I15:M15)=SUM('2.생활용수(논산)'!$Q$5:$U$5),"OK","NG")</f>
        <v>OK</v>
      </c>
    </row>
    <row r="16" spans="1:14" s="338" customFormat="1" ht="21.6" customHeight="1">
      <c r="A16" s="643"/>
      <c r="B16" s="616" t="s">
        <v>1765</v>
      </c>
      <c r="C16" s="616"/>
      <c r="D16" s="229">
        <f>SUM(D17:D19)</f>
        <v>31014</v>
      </c>
      <c r="E16" s="229">
        <f t="shared" ref="E16:M16" si="21">SUM(E17:E19)</f>
        <v>31170</v>
      </c>
      <c r="F16" s="229">
        <f t="shared" si="21"/>
        <v>32829</v>
      </c>
      <c r="G16" s="229">
        <f t="shared" si="21"/>
        <v>33928</v>
      </c>
      <c r="H16" s="229">
        <f t="shared" si="21"/>
        <v>34858</v>
      </c>
      <c r="I16" s="229">
        <f t="shared" si="21"/>
        <v>12459</v>
      </c>
      <c r="J16" s="229">
        <f t="shared" si="21"/>
        <v>13127</v>
      </c>
      <c r="K16" s="229">
        <f t="shared" si="21"/>
        <v>14185</v>
      </c>
      <c r="L16" s="229">
        <f t="shared" si="21"/>
        <v>15096</v>
      </c>
      <c r="M16" s="229">
        <f t="shared" si="21"/>
        <v>16203</v>
      </c>
    </row>
    <row r="17" spans="1:14" s="338" customFormat="1" ht="21.6" customHeight="1">
      <c r="A17" s="644"/>
      <c r="B17" s="616"/>
      <c r="C17" s="553" t="s">
        <v>712</v>
      </c>
      <c r="D17" s="229">
        <f>'2.생활용수(논산)'!G7</f>
        <v>16298</v>
      </c>
      <c r="E17" s="229">
        <f>'2.생활용수(논산)'!H7</f>
        <v>16485</v>
      </c>
      <c r="F17" s="229">
        <f>'2.생활용수(논산)'!I7</f>
        <v>17048</v>
      </c>
      <c r="G17" s="229">
        <f>'2.생활용수(논산)'!J7</f>
        <v>17616</v>
      </c>
      <c r="H17" s="229">
        <f>'2.생활용수(논산)'!K7</f>
        <v>18105</v>
      </c>
      <c r="I17" s="229">
        <f>'2.생활용수(논산)'!Q7</f>
        <v>7788</v>
      </c>
      <c r="J17" s="229">
        <f>'2.생활용수(논산)'!R7</f>
        <v>6957</v>
      </c>
      <c r="K17" s="229">
        <f>'2.생활용수(논산)'!S7</f>
        <v>7382</v>
      </c>
      <c r="L17" s="229">
        <f>'2.생활용수(논산)'!T7</f>
        <v>7856</v>
      </c>
      <c r="M17" s="229">
        <f>'2.생활용수(논산)'!U7</f>
        <v>8437</v>
      </c>
    </row>
    <row r="18" spans="1:14" s="338" customFormat="1" ht="21.6" customHeight="1">
      <c r="A18" s="644"/>
      <c r="B18" s="616"/>
      <c r="C18" s="553" t="s">
        <v>713</v>
      </c>
      <c r="D18" s="229">
        <f>'2.생활용수(논산)'!G15</f>
        <v>14513</v>
      </c>
      <c r="E18" s="229">
        <f>'2.생활용수(논산)'!H15</f>
        <v>14459</v>
      </c>
      <c r="F18" s="229">
        <f>'2.생활용수(논산)'!I15</f>
        <v>15543</v>
      </c>
      <c r="G18" s="229">
        <f>'2.생활용수(논산)'!J15</f>
        <v>16055</v>
      </c>
      <c r="H18" s="229">
        <f>'2.생활용수(논산)'!K15</f>
        <v>16492</v>
      </c>
      <c r="I18" s="229">
        <f>'2.생활용수(논산)'!Q15</f>
        <v>4640</v>
      </c>
      <c r="J18" s="229">
        <f>'2.생활용수(논산)'!R15</f>
        <v>6101</v>
      </c>
      <c r="K18" s="229">
        <f>'2.생활용수(논산)'!S15</f>
        <v>6730</v>
      </c>
      <c r="L18" s="229">
        <f>'2.생활용수(논산)'!T15</f>
        <v>7160</v>
      </c>
      <c r="M18" s="229">
        <f>'2.생활용수(논산)'!U15</f>
        <v>7685</v>
      </c>
    </row>
    <row r="19" spans="1:14" s="338" customFormat="1" ht="21.6" customHeight="1">
      <c r="A19" s="644"/>
      <c r="B19" s="616"/>
      <c r="C19" s="553" t="s">
        <v>710</v>
      </c>
      <c r="D19" s="229">
        <f>'2.생활용수(논산)'!G20</f>
        <v>203</v>
      </c>
      <c r="E19" s="229">
        <f>'2.생활용수(논산)'!H20</f>
        <v>226</v>
      </c>
      <c r="F19" s="229">
        <f>'2.생활용수(논산)'!I20</f>
        <v>238</v>
      </c>
      <c r="G19" s="229">
        <f>'2.생활용수(논산)'!J20</f>
        <v>257</v>
      </c>
      <c r="H19" s="229">
        <f>'2.생활용수(논산)'!K20</f>
        <v>261</v>
      </c>
      <c r="I19" s="229">
        <f>'2.생활용수(논산)'!Q20</f>
        <v>31</v>
      </c>
      <c r="J19" s="229">
        <f>'2.생활용수(논산)'!R20</f>
        <v>69</v>
      </c>
      <c r="K19" s="229">
        <f>'2.생활용수(논산)'!S20</f>
        <v>73</v>
      </c>
      <c r="L19" s="229">
        <f>'2.생활용수(논산)'!T20</f>
        <v>80</v>
      </c>
      <c r="M19" s="229">
        <f>'2.생활용수(논산)'!U20</f>
        <v>81</v>
      </c>
    </row>
    <row r="20" spans="1:14" s="338" customFormat="1" ht="21.6" customHeight="1">
      <c r="A20" s="644"/>
      <c r="B20" s="616" t="s">
        <v>1766</v>
      </c>
      <c r="C20" s="616"/>
      <c r="D20" s="229">
        <f>SUM(D21)</f>
        <v>10401</v>
      </c>
      <c r="E20" s="229">
        <f t="shared" ref="E20:M20" si="22">SUM(E21)</f>
        <v>10323</v>
      </c>
      <c r="F20" s="229">
        <f t="shared" si="22"/>
        <v>7355</v>
      </c>
      <c r="G20" s="229">
        <f t="shared" si="22"/>
        <v>7738</v>
      </c>
      <c r="H20" s="229">
        <f t="shared" si="22"/>
        <v>8079</v>
      </c>
      <c r="I20" s="229">
        <f t="shared" si="22"/>
        <v>4312</v>
      </c>
      <c r="J20" s="229">
        <f t="shared" si="22"/>
        <v>4357</v>
      </c>
      <c r="K20" s="229">
        <f t="shared" si="22"/>
        <v>3184</v>
      </c>
      <c r="L20" s="229">
        <f t="shared" si="22"/>
        <v>3451</v>
      </c>
      <c r="M20" s="229">
        <f t="shared" si="22"/>
        <v>3765</v>
      </c>
    </row>
    <row r="21" spans="1:14" s="338" customFormat="1" ht="21.6" customHeight="1">
      <c r="A21" s="644"/>
      <c r="B21" s="553"/>
      <c r="C21" s="553" t="s">
        <v>712</v>
      </c>
      <c r="D21" s="229">
        <f>'2.생활용수(논산)'!G23</f>
        <v>10401</v>
      </c>
      <c r="E21" s="229">
        <f>'2.생활용수(논산)'!H23</f>
        <v>10323</v>
      </c>
      <c r="F21" s="229">
        <f>'2.생활용수(논산)'!I23</f>
        <v>7355</v>
      </c>
      <c r="G21" s="229">
        <f>'2.생활용수(논산)'!J23</f>
        <v>7738</v>
      </c>
      <c r="H21" s="229">
        <f>'2.생활용수(논산)'!K23</f>
        <v>8079</v>
      </c>
      <c r="I21" s="229">
        <f>'2.생활용수(논산)'!Q23</f>
        <v>4312</v>
      </c>
      <c r="J21" s="229">
        <f>'2.생활용수(논산)'!R23</f>
        <v>4357</v>
      </c>
      <c r="K21" s="229">
        <f>'2.생활용수(논산)'!S23</f>
        <v>3184</v>
      </c>
      <c r="L21" s="229">
        <f>'2.생활용수(논산)'!T23</f>
        <v>3451</v>
      </c>
      <c r="M21" s="229">
        <f>'2.생활용수(논산)'!U23</f>
        <v>3765</v>
      </c>
    </row>
    <row r="22" spans="1:14" s="403" customFormat="1" ht="21.6" customHeight="1">
      <c r="A22" s="644"/>
      <c r="B22" s="616" t="s">
        <v>1876</v>
      </c>
      <c r="C22" s="616"/>
      <c r="D22" s="229">
        <f>SUM(D23)</f>
        <v>0</v>
      </c>
      <c r="E22" s="229">
        <f t="shared" ref="E22" si="23">SUM(E23)</f>
        <v>1288</v>
      </c>
      <c r="F22" s="229">
        <f t="shared" ref="F22" si="24">SUM(F23)</f>
        <v>8193</v>
      </c>
      <c r="G22" s="229">
        <f t="shared" ref="G22" si="25">SUM(G23)</f>
        <v>8217</v>
      </c>
      <c r="H22" s="229">
        <f t="shared" ref="H22" si="26">SUM(H23)</f>
        <v>8238</v>
      </c>
      <c r="I22" s="229">
        <f t="shared" ref="I22" si="27">SUM(I23)</f>
        <v>0</v>
      </c>
      <c r="J22" s="229">
        <f t="shared" ref="J22" si="28">SUM(J23)</f>
        <v>544</v>
      </c>
      <c r="K22" s="229">
        <f t="shared" ref="K22" si="29">SUM(K23)</f>
        <v>3548</v>
      </c>
      <c r="L22" s="229">
        <f t="shared" ref="L22" si="30">SUM(L23)</f>
        <v>3665</v>
      </c>
      <c r="M22" s="229">
        <f t="shared" ref="M22" si="31">SUM(M23)</f>
        <v>3839</v>
      </c>
    </row>
    <row r="23" spans="1:14" s="403" customFormat="1" ht="21.6" customHeight="1">
      <c r="A23" s="644"/>
      <c r="B23" s="553"/>
      <c r="C23" s="553" t="s">
        <v>712</v>
      </c>
      <c r="D23" s="229">
        <f>'2.생활용수(논산)'!G27</f>
        <v>0</v>
      </c>
      <c r="E23" s="229">
        <f>'2.생활용수(논산)'!H27</f>
        <v>1288</v>
      </c>
      <c r="F23" s="229">
        <f>'2.생활용수(논산)'!I27</f>
        <v>8193</v>
      </c>
      <c r="G23" s="229">
        <f>'2.생활용수(논산)'!J27</f>
        <v>8217</v>
      </c>
      <c r="H23" s="229">
        <f>'2.생활용수(논산)'!K27</f>
        <v>8238</v>
      </c>
      <c r="I23" s="229">
        <f>'2.생활용수(논산)'!Q27</f>
        <v>0</v>
      </c>
      <c r="J23" s="229">
        <f>'2.생활용수(논산)'!R27</f>
        <v>544</v>
      </c>
      <c r="K23" s="229">
        <f>'2.생활용수(논산)'!S27</f>
        <v>3548</v>
      </c>
      <c r="L23" s="229">
        <f>'2.생활용수(논산)'!T27</f>
        <v>3665</v>
      </c>
      <c r="M23" s="229">
        <f>'2.생활용수(논산)'!U27</f>
        <v>3839</v>
      </c>
    </row>
    <row r="24" spans="1:14" s="463" customFormat="1" ht="21.6" customHeight="1">
      <c r="A24" s="642" t="s">
        <v>2431</v>
      </c>
      <c r="B24" s="642"/>
      <c r="C24" s="642"/>
      <c r="D24" s="352">
        <f t="shared" ref="D24:H24" si="32">SUM(D25:D28)</f>
        <v>8099</v>
      </c>
      <c r="E24" s="352">
        <f t="shared" si="32"/>
        <v>13400</v>
      </c>
      <c r="F24" s="352">
        <f t="shared" si="32"/>
        <v>16670</v>
      </c>
      <c r="G24" s="352">
        <f t="shared" si="32"/>
        <v>17109</v>
      </c>
      <c r="H24" s="352">
        <f t="shared" si="32"/>
        <v>17365</v>
      </c>
      <c r="I24" s="352">
        <f>SUM(I25:I28)</f>
        <v>3549</v>
      </c>
      <c r="J24" s="352">
        <f t="shared" ref="J24:M24" si="33">SUM(J25:J28)</f>
        <v>5028</v>
      </c>
      <c r="K24" s="352">
        <f t="shared" si="33"/>
        <v>6413</v>
      </c>
      <c r="L24" s="352">
        <f t="shared" si="33"/>
        <v>6814</v>
      </c>
      <c r="M24" s="352">
        <f t="shared" si="33"/>
        <v>7104</v>
      </c>
      <c r="N24" s="463" t="str">
        <f>IF(SUM(I24:M24)=SUM('2.생활용수(연무)'!$Q$5:$U$5),"OK","NG")</f>
        <v>OK</v>
      </c>
    </row>
    <row r="25" spans="1:14" s="338" customFormat="1" ht="21.6" customHeight="1">
      <c r="A25" s="686"/>
      <c r="B25" s="687"/>
      <c r="C25" s="553" t="s">
        <v>710</v>
      </c>
      <c r="D25" s="229">
        <f>'2.생활용수(연무)'!G6</f>
        <v>1643</v>
      </c>
      <c r="E25" s="229">
        <f>'2.생활용수(연무)'!H6</f>
        <v>2882</v>
      </c>
      <c r="F25" s="229">
        <f>'2.생활용수(연무)'!I6</f>
        <v>3503</v>
      </c>
      <c r="G25" s="229">
        <f>'2.생활용수(연무)'!J6</f>
        <v>3710</v>
      </c>
      <c r="H25" s="229">
        <f>'2.생활용수(연무)'!K6</f>
        <v>3774</v>
      </c>
      <c r="I25" s="229">
        <f>'2.생활용수(연무)'!Q6</f>
        <v>656</v>
      </c>
      <c r="J25" s="229">
        <f>'2.생활용수(연무)'!R6</f>
        <v>876</v>
      </c>
      <c r="K25" s="229">
        <f>'2.생활용수(연무)'!S6</f>
        <v>1078</v>
      </c>
      <c r="L25" s="229">
        <f>'2.생활용수(연무)'!T6</f>
        <v>1150</v>
      </c>
      <c r="M25" s="229">
        <f>'2.생활용수(연무)'!U6</f>
        <v>1171</v>
      </c>
    </row>
    <row r="26" spans="1:14" s="338" customFormat="1" ht="21.6" customHeight="1">
      <c r="A26" s="690"/>
      <c r="B26" s="691"/>
      <c r="C26" s="553" t="s">
        <v>700</v>
      </c>
      <c r="D26" s="229">
        <f>'2.생활용수(연무)'!G34</f>
        <v>4701</v>
      </c>
      <c r="E26" s="229">
        <f>'2.생활용수(연무)'!H34</f>
        <v>8469</v>
      </c>
      <c r="F26" s="229">
        <f>'2.생활용수(연무)'!I34</f>
        <v>8769</v>
      </c>
      <c r="G26" s="229">
        <f>'2.생활용수(연무)'!J34</f>
        <v>8895</v>
      </c>
      <c r="H26" s="229">
        <f>'2.생활용수(연무)'!K34</f>
        <v>8995</v>
      </c>
      <c r="I26" s="229">
        <f>'2.생활용수(연무)'!Q34</f>
        <v>2152</v>
      </c>
      <c r="J26" s="229">
        <f>'2.생활용수(연무)'!R34</f>
        <v>3306</v>
      </c>
      <c r="K26" s="229">
        <f>'2.생활용수(연무)'!S34</f>
        <v>3656</v>
      </c>
      <c r="L26" s="229">
        <f>'2.생활용수(연무)'!T34</f>
        <v>3905</v>
      </c>
      <c r="M26" s="229">
        <f>'2.생활용수(연무)'!U34</f>
        <v>4083</v>
      </c>
    </row>
    <row r="27" spans="1:14" s="403" customFormat="1" ht="21.6" customHeight="1">
      <c r="A27" s="690"/>
      <c r="B27" s="691"/>
      <c r="C27" s="553" t="s">
        <v>1877</v>
      </c>
      <c r="D27" s="229">
        <f>'2.생활용수(연무)'!G90</f>
        <v>89</v>
      </c>
      <c r="E27" s="229">
        <f>'2.생활용수(연무)'!H90</f>
        <v>162</v>
      </c>
      <c r="F27" s="229">
        <f>'2.생활용수(연무)'!I90</f>
        <v>1790</v>
      </c>
      <c r="G27" s="229">
        <f>'2.생활용수(연무)'!J90</f>
        <v>1829</v>
      </c>
      <c r="H27" s="229">
        <f>'2.생활용수(연무)'!K90</f>
        <v>1862</v>
      </c>
      <c r="I27" s="229">
        <f>'2.생활용수(연무)'!Q90</f>
        <v>3</v>
      </c>
      <c r="J27" s="229">
        <f>'2.생활용수(연무)'!R90</f>
        <v>50</v>
      </c>
      <c r="K27" s="229">
        <f>'2.생활용수(연무)'!S90</f>
        <v>550</v>
      </c>
      <c r="L27" s="229">
        <f>'2.생활용수(연무)'!T90</f>
        <v>566</v>
      </c>
      <c r="M27" s="229">
        <f>'2.생활용수(연무)'!U90</f>
        <v>576</v>
      </c>
    </row>
    <row r="28" spans="1:14" s="515" customFormat="1" ht="21.6" customHeight="1">
      <c r="A28" s="688"/>
      <c r="B28" s="689"/>
      <c r="C28" s="553" t="s">
        <v>2598</v>
      </c>
      <c r="D28" s="229">
        <f>'2.생활용수(연무)'!G116</f>
        <v>1666</v>
      </c>
      <c r="E28" s="229">
        <f>'2.생활용수(연무)'!H116</f>
        <v>1887</v>
      </c>
      <c r="F28" s="229">
        <f>'2.생활용수(연무)'!I116</f>
        <v>2608</v>
      </c>
      <c r="G28" s="229">
        <f>'2.생활용수(연무)'!J116</f>
        <v>2675</v>
      </c>
      <c r="H28" s="229">
        <f>'2.생활용수(연무)'!K116</f>
        <v>2734</v>
      </c>
      <c r="I28" s="229">
        <f>'2.생활용수(연무)'!Q116</f>
        <v>738</v>
      </c>
      <c r="J28" s="229">
        <f>'2.생활용수(연무)'!R116</f>
        <v>796</v>
      </c>
      <c r="K28" s="229">
        <f>'2.생활용수(연무)'!S116</f>
        <v>1129</v>
      </c>
      <c r="L28" s="229">
        <f>'2.생활용수(연무)'!T116</f>
        <v>1193</v>
      </c>
      <c r="M28" s="229">
        <f>'2.생활용수(연무)'!U116</f>
        <v>1274</v>
      </c>
    </row>
    <row r="29" spans="1:14" s="403" customFormat="1" ht="21.6" customHeight="1">
      <c r="A29" s="642" t="s">
        <v>1878</v>
      </c>
      <c r="B29" s="642"/>
      <c r="C29" s="642"/>
      <c r="D29" s="352">
        <f>D30+D33</f>
        <v>9303</v>
      </c>
      <c r="E29" s="352">
        <f t="shared" ref="E29:M29" si="34">E30+E33</f>
        <v>10956</v>
      </c>
      <c r="F29" s="352">
        <f t="shared" si="34"/>
        <v>11849</v>
      </c>
      <c r="G29" s="352">
        <f t="shared" si="34"/>
        <v>12125</v>
      </c>
      <c r="H29" s="352">
        <f t="shared" si="34"/>
        <v>12343</v>
      </c>
      <c r="I29" s="352">
        <f t="shared" si="34"/>
        <v>3062</v>
      </c>
      <c r="J29" s="352">
        <f t="shared" si="34"/>
        <v>4202</v>
      </c>
      <c r="K29" s="352">
        <f t="shared" si="34"/>
        <v>4777</v>
      </c>
      <c r="L29" s="352">
        <f t="shared" si="34"/>
        <v>5125</v>
      </c>
      <c r="M29" s="352">
        <f t="shared" si="34"/>
        <v>5379</v>
      </c>
      <c r="N29" s="463" t="str">
        <f>IF(SUM(I29:M29)=SUM('2.생활용수(마산)'!$Q$5:$U$5),"OK","NG")</f>
        <v>OK</v>
      </c>
    </row>
    <row r="30" spans="1:14" s="403" customFormat="1" ht="21.6" customHeight="1">
      <c r="A30" s="643"/>
      <c r="B30" s="613" t="s">
        <v>1879</v>
      </c>
      <c r="C30" s="615"/>
      <c r="D30" s="229">
        <f>SUM(D31:D32)</f>
        <v>9303</v>
      </c>
      <c r="E30" s="229">
        <f t="shared" ref="E30:L30" si="35">SUM(E31:E32)</f>
        <v>10956</v>
      </c>
      <c r="F30" s="229">
        <f t="shared" si="35"/>
        <v>10351</v>
      </c>
      <c r="G30" s="229">
        <f t="shared" si="35"/>
        <v>10595</v>
      </c>
      <c r="H30" s="229">
        <f t="shared" si="35"/>
        <v>10781</v>
      </c>
      <c r="I30" s="229">
        <f t="shared" si="35"/>
        <v>3062</v>
      </c>
      <c r="J30" s="229">
        <f t="shared" si="35"/>
        <v>4202</v>
      </c>
      <c r="K30" s="229">
        <f t="shared" si="35"/>
        <v>4316</v>
      </c>
      <c r="L30" s="229">
        <f t="shared" si="35"/>
        <v>4651</v>
      </c>
      <c r="M30" s="229">
        <f>SUM(M31:M32)</f>
        <v>4894</v>
      </c>
    </row>
    <row r="31" spans="1:14" s="403" customFormat="1" ht="21.6" customHeight="1">
      <c r="A31" s="653"/>
      <c r="B31" s="643"/>
      <c r="C31" s="553" t="s">
        <v>700</v>
      </c>
      <c r="D31" s="229">
        <f>'2.생활용수(마산)'!G7</f>
        <v>8882</v>
      </c>
      <c r="E31" s="229">
        <f>'2.생활용수(마산)'!H7</f>
        <v>10112</v>
      </c>
      <c r="F31" s="229">
        <f>'2.생활용수(마산)'!I7</f>
        <v>10351</v>
      </c>
      <c r="G31" s="229">
        <f>'2.생활용수(마산)'!J7</f>
        <v>10595</v>
      </c>
      <c r="H31" s="229">
        <f>'2.생활용수(마산)'!K7</f>
        <v>10781</v>
      </c>
      <c r="I31" s="229">
        <f>'2.생활용수(마산)'!Q7</f>
        <v>2972</v>
      </c>
      <c r="J31" s="229">
        <f>'2.생활용수(마산)'!R7</f>
        <v>3945</v>
      </c>
      <c r="K31" s="229">
        <f>'2.생활용수(마산)'!S7</f>
        <v>4316</v>
      </c>
      <c r="L31" s="229">
        <f>'2.생활용수(마산)'!T7</f>
        <v>4651</v>
      </c>
      <c r="M31" s="229">
        <f>'2.생활용수(마산)'!U7</f>
        <v>4894</v>
      </c>
    </row>
    <row r="32" spans="1:14" s="403" customFormat="1" ht="21.6" customHeight="1">
      <c r="A32" s="653"/>
      <c r="B32" s="645"/>
      <c r="C32" s="553" t="s">
        <v>1877</v>
      </c>
      <c r="D32" s="229">
        <f>'2.생활용수(마산)'!G63</f>
        <v>421</v>
      </c>
      <c r="E32" s="229">
        <f>'2.생활용수(마산)'!H63</f>
        <v>844</v>
      </c>
      <c r="F32" s="229">
        <f>'2.생활용수(마산)'!I63</f>
        <v>0</v>
      </c>
      <c r="G32" s="229">
        <f>'2.생활용수(마산)'!J63</f>
        <v>0</v>
      </c>
      <c r="H32" s="229">
        <f>'2.생활용수(마산)'!K63</f>
        <v>0</v>
      </c>
      <c r="I32" s="229">
        <f>'2.생활용수(마산)'!Q63</f>
        <v>90</v>
      </c>
      <c r="J32" s="229">
        <f>'2.생활용수(마산)'!R63</f>
        <v>257</v>
      </c>
      <c r="K32" s="229">
        <f>'2.생활용수(마산)'!S63</f>
        <v>0</v>
      </c>
      <c r="L32" s="229">
        <f>'2.생활용수(마산)'!T63</f>
        <v>0</v>
      </c>
      <c r="M32" s="229">
        <f>'2.생활용수(마산)'!U63</f>
        <v>0</v>
      </c>
    </row>
    <row r="33" spans="1:14" s="403" customFormat="1" ht="21.6" customHeight="1">
      <c r="A33" s="653"/>
      <c r="B33" s="613" t="s">
        <v>1880</v>
      </c>
      <c r="C33" s="615"/>
      <c r="D33" s="229">
        <f>SUM(D34)</f>
        <v>0</v>
      </c>
      <c r="E33" s="229">
        <f t="shared" ref="E33" si="36">SUM(E34)</f>
        <v>0</v>
      </c>
      <c r="F33" s="229">
        <f t="shared" ref="F33" si="37">SUM(F34)</f>
        <v>1498</v>
      </c>
      <c r="G33" s="229">
        <f t="shared" ref="G33" si="38">SUM(G34)</f>
        <v>1530</v>
      </c>
      <c r="H33" s="229">
        <f t="shared" ref="H33" si="39">SUM(H34)</f>
        <v>1562</v>
      </c>
      <c r="I33" s="229">
        <f t="shared" ref="I33" si="40">SUM(I34)</f>
        <v>0</v>
      </c>
      <c r="J33" s="229">
        <f t="shared" ref="J33" si="41">SUM(J34)</f>
        <v>0</v>
      </c>
      <c r="K33" s="229">
        <f t="shared" ref="K33" si="42">SUM(K34)</f>
        <v>461</v>
      </c>
      <c r="L33" s="229">
        <f t="shared" ref="L33" si="43">SUM(L34)</f>
        <v>474</v>
      </c>
      <c r="M33" s="229">
        <f t="shared" ref="M33" si="44">SUM(M34)</f>
        <v>485</v>
      </c>
    </row>
    <row r="34" spans="1:14" s="403" customFormat="1" ht="21.6" customHeight="1">
      <c r="A34" s="654"/>
      <c r="B34" s="558"/>
      <c r="C34" s="553" t="s">
        <v>1877</v>
      </c>
      <c r="D34" s="229">
        <f>'2.생활용수(마산)'!G90</f>
        <v>0</v>
      </c>
      <c r="E34" s="229">
        <f>'2.생활용수(마산)'!H90</f>
        <v>0</v>
      </c>
      <c r="F34" s="229">
        <f>'2.생활용수(마산)'!I90</f>
        <v>1498</v>
      </c>
      <c r="G34" s="229">
        <f>'2.생활용수(마산)'!J90</f>
        <v>1530</v>
      </c>
      <c r="H34" s="229">
        <f>'2.생활용수(마산)'!K90</f>
        <v>1562</v>
      </c>
      <c r="I34" s="229">
        <f>'2.생활용수(마산)'!Q90</f>
        <v>0</v>
      </c>
      <c r="J34" s="229">
        <f>'2.생활용수(마산)'!R90</f>
        <v>0</v>
      </c>
      <c r="K34" s="229">
        <f>'2.생활용수(마산)'!S90</f>
        <v>461</v>
      </c>
      <c r="L34" s="229">
        <f>'2.생활용수(마산)'!T90</f>
        <v>474</v>
      </c>
      <c r="M34" s="229">
        <f>'2.생활용수(마산)'!U90</f>
        <v>485</v>
      </c>
    </row>
    <row r="35" spans="1:14" s="403" customFormat="1" ht="19.5" customHeight="1">
      <c r="A35" s="642" t="s">
        <v>1832</v>
      </c>
      <c r="B35" s="642"/>
      <c r="C35" s="642"/>
      <c r="D35" s="352">
        <f>D36+D38</f>
        <v>2961</v>
      </c>
      <c r="E35" s="352">
        <f t="shared" ref="E35:M35" si="45">E36+E38</f>
        <v>3397</v>
      </c>
      <c r="F35" s="352">
        <f t="shared" si="45"/>
        <v>3575</v>
      </c>
      <c r="G35" s="352">
        <f t="shared" si="45"/>
        <v>3877</v>
      </c>
      <c r="H35" s="352">
        <f t="shared" si="45"/>
        <v>3953</v>
      </c>
      <c r="I35" s="352">
        <f t="shared" si="45"/>
        <v>941</v>
      </c>
      <c r="J35" s="352">
        <f t="shared" si="45"/>
        <v>1033</v>
      </c>
      <c r="K35" s="352">
        <f t="shared" si="45"/>
        <v>1100</v>
      </c>
      <c r="L35" s="352">
        <f t="shared" si="45"/>
        <v>1204</v>
      </c>
      <c r="M35" s="352">
        <f t="shared" si="45"/>
        <v>1223</v>
      </c>
      <c r="N35" s="463" t="str">
        <f>IF(SUM(I35:M35)=SUM('2.생활용수(부적)'!$Q$5:$U$5),"OK","NG")</f>
        <v>OK</v>
      </c>
    </row>
    <row r="36" spans="1:14" s="403" customFormat="1" ht="19.5" customHeight="1">
      <c r="A36" s="616"/>
      <c r="B36" s="616" t="s">
        <v>1881</v>
      </c>
      <c r="C36" s="616"/>
      <c r="D36" s="229">
        <f>SUM(D37)</f>
        <v>2491</v>
      </c>
      <c r="E36" s="229">
        <f t="shared" ref="E36" si="46">SUM(E37)</f>
        <v>2815</v>
      </c>
      <c r="F36" s="229">
        <f t="shared" ref="F36" si="47">SUM(F37)</f>
        <v>2959</v>
      </c>
      <c r="G36" s="229">
        <f t="shared" ref="G36" si="48">SUM(G37)</f>
        <v>3210</v>
      </c>
      <c r="H36" s="229">
        <f t="shared" ref="H36" si="49">SUM(H37)</f>
        <v>3274</v>
      </c>
      <c r="I36" s="229">
        <f t="shared" ref="I36" si="50">SUM(I37)</f>
        <v>765</v>
      </c>
      <c r="J36" s="229">
        <f t="shared" ref="J36" si="51">SUM(J37)</f>
        <v>857</v>
      </c>
      <c r="K36" s="229">
        <f t="shared" ref="K36" si="52">SUM(K37)</f>
        <v>911</v>
      </c>
      <c r="L36" s="229">
        <f t="shared" ref="L36" si="53">SUM(L37)</f>
        <v>996</v>
      </c>
      <c r="M36" s="229">
        <f t="shared" ref="M36" si="54">SUM(M37)</f>
        <v>1013</v>
      </c>
    </row>
    <row r="37" spans="1:14" s="403" customFormat="1" ht="19.5" customHeight="1">
      <c r="A37" s="616"/>
      <c r="B37" s="553"/>
      <c r="C37" s="553" t="s">
        <v>1883</v>
      </c>
      <c r="D37" s="229">
        <f>'2.생활용수(부적)'!G7</f>
        <v>2491</v>
      </c>
      <c r="E37" s="229">
        <f>'2.생활용수(부적)'!H7</f>
        <v>2815</v>
      </c>
      <c r="F37" s="229">
        <f>'2.생활용수(부적)'!I7</f>
        <v>2959</v>
      </c>
      <c r="G37" s="229">
        <f>'2.생활용수(부적)'!J7</f>
        <v>3210</v>
      </c>
      <c r="H37" s="229">
        <f>'2.생활용수(부적)'!K7</f>
        <v>3274</v>
      </c>
      <c r="I37" s="229">
        <f>'2.생활용수(부적)'!Q7</f>
        <v>765</v>
      </c>
      <c r="J37" s="229">
        <f>'2.생활용수(부적)'!R7</f>
        <v>857</v>
      </c>
      <c r="K37" s="229">
        <f>'2.생활용수(부적)'!S7</f>
        <v>911</v>
      </c>
      <c r="L37" s="229">
        <f>'2.생활용수(부적)'!T7</f>
        <v>996</v>
      </c>
      <c r="M37" s="229">
        <f>'2.생활용수(부적)'!U7</f>
        <v>1013</v>
      </c>
    </row>
    <row r="38" spans="1:14" s="403" customFormat="1" ht="19.5" customHeight="1">
      <c r="A38" s="616"/>
      <c r="B38" s="616" t="s">
        <v>1882</v>
      </c>
      <c r="C38" s="616"/>
      <c r="D38" s="229">
        <f>SUM(D39)</f>
        <v>470</v>
      </c>
      <c r="E38" s="229">
        <f t="shared" ref="E38" si="55">SUM(E39)</f>
        <v>582</v>
      </c>
      <c r="F38" s="229">
        <f t="shared" ref="F38" si="56">SUM(F39)</f>
        <v>616</v>
      </c>
      <c r="G38" s="229">
        <f t="shared" ref="G38" si="57">SUM(G39)</f>
        <v>667</v>
      </c>
      <c r="H38" s="229">
        <f t="shared" ref="H38" si="58">SUM(H39)</f>
        <v>679</v>
      </c>
      <c r="I38" s="229">
        <f t="shared" ref="I38" si="59">SUM(I39)</f>
        <v>176</v>
      </c>
      <c r="J38" s="229">
        <f t="shared" ref="J38" si="60">SUM(J39)</f>
        <v>176</v>
      </c>
      <c r="K38" s="229">
        <f t="shared" ref="K38" si="61">SUM(K39)</f>
        <v>189</v>
      </c>
      <c r="L38" s="229">
        <f t="shared" ref="L38" si="62">SUM(L39)</f>
        <v>208</v>
      </c>
      <c r="M38" s="229">
        <f t="shared" ref="M38" si="63">SUM(M39)</f>
        <v>210</v>
      </c>
    </row>
    <row r="39" spans="1:14" s="403" customFormat="1" ht="19.5" customHeight="1">
      <c r="A39" s="616"/>
      <c r="B39" s="553"/>
      <c r="C39" s="553" t="s">
        <v>1883</v>
      </c>
      <c r="D39" s="229">
        <f>'2.생활용수(부적)'!G42</f>
        <v>470</v>
      </c>
      <c r="E39" s="229">
        <f>'2.생활용수(부적)'!H42</f>
        <v>582</v>
      </c>
      <c r="F39" s="229">
        <f>'2.생활용수(부적)'!I42</f>
        <v>616</v>
      </c>
      <c r="G39" s="229">
        <f>'2.생활용수(부적)'!J42</f>
        <v>667</v>
      </c>
      <c r="H39" s="229">
        <f>'2.생활용수(부적)'!K42</f>
        <v>679</v>
      </c>
      <c r="I39" s="229">
        <f>'2.생활용수(부적)'!Q42</f>
        <v>176</v>
      </c>
      <c r="J39" s="229">
        <f>'2.생활용수(부적)'!R42</f>
        <v>176</v>
      </c>
      <c r="K39" s="229">
        <f>'2.생활용수(부적)'!S42</f>
        <v>189</v>
      </c>
      <c r="L39" s="229">
        <f>'2.생활용수(부적)'!T42</f>
        <v>208</v>
      </c>
      <c r="M39" s="229">
        <f>'2.생활용수(부적)'!U42</f>
        <v>210</v>
      </c>
    </row>
    <row r="40" spans="1:14" s="403" customFormat="1" ht="19.5" customHeight="1">
      <c r="A40" s="642" t="s">
        <v>1769</v>
      </c>
      <c r="B40" s="642"/>
      <c r="C40" s="642"/>
      <c r="D40" s="352">
        <f>D41+D46+D49+D44</f>
        <v>3028</v>
      </c>
      <c r="E40" s="352">
        <f>E41+E46+E49+E44+E52</f>
        <v>7847</v>
      </c>
      <c r="F40" s="352">
        <f t="shared" ref="F40:L40" si="64">F41+F46+F49+F44+F52</f>
        <v>19274</v>
      </c>
      <c r="G40" s="352">
        <f t="shared" si="64"/>
        <v>20179</v>
      </c>
      <c r="H40" s="352">
        <f t="shared" si="64"/>
        <v>20492</v>
      </c>
      <c r="I40" s="352">
        <f t="shared" si="64"/>
        <v>1252</v>
      </c>
      <c r="J40" s="352">
        <f t="shared" si="64"/>
        <v>2385</v>
      </c>
      <c r="K40" s="352">
        <f t="shared" si="64"/>
        <v>6660</v>
      </c>
      <c r="L40" s="352">
        <f t="shared" si="64"/>
        <v>6977</v>
      </c>
      <c r="M40" s="352">
        <f>M41+M46+M49+M44+M52</f>
        <v>7071</v>
      </c>
      <c r="N40" s="463" t="str">
        <f>IF((SUM(I40:M40)-SUM(J52:M52))=SUM('2.생활용수(연산)'!$Q$5:$U$5),"OK","NG")</f>
        <v>OK</v>
      </c>
    </row>
    <row r="41" spans="1:14" s="403" customFormat="1" ht="19.5" customHeight="1">
      <c r="A41" s="643"/>
      <c r="B41" s="613" t="s">
        <v>1884</v>
      </c>
      <c r="C41" s="615"/>
      <c r="D41" s="229">
        <f t="shared" ref="D41:G41" si="65">SUM(D42:D43)</f>
        <v>2237</v>
      </c>
      <c r="E41" s="229">
        <f t="shared" si="65"/>
        <v>3884</v>
      </c>
      <c r="F41" s="229">
        <f t="shared" si="65"/>
        <v>5938</v>
      </c>
      <c r="G41" s="229">
        <f t="shared" si="65"/>
        <v>6442</v>
      </c>
      <c r="H41" s="229">
        <f>SUM(H42:H43)</f>
        <v>6561</v>
      </c>
      <c r="I41" s="229">
        <f t="shared" ref="I41:M41" si="66">SUM(I42:I43)</f>
        <v>1158</v>
      </c>
      <c r="J41" s="229">
        <f t="shared" si="66"/>
        <v>1180</v>
      </c>
      <c r="K41" s="229">
        <f t="shared" si="66"/>
        <v>1831</v>
      </c>
      <c r="L41" s="229">
        <f t="shared" si="66"/>
        <v>1997</v>
      </c>
      <c r="M41" s="229">
        <f t="shared" si="66"/>
        <v>2036</v>
      </c>
    </row>
    <row r="42" spans="1:14" s="403" customFormat="1" ht="19.5" customHeight="1">
      <c r="A42" s="644"/>
      <c r="B42" s="643"/>
      <c r="C42" s="553" t="s">
        <v>1885</v>
      </c>
      <c r="D42" s="229">
        <f>'2.생활용수(연산)'!G7</f>
        <v>2237</v>
      </c>
      <c r="E42" s="229">
        <f>'2.생활용수(연산)'!H7</f>
        <v>3884</v>
      </c>
      <c r="F42" s="229">
        <f>'2.생활용수(연산)'!I7</f>
        <v>5938</v>
      </c>
      <c r="G42" s="229">
        <f>'2.생활용수(연산)'!J7</f>
        <v>6442</v>
      </c>
      <c r="H42" s="229">
        <f>'2.생활용수(연산)'!K7</f>
        <v>6561</v>
      </c>
      <c r="I42" s="229">
        <f>'2.생활용수(연산)'!Q7</f>
        <v>1158</v>
      </c>
      <c r="J42" s="229">
        <f>'2.생활용수(연산)'!R7</f>
        <v>1180</v>
      </c>
      <c r="K42" s="229">
        <f>'2.생활용수(연산)'!S7</f>
        <v>1831</v>
      </c>
      <c r="L42" s="229">
        <f>'2.생활용수(연산)'!T7</f>
        <v>1997</v>
      </c>
      <c r="M42" s="229">
        <f>'2.생활용수(연산)'!U7</f>
        <v>2036</v>
      </c>
    </row>
    <row r="43" spans="1:14" s="463" customFormat="1" ht="19.5" customHeight="1">
      <c r="A43" s="644"/>
      <c r="B43" s="645"/>
      <c r="C43" s="553" t="s">
        <v>1449</v>
      </c>
      <c r="D43" s="229">
        <f>'2.생활용수(연산)'!G48</f>
        <v>0</v>
      </c>
      <c r="E43" s="229">
        <f>'2.생활용수(연산)'!H48</f>
        <v>0</v>
      </c>
      <c r="F43" s="229">
        <f>'2.생활용수(연산)'!I48</f>
        <v>0</v>
      </c>
      <c r="G43" s="229">
        <f>'2.생활용수(연산)'!J48</f>
        <v>0</v>
      </c>
      <c r="H43" s="229">
        <f>'2.생활용수(연산)'!K48</f>
        <v>0</v>
      </c>
      <c r="I43" s="229">
        <f>'2.생활용수(연산)'!Q48</f>
        <v>0</v>
      </c>
      <c r="J43" s="229">
        <f>'2.생활용수(연산)'!R48</f>
        <v>0</v>
      </c>
      <c r="K43" s="229">
        <f>'2.생활용수(연산)'!S48</f>
        <v>0</v>
      </c>
      <c r="L43" s="229">
        <f>'2.생활용수(연산)'!T48</f>
        <v>0</v>
      </c>
      <c r="M43" s="229">
        <f>'2.생활용수(연산)'!U48</f>
        <v>0</v>
      </c>
    </row>
    <row r="44" spans="1:14" s="470" customFormat="1" ht="19.5" customHeight="1">
      <c r="A44" s="644"/>
      <c r="B44" s="613" t="s">
        <v>1886</v>
      </c>
      <c r="C44" s="615"/>
      <c r="D44" s="229">
        <f>SUM(D45)</f>
        <v>0</v>
      </c>
      <c r="E44" s="229">
        <f t="shared" ref="E44:M44" si="67">SUM(E45)</f>
        <v>0</v>
      </c>
      <c r="F44" s="229">
        <f t="shared" si="67"/>
        <v>2412</v>
      </c>
      <c r="G44" s="229">
        <f t="shared" si="67"/>
        <v>2615</v>
      </c>
      <c r="H44" s="229">
        <f t="shared" si="67"/>
        <v>2660</v>
      </c>
      <c r="I44" s="229">
        <f t="shared" si="67"/>
        <v>0</v>
      </c>
      <c r="J44" s="229">
        <f t="shared" si="67"/>
        <v>0</v>
      </c>
      <c r="K44" s="229">
        <f t="shared" si="67"/>
        <v>743</v>
      </c>
      <c r="L44" s="229">
        <f t="shared" si="67"/>
        <v>813</v>
      </c>
      <c r="M44" s="229">
        <f t="shared" si="67"/>
        <v>824</v>
      </c>
    </row>
    <row r="45" spans="1:14" s="470" customFormat="1" ht="19.5" customHeight="1">
      <c r="A45" s="644"/>
      <c r="B45" s="558"/>
      <c r="C45" s="553" t="s">
        <v>704</v>
      </c>
      <c r="D45" s="229">
        <f>'2.생활용수(연산)'!G76</f>
        <v>0</v>
      </c>
      <c r="E45" s="229">
        <f>'2.생활용수(연산)'!H76</f>
        <v>0</v>
      </c>
      <c r="F45" s="229">
        <f>'2.생활용수(연산)'!I76</f>
        <v>2412</v>
      </c>
      <c r="G45" s="229">
        <f>'2.생활용수(연산)'!J76</f>
        <v>2615</v>
      </c>
      <c r="H45" s="229">
        <f>'2.생활용수(연산)'!K76</f>
        <v>2660</v>
      </c>
      <c r="I45" s="229">
        <f>'2.생활용수(연산)'!Q76</f>
        <v>0</v>
      </c>
      <c r="J45" s="229">
        <f>'2.생활용수(연산)'!R76</f>
        <v>0</v>
      </c>
      <c r="K45" s="229">
        <f>'2.생활용수(연산)'!S76</f>
        <v>743</v>
      </c>
      <c r="L45" s="229">
        <f>'2.생활용수(연산)'!T76</f>
        <v>813</v>
      </c>
      <c r="M45" s="229">
        <f>'2.생활용수(연산)'!U76</f>
        <v>824</v>
      </c>
    </row>
    <row r="46" spans="1:14" s="403" customFormat="1" ht="19.5" customHeight="1">
      <c r="A46" s="644"/>
      <c r="B46" s="613" t="s">
        <v>1887</v>
      </c>
      <c r="C46" s="615"/>
      <c r="D46" s="229">
        <f t="shared" ref="D46:M46" si="68">SUM(D47:D48)</f>
        <v>791</v>
      </c>
      <c r="E46" s="229">
        <f t="shared" si="68"/>
        <v>3963</v>
      </c>
      <c r="F46" s="229">
        <f t="shared" si="68"/>
        <v>5585</v>
      </c>
      <c r="G46" s="229">
        <f t="shared" si="68"/>
        <v>5727</v>
      </c>
      <c r="H46" s="229">
        <f t="shared" si="68"/>
        <v>5828</v>
      </c>
      <c r="I46" s="229">
        <f t="shared" si="68"/>
        <v>94</v>
      </c>
      <c r="J46" s="229">
        <f t="shared" si="68"/>
        <v>1205</v>
      </c>
      <c r="K46" s="229">
        <f t="shared" si="68"/>
        <v>1720</v>
      </c>
      <c r="L46" s="229">
        <f t="shared" si="68"/>
        <v>1778</v>
      </c>
      <c r="M46" s="229">
        <f t="shared" si="68"/>
        <v>1806</v>
      </c>
    </row>
    <row r="47" spans="1:14" s="403" customFormat="1" ht="19.5" customHeight="1">
      <c r="A47" s="644"/>
      <c r="B47" s="643"/>
      <c r="C47" s="553" t="s">
        <v>1888</v>
      </c>
      <c r="D47" s="229">
        <f>'2.생활용수(연산)'!G104</f>
        <v>699</v>
      </c>
      <c r="E47" s="229">
        <f>'2.생활용수(연산)'!H104-E52</f>
        <v>3717</v>
      </c>
      <c r="F47" s="229">
        <f>'2.생활용수(연산)'!I104-F52</f>
        <v>5310</v>
      </c>
      <c r="G47" s="229">
        <f>'2.생활용수(연산)'!J104-G52</f>
        <v>5444</v>
      </c>
      <c r="H47" s="229">
        <f>'2.생활용수(연산)'!K104-H52</f>
        <v>5541</v>
      </c>
      <c r="I47" s="229">
        <f>'2.생활용수(연산)'!Q104</f>
        <v>82</v>
      </c>
      <c r="J47" s="229">
        <f>'2.생활용수(연산)'!R104</f>
        <v>1130</v>
      </c>
      <c r="K47" s="229">
        <f>'2.생활용수(연산)'!S104</f>
        <v>1636</v>
      </c>
      <c r="L47" s="229">
        <f>'2.생활용수(연산)'!T104</f>
        <v>1690</v>
      </c>
      <c r="M47" s="229">
        <f>'2.생활용수(연산)'!U104</f>
        <v>1717</v>
      </c>
    </row>
    <row r="48" spans="1:14" s="403" customFormat="1" ht="19.5" customHeight="1">
      <c r="A48" s="644"/>
      <c r="B48" s="645"/>
      <c r="C48" s="553" t="s">
        <v>1877</v>
      </c>
      <c r="D48" s="229">
        <f>'2.생활용수(연산)'!G148</f>
        <v>92</v>
      </c>
      <c r="E48" s="229">
        <f>'2.생활용수(연산)'!H148</f>
        <v>246</v>
      </c>
      <c r="F48" s="229">
        <f>'2.생활용수(연산)'!I148</f>
        <v>275</v>
      </c>
      <c r="G48" s="229">
        <f>'2.생활용수(연산)'!J148</f>
        <v>283</v>
      </c>
      <c r="H48" s="229">
        <f>'2.생활용수(연산)'!K148</f>
        <v>287</v>
      </c>
      <c r="I48" s="229">
        <f>'2.생활용수(연산)'!Q148</f>
        <v>12</v>
      </c>
      <c r="J48" s="229">
        <f>'2.생활용수(연산)'!R148</f>
        <v>75</v>
      </c>
      <c r="K48" s="229">
        <f>'2.생활용수(연산)'!S148</f>
        <v>84</v>
      </c>
      <c r="L48" s="229">
        <f>'2.생활용수(연산)'!T148</f>
        <v>88</v>
      </c>
      <c r="M48" s="229">
        <f>'2.생활용수(연산)'!U148</f>
        <v>89</v>
      </c>
    </row>
    <row r="49" spans="1:14" s="403" customFormat="1" ht="19.5" customHeight="1">
      <c r="A49" s="644"/>
      <c r="B49" s="613" t="s">
        <v>1889</v>
      </c>
      <c r="C49" s="615"/>
      <c r="D49" s="229">
        <f>SUM(D50:D51)</f>
        <v>0</v>
      </c>
      <c r="E49" s="229">
        <f t="shared" ref="E49" si="69">SUM(E50:E51)</f>
        <v>0</v>
      </c>
      <c r="F49" s="229">
        <f t="shared" ref="F49" si="70">SUM(F50:F51)</f>
        <v>2412</v>
      </c>
      <c r="G49" s="229">
        <f t="shared" ref="G49" si="71">SUM(G50:G51)</f>
        <v>2468</v>
      </c>
      <c r="H49" s="229">
        <f t="shared" ref="H49" si="72">SUM(H50:H51)</f>
        <v>2516</v>
      </c>
      <c r="I49" s="229">
        <f t="shared" ref="I49" si="73">SUM(I50:I51)</f>
        <v>0</v>
      </c>
      <c r="J49" s="229">
        <f t="shared" ref="J49" si="74">SUM(J50:J51)</f>
        <v>0</v>
      </c>
      <c r="K49" s="229">
        <f t="shared" ref="K49" si="75">SUM(K50:K51)</f>
        <v>742</v>
      </c>
      <c r="L49" s="229">
        <f t="shared" ref="L49" si="76">SUM(L50:L51)</f>
        <v>765</v>
      </c>
      <c r="M49" s="229">
        <f t="shared" ref="M49" si="77">SUM(M50:M51)</f>
        <v>781</v>
      </c>
    </row>
    <row r="50" spans="1:14" s="403" customFormat="1" ht="19.5" customHeight="1">
      <c r="A50" s="644"/>
      <c r="B50" s="643"/>
      <c r="C50" s="553" t="s">
        <v>1890</v>
      </c>
      <c r="D50" s="229">
        <f>'2.생활용수(연산)'!G153</f>
        <v>0</v>
      </c>
      <c r="E50" s="229">
        <f>'2.생활용수(연산)'!H153</f>
        <v>0</v>
      </c>
      <c r="F50" s="229">
        <f>'2.생활용수(연산)'!I153</f>
        <v>2241</v>
      </c>
      <c r="G50" s="229">
        <f>'2.생활용수(연산)'!J153</f>
        <v>2292</v>
      </c>
      <c r="H50" s="229">
        <f>'2.생활용수(연산)'!K153</f>
        <v>2336</v>
      </c>
      <c r="I50" s="229">
        <f>'2.생활용수(연산)'!Q153</f>
        <v>0</v>
      </c>
      <c r="J50" s="229">
        <f>'2.생활용수(연산)'!R153</f>
        <v>0</v>
      </c>
      <c r="K50" s="229">
        <f>'2.생활용수(연산)'!S153</f>
        <v>689</v>
      </c>
      <c r="L50" s="229">
        <f>'2.생활용수(연산)'!T153</f>
        <v>710</v>
      </c>
      <c r="M50" s="229">
        <f>'2.생활용수(연산)'!U153</f>
        <v>725</v>
      </c>
    </row>
    <row r="51" spans="1:14" s="403" customFormat="1" ht="19.5" customHeight="1">
      <c r="A51" s="644"/>
      <c r="B51" s="645"/>
      <c r="C51" s="553" t="s">
        <v>1888</v>
      </c>
      <c r="D51" s="229">
        <f>'2.생활용수(연산)'!G177</f>
        <v>0</v>
      </c>
      <c r="E51" s="229">
        <f>'2.생활용수(연산)'!H177</f>
        <v>0</v>
      </c>
      <c r="F51" s="229">
        <f>'2.생활용수(연산)'!I177</f>
        <v>171</v>
      </c>
      <c r="G51" s="229">
        <f>'2.생활용수(연산)'!J177</f>
        <v>176</v>
      </c>
      <c r="H51" s="229">
        <f>'2.생활용수(연산)'!K177</f>
        <v>180</v>
      </c>
      <c r="I51" s="229">
        <f>'2.생활용수(연산)'!Q177</f>
        <v>0</v>
      </c>
      <c r="J51" s="229">
        <f>'2.생활용수(연산)'!R177</f>
        <v>0</v>
      </c>
      <c r="K51" s="229">
        <f>'2.생활용수(연산)'!S177</f>
        <v>53</v>
      </c>
      <c r="L51" s="229">
        <f>'2.생활용수(연산)'!T177</f>
        <v>55</v>
      </c>
      <c r="M51" s="229">
        <f>'2.생활용수(연산)'!U177</f>
        <v>56</v>
      </c>
    </row>
    <row r="52" spans="1:14" s="549" customFormat="1" ht="19.5" customHeight="1">
      <c r="A52" s="645"/>
      <c r="B52" s="613" t="s">
        <v>2605</v>
      </c>
      <c r="C52" s="615"/>
      <c r="D52" s="229"/>
      <c r="E52" s="229">
        <f>'2.생활용수(연산)'!H138</f>
        <v>0</v>
      </c>
      <c r="F52" s="229">
        <f>'2.생활용수(연산)'!I138</f>
        <v>2927</v>
      </c>
      <c r="G52" s="229">
        <f>'2.생활용수(연산)'!J138</f>
        <v>2927</v>
      </c>
      <c r="H52" s="229">
        <f>'2.생활용수(연산)'!K138</f>
        <v>2927</v>
      </c>
      <c r="I52" s="229"/>
      <c r="J52" s="229">
        <f>ROUND(E52*555/1000,0)</f>
        <v>0</v>
      </c>
      <c r="K52" s="229">
        <f>ROUND(F52*555/1000,0)</f>
        <v>1624</v>
      </c>
      <c r="L52" s="229">
        <f>ROUND(G52*555/1000,0)</f>
        <v>1624</v>
      </c>
      <c r="M52" s="229">
        <f>ROUND(H52*555/1000,0)</f>
        <v>1624</v>
      </c>
    </row>
    <row r="53" spans="1:14" s="403" customFormat="1" ht="19.5" customHeight="1">
      <c r="A53" s="642" t="s">
        <v>1768</v>
      </c>
      <c r="B53" s="642"/>
      <c r="C53" s="642"/>
      <c r="D53" s="352">
        <f>SUM(D54:D56)</f>
        <v>3091</v>
      </c>
      <c r="E53" s="352">
        <f t="shared" ref="E53:M53" si="78">SUM(E54:E56)</f>
        <v>3584</v>
      </c>
      <c r="F53" s="352">
        <f t="shared" si="78"/>
        <v>3738</v>
      </c>
      <c r="G53" s="352">
        <f t="shared" si="78"/>
        <v>3893</v>
      </c>
      <c r="H53" s="352">
        <f t="shared" si="78"/>
        <v>3965</v>
      </c>
      <c r="I53" s="352">
        <f t="shared" si="78"/>
        <v>743</v>
      </c>
      <c r="J53" s="352">
        <f t="shared" si="78"/>
        <v>1119</v>
      </c>
      <c r="K53" s="352">
        <f t="shared" si="78"/>
        <v>1193</v>
      </c>
      <c r="L53" s="352">
        <f t="shared" si="78"/>
        <v>1258</v>
      </c>
      <c r="M53" s="352">
        <f t="shared" si="78"/>
        <v>1285</v>
      </c>
      <c r="N53" s="463" t="str">
        <f>IF(SUM(I53:M53)=SUM('2.생활용수(채운)'!$Q$5:$U$5),"OK","NG")</f>
        <v>OK</v>
      </c>
    </row>
    <row r="54" spans="1:14" s="403" customFormat="1" ht="19.5" customHeight="1">
      <c r="A54" s="686"/>
      <c r="B54" s="687"/>
      <c r="C54" s="553" t="s">
        <v>1891</v>
      </c>
      <c r="D54" s="229">
        <f>'2.생활용수(채운)'!G6</f>
        <v>1787</v>
      </c>
      <c r="E54" s="229">
        <f>'2.생활용수(채운)'!H6</f>
        <v>2177</v>
      </c>
      <c r="F54" s="229">
        <f>'2.생활용수(채운)'!I6</f>
        <v>2271</v>
      </c>
      <c r="G54" s="229">
        <f>'2.생활용수(채운)'!J6</f>
        <v>2328</v>
      </c>
      <c r="H54" s="229">
        <f>'2.생활용수(채운)'!K6</f>
        <v>2370</v>
      </c>
      <c r="I54" s="229">
        <f>'2.생활용수(채운)'!Q6</f>
        <v>462</v>
      </c>
      <c r="J54" s="229">
        <f>'2.생활용수(채운)'!R6</f>
        <v>661</v>
      </c>
      <c r="K54" s="229">
        <f>'2.생활용수(채운)'!S6</f>
        <v>701</v>
      </c>
      <c r="L54" s="229">
        <f>'2.생활용수(채운)'!T6</f>
        <v>722</v>
      </c>
      <c r="M54" s="229">
        <f>'2.생활용수(채운)'!U6</f>
        <v>735</v>
      </c>
    </row>
    <row r="55" spans="1:14" s="403" customFormat="1" ht="19.5" customHeight="1">
      <c r="A55" s="690"/>
      <c r="B55" s="691"/>
      <c r="C55" s="553" t="s">
        <v>1892</v>
      </c>
      <c r="D55" s="229">
        <f>'2.생활용수(채운)'!G32</f>
        <v>939</v>
      </c>
      <c r="E55" s="229">
        <f>'2.생활용수(채운)'!H32</f>
        <v>1048</v>
      </c>
      <c r="F55" s="229">
        <f>'2.생활용수(채운)'!I32</f>
        <v>1097</v>
      </c>
      <c r="G55" s="229">
        <f>'2.생활용수(채운)'!J32</f>
        <v>1185</v>
      </c>
      <c r="H55" s="229">
        <f>'2.생활용수(채운)'!K32</f>
        <v>1208</v>
      </c>
      <c r="I55" s="229">
        <f>'2.생활용수(채운)'!Q32</f>
        <v>206</v>
      </c>
      <c r="J55" s="229">
        <f>'2.생활용수(채운)'!R32</f>
        <v>319</v>
      </c>
      <c r="K55" s="229">
        <f>'2.생활용수(채운)'!S32</f>
        <v>338</v>
      </c>
      <c r="L55" s="229">
        <f>'2.생활용수(채운)'!T32</f>
        <v>369</v>
      </c>
      <c r="M55" s="229">
        <f>'2.생활용수(채운)'!U32</f>
        <v>374</v>
      </c>
    </row>
    <row r="56" spans="1:14" s="403" customFormat="1" ht="19.5" customHeight="1">
      <c r="A56" s="688"/>
      <c r="B56" s="689"/>
      <c r="C56" s="553" t="s">
        <v>1893</v>
      </c>
      <c r="D56" s="229">
        <f>'2.생활용수(채운)'!G60</f>
        <v>365</v>
      </c>
      <c r="E56" s="229">
        <f>'2.생활용수(채운)'!H60</f>
        <v>359</v>
      </c>
      <c r="F56" s="229">
        <f>'2.생활용수(채운)'!I60</f>
        <v>370</v>
      </c>
      <c r="G56" s="229">
        <f>'2.생활용수(채운)'!J60</f>
        <v>380</v>
      </c>
      <c r="H56" s="229">
        <f>'2.생활용수(채운)'!K60</f>
        <v>387</v>
      </c>
      <c r="I56" s="229">
        <f>'2.생활용수(채운)'!Q60</f>
        <v>75</v>
      </c>
      <c r="J56" s="229">
        <f>'2.생활용수(채운)'!R60</f>
        <v>139</v>
      </c>
      <c r="K56" s="229">
        <f>'2.생활용수(채운)'!S60</f>
        <v>154</v>
      </c>
      <c r="L56" s="229">
        <f>'2.생활용수(채운)'!T60</f>
        <v>167</v>
      </c>
      <c r="M56" s="229">
        <f>'2.생활용수(채운)'!U60</f>
        <v>176</v>
      </c>
    </row>
    <row r="57" spans="1:14" s="403" customFormat="1" ht="19.5" customHeight="1">
      <c r="A57" s="642" t="s">
        <v>1767</v>
      </c>
      <c r="B57" s="642"/>
      <c r="C57" s="642"/>
      <c r="D57" s="352">
        <f>SUM(D58:D59)</f>
        <v>10897</v>
      </c>
      <c r="E57" s="352">
        <f t="shared" ref="E57:M57" si="79">SUM(E58:E59)</f>
        <v>10801</v>
      </c>
      <c r="F57" s="352">
        <f t="shared" si="79"/>
        <v>10728</v>
      </c>
      <c r="G57" s="352">
        <f t="shared" si="79"/>
        <v>10988</v>
      </c>
      <c r="H57" s="352">
        <f t="shared" si="79"/>
        <v>11169</v>
      </c>
      <c r="I57" s="352">
        <f t="shared" si="79"/>
        <v>4473</v>
      </c>
      <c r="J57" s="352">
        <f t="shared" si="79"/>
        <v>4182</v>
      </c>
      <c r="K57" s="352">
        <f t="shared" si="79"/>
        <v>4429</v>
      </c>
      <c r="L57" s="352">
        <f t="shared" si="79"/>
        <v>4770</v>
      </c>
      <c r="M57" s="352">
        <f t="shared" si="79"/>
        <v>5012</v>
      </c>
      <c r="N57" s="463" t="str">
        <f>IF(SUM(I57:M57)=SUM('2.생활용수(강경)'!$Q$5:$U$5),"OK","NG")</f>
        <v>OK</v>
      </c>
    </row>
    <row r="58" spans="1:14" s="403" customFormat="1" ht="19.5" customHeight="1">
      <c r="A58" s="616"/>
      <c r="B58" s="616"/>
      <c r="C58" s="553" t="s">
        <v>1894</v>
      </c>
      <c r="D58" s="229">
        <f>'2.생활용수(강경)'!G6</f>
        <v>10575</v>
      </c>
      <c r="E58" s="229">
        <f>'2.생활용수(강경)'!H6</f>
        <v>10421</v>
      </c>
      <c r="F58" s="229">
        <f>'2.생활용수(강경)'!I6</f>
        <v>10332</v>
      </c>
      <c r="G58" s="229">
        <f>'2.생활용수(강경)'!J6</f>
        <v>10581</v>
      </c>
      <c r="H58" s="229">
        <f>'2.생활용수(강경)'!K6</f>
        <v>10756</v>
      </c>
      <c r="I58" s="229">
        <f>'2.생활용수(강경)'!Q6</f>
        <v>4330</v>
      </c>
      <c r="J58" s="229">
        <f>'2.생활용수(강경)'!R6</f>
        <v>4066</v>
      </c>
      <c r="K58" s="229">
        <f>'2.생활용수(강경)'!S6</f>
        <v>4307</v>
      </c>
      <c r="L58" s="229">
        <f>'2.생활용수(강경)'!T6</f>
        <v>4643</v>
      </c>
      <c r="M58" s="229">
        <f>'2.생활용수(강경)'!U6</f>
        <v>4883</v>
      </c>
    </row>
    <row r="59" spans="1:14" s="403" customFormat="1" ht="19.5" customHeight="1">
      <c r="A59" s="616"/>
      <c r="B59" s="616"/>
      <c r="C59" s="553" t="s">
        <v>1891</v>
      </c>
      <c r="D59" s="229">
        <f>'2.생활용수(강경)'!G35</f>
        <v>322</v>
      </c>
      <c r="E59" s="229">
        <f>'2.생활용수(강경)'!H35</f>
        <v>380</v>
      </c>
      <c r="F59" s="229">
        <f>'2.생활용수(강경)'!I35</f>
        <v>396</v>
      </c>
      <c r="G59" s="229">
        <f>'2.생활용수(강경)'!J35</f>
        <v>407</v>
      </c>
      <c r="H59" s="229">
        <f>'2.생활용수(강경)'!K35</f>
        <v>413</v>
      </c>
      <c r="I59" s="229">
        <f>'2.생활용수(강경)'!Q35</f>
        <v>143</v>
      </c>
      <c r="J59" s="229">
        <f>'2.생활용수(강경)'!R35</f>
        <v>116</v>
      </c>
      <c r="K59" s="229">
        <f>'2.생활용수(강경)'!S35</f>
        <v>122</v>
      </c>
      <c r="L59" s="229">
        <f>'2.생활용수(강경)'!T35</f>
        <v>127</v>
      </c>
      <c r="M59" s="229">
        <f>'2.생활용수(강경)'!U35</f>
        <v>129</v>
      </c>
    </row>
    <row r="60" spans="1:14" s="403" customFormat="1" ht="19.5" customHeight="1">
      <c r="A60" s="642" t="s">
        <v>1770</v>
      </c>
      <c r="B60" s="642"/>
      <c r="C60" s="642"/>
      <c r="D60" s="352">
        <f t="shared" ref="D60:M60" si="80">D61+D67+D65</f>
        <v>0</v>
      </c>
      <c r="E60" s="352">
        <f t="shared" si="80"/>
        <v>4804</v>
      </c>
      <c r="F60" s="352">
        <f t="shared" si="80"/>
        <v>5159</v>
      </c>
      <c r="G60" s="352">
        <f t="shared" si="80"/>
        <v>5595</v>
      </c>
      <c r="H60" s="352">
        <f t="shared" si="80"/>
        <v>5701</v>
      </c>
      <c r="I60" s="352">
        <f t="shared" si="80"/>
        <v>0</v>
      </c>
      <c r="J60" s="352">
        <f t="shared" si="80"/>
        <v>1458</v>
      </c>
      <c r="K60" s="352">
        <f t="shared" si="80"/>
        <v>1589</v>
      </c>
      <c r="L60" s="352">
        <f t="shared" si="80"/>
        <v>1735</v>
      </c>
      <c r="M60" s="352">
        <f t="shared" si="80"/>
        <v>1769</v>
      </c>
      <c r="N60" s="463" t="str">
        <f>IF(SUM(I60:M60)=SUM('2.생활용수(노성)'!$Q$5:$U$5),"OK","NG")</f>
        <v>OK</v>
      </c>
    </row>
    <row r="61" spans="1:14" s="403" customFormat="1" ht="19.5" customHeight="1">
      <c r="A61" s="642"/>
      <c r="B61" s="616" t="s">
        <v>1896</v>
      </c>
      <c r="C61" s="616"/>
      <c r="D61" s="229">
        <f t="shared" ref="D61:L61" si="81">SUM(D62:D64)</f>
        <v>0</v>
      </c>
      <c r="E61" s="229">
        <f t="shared" si="81"/>
        <v>2873</v>
      </c>
      <c r="F61" s="229">
        <f t="shared" si="81"/>
        <v>5159</v>
      </c>
      <c r="G61" s="229">
        <f t="shared" si="81"/>
        <v>5595</v>
      </c>
      <c r="H61" s="229">
        <f t="shared" si="81"/>
        <v>5701</v>
      </c>
      <c r="I61" s="229">
        <f t="shared" si="81"/>
        <v>0</v>
      </c>
      <c r="J61" s="229">
        <f t="shared" si="81"/>
        <v>871</v>
      </c>
      <c r="K61" s="229">
        <f t="shared" si="81"/>
        <v>1589</v>
      </c>
      <c r="L61" s="229">
        <f t="shared" si="81"/>
        <v>1735</v>
      </c>
      <c r="M61" s="229">
        <f>SUM(M62:M64)</f>
        <v>1769</v>
      </c>
    </row>
    <row r="62" spans="1:14" s="403" customFormat="1" ht="19.5" customHeight="1">
      <c r="A62" s="642"/>
      <c r="B62" s="643"/>
      <c r="C62" s="553" t="s">
        <v>1873</v>
      </c>
      <c r="D62" s="229">
        <f>'2.생활용수(노성)'!G7</f>
        <v>0</v>
      </c>
      <c r="E62" s="229">
        <f>'2.생활용수(노성)'!H7</f>
        <v>1623</v>
      </c>
      <c r="F62" s="229">
        <f>'2.생활용수(노성)'!I7</f>
        <v>2741</v>
      </c>
      <c r="G62" s="229">
        <f>'2.생활용수(노성)'!J7</f>
        <v>2973</v>
      </c>
      <c r="H62" s="229">
        <f>'2.생활용수(노성)'!K7</f>
        <v>3030</v>
      </c>
      <c r="I62" s="229">
        <f>'2.생활용수(노성)'!Q7</f>
        <v>0</v>
      </c>
      <c r="J62" s="229">
        <f>'2.생활용수(노성)'!R7</f>
        <v>493</v>
      </c>
      <c r="K62" s="229">
        <f>'2.생활용수(노성)'!S7</f>
        <v>846</v>
      </c>
      <c r="L62" s="229">
        <f>'2.생활용수(노성)'!T7</f>
        <v>922</v>
      </c>
      <c r="M62" s="229">
        <f>'2.생활용수(노성)'!U7</f>
        <v>941</v>
      </c>
    </row>
    <row r="63" spans="1:14" s="403" customFormat="1" ht="19.5" customHeight="1">
      <c r="A63" s="642"/>
      <c r="B63" s="644"/>
      <c r="C63" s="553" t="s">
        <v>1872</v>
      </c>
      <c r="D63" s="229">
        <f>'2.생활용수(노성)'!G34</f>
        <v>0</v>
      </c>
      <c r="E63" s="229">
        <f>'2.생활용수(노성)'!H34</f>
        <v>1250</v>
      </c>
      <c r="F63" s="229">
        <f>'2.생활용수(노성)'!I34</f>
        <v>1406</v>
      </c>
      <c r="G63" s="229">
        <f>'2.생활용수(노성)'!J34</f>
        <v>1524</v>
      </c>
      <c r="H63" s="229">
        <f>'2.생활용수(노성)'!K34</f>
        <v>1552</v>
      </c>
      <c r="I63" s="229">
        <f>'2.생활용수(노성)'!Q34</f>
        <v>0</v>
      </c>
      <c r="J63" s="229">
        <f>'2.생활용수(노성)'!R34</f>
        <v>378</v>
      </c>
      <c r="K63" s="229">
        <f>'2.생활용수(노성)'!S34</f>
        <v>432</v>
      </c>
      <c r="L63" s="229">
        <f>'2.생활용수(노성)'!T34</f>
        <v>472</v>
      </c>
      <c r="M63" s="229">
        <f>'2.생활용수(노성)'!U34</f>
        <v>481</v>
      </c>
    </row>
    <row r="64" spans="1:14" s="470" customFormat="1" ht="19.5" customHeight="1">
      <c r="A64" s="642"/>
      <c r="B64" s="645"/>
      <c r="C64" s="553" t="s">
        <v>704</v>
      </c>
      <c r="D64" s="229">
        <f>'2.생활용수(노성)'!G45</f>
        <v>0</v>
      </c>
      <c r="E64" s="229">
        <f>'2.생활용수(노성)'!H45</f>
        <v>0</v>
      </c>
      <c r="F64" s="229">
        <f>'2.생활용수(노성)'!I45</f>
        <v>1012</v>
      </c>
      <c r="G64" s="229">
        <f>'2.생활용수(노성)'!J45</f>
        <v>1098</v>
      </c>
      <c r="H64" s="229">
        <f>'2.생활용수(노성)'!K45</f>
        <v>1119</v>
      </c>
      <c r="I64" s="229">
        <f>'2.생활용수(노성)'!Q45</f>
        <v>0</v>
      </c>
      <c r="J64" s="229">
        <f>'2.생활용수(노성)'!R45</f>
        <v>0</v>
      </c>
      <c r="K64" s="229">
        <f>'2.생활용수(노성)'!S45</f>
        <v>311</v>
      </c>
      <c r="L64" s="229">
        <f>'2.생활용수(노성)'!T45</f>
        <v>341</v>
      </c>
      <c r="M64" s="229">
        <f>'2.생활용수(노성)'!U45</f>
        <v>347</v>
      </c>
    </row>
    <row r="65" spans="1:15" s="463" customFormat="1" ht="19.5" customHeight="1">
      <c r="A65" s="642"/>
      <c r="B65" s="613" t="s">
        <v>1886</v>
      </c>
      <c r="C65" s="615"/>
      <c r="D65" s="229">
        <f>SUM(D66)</f>
        <v>0</v>
      </c>
      <c r="E65" s="229">
        <f t="shared" ref="E65:M65" si="82">SUM(E66)</f>
        <v>1931</v>
      </c>
      <c r="F65" s="229">
        <f t="shared" si="82"/>
        <v>0</v>
      </c>
      <c r="G65" s="229">
        <f t="shared" si="82"/>
        <v>0</v>
      </c>
      <c r="H65" s="229">
        <f t="shared" si="82"/>
        <v>0</v>
      </c>
      <c r="I65" s="229">
        <f t="shared" si="82"/>
        <v>0</v>
      </c>
      <c r="J65" s="229">
        <f t="shared" si="82"/>
        <v>587</v>
      </c>
      <c r="K65" s="229">
        <f t="shared" si="82"/>
        <v>0</v>
      </c>
      <c r="L65" s="229">
        <f t="shared" si="82"/>
        <v>0</v>
      </c>
      <c r="M65" s="229">
        <f t="shared" si="82"/>
        <v>0</v>
      </c>
    </row>
    <row r="66" spans="1:15" s="463" customFormat="1" ht="19.5" customHeight="1">
      <c r="A66" s="642"/>
      <c r="B66" s="558"/>
      <c r="C66" s="553" t="s">
        <v>1449</v>
      </c>
      <c r="D66" s="229">
        <f>'2.생활용수(노성)'!G73</f>
        <v>0</v>
      </c>
      <c r="E66" s="229">
        <f>'2.생활용수(노성)'!H73</f>
        <v>1931</v>
      </c>
      <c r="F66" s="229">
        <f>'2.생활용수(노성)'!I73</f>
        <v>0</v>
      </c>
      <c r="G66" s="229">
        <f>'2.생활용수(노성)'!J73</f>
        <v>0</v>
      </c>
      <c r="H66" s="229">
        <f>'2.생활용수(노성)'!K73</f>
        <v>0</v>
      </c>
      <c r="I66" s="229">
        <f>'2.생활용수(노성)'!Q73</f>
        <v>0</v>
      </c>
      <c r="J66" s="229">
        <f>'2.생활용수(노성)'!R73</f>
        <v>587</v>
      </c>
      <c r="K66" s="229">
        <f>'2.생활용수(노성)'!S73</f>
        <v>0</v>
      </c>
      <c r="L66" s="229">
        <f>'2.생활용수(노성)'!T73</f>
        <v>0</v>
      </c>
      <c r="M66" s="229">
        <f>'2.생활용수(노성)'!U73</f>
        <v>0</v>
      </c>
    </row>
    <row r="67" spans="1:15" s="403" customFormat="1" ht="19.5" customHeight="1">
      <c r="A67" s="642"/>
      <c r="B67" s="616" t="s">
        <v>1895</v>
      </c>
      <c r="C67" s="616"/>
      <c r="D67" s="229">
        <v>0</v>
      </c>
      <c r="E67" s="229">
        <v>0</v>
      </c>
      <c r="F67" s="229">
        <v>0</v>
      </c>
      <c r="G67" s="229">
        <v>0</v>
      </c>
      <c r="H67" s="229">
        <v>0</v>
      </c>
      <c r="I67" s="229">
        <v>0</v>
      </c>
      <c r="J67" s="229">
        <v>0</v>
      </c>
      <c r="K67" s="229">
        <v>0</v>
      </c>
      <c r="L67" s="229">
        <v>0</v>
      </c>
      <c r="M67" s="229">
        <v>0</v>
      </c>
    </row>
    <row r="68" spans="1:15" s="403" customFormat="1" ht="20.100000000000001" customHeight="1">
      <c r="A68" s="642" t="s">
        <v>1897</v>
      </c>
      <c r="B68" s="642"/>
      <c r="C68" s="642"/>
      <c r="D68" s="229">
        <f>SUM(D69:D70)</f>
        <v>0</v>
      </c>
      <c r="E68" s="229">
        <f t="shared" ref="E68:M68" si="83">SUM(E69:E70)</f>
        <v>0</v>
      </c>
      <c r="F68" s="229">
        <f t="shared" si="83"/>
        <v>0</v>
      </c>
      <c r="G68" s="229">
        <f t="shared" si="83"/>
        <v>0</v>
      </c>
      <c r="H68" s="229">
        <f t="shared" si="83"/>
        <v>0</v>
      </c>
      <c r="I68" s="229">
        <f t="shared" si="83"/>
        <v>0</v>
      </c>
      <c r="J68" s="229">
        <f t="shared" si="83"/>
        <v>0</v>
      </c>
      <c r="K68" s="229">
        <f t="shared" si="83"/>
        <v>0</v>
      </c>
      <c r="L68" s="229">
        <f t="shared" si="83"/>
        <v>0</v>
      </c>
      <c r="M68" s="229">
        <f t="shared" si="83"/>
        <v>0</v>
      </c>
    </row>
    <row r="69" spans="1:15" s="403" customFormat="1" ht="20.100000000000001" customHeight="1">
      <c r="A69" s="642"/>
      <c r="B69" s="616" t="s">
        <v>1898</v>
      </c>
      <c r="C69" s="616"/>
      <c r="D69" s="229">
        <v>0</v>
      </c>
      <c r="E69" s="229">
        <v>0</v>
      </c>
      <c r="F69" s="229">
        <v>0</v>
      </c>
      <c r="G69" s="229">
        <v>0</v>
      </c>
      <c r="H69" s="229">
        <v>0</v>
      </c>
      <c r="I69" s="229">
        <v>0</v>
      </c>
      <c r="J69" s="229">
        <v>0</v>
      </c>
      <c r="K69" s="229">
        <v>0</v>
      </c>
      <c r="L69" s="229">
        <v>0</v>
      </c>
      <c r="M69" s="229">
        <v>0</v>
      </c>
    </row>
    <row r="70" spans="1:15" s="403" customFormat="1" ht="20.100000000000001" customHeight="1">
      <c r="A70" s="642"/>
      <c r="B70" s="616" t="s">
        <v>1900</v>
      </c>
      <c r="C70" s="616"/>
      <c r="D70" s="229">
        <v>0</v>
      </c>
      <c r="E70" s="229">
        <v>0</v>
      </c>
      <c r="F70" s="229">
        <v>0</v>
      </c>
      <c r="G70" s="229">
        <v>0</v>
      </c>
      <c r="H70" s="229">
        <v>0</v>
      </c>
      <c r="I70" s="229">
        <v>0</v>
      </c>
      <c r="J70" s="229">
        <v>0</v>
      </c>
      <c r="K70" s="229">
        <v>0</v>
      </c>
      <c r="L70" s="229">
        <v>0</v>
      </c>
      <c r="M70" s="229">
        <v>0</v>
      </c>
    </row>
    <row r="71" spans="1:15" s="338" customFormat="1" ht="20.100000000000001" customHeight="1" thickBot="1">
      <c r="A71" s="353"/>
      <c r="B71" s="353"/>
      <c r="C71" s="353"/>
      <c r="D71" s="354"/>
      <c r="E71" s="354"/>
      <c r="F71" s="354"/>
      <c r="G71" s="354"/>
      <c r="H71" s="354"/>
      <c r="I71" s="354"/>
      <c r="J71" s="354"/>
      <c r="K71" s="354"/>
      <c r="L71" s="354"/>
      <c r="M71" s="354"/>
    </row>
    <row r="72" spans="1:15" s="338" customFormat="1" ht="24.95" customHeight="1">
      <c r="C72" s="344" t="s">
        <v>1779</v>
      </c>
      <c r="D72" s="263">
        <f>SUM(D73:D87)</f>
        <v>78794</v>
      </c>
      <c r="E72" s="263">
        <f>SUM(E73:E87)</f>
        <v>97570</v>
      </c>
      <c r="F72" s="263">
        <f t="shared" ref="F72:M72" si="84">SUM(F73:F87)</f>
        <v>119370</v>
      </c>
      <c r="G72" s="263">
        <f t="shared" si="84"/>
        <v>123649</v>
      </c>
      <c r="H72" s="361">
        <f t="shared" si="84"/>
        <v>126163</v>
      </c>
      <c r="I72" s="423">
        <f t="shared" si="84"/>
        <v>34311</v>
      </c>
      <c r="J72" s="424">
        <f t="shared" si="84"/>
        <v>41526</v>
      </c>
      <c r="K72" s="424">
        <f t="shared" si="84"/>
        <v>51862</v>
      </c>
      <c r="L72" s="424">
        <f t="shared" si="84"/>
        <v>55168</v>
      </c>
      <c r="M72" s="425">
        <f t="shared" si="84"/>
        <v>57947</v>
      </c>
      <c r="N72" s="338" t="b">
        <f>SUM(I72:M72)=SUM(I5:M5)</f>
        <v>1</v>
      </c>
      <c r="O72" s="403" t="b">
        <f>SUM(I72:M72)=SUM('2.생활용수(행정구역)'!I5:N5)-'2.생활용수(행정구역)'!J5</f>
        <v>1</v>
      </c>
    </row>
    <row r="73" spans="1:15" s="338" customFormat="1" ht="24.95" customHeight="1">
      <c r="C73" s="337" t="s">
        <v>1771</v>
      </c>
      <c r="D73" s="229">
        <f t="shared" ref="D73:H81" si="85">SUMPRODUCT(($C$17:$C$67=$C73)*(D$17:D$67))</f>
        <v>10575</v>
      </c>
      <c r="E73" s="229">
        <f t="shared" si="85"/>
        <v>10421</v>
      </c>
      <c r="F73" s="229">
        <f t="shared" si="85"/>
        <v>10332</v>
      </c>
      <c r="G73" s="229">
        <f t="shared" si="85"/>
        <v>10581</v>
      </c>
      <c r="H73" s="362">
        <f t="shared" si="85"/>
        <v>10756</v>
      </c>
      <c r="I73" s="426">
        <f t="shared" ref="I73:M81" si="86">SUMPRODUCT(($C$7:$C$67=$C73)*(I$7:I$67))</f>
        <v>4330</v>
      </c>
      <c r="J73" s="229">
        <f t="shared" si="86"/>
        <v>4066</v>
      </c>
      <c r="K73" s="229">
        <f t="shared" si="86"/>
        <v>4307</v>
      </c>
      <c r="L73" s="229">
        <f t="shared" si="86"/>
        <v>4643</v>
      </c>
      <c r="M73" s="427">
        <f t="shared" si="86"/>
        <v>4883</v>
      </c>
    </row>
    <row r="74" spans="1:15" s="338" customFormat="1" ht="24.95" customHeight="1">
      <c r="C74" s="337" t="s">
        <v>700</v>
      </c>
      <c r="D74" s="229">
        <f t="shared" si="85"/>
        <v>13948</v>
      </c>
      <c r="E74" s="229">
        <f t="shared" si="85"/>
        <v>18940</v>
      </c>
      <c r="F74" s="229">
        <f t="shared" si="85"/>
        <v>19490</v>
      </c>
      <c r="G74" s="229">
        <f t="shared" si="85"/>
        <v>19870</v>
      </c>
      <c r="H74" s="362">
        <f t="shared" si="85"/>
        <v>20163</v>
      </c>
      <c r="I74" s="426">
        <f t="shared" si="86"/>
        <v>5199</v>
      </c>
      <c r="J74" s="229">
        <f t="shared" si="86"/>
        <v>7390</v>
      </c>
      <c r="K74" s="229">
        <f t="shared" si="86"/>
        <v>8126</v>
      </c>
      <c r="L74" s="229">
        <f t="shared" si="86"/>
        <v>8723</v>
      </c>
      <c r="M74" s="427">
        <f t="shared" si="86"/>
        <v>9153</v>
      </c>
    </row>
    <row r="75" spans="1:15" s="338" customFormat="1" ht="24.95" customHeight="1">
      <c r="C75" s="337" t="s">
        <v>701</v>
      </c>
      <c r="D75" s="229">
        <f t="shared" si="85"/>
        <v>0</v>
      </c>
      <c r="E75" s="229">
        <f t="shared" si="85"/>
        <v>0</v>
      </c>
      <c r="F75" s="229">
        <f t="shared" si="85"/>
        <v>0</v>
      </c>
      <c r="G75" s="229">
        <f t="shared" si="85"/>
        <v>0</v>
      </c>
      <c r="H75" s="362">
        <f t="shared" si="85"/>
        <v>0</v>
      </c>
      <c r="I75" s="426">
        <f t="shared" si="86"/>
        <v>1248</v>
      </c>
      <c r="J75" s="229">
        <f t="shared" si="86"/>
        <v>1370</v>
      </c>
      <c r="K75" s="229">
        <f t="shared" si="86"/>
        <v>1454</v>
      </c>
      <c r="L75" s="229">
        <f t="shared" si="86"/>
        <v>1502</v>
      </c>
      <c r="M75" s="427">
        <f t="shared" si="86"/>
        <v>1528</v>
      </c>
    </row>
    <row r="76" spans="1:15" s="338" customFormat="1" ht="24.95" customHeight="1">
      <c r="C76" s="337" t="s">
        <v>702</v>
      </c>
      <c r="D76" s="229">
        <f t="shared" si="85"/>
        <v>0</v>
      </c>
      <c r="E76" s="229">
        <f t="shared" si="85"/>
        <v>1250</v>
      </c>
      <c r="F76" s="229">
        <f t="shared" si="85"/>
        <v>1406</v>
      </c>
      <c r="G76" s="229">
        <f t="shared" si="85"/>
        <v>1524</v>
      </c>
      <c r="H76" s="362">
        <f t="shared" si="85"/>
        <v>1552</v>
      </c>
      <c r="I76" s="426">
        <f t="shared" si="86"/>
        <v>396</v>
      </c>
      <c r="J76" s="229">
        <f t="shared" si="86"/>
        <v>1025</v>
      </c>
      <c r="K76" s="229">
        <f t="shared" si="86"/>
        <v>1352</v>
      </c>
      <c r="L76" s="229">
        <f t="shared" si="86"/>
        <v>1477</v>
      </c>
      <c r="M76" s="427">
        <f t="shared" si="86"/>
        <v>1503</v>
      </c>
    </row>
    <row r="77" spans="1:15" s="338" customFormat="1" ht="24.95" customHeight="1">
      <c r="C77" s="337" t="s">
        <v>703</v>
      </c>
      <c r="D77" s="229">
        <f t="shared" si="85"/>
        <v>0</v>
      </c>
      <c r="E77" s="229">
        <f t="shared" si="85"/>
        <v>1623</v>
      </c>
      <c r="F77" s="229">
        <f t="shared" si="85"/>
        <v>2741</v>
      </c>
      <c r="G77" s="229">
        <f t="shared" si="85"/>
        <v>2973</v>
      </c>
      <c r="H77" s="362">
        <f t="shared" si="85"/>
        <v>3030</v>
      </c>
      <c r="I77" s="426">
        <f t="shared" si="86"/>
        <v>0</v>
      </c>
      <c r="J77" s="229">
        <f t="shared" si="86"/>
        <v>493</v>
      </c>
      <c r="K77" s="229">
        <f t="shared" si="86"/>
        <v>998</v>
      </c>
      <c r="L77" s="229">
        <f t="shared" si="86"/>
        <v>1087</v>
      </c>
      <c r="M77" s="427">
        <f t="shared" si="86"/>
        <v>1110</v>
      </c>
    </row>
    <row r="78" spans="1:15" s="338" customFormat="1" ht="24.95" customHeight="1">
      <c r="C78" s="337" t="s">
        <v>704</v>
      </c>
      <c r="D78" s="229">
        <f t="shared" si="85"/>
        <v>0</v>
      </c>
      <c r="E78" s="229">
        <f t="shared" si="85"/>
        <v>1931</v>
      </c>
      <c r="F78" s="229">
        <f t="shared" si="85"/>
        <v>3424</v>
      </c>
      <c r="G78" s="229">
        <f t="shared" si="85"/>
        <v>3713</v>
      </c>
      <c r="H78" s="362">
        <f t="shared" si="85"/>
        <v>3779</v>
      </c>
      <c r="I78" s="426">
        <f t="shared" si="86"/>
        <v>0</v>
      </c>
      <c r="J78" s="229">
        <f t="shared" si="86"/>
        <v>587</v>
      </c>
      <c r="K78" s="229">
        <f t="shared" si="86"/>
        <v>1054</v>
      </c>
      <c r="L78" s="229">
        <f t="shared" si="86"/>
        <v>1154</v>
      </c>
      <c r="M78" s="427">
        <f t="shared" si="86"/>
        <v>1171</v>
      </c>
    </row>
    <row r="79" spans="1:15" s="338" customFormat="1" ht="24.95" customHeight="1">
      <c r="C79" s="337" t="s">
        <v>705</v>
      </c>
      <c r="D79" s="229">
        <f t="shared" si="85"/>
        <v>2961</v>
      </c>
      <c r="E79" s="229">
        <f t="shared" si="85"/>
        <v>3397</v>
      </c>
      <c r="F79" s="229">
        <f t="shared" si="85"/>
        <v>3575</v>
      </c>
      <c r="G79" s="229">
        <f t="shared" si="85"/>
        <v>3877</v>
      </c>
      <c r="H79" s="362">
        <f t="shared" si="85"/>
        <v>3953</v>
      </c>
      <c r="I79" s="426">
        <f t="shared" si="86"/>
        <v>941</v>
      </c>
      <c r="J79" s="229">
        <f t="shared" si="86"/>
        <v>1033</v>
      </c>
      <c r="K79" s="229">
        <f t="shared" si="86"/>
        <v>1100</v>
      </c>
      <c r="L79" s="229">
        <f t="shared" si="86"/>
        <v>1204</v>
      </c>
      <c r="M79" s="427">
        <f t="shared" si="86"/>
        <v>1223</v>
      </c>
    </row>
    <row r="80" spans="1:15" s="338" customFormat="1" ht="24.95" customHeight="1">
      <c r="C80" s="337" t="s">
        <v>706</v>
      </c>
      <c r="D80" s="229">
        <f t="shared" si="85"/>
        <v>2237</v>
      </c>
      <c r="E80" s="229">
        <f t="shared" si="85"/>
        <v>3884</v>
      </c>
      <c r="F80" s="229">
        <f t="shared" si="85"/>
        <v>5938</v>
      </c>
      <c r="G80" s="229">
        <f t="shared" si="85"/>
        <v>6442</v>
      </c>
      <c r="H80" s="362">
        <f t="shared" si="85"/>
        <v>6561</v>
      </c>
      <c r="I80" s="426">
        <f t="shared" si="86"/>
        <v>1158</v>
      </c>
      <c r="J80" s="229">
        <f t="shared" si="86"/>
        <v>1180</v>
      </c>
      <c r="K80" s="229">
        <f t="shared" si="86"/>
        <v>1831</v>
      </c>
      <c r="L80" s="229">
        <f t="shared" si="86"/>
        <v>1997</v>
      </c>
      <c r="M80" s="427">
        <f t="shared" si="86"/>
        <v>2036</v>
      </c>
    </row>
    <row r="81" spans="3:13" s="338" customFormat="1" ht="24.95" customHeight="1">
      <c r="C81" s="337" t="s">
        <v>707</v>
      </c>
      <c r="D81" s="229">
        <f t="shared" si="85"/>
        <v>0</v>
      </c>
      <c r="E81" s="229">
        <f t="shared" si="85"/>
        <v>0</v>
      </c>
      <c r="F81" s="229">
        <f t="shared" si="85"/>
        <v>2241</v>
      </c>
      <c r="G81" s="229">
        <f t="shared" si="85"/>
        <v>2292</v>
      </c>
      <c r="H81" s="362">
        <f t="shared" si="85"/>
        <v>2336</v>
      </c>
      <c r="I81" s="426">
        <f t="shared" si="86"/>
        <v>0</v>
      </c>
      <c r="J81" s="229">
        <f t="shared" si="86"/>
        <v>0</v>
      </c>
      <c r="K81" s="229">
        <f t="shared" si="86"/>
        <v>689</v>
      </c>
      <c r="L81" s="229">
        <f t="shared" si="86"/>
        <v>710</v>
      </c>
      <c r="M81" s="427">
        <f t="shared" si="86"/>
        <v>725</v>
      </c>
    </row>
    <row r="82" spans="3:13" s="338" customFormat="1" ht="24.95" customHeight="1">
      <c r="C82" s="337" t="s">
        <v>708</v>
      </c>
      <c r="D82" s="229">
        <f t="shared" ref="D82:D87" si="87">SUMPRODUCT(($C$17:$C$67=$C82)*(D$17:D$67))</f>
        <v>699</v>
      </c>
      <c r="E82" s="229">
        <f>SUMPRODUCT(($C$17:$C$67=$C82)*(E$17:E$67))+E52</f>
        <v>3717</v>
      </c>
      <c r="F82" s="229">
        <f>SUMPRODUCT(($C$17:$C$67=$C82)*(F$17:F$67))+F52</f>
        <v>8408</v>
      </c>
      <c r="G82" s="229">
        <f>SUMPRODUCT(($C$17:$C$67=$C82)*(G$17:G$67))+G52</f>
        <v>8547</v>
      </c>
      <c r="H82" s="229">
        <f>SUMPRODUCT(($C$17:$C$67=$C82)*(H$17:H$67))+H52</f>
        <v>8648</v>
      </c>
      <c r="I82" s="426">
        <f t="shared" ref="I82:I87" si="88">SUMPRODUCT(($C$7:$C$67=$C82)*(I$7:I$67))</f>
        <v>82</v>
      </c>
      <c r="J82" s="229">
        <f>SUMPRODUCT(($C$17:$C$67=$C82)*(J$17:J$67))+J52</f>
        <v>1130</v>
      </c>
      <c r="K82" s="229">
        <f>SUMPRODUCT(($C$17:$C$67=$C82)*(K$17:K$67))+K52</f>
        <v>3313</v>
      </c>
      <c r="L82" s="229">
        <f>SUMPRODUCT(($C$17:$C$67=$C82)*(L$17:L$67))+L52</f>
        <v>3369</v>
      </c>
      <c r="M82" s="229">
        <f>SUMPRODUCT(($C$17:$C$67=$C82)*(M$17:M$67))+M52</f>
        <v>3397</v>
      </c>
    </row>
    <row r="83" spans="3:13" s="338" customFormat="1" ht="24.95" customHeight="1">
      <c r="C83" s="337" t="s">
        <v>1772</v>
      </c>
      <c r="D83" s="229">
        <f t="shared" si="87"/>
        <v>602</v>
      </c>
      <c r="E83" s="229">
        <f t="shared" ref="E83:H87" si="89">SUMPRODUCT(($C$17:$C$67=$C83)*(E$17:E$67))</f>
        <v>1252</v>
      </c>
      <c r="F83" s="229">
        <f t="shared" si="89"/>
        <v>3563</v>
      </c>
      <c r="G83" s="229">
        <f t="shared" si="89"/>
        <v>3642</v>
      </c>
      <c r="H83" s="362">
        <f t="shared" si="89"/>
        <v>3711</v>
      </c>
      <c r="I83" s="426">
        <f t="shared" si="88"/>
        <v>105</v>
      </c>
      <c r="J83" s="229">
        <f t="shared" ref="J83:M87" si="90">SUMPRODUCT(($C$7:$C$67=$C83)*(J$7:J$67))</f>
        <v>382</v>
      </c>
      <c r="K83" s="229">
        <f t="shared" si="90"/>
        <v>1095</v>
      </c>
      <c r="L83" s="229">
        <f t="shared" si="90"/>
        <v>1128</v>
      </c>
      <c r="M83" s="427">
        <f t="shared" si="90"/>
        <v>1150</v>
      </c>
    </row>
    <row r="84" spans="3:13" s="338" customFormat="1" ht="24.95" customHeight="1">
      <c r="C84" s="337" t="s">
        <v>1773</v>
      </c>
      <c r="D84" s="229">
        <f t="shared" si="87"/>
        <v>2785</v>
      </c>
      <c r="E84" s="229">
        <f t="shared" si="89"/>
        <v>4156</v>
      </c>
      <c r="F84" s="229">
        <f t="shared" si="89"/>
        <v>4838</v>
      </c>
      <c r="G84" s="229">
        <f t="shared" si="89"/>
        <v>5152</v>
      </c>
      <c r="H84" s="362">
        <f t="shared" si="89"/>
        <v>5243</v>
      </c>
      <c r="I84" s="426">
        <f t="shared" si="88"/>
        <v>893</v>
      </c>
      <c r="J84" s="229">
        <f t="shared" si="90"/>
        <v>1264</v>
      </c>
      <c r="K84" s="229">
        <f t="shared" si="90"/>
        <v>1489</v>
      </c>
      <c r="L84" s="229">
        <f t="shared" si="90"/>
        <v>1599</v>
      </c>
      <c r="M84" s="427">
        <f t="shared" si="90"/>
        <v>1626</v>
      </c>
    </row>
    <row r="85" spans="3:13" s="338" customFormat="1" ht="24.95" customHeight="1">
      <c r="C85" s="337" t="s">
        <v>711</v>
      </c>
      <c r="D85" s="229">
        <f t="shared" si="87"/>
        <v>2109</v>
      </c>
      <c r="E85" s="229">
        <f t="shared" si="89"/>
        <v>2557</v>
      </c>
      <c r="F85" s="229">
        <f t="shared" si="89"/>
        <v>2667</v>
      </c>
      <c r="G85" s="229">
        <f t="shared" si="89"/>
        <v>2735</v>
      </c>
      <c r="H85" s="362">
        <f t="shared" si="89"/>
        <v>2783</v>
      </c>
      <c r="I85" s="426">
        <f t="shared" si="88"/>
        <v>605</v>
      </c>
      <c r="J85" s="229">
        <f t="shared" si="90"/>
        <v>777</v>
      </c>
      <c r="K85" s="229">
        <f t="shared" si="90"/>
        <v>823</v>
      </c>
      <c r="L85" s="229">
        <f t="shared" si="90"/>
        <v>849</v>
      </c>
      <c r="M85" s="427">
        <f t="shared" si="90"/>
        <v>864</v>
      </c>
    </row>
    <row r="86" spans="3:13" s="338" customFormat="1" ht="24.95" customHeight="1">
      <c r="C86" s="337" t="s">
        <v>712</v>
      </c>
      <c r="D86" s="229">
        <f t="shared" si="87"/>
        <v>28365</v>
      </c>
      <c r="E86" s="229">
        <f t="shared" si="89"/>
        <v>29983</v>
      </c>
      <c r="F86" s="229">
        <f t="shared" si="89"/>
        <v>35204</v>
      </c>
      <c r="G86" s="229">
        <f t="shared" si="89"/>
        <v>36246</v>
      </c>
      <c r="H86" s="362">
        <f t="shared" si="89"/>
        <v>37156</v>
      </c>
      <c r="I86" s="426">
        <f t="shared" si="88"/>
        <v>13574</v>
      </c>
      <c r="J86" s="229">
        <f t="shared" si="90"/>
        <v>13184</v>
      </c>
      <c r="K86" s="229">
        <f t="shared" si="90"/>
        <v>15788</v>
      </c>
      <c r="L86" s="229">
        <f t="shared" si="90"/>
        <v>16745</v>
      </c>
      <c r="M86" s="427">
        <f t="shared" si="90"/>
        <v>17938</v>
      </c>
    </row>
    <row r="87" spans="3:13" s="338" customFormat="1" ht="24.95" customHeight="1" thickBot="1">
      <c r="C87" s="337" t="s">
        <v>713</v>
      </c>
      <c r="D87" s="355">
        <f t="shared" si="87"/>
        <v>14513</v>
      </c>
      <c r="E87" s="355">
        <f t="shared" si="89"/>
        <v>14459</v>
      </c>
      <c r="F87" s="355">
        <f t="shared" si="89"/>
        <v>15543</v>
      </c>
      <c r="G87" s="355">
        <f t="shared" si="89"/>
        <v>16055</v>
      </c>
      <c r="H87" s="363">
        <f t="shared" si="89"/>
        <v>16492</v>
      </c>
      <c r="I87" s="428">
        <f t="shared" si="88"/>
        <v>5780</v>
      </c>
      <c r="J87" s="429">
        <f t="shared" si="90"/>
        <v>7645</v>
      </c>
      <c r="K87" s="429">
        <f t="shared" si="90"/>
        <v>8443</v>
      </c>
      <c r="L87" s="429">
        <f t="shared" si="90"/>
        <v>8981</v>
      </c>
      <c r="M87" s="430">
        <f t="shared" si="90"/>
        <v>9640</v>
      </c>
    </row>
    <row r="88" spans="3:13" s="338" customFormat="1" ht="24.95" customHeight="1">
      <c r="C88" s="350"/>
    </row>
    <row r="89" spans="3:13" s="338" customFormat="1" ht="24.95" customHeight="1">
      <c r="C89" s="350"/>
    </row>
    <row r="90" spans="3:13" s="338" customFormat="1" ht="24.95" customHeight="1">
      <c r="C90" s="350"/>
    </row>
    <row r="91" spans="3:13" s="338" customFormat="1" ht="24.95" customHeight="1">
      <c r="C91" s="350"/>
    </row>
    <row r="92" spans="3:13" s="338" customFormat="1" ht="24.95" customHeight="1">
      <c r="C92" s="350"/>
    </row>
    <row r="93" spans="3:13" s="338" customFormat="1" ht="24.95" customHeight="1">
      <c r="C93" s="350"/>
    </row>
    <row r="94" spans="3:13" s="338" customFormat="1" ht="24.95" customHeight="1">
      <c r="C94" s="350"/>
    </row>
    <row r="95" spans="3:13" s="338" customFormat="1" ht="24.95" customHeight="1">
      <c r="C95" s="350"/>
    </row>
    <row r="96" spans="3:13" s="338" customFormat="1" ht="24.95" customHeight="1">
      <c r="C96" s="350"/>
    </row>
    <row r="97" spans="3:3" s="338" customFormat="1" ht="24.95" customHeight="1">
      <c r="C97" s="350"/>
    </row>
    <row r="98" spans="3:3" s="338" customFormat="1" ht="24.95" customHeight="1">
      <c r="C98" s="350"/>
    </row>
    <row r="99" spans="3:3" s="338" customFormat="1" ht="24.95" customHeight="1">
      <c r="C99" s="350"/>
    </row>
    <row r="100" spans="3:3" s="338" customFormat="1" ht="24.95" customHeight="1">
      <c r="C100" s="350"/>
    </row>
    <row r="101" spans="3:3" s="338" customFormat="1" ht="24.95" customHeight="1">
      <c r="C101" s="350"/>
    </row>
    <row r="102" spans="3:3" s="338" customFormat="1" ht="24.95" customHeight="1">
      <c r="C102" s="350"/>
    </row>
    <row r="103" spans="3:3" s="338" customFormat="1" ht="24.95" customHeight="1">
      <c r="C103" s="350"/>
    </row>
    <row r="104" spans="3:3" s="338" customFormat="1" ht="24.95" customHeight="1">
      <c r="C104" s="350"/>
    </row>
    <row r="105" spans="3:3" s="338" customFormat="1" ht="24.95" customHeight="1">
      <c r="C105" s="350"/>
    </row>
    <row r="106" spans="3:3" s="338" customFormat="1" ht="24.95" customHeight="1">
      <c r="C106" s="350"/>
    </row>
    <row r="107" spans="3:3" s="338" customFormat="1" ht="24.95" customHeight="1">
      <c r="C107" s="350"/>
    </row>
    <row r="108" spans="3:3" s="338" customFormat="1" ht="24.95" customHeight="1">
      <c r="C108" s="350"/>
    </row>
    <row r="109" spans="3:3" s="338" customFormat="1" ht="24.95" customHeight="1">
      <c r="C109" s="350"/>
    </row>
    <row r="110" spans="3:3" s="338" customFormat="1" ht="24.95" customHeight="1">
      <c r="C110" s="350"/>
    </row>
    <row r="111" spans="3:3" s="338" customFormat="1" ht="24.95" customHeight="1">
      <c r="C111" s="350"/>
    </row>
    <row r="112" spans="3:3" s="338" customFormat="1" ht="24.95" customHeight="1">
      <c r="C112" s="350"/>
    </row>
    <row r="113" spans="3:3" s="338" customFormat="1" ht="24.95" customHeight="1">
      <c r="C113" s="350"/>
    </row>
    <row r="114" spans="3:3" s="338" customFormat="1" ht="24.95" customHeight="1">
      <c r="C114" s="350"/>
    </row>
    <row r="115" spans="3:3" s="338" customFormat="1" ht="24.95" customHeight="1">
      <c r="C115" s="350"/>
    </row>
    <row r="116" spans="3:3" s="338" customFormat="1" ht="24.95" customHeight="1">
      <c r="C116" s="350"/>
    </row>
    <row r="117" spans="3:3" s="338" customFormat="1" ht="24.95" customHeight="1">
      <c r="C117" s="350"/>
    </row>
    <row r="118" spans="3:3" s="338" customFormat="1" ht="24.95" customHeight="1">
      <c r="C118" s="350"/>
    </row>
    <row r="119" spans="3:3" s="338" customFormat="1" ht="24.95" customHeight="1">
      <c r="C119" s="350"/>
    </row>
    <row r="120" spans="3:3" s="338" customFormat="1" ht="24.95" customHeight="1">
      <c r="C120" s="350"/>
    </row>
    <row r="121" spans="3:3" s="338" customFormat="1" ht="24.95" customHeight="1">
      <c r="C121" s="350"/>
    </row>
    <row r="122" spans="3:3" s="338" customFormat="1" ht="24.95" customHeight="1">
      <c r="C122" s="350"/>
    </row>
    <row r="123" spans="3:3" s="338" customFormat="1" ht="24.95" customHeight="1">
      <c r="C123" s="350"/>
    </row>
    <row r="124" spans="3:3" s="338" customFormat="1" ht="24.95" customHeight="1">
      <c r="C124" s="350"/>
    </row>
    <row r="125" spans="3:3" s="338" customFormat="1" ht="24.95" customHeight="1">
      <c r="C125" s="350"/>
    </row>
    <row r="126" spans="3:3" s="338" customFormat="1" ht="24.95" customHeight="1">
      <c r="C126" s="350"/>
    </row>
    <row r="127" spans="3:3" s="338" customFormat="1" ht="24.95" customHeight="1">
      <c r="C127" s="350"/>
    </row>
    <row r="128" spans="3:3" s="338" customFormat="1" ht="24.95" customHeight="1">
      <c r="C128" s="350"/>
    </row>
    <row r="129" spans="3:3" s="338" customFormat="1" ht="24.95" customHeight="1">
      <c r="C129" s="350"/>
    </row>
    <row r="130" spans="3:3" s="338" customFormat="1" ht="24.95" customHeight="1">
      <c r="C130" s="350"/>
    </row>
    <row r="131" spans="3:3" s="338" customFormat="1" ht="24.95" customHeight="1">
      <c r="C131" s="350"/>
    </row>
    <row r="132" spans="3:3" s="338" customFormat="1" ht="24.95" customHeight="1">
      <c r="C132" s="350"/>
    </row>
    <row r="133" spans="3:3" s="338" customFormat="1" ht="24.95" customHeight="1">
      <c r="C133" s="350"/>
    </row>
    <row r="134" spans="3:3" s="338" customFormat="1" ht="24.95" customHeight="1">
      <c r="C134" s="350"/>
    </row>
    <row r="135" spans="3:3" s="338" customFormat="1" ht="24.95" customHeight="1">
      <c r="C135" s="350"/>
    </row>
    <row r="136" spans="3:3" s="338" customFormat="1" ht="24.95" customHeight="1">
      <c r="C136" s="350"/>
    </row>
    <row r="137" spans="3:3" s="338" customFormat="1" ht="24.95" customHeight="1">
      <c r="C137" s="350"/>
    </row>
    <row r="138" spans="3:3" s="338" customFormat="1" ht="24.95" customHeight="1">
      <c r="C138" s="350"/>
    </row>
    <row r="139" spans="3:3" s="338" customFormat="1" ht="24.95" customHeight="1">
      <c r="C139" s="350"/>
    </row>
    <row r="140" spans="3:3" s="338" customFormat="1" ht="24.95" customHeight="1">
      <c r="C140" s="350"/>
    </row>
    <row r="141" spans="3:3" s="338" customFormat="1" ht="24.95" customHeight="1">
      <c r="C141" s="350"/>
    </row>
    <row r="142" spans="3:3" s="338" customFormat="1" ht="24.95" customHeight="1">
      <c r="C142" s="350"/>
    </row>
    <row r="143" spans="3:3" s="338" customFormat="1" ht="24.95" customHeight="1">
      <c r="C143" s="350"/>
    </row>
    <row r="144" spans="3:3" s="338" customFormat="1" ht="24.95" customHeight="1">
      <c r="C144" s="350"/>
    </row>
    <row r="145" spans="3:3" s="338" customFormat="1" ht="24.95" customHeight="1">
      <c r="C145" s="350"/>
    </row>
    <row r="146" spans="3:3" s="338" customFormat="1" ht="24.95" customHeight="1">
      <c r="C146" s="350"/>
    </row>
  </sheetData>
  <mergeCells count="52">
    <mergeCell ref="B70:C70"/>
    <mergeCell ref="A69:A70"/>
    <mergeCell ref="A53:C53"/>
    <mergeCell ref="A54:B56"/>
    <mergeCell ref="A57:C57"/>
    <mergeCell ref="A58:B59"/>
    <mergeCell ref="A60:C60"/>
    <mergeCell ref="A68:C68"/>
    <mergeCell ref="B61:C61"/>
    <mergeCell ref="B67:C67"/>
    <mergeCell ref="A61:A67"/>
    <mergeCell ref="B65:C65"/>
    <mergeCell ref="B62:B64"/>
    <mergeCell ref="B69:C69"/>
    <mergeCell ref="A38:A39"/>
    <mergeCell ref="B30:C30"/>
    <mergeCell ref="A15:C15"/>
    <mergeCell ref="A3:C4"/>
    <mergeCell ref="A24:C24"/>
    <mergeCell ref="A35:C35"/>
    <mergeCell ref="A25:B28"/>
    <mergeCell ref="B36:C36"/>
    <mergeCell ref="B38:C38"/>
    <mergeCell ref="A5:C5"/>
    <mergeCell ref="B33:C33"/>
    <mergeCell ref="B31:B32"/>
    <mergeCell ref="A30:A34"/>
    <mergeCell ref="A36:A37"/>
    <mergeCell ref="A29:C29"/>
    <mergeCell ref="B41:C41"/>
    <mergeCell ref="B46:C46"/>
    <mergeCell ref="B49:C49"/>
    <mergeCell ref="B47:B48"/>
    <mergeCell ref="B50:B51"/>
    <mergeCell ref="B42:B43"/>
    <mergeCell ref="B44:C44"/>
    <mergeCell ref="A40:C40"/>
    <mergeCell ref="B52:C52"/>
    <mergeCell ref="A41:A52"/>
    <mergeCell ref="I3:M3"/>
    <mergeCell ref="B16:C16"/>
    <mergeCell ref="B20:C20"/>
    <mergeCell ref="A6:C6"/>
    <mergeCell ref="A7:B8"/>
    <mergeCell ref="A9:C9"/>
    <mergeCell ref="A10:B11"/>
    <mergeCell ref="A12:C12"/>
    <mergeCell ref="A13:B14"/>
    <mergeCell ref="D3:H3"/>
    <mergeCell ref="B17:B19"/>
    <mergeCell ref="A16:A23"/>
    <mergeCell ref="B22:C22"/>
  </mergeCells>
  <phoneticPr fontId="3" type="noConversion"/>
  <printOptions horizontalCentered="1"/>
  <pageMargins left="0.62992125984251968" right="0.62992125984251968" top="0.62992125984251968" bottom="0.59055118110236227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C000"/>
  </sheetPr>
  <dimension ref="A1:AS57"/>
  <sheetViews>
    <sheetView view="pageBreakPreview" zoomScale="60" zoomScaleNormal="100" workbookViewId="0">
      <selection activeCell="AE25" sqref="AE25"/>
    </sheetView>
  </sheetViews>
  <sheetFormatPr defaultColWidth="7.6640625" defaultRowHeight="20.100000000000001" customHeight="1" outlineLevelCol="1"/>
  <cols>
    <col min="1" max="2" width="1.77734375" style="327" customWidth="1"/>
    <col min="3" max="3" width="6.33203125" style="327" customWidth="1"/>
    <col min="4" max="4" width="2.33203125" style="327" customWidth="1"/>
    <col min="5" max="6" width="6.77734375" style="327" hidden="1" customWidth="1" outlineLevel="1"/>
    <col min="7" max="7" width="6.33203125" style="327" hidden="1" customWidth="1" outlineLevel="1"/>
    <col min="8" max="8" width="6.33203125" style="327" customWidth="1" collapsed="1"/>
    <col min="9" max="11" width="6.33203125" style="327" customWidth="1"/>
    <col min="12" max="12" width="4.33203125" style="327" hidden="1" customWidth="1" outlineLevel="1"/>
    <col min="13" max="13" width="4.33203125" style="327" customWidth="1" collapsed="1"/>
    <col min="14" max="16" width="4.33203125" style="327" customWidth="1"/>
    <col min="17" max="17" width="6.33203125" style="327" hidden="1" customWidth="1" outlineLevel="1"/>
    <col min="18" max="18" width="6.33203125" style="327" customWidth="1" collapsed="1"/>
    <col min="19" max="21" width="6.33203125" style="327" customWidth="1"/>
    <col min="22" max="22" width="8" style="327" bestFit="1" customWidth="1"/>
    <col min="23" max="25" width="7.77734375" style="327" customWidth="1"/>
    <col min="46" max="16384" width="7.6640625" style="327"/>
  </cols>
  <sheetData>
    <row r="1" spans="1:26" s="204" customFormat="1" ht="20.100000000000001" customHeight="1">
      <c r="A1" s="204" t="s">
        <v>804</v>
      </c>
    </row>
    <row r="2" spans="1:26" s="208" customFormat="1" ht="19.5" customHeight="1">
      <c r="A2" s="207" t="s">
        <v>1845</v>
      </c>
      <c r="G2" s="209"/>
      <c r="H2" s="209"/>
      <c r="J2" s="209"/>
      <c r="K2" s="209"/>
      <c r="L2" s="209"/>
      <c r="V2" s="334"/>
      <c r="W2" s="692" t="s">
        <v>1919</v>
      </c>
      <c r="X2" s="692"/>
      <c r="Y2" s="692"/>
      <c r="Z2" s="440" t="s">
        <v>2405</v>
      </c>
    </row>
    <row r="3" spans="1:26" ht="20.100000000000001" customHeight="1">
      <c r="A3" s="693" t="s">
        <v>1246</v>
      </c>
      <c r="B3" s="693"/>
      <c r="C3" s="693"/>
      <c r="D3" s="693"/>
      <c r="E3" s="696" t="s">
        <v>1290</v>
      </c>
      <c r="F3" s="696" t="s">
        <v>1280</v>
      </c>
      <c r="G3" s="693" t="s">
        <v>1281</v>
      </c>
      <c r="H3" s="693"/>
      <c r="I3" s="693"/>
      <c r="J3" s="693"/>
      <c r="K3" s="693"/>
      <c r="L3" s="693" t="s">
        <v>1282</v>
      </c>
      <c r="M3" s="693"/>
      <c r="N3" s="693"/>
      <c r="O3" s="693"/>
      <c r="P3" s="693"/>
      <c r="Q3" s="693" t="s">
        <v>1283</v>
      </c>
      <c r="R3" s="693"/>
      <c r="S3" s="693"/>
      <c r="T3" s="693"/>
      <c r="U3" s="693"/>
      <c r="W3" s="434">
        <f>ROUND(287*1.5,0)</f>
        <v>431</v>
      </c>
      <c r="X3" s="439">
        <v>411</v>
      </c>
      <c r="Y3" s="440">
        <f>X3/W3</f>
        <v>0.95359628770301619</v>
      </c>
      <c r="Z3" s="440">
        <f>ROUND(AVERAGE(W6:W56),2)</f>
        <v>4.0599999999999996</v>
      </c>
    </row>
    <row r="4" spans="1:26" ht="20.100000000000001" customHeight="1">
      <c r="A4" s="693"/>
      <c r="B4" s="693"/>
      <c r="C4" s="693"/>
      <c r="D4" s="693"/>
      <c r="E4" s="693"/>
      <c r="F4" s="693"/>
      <c r="G4" s="527">
        <v>2013</v>
      </c>
      <c r="H4" s="527">
        <v>2015</v>
      </c>
      <c r="I4" s="527">
        <v>2020</v>
      </c>
      <c r="J4" s="527">
        <v>2025</v>
      </c>
      <c r="K4" s="527">
        <v>2030</v>
      </c>
      <c r="L4" s="527">
        <v>2013</v>
      </c>
      <c r="M4" s="527">
        <v>2015</v>
      </c>
      <c r="N4" s="527">
        <v>2020</v>
      </c>
      <c r="O4" s="527">
        <v>2025</v>
      </c>
      <c r="P4" s="527">
        <v>2030</v>
      </c>
      <c r="Q4" s="527">
        <v>2013</v>
      </c>
      <c r="R4" s="527">
        <v>2015</v>
      </c>
      <c r="S4" s="527">
        <v>2020</v>
      </c>
      <c r="T4" s="527">
        <v>2025</v>
      </c>
      <c r="U4" s="527">
        <v>2030</v>
      </c>
    </row>
    <row r="5" spans="1:26" ht="20.100000000000001" customHeight="1">
      <c r="A5" s="695" t="s">
        <v>1846</v>
      </c>
      <c r="B5" s="695"/>
      <c r="C5" s="695"/>
      <c r="D5" s="695"/>
      <c r="E5" s="407"/>
      <c r="F5" s="407"/>
      <c r="G5" s="408">
        <f>G6+G30</f>
        <v>1648</v>
      </c>
      <c r="H5" s="408">
        <f>H6+H30</f>
        <v>1920</v>
      </c>
      <c r="I5" s="408">
        <f>I6+I30</f>
        <v>3274</v>
      </c>
      <c r="J5" s="408">
        <f>J6+J30</f>
        <v>3547</v>
      </c>
      <c r="K5" s="408">
        <f>K6+K30</f>
        <v>3610</v>
      </c>
      <c r="L5" s="408"/>
      <c r="M5" s="408"/>
      <c r="N5" s="408"/>
      <c r="O5" s="408"/>
      <c r="P5" s="408"/>
      <c r="Q5" s="408">
        <f>Q6+Q30</f>
        <v>287</v>
      </c>
      <c r="R5" s="408">
        <f>R6+R30</f>
        <v>585</v>
      </c>
      <c r="S5" s="408">
        <f>S6+S30</f>
        <v>1006</v>
      </c>
      <c r="T5" s="408">
        <f>T6+T30</f>
        <v>1098</v>
      </c>
      <c r="U5" s="408">
        <f>U6+U30</f>
        <v>1118</v>
      </c>
      <c r="V5" s="341"/>
      <c r="W5" s="335"/>
    </row>
    <row r="6" spans="1:26" ht="20.100000000000001" customHeight="1">
      <c r="A6" s="339"/>
      <c r="B6" s="694" t="s">
        <v>1220</v>
      </c>
      <c r="C6" s="694"/>
      <c r="D6" s="694"/>
      <c r="E6" s="331"/>
      <c r="F6" s="331"/>
      <c r="G6" s="336">
        <f>SUM(G7:G29)</f>
        <v>1648</v>
      </c>
      <c r="H6" s="336">
        <f>SUM(H7:H29)</f>
        <v>1920</v>
      </c>
      <c r="I6" s="336">
        <f>SUM(I7:I29)</f>
        <v>2780</v>
      </c>
      <c r="J6" s="336">
        <f>SUM(J7:J29)</f>
        <v>3013</v>
      </c>
      <c r="K6" s="336">
        <f>SUM(K7:K29)</f>
        <v>3067</v>
      </c>
      <c r="L6" s="336"/>
      <c r="M6" s="336"/>
      <c r="N6" s="336"/>
      <c r="O6" s="336"/>
      <c r="P6" s="336"/>
      <c r="Q6" s="336">
        <f>SUM(Q7:Q29)</f>
        <v>287</v>
      </c>
      <c r="R6" s="336">
        <f>SUM(R7:R29)</f>
        <v>585</v>
      </c>
      <c r="S6" s="336">
        <f>SUM(S7:S29)</f>
        <v>854</v>
      </c>
      <c r="T6" s="336">
        <f>SUM(T7:T29)</f>
        <v>933</v>
      </c>
      <c r="U6" s="336">
        <f>SUM(U7:U29)</f>
        <v>949</v>
      </c>
      <c r="V6" s="343">
        <f>VLOOKUP(B6,'2013년도 용수량 비율'!$A$5:$F$20,6,FALSE)</f>
        <v>0.72</v>
      </c>
      <c r="W6" s="343">
        <f t="shared" ref="W6:W12" si="0">IF(ISERROR(U6/Q6),"",U6/Q6)</f>
        <v>3.3066202090592336</v>
      </c>
    </row>
    <row r="7" spans="1:26" ht="20.100000000000001" customHeight="1">
      <c r="A7" s="340"/>
      <c r="B7" s="339"/>
      <c r="C7" s="406" t="s">
        <v>1671</v>
      </c>
      <c r="D7" s="330" t="s">
        <v>1299</v>
      </c>
      <c r="E7" s="527">
        <v>1</v>
      </c>
      <c r="F7" s="527" t="s">
        <v>1317</v>
      </c>
      <c r="G7" s="302">
        <f>IF($D7="A",ROUND(VLOOKUP($C7,'[2]2.행정구역별 급수인구'!$C$7:$AD$997,17,FALSE)*$E7,0),IF($D7="B",(ROUND(VLOOKUP($C7,'[2]2.행정구역별 급수인구'!$C$7:$AD$997,17,FALSE)-VLOOKUP($C7,'[2]2.행정구역별 급수인구'!$C$7:$AD$997,17,FALSE)*(1-$E7),0)),VLOOKUP($C7,'[2]2.행정구역별 급수인구'!$C$7:$AD$997,17,FALSE)))</f>
        <v>225</v>
      </c>
      <c r="H7" s="302">
        <f>IF($D7="A",ROUND(VLOOKUP($C7,'[2]2.행정구역별 급수인구'!$C$7:$AD$997,25,FALSE)*$E7,0),IF($D7="B",(ROUND(VLOOKUP($C7,'[2]2.행정구역별 급수인구'!$C$7:$AD$997,25,FALSE)-VLOOKUP($C7,'[2]2.행정구역별 급수인구'!$C$7:$AD$997,25,FALSE)*(1-$E7),0)),VLOOKUP($C7,'[2]2.행정구역별 급수인구'!$C$7:$AD$997,25,FALSE)))</f>
        <v>236</v>
      </c>
      <c r="I7" s="302">
        <f>IF($D7="A",ROUND(VLOOKUP($C7,'[2]2.행정구역별 급수인구'!$C$7:$AD$997,26,FALSE)*$E7,0),IF($D7="B",(ROUND(VLOOKUP($C7,'[2]2.행정구역별 급수인구'!$C$7:$AD$997,26,FALSE)-VLOOKUP($C7,'[2]2.행정구역별 급수인구'!$C$7:$AD$997,26,FALSE)*(1-$E7),0)),VLOOKUP($C7,'[2]2.행정구역별 급수인구'!$C$7:$AD$997,26,FALSE)))</f>
        <v>249</v>
      </c>
      <c r="J7" s="302">
        <f>IF($D7="A",ROUND(VLOOKUP($C7,'[2]2.행정구역별 급수인구'!$C$7:$AD$997,27,FALSE)*$E7,0),IF($D7="B",(ROUND(VLOOKUP($C7,'[2]2.행정구역별 급수인구'!$C$7:$AD$997,27,FALSE)-VLOOKUP($C7,'[2]2.행정구역별 급수인구'!$C$7:$AD$997,27,FALSE)*(1-$E7),0)),VLOOKUP($C7,'[2]2.행정구역별 급수인구'!$C$7:$AD$997,27,FALSE)))</f>
        <v>270</v>
      </c>
      <c r="K7" s="302">
        <f>IF($D7="A",ROUND(VLOOKUP($C7,'[2]2.행정구역별 급수인구'!$C$7:$AD$997,28,FALSE)*$E7,0),IF($D7="B",(ROUND(VLOOKUP($C7,'[2]2.행정구역별 급수인구'!$C$7:$AD$997,28,FALSE)-VLOOKUP($C7,'[2]2.행정구역별 급수인구'!$C$7:$AD$997,28,FALSE)*(1-$E7),0)),VLOOKUP($C7,'[2]2.행정구역별 급수인구'!$C$7:$AD$997,28,FALSE)))</f>
        <v>275</v>
      </c>
      <c r="L7" s="302">
        <f>VLOOKUP($F7,'[3]5.급수원단위'!$B$31:$G$35,2,FALSE)</f>
        <v>272</v>
      </c>
      <c r="M7" s="302">
        <f>VLOOKUP($F7,'[3]5.급수원단위'!$B$31:$G$35,3,FALSE)</f>
        <v>304</v>
      </c>
      <c r="N7" s="302">
        <f>VLOOKUP($F7,'[3]5.급수원단위'!$B$31:$G$35,4,FALSE)</f>
        <v>308</v>
      </c>
      <c r="O7" s="302">
        <f>VLOOKUP($F7,'[3]5.급수원단위'!$B$31:$G$35,5,FALSE)</f>
        <v>310</v>
      </c>
      <c r="P7" s="302">
        <f>VLOOKUP($F7,'[3]5.급수원단위'!$B$31:$G$35,6,FALSE)</f>
        <v>310</v>
      </c>
      <c r="Q7" s="302">
        <f>ROUND(IF(G7=0,0,VLOOKUP(C7,'2013실사용량 정리'!$D$6:$F$381,3,FALSE)),0)</f>
        <v>36</v>
      </c>
      <c r="R7" s="302">
        <f t="shared" ref="R7:U22" si="1">ROUND(H7*M7/1000,0)</f>
        <v>72</v>
      </c>
      <c r="S7" s="302">
        <f t="shared" si="1"/>
        <v>77</v>
      </c>
      <c r="T7" s="302">
        <f t="shared" si="1"/>
        <v>84</v>
      </c>
      <c r="U7" s="302">
        <f t="shared" si="1"/>
        <v>85</v>
      </c>
      <c r="W7" s="343">
        <f t="shared" si="0"/>
        <v>2.3611111111111112</v>
      </c>
    </row>
    <row r="8" spans="1:26" ht="20.100000000000001" customHeight="1">
      <c r="A8" s="340"/>
      <c r="B8" s="340"/>
      <c r="C8" s="406" t="s">
        <v>1672</v>
      </c>
      <c r="D8" s="330" t="s">
        <v>1299</v>
      </c>
      <c r="E8" s="527">
        <v>1</v>
      </c>
      <c r="F8" s="527" t="s">
        <v>1317</v>
      </c>
      <c r="G8" s="302">
        <f>IF($D8="A",ROUND(VLOOKUP($C8,'[2]2.행정구역별 급수인구'!$C$7:$AD$997,17,FALSE)*$E8,0),IF($D8="B",(ROUND(VLOOKUP($C8,'[2]2.행정구역별 급수인구'!$C$7:$AD$997,17,FALSE)-VLOOKUP($C8,'[2]2.행정구역별 급수인구'!$C$7:$AD$997,17,FALSE)*(1-$E8),0)),VLOOKUP($C8,'[2]2.행정구역별 급수인구'!$C$7:$AD$997,17,FALSE)))</f>
        <v>128</v>
      </c>
      <c r="H8" s="302">
        <f>IF($D8="A",ROUND(VLOOKUP($C8,'[2]2.행정구역별 급수인구'!$C$7:$AD$997,25,FALSE)*$E8,0),IF($D8="B",(ROUND(VLOOKUP($C8,'[2]2.행정구역별 급수인구'!$C$7:$AD$997,25,FALSE)-VLOOKUP($C8,'[2]2.행정구역별 급수인구'!$C$7:$AD$997,25,FALSE)*(1-$E8),0)),VLOOKUP($C8,'[2]2.행정구역별 급수인구'!$C$7:$AD$997,25,FALSE)))</f>
        <v>135</v>
      </c>
      <c r="I8" s="302">
        <f>IF($D8="A",ROUND(VLOOKUP($C8,'[2]2.행정구역별 급수인구'!$C$7:$AD$997,26,FALSE)*$E8,0),IF($D8="B",(ROUND(VLOOKUP($C8,'[2]2.행정구역별 급수인구'!$C$7:$AD$997,26,FALSE)-VLOOKUP($C8,'[2]2.행정구역별 급수인구'!$C$7:$AD$997,26,FALSE)*(1-$E8),0)),VLOOKUP($C8,'[2]2.행정구역별 급수인구'!$C$7:$AD$997,26,FALSE)))</f>
        <v>141</v>
      </c>
      <c r="J8" s="302">
        <f>IF($D8="A",ROUND(VLOOKUP($C8,'[2]2.행정구역별 급수인구'!$C$7:$AD$997,27,FALSE)*$E8,0),IF($D8="B",(ROUND(VLOOKUP($C8,'[2]2.행정구역별 급수인구'!$C$7:$AD$997,27,FALSE)-VLOOKUP($C8,'[2]2.행정구역별 급수인구'!$C$7:$AD$997,27,FALSE)*(1-$E8),0)),VLOOKUP($C8,'[2]2.행정구역별 급수인구'!$C$7:$AD$997,27,FALSE)))</f>
        <v>153</v>
      </c>
      <c r="K8" s="302">
        <f>IF($D8="A",ROUND(VLOOKUP($C8,'[2]2.행정구역별 급수인구'!$C$7:$AD$997,28,FALSE)*$E8,0),IF($D8="B",(ROUND(VLOOKUP($C8,'[2]2.행정구역별 급수인구'!$C$7:$AD$997,28,FALSE)-VLOOKUP($C8,'[2]2.행정구역별 급수인구'!$C$7:$AD$997,28,FALSE)*(1-$E8),0)),VLOOKUP($C8,'[2]2.행정구역별 급수인구'!$C$7:$AD$997,28,FALSE)))</f>
        <v>155</v>
      </c>
      <c r="L8" s="302">
        <f>VLOOKUP($F8,'[3]5.급수원단위'!$B$31:$G$35,2,FALSE)</f>
        <v>272</v>
      </c>
      <c r="M8" s="302">
        <f>VLOOKUP($F8,'[3]5.급수원단위'!$B$31:$G$35,3,FALSE)</f>
        <v>304</v>
      </c>
      <c r="N8" s="302">
        <f>VLOOKUP($F8,'[3]5.급수원단위'!$B$31:$G$35,4,FALSE)</f>
        <v>308</v>
      </c>
      <c r="O8" s="302">
        <f>VLOOKUP($F8,'[3]5.급수원단위'!$B$31:$G$35,5,FALSE)</f>
        <v>310</v>
      </c>
      <c r="P8" s="302">
        <f>VLOOKUP($F8,'[3]5.급수원단위'!$B$31:$G$35,6,FALSE)</f>
        <v>310</v>
      </c>
      <c r="Q8" s="302">
        <f>ROUND(IF(G8=0,0,VLOOKUP(C8,'2013실사용량 정리'!$D$6:$F$381,3,FALSE)),0)</f>
        <v>20</v>
      </c>
      <c r="R8" s="302">
        <f t="shared" si="1"/>
        <v>41</v>
      </c>
      <c r="S8" s="302">
        <f t="shared" si="1"/>
        <v>43</v>
      </c>
      <c r="T8" s="302">
        <f t="shared" si="1"/>
        <v>47</v>
      </c>
      <c r="U8" s="302">
        <f t="shared" si="1"/>
        <v>48</v>
      </c>
      <c r="W8" s="343">
        <f t="shared" si="0"/>
        <v>2.4</v>
      </c>
    </row>
    <row r="9" spans="1:26" ht="20.100000000000001" customHeight="1">
      <c r="A9" s="340"/>
      <c r="B9" s="340"/>
      <c r="C9" s="406" t="s">
        <v>1673</v>
      </c>
      <c r="D9" s="330" t="s">
        <v>1299</v>
      </c>
      <c r="E9" s="527">
        <v>1</v>
      </c>
      <c r="F9" s="527" t="s">
        <v>1317</v>
      </c>
      <c r="G9" s="302">
        <f>IF($D9="A",ROUND(VLOOKUP($C9,'[2]2.행정구역별 급수인구'!$C$7:$AD$997,17,FALSE)*$E9,0),IF($D9="B",(ROUND(VLOOKUP($C9,'[2]2.행정구역별 급수인구'!$C$7:$AD$997,17,FALSE)-VLOOKUP($C9,'[2]2.행정구역별 급수인구'!$C$7:$AD$997,17,FALSE)*(1-$E9),0)),VLOOKUP($C9,'[2]2.행정구역별 급수인구'!$C$7:$AD$997,17,FALSE)))</f>
        <v>116</v>
      </c>
      <c r="H9" s="302">
        <f>IF($D9="A",ROUND(VLOOKUP($C9,'[2]2.행정구역별 급수인구'!$C$7:$AD$997,25,FALSE)*$E9,0),IF($D9="B",(ROUND(VLOOKUP($C9,'[2]2.행정구역별 급수인구'!$C$7:$AD$997,25,FALSE)-VLOOKUP($C9,'[2]2.행정구역별 급수인구'!$C$7:$AD$997,25,FALSE)*(1-$E9),0)),VLOOKUP($C9,'[2]2.행정구역별 급수인구'!$C$7:$AD$997,25,FALSE)))</f>
        <v>122</v>
      </c>
      <c r="I9" s="302">
        <f>IF($D9="A",ROUND(VLOOKUP($C9,'[2]2.행정구역별 급수인구'!$C$7:$AD$997,26,FALSE)*$E9,0),IF($D9="B",(ROUND(VLOOKUP($C9,'[2]2.행정구역별 급수인구'!$C$7:$AD$997,26,FALSE)-VLOOKUP($C9,'[2]2.행정구역별 급수인구'!$C$7:$AD$997,26,FALSE)*(1-$E9),0)),VLOOKUP($C9,'[2]2.행정구역별 급수인구'!$C$7:$AD$997,26,FALSE)))</f>
        <v>128</v>
      </c>
      <c r="J9" s="302">
        <f>IF($D9="A",ROUND(VLOOKUP($C9,'[2]2.행정구역별 급수인구'!$C$7:$AD$997,27,FALSE)*$E9,0),IF($D9="B",(ROUND(VLOOKUP($C9,'[2]2.행정구역별 급수인구'!$C$7:$AD$997,27,FALSE)-VLOOKUP($C9,'[2]2.행정구역별 급수인구'!$C$7:$AD$997,27,FALSE)*(1-$E9),0)),VLOOKUP($C9,'[2]2.행정구역별 급수인구'!$C$7:$AD$997,27,FALSE)))</f>
        <v>140</v>
      </c>
      <c r="K9" s="302">
        <f>IF($D9="A",ROUND(VLOOKUP($C9,'[2]2.행정구역별 급수인구'!$C$7:$AD$997,28,FALSE)*$E9,0),IF($D9="B",(ROUND(VLOOKUP($C9,'[2]2.행정구역별 급수인구'!$C$7:$AD$997,28,FALSE)-VLOOKUP($C9,'[2]2.행정구역별 급수인구'!$C$7:$AD$997,28,FALSE)*(1-$E9),0)),VLOOKUP($C9,'[2]2.행정구역별 급수인구'!$C$7:$AD$997,28,FALSE)))</f>
        <v>142</v>
      </c>
      <c r="L9" s="302">
        <f>VLOOKUP($F9,'[3]5.급수원단위'!$B$31:$G$35,2,FALSE)</f>
        <v>272</v>
      </c>
      <c r="M9" s="302">
        <f>VLOOKUP($F9,'[3]5.급수원단위'!$B$31:$G$35,3,FALSE)</f>
        <v>304</v>
      </c>
      <c r="N9" s="302">
        <f>VLOOKUP($F9,'[3]5.급수원단위'!$B$31:$G$35,4,FALSE)</f>
        <v>308</v>
      </c>
      <c r="O9" s="302">
        <f>VLOOKUP($F9,'[3]5.급수원단위'!$B$31:$G$35,5,FALSE)</f>
        <v>310</v>
      </c>
      <c r="P9" s="302">
        <f>VLOOKUP($F9,'[3]5.급수원단위'!$B$31:$G$35,6,FALSE)</f>
        <v>310</v>
      </c>
      <c r="Q9" s="302">
        <f>ROUND(IF(G9=0,0,VLOOKUP(C9,'2013실사용량 정리'!$D$6:$F$381,3,FALSE)),0)</f>
        <v>19</v>
      </c>
      <c r="R9" s="302">
        <f t="shared" si="1"/>
        <v>37</v>
      </c>
      <c r="S9" s="302">
        <f t="shared" si="1"/>
        <v>39</v>
      </c>
      <c r="T9" s="302">
        <f t="shared" si="1"/>
        <v>43</v>
      </c>
      <c r="U9" s="302">
        <f t="shared" si="1"/>
        <v>44</v>
      </c>
      <c r="W9" s="343">
        <f t="shared" si="0"/>
        <v>2.3157894736842106</v>
      </c>
    </row>
    <row r="10" spans="1:26" ht="20.100000000000001" customHeight="1">
      <c r="A10" s="340"/>
      <c r="B10" s="340"/>
      <c r="C10" s="406" t="s">
        <v>1674</v>
      </c>
      <c r="D10" s="330" t="s">
        <v>1299</v>
      </c>
      <c r="E10" s="527">
        <v>1</v>
      </c>
      <c r="F10" s="527" t="s">
        <v>1317</v>
      </c>
      <c r="G10" s="302">
        <f>IF($D10="A",ROUND(VLOOKUP($C10,'[2]2.행정구역별 급수인구'!$C$7:$AD$997,17,FALSE)*$E10,0),IF($D10="B",(ROUND(VLOOKUP($C10,'[2]2.행정구역별 급수인구'!$C$7:$AD$997,17,FALSE)-VLOOKUP($C10,'[2]2.행정구역별 급수인구'!$C$7:$AD$997,17,FALSE)*(1-$E10),0)),VLOOKUP($C10,'[2]2.행정구역별 급수인구'!$C$7:$AD$997,17,FALSE)))</f>
        <v>94</v>
      </c>
      <c r="H10" s="302">
        <f>IF($D10="A",ROUND(VLOOKUP($C10,'[2]2.행정구역별 급수인구'!$C$7:$AD$997,25,FALSE)*$E10,0),IF($D10="B",(ROUND(VLOOKUP($C10,'[2]2.행정구역별 급수인구'!$C$7:$AD$997,25,FALSE)-VLOOKUP($C10,'[2]2.행정구역별 급수인구'!$C$7:$AD$997,25,FALSE)*(1-$E10),0)),VLOOKUP($C10,'[2]2.행정구역별 급수인구'!$C$7:$AD$997,25,FALSE)))</f>
        <v>98</v>
      </c>
      <c r="I10" s="302">
        <f>IF($D10="A",ROUND(VLOOKUP($C10,'[2]2.행정구역별 급수인구'!$C$7:$AD$997,26,FALSE)*$E10,0),IF($D10="B",(ROUND(VLOOKUP($C10,'[2]2.행정구역별 급수인구'!$C$7:$AD$997,26,FALSE)-VLOOKUP($C10,'[2]2.행정구역별 급수인구'!$C$7:$AD$997,26,FALSE)*(1-$E10),0)),VLOOKUP($C10,'[2]2.행정구역별 급수인구'!$C$7:$AD$997,26,FALSE)))</f>
        <v>104</v>
      </c>
      <c r="J10" s="302">
        <f>IF($D10="A",ROUND(VLOOKUP($C10,'[2]2.행정구역별 급수인구'!$C$7:$AD$997,27,FALSE)*$E10,0),IF($D10="B",(ROUND(VLOOKUP($C10,'[2]2.행정구역별 급수인구'!$C$7:$AD$997,27,FALSE)-VLOOKUP($C10,'[2]2.행정구역별 급수인구'!$C$7:$AD$997,27,FALSE)*(1-$E10),0)),VLOOKUP($C10,'[2]2.행정구역별 급수인구'!$C$7:$AD$997,27,FALSE)))</f>
        <v>113</v>
      </c>
      <c r="K10" s="302">
        <f>IF($D10="A",ROUND(VLOOKUP($C10,'[2]2.행정구역별 급수인구'!$C$7:$AD$997,28,FALSE)*$E10,0),IF($D10="B",(ROUND(VLOOKUP($C10,'[2]2.행정구역별 급수인구'!$C$7:$AD$997,28,FALSE)-VLOOKUP($C10,'[2]2.행정구역별 급수인구'!$C$7:$AD$997,28,FALSE)*(1-$E10),0)),VLOOKUP($C10,'[2]2.행정구역별 급수인구'!$C$7:$AD$997,28,FALSE)))</f>
        <v>114</v>
      </c>
      <c r="L10" s="302">
        <f>VLOOKUP($F10,'[3]5.급수원단위'!$B$31:$G$35,2,FALSE)</f>
        <v>272</v>
      </c>
      <c r="M10" s="302">
        <f>VLOOKUP($F10,'[3]5.급수원단위'!$B$31:$G$35,3,FALSE)</f>
        <v>304</v>
      </c>
      <c r="N10" s="302">
        <f>VLOOKUP($F10,'[3]5.급수원단위'!$B$31:$G$35,4,FALSE)</f>
        <v>308</v>
      </c>
      <c r="O10" s="302">
        <f>VLOOKUP($F10,'[3]5.급수원단위'!$B$31:$G$35,5,FALSE)</f>
        <v>310</v>
      </c>
      <c r="P10" s="302">
        <f>VLOOKUP($F10,'[3]5.급수원단위'!$B$31:$G$35,6,FALSE)</f>
        <v>310</v>
      </c>
      <c r="Q10" s="302">
        <f>ROUND(IF(G10=0,0,VLOOKUP(C10,'2013실사용량 정리'!$D$6:$F$381,3,FALSE)),0)</f>
        <v>15</v>
      </c>
      <c r="R10" s="302">
        <f t="shared" si="1"/>
        <v>30</v>
      </c>
      <c r="S10" s="302">
        <f t="shared" si="1"/>
        <v>32</v>
      </c>
      <c r="T10" s="302">
        <f t="shared" si="1"/>
        <v>35</v>
      </c>
      <c r="U10" s="302">
        <f t="shared" si="1"/>
        <v>35</v>
      </c>
      <c r="W10" s="343">
        <f t="shared" si="0"/>
        <v>2.3333333333333335</v>
      </c>
    </row>
    <row r="11" spans="1:26" ht="20.100000000000001" customHeight="1">
      <c r="A11" s="340"/>
      <c r="B11" s="340"/>
      <c r="C11" s="406" t="s">
        <v>1675</v>
      </c>
      <c r="D11" s="330" t="s">
        <v>1299</v>
      </c>
      <c r="E11" s="527">
        <v>1</v>
      </c>
      <c r="F11" s="527" t="s">
        <v>1317</v>
      </c>
      <c r="G11" s="302">
        <f>IF($D11="A",ROUND(VLOOKUP($C11,'[2]2.행정구역별 급수인구'!$C$7:$AD$997,17,FALSE)*$E11,0),IF($D11="B",(ROUND(VLOOKUP($C11,'[2]2.행정구역별 급수인구'!$C$7:$AD$997,17,FALSE)-VLOOKUP($C11,'[2]2.행정구역별 급수인구'!$C$7:$AD$997,17,FALSE)*(1-$E11),0)),VLOOKUP($C11,'[2]2.행정구역별 급수인구'!$C$7:$AD$997,17,FALSE)))</f>
        <v>87</v>
      </c>
      <c r="H11" s="302">
        <f>IF($D11="A",ROUND(VLOOKUP($C11,'[2]2.행정구역별 급수인구'!$C$7:$AD$997,25,FALSE)*$E11,0),IF($D11="B",(ROUND(VLOOKUP($C11,'[2]2.행정구역별 급수인구'!$C$7:$AD$997,25,FALSE)-VLOOKUP($C11,'[2]2.행정구역별 급수인구'!$C$7:$AD$997,25,FALSE)*(1-$E11),0)),VLOOKUP($C11,'[2]2.행정구역별 급수인구'!$C$7:$AD$997,25,FALSE)))</f>
        <v>90</v>
      </c>
      <c r="I11" s="302">
        <f>IF($D11="A",ROUND(VLOOKUP($C11,'[2]2.행정구역별 급수인구'!$C$7:$AD$997,26,FALSE)*$E11,0),IF($D11="B",(ROUND(VLOOKUP($C11,'[2]2.행정구역별 급수인구'!$C$7:$AD$997,26,FALSE)-VLOOKUP($C11,'[2]2.행정구역별 급수인구'!$C$7:$AD$997,26,FALSE)*(1-$E11),0)),VLOOKUP($C11,'[2]2.행정구역별 급수인구'!$C$7:$AD$997,26,FALSE)))</f>
        <v>95</v>
      </c>
      <c r="J11" s="302">
        <f>IF($D11="A",ROUND(VLOOKUP($C11,'[2]2.행정구역별 급수인구'!$C$7:$AD$997,27,FALSE)*$E11,0),IF($D11="B",(ROUND(VLOOKUP($C11,'[2]2.행정구역별 급수인구'!$C$7:$AD$997,27,FALSE)-VLOOKUP($C11,'[2]2.행정구역별 급수인구'!$C$7:$AD$997,27,FALSE)*(1-$E11),0)),VLOOKUP($C11,'[2]2.행정구역별 급수인구'!$C$7:$AD$997,27,FALSE)))</f>
        <v>103</v>
      </c>
      <c r="K11" s="302">
        <f>IF($D11="A",ROUND(VLOOKUP($C11,'[2]2.행정구역별 급수인구'!$C$7:$AD$997,28,FALSE)*$E11,0),IF($D11="B",(ROUND(VLOOKUP($C11,'[2]2.행정구역별 급수인구'!$C$7:$AD$997,28,FALSE)-VLOOKUP($C11,'[2]2.행정구역별 급수인구'!$C$7:$AD$997,28,FALSE)*(1-$E11),0)),VLOOKUP($C11,'[2]2.행정구역별 급수인구'!$C$7:$AD$997,28,FALSE)))</f>
        <v>105</v>
      </c>
      <c r="L11" s="302">
        <f>VLOOKUP($F11,'[3]5.급수원단위'!$B$31:$G$35,2,FALSE)</f>
        <v>272</v>
      </c>
      <c r="M11" s="302">
        <f>VLOOKUP($F11,'[3]5.급수원단위'!$B$31:$G$35,3,FALSE)</f>
        <v>304</v>
      </c>
      <c r="N11" s="302">
        <f>VLOOKUP($F11,'[3]5.급수원단위'!$B$31:$G$35,4,FALSE)</f>
        <v>308</v>
      </c>
      <c r="O11" s="302">
        <f>VLOOKUP($F11,'[3]5.급수원단위'!$B$31:$G$35,5,FALSE)</f>
        <v>310</v>
      </c>
      <c r="P11" s="302">
        <f>VLOOKUP($F11,'[3]5.급수원단위'!$B$31:$G$35,6,FALSE)</f>
        <v>310</v>
      </c>
      <c r="Q11" s="302">
        <f>ROUND(IF(G11=0,0,VLOOKUP(C11,'2013실사용량 정리'!$D$6:$F$381,3,FALSE)),0)</f>
        <v>14</v>
      </c>
      <c r="R11" s="302">
        <f t="shared" si="1"/>
        <v>27</v>
      </c>
      <c r="S11" s="302">
        <f t="shared" si="1"/>
        <v>29</v>
      </c>
      <c r="T11" s="302">
        <f t="shared" si="1"/>
        <v>32</v>
      </c>
      <c r="U11" s="302">
        <f t="shared" si="1"/>
        <v>33</v>
      </c>
      <c r="W11" s="343">
        <f t="shared" si="0"/>
        <v>2.3571428571428572</v>
      </c>
    </row>
    <row r="12" spans="1:26" ht="20.100000000000001" customHeight="1">
      <c r="A12" s="340"/>
      <c r="B12" s="340"/>
      <c r="C12" s="406" t="s">
        <v>1676</v>
      </c>
      <c r="D12" s="330" t="s">
        <v>1299</v>
      </c>
      <c r="E12" s="527">
        <v>1</v>
      </c>
      <c r="F12" s="527" t="s">
        <v>1317</v>
      </c>
      <c r="G12" s="302">
        <f>IF($D12="A",ROUND(VLOOKUP($C12,'[2]2.행정구역별 급수인구'!$C$7:$AD$997,17,FALSE)*$E12,0),IF($D12="B",(ROUND(VLOOKUP($C12,'[2]2.행정구역별 급수인구'!$C$7:$AD$997,17,FALSE)-VLOOKUP($C12,'[2]2.행정구역별 급수인구'!$C$7:$AD$997,17,FALSE)*(1-$E12),0)),VLOOKUP($C12,'[2]2.행정구역별 급수인구'!$C$7:$AD$997,17,FALSE)))</f>
        <v>144</v>
      </c>
      <c r="H12" s="302">
        <f>IF($D12="A",ROUND(VLOOKUP($C12,'[2]2.행정구역별 급수인구'!$C$7:$AD$997,25,FALSE)*$E12,0),IF($D12="B",(ROUND(VLOOKUP($C12,'[2]2.행정구역별 급수인구'!$C$7:$AD$997,25,FALSE)-VLOOKUP($C12,'[2]2.행정구역별 급수인구'!$C$7:$AD$997,25,FALSE)*(1-$E12),0)),VLOOKUP($C12,'[2]2.행정구역별 급수인구'!$C$7:$AD$997,25,FALSE)))</f>
        <v>151</v>
      </c>
      <c r="I12" s="302">
        <f>IF($D12="A",ROUND(VLOOKUP($C12,'[2]2.행정구역별 급수인구'!$C$7:$AD$997,26,FALSE)*$E12,0),IF($D12="B",(ROUND(VLOOKUP($C12,'[2]2.행정구역별 급수인구'!$C$7:$AD$997,26,FALSE)-VLOOKUP($C12,'[2]2.행정구역별 급수인구'!$C$7:$AD$997,26,FALSE)*(1-$E12),0)),VLOOKUP($C12,'[2]2.행정구역별 급수인구'!$C$7:$AD$997,26,FALSE)))</f>
        <v>159</v>
      </c>
      <c r="J12" s="302">
        <f>IF($D12="A",ROUND(VLOOKUP($C12,'[2]2.행정구역별 급수인구'!$C$7:$AD$997,27,FALSE)*$E12,0),IF($D12="B",(ROUND(VLOOKUP($C12,'[2]2.행정구역별 급수인구'!$C$7:$AD$997,27,FALSE)-VLOOKUP($C12,'[2]2.행정구역별 급수인구'!$C$7:$AD$997,27,FALSE)*(1-$E12),0)),VLOOKUP($C12,'[2]2.행정구역별 급수인구'!$C$7:$AD$997,27,FALSE)))</f>
        <v>173</v>
      </c>
      <c r="K12" s="302">
        <f>IF($D12="A",ROUND(VLOOKUP($C12,'[2]2.행정구역별 급수인구'!$C$7:$AD$997,28,FALSE)*$E12,0),IF($D12="B",(ROUND(VLOOKUP($C12,'[2]2.행정구역별 급수인구'!$C$7:$AD$997,28,FALSE)-VLOOKUP($C12,'[2]2.행정구역별 급수인구'!$C$7:$AD$997,28,FALSE)*(1-$E12),0)),VLOOKUP($C12,'[2]2.행정구역별 급수인구'!$C$7:$AD$997,28,FALSE)))</f>
        <v>176</v>
      </c>
      <c r="L12" s="302">
        <f>VLOOKUP($F12,'[3]5.급수원단위'!$B$31:$G$35,2,FALSE)</f>
        <v>272</v>
      </c>
      <c r="M12" s="302">
        <f>VLOOKUP($F12,'[3]5.급수원단위'!$B$31:$G$35,3,FALSE)</f>
        <v>304</v>
      </c>
      <c r="N12" s="302">
        <f>VLOOKUP($F12,'[3]5.급수원단위'!$B$31:$G$35,4,FALSE)</f>
        <v>308</v>
      </c>
      <c r="O12" s="302">
        <f>VLOOKUP($F12,'[3]5.급수원단위'!$B$31:$G$35,5,FALSE)</f>
        <v>310</v>
      </c>
      <c r="P12" s="302">
        <f>VLOOKUP($F12,'[3]5.급수원단위'!$B$31:$G$35,6,FALSE)</f>
        <v>310</v>
      </c>
      <c r="Q12" s="302">
        <f>ROUND(IF(G12=0,0,VLOOKUP(C12,'2013실사용량 정리'!$D$6:$F$381,3,FALSE)),0)</f>
        <v>4</v>
      </c>
      <c r="R12" s="302">
        <f t="shared" si="1"/>
        <v>46</v>
      </c>
      <c r="S12" s="302">
        <f t="shared" si="1"/>
        <v>49</v>
      </c>
      <c r="T12" s="302">
        <f t="shared" si="1"/>
        <v>54</v>
      </c>
      <c r="U12" s="302">
        <f t="shared" si="1"/>
        <v>55</v>
      </c>
      <c r="W12" s="343">
        <f t="shared" si="0"/>
        <v>13.75</v>
      </c>
    </row>
    <row r="13" spans="1:26" ht="20.100000000000001" customHeight="1">
      <c r="A13" s="340"/>
      <c r="B13" s="340"/>
      <c r="C13" s="406" t="s">
        <v>1677</v>
      </c>
      <c r="D13" s="330" t="s">
        <v>1299</v>
      </c>
      <c r="E13" s="527">
        <v>1</v>
      </c>
      <c r="F13" s="527" t="s">
        <v>1317</v>
      </c>
      <c r="G13" s="302">
        <f>IF($D13="A",ROUND(VLOOKUP($C13,'[2]2.행정구역별 급수인구'!$C$7:$AD$997,17,FALSE)*$E13,0),IF($D13="B",(ROUND(VLOOKUP($C13,'[2]2.행정구역별 급수인구'!$C$7:$AD$997,17,FALSE)-VLOOKUP($C13,'[2]2.행정구역별 급수인구'!$C$7:$AD$997,17,FALSE)*(1-$E13),0)),VLOOKUP($C13,'[2]2.행정구역별 급수인구'!$C$7:$AD$997,17,FALSE)))</f>
        <v>0</v>
      </c>
      <c r="H13" s="302">
        <f>IF($D13="A",ROUND(VLOOKUP($C13,'[2]2.행정구역별 급수인구'!$C$7:$AD$997,25,FALSE)*$E13,0),IF($D13="B",(ROUND(VLOOKUP($C13,'[2]2.행정구역별 급수인구'!$C$7:$AD$997,25,FALSE)-VLOOKUP($C13,'[2]2.행정구역별 급수인구'!$C$7:$AD$997,25,FALSE)*(1-$E13),0)),VLOOKUP($C13,'[2]2.행정구역별 급수인구'!$C$7:$AD$997,25,FALSE)))</f>
        <v>166</v>
      </c>
      <c r="I13" s="302">
        <f>IF($D13="A",ROUND(VLOOKUP($C13,'[2]2.행정구역별 급수인구'!$C$7:$AD$997,26,FALSE)*$E13,0),IF($D13="B",(ROUND(VLOOKUP($C13,'[2]2.행정구역별 급수인구'!$C$7:$AD$997,26,FALSE)-VLOOKUP($C13,'[2]2.행정구역별 급수인구'!$C$7:$AD$997,26,FALSE)*(1-$E13),0)),VLOOKUP($C13,'[2]2.행정구역별 급수인구'!$C$7:$AD$997,26,FALSE)))</f>
        <v>176</v>
      </c>
      <c r="J13" s="302">
        <f>IF($D13="A",ROUND(VLOOKUP($C13,'[2]2.행정구역별 급수인구'!$C$7:$AD$997,27,FALSE)*$E13,0),IF($D13="B",(ROUND(VLOOKUP($C13,'[2]2.행정구역별 급수인구'!$C$7:$AD$997,27,FALSE)-VLOOKUP($C13,'[2]2.행정구역별 급수인구'!$C$7:$AD$997,27,FALSE)*(1-$E13),0)),VLOOKUP($C13,'[2]2.행정구역별 급수인구'!$C$7:$AD$997,27,FALSE)))</f>
        <v>190</v>
      </c>
      <c r="K13" s="302">
        <f>IF($D13="A",ROUND(VLOOKUP($C13,'[2]2.행정구역별 급수인구'!$C$7:$AD$997,28,FALSE)*$E13,0),IF($D13="B",(ROUND(VLOOKUP($C13,'[2]2.행정구역별 급수인구'!$C$7:$AD$997,28,FALSE)-VLOOKUP($C13,'[2]2.행정구역별 급수인구'!$C$7:$AD$997,28,FALSE)*(1-$E13),0)),VLOOKUP($C13,'[2]2.행정구역별 급수인구'!$C$7:$AD$997,28,FALSE)))</f>
        <v>194</v>
      </c>
      <c r="L13" s="302">
        <f>VLOOKUP($F13,'[3]5.급수원단위'!$B$31:$G$35,2,FALSE)</f>
        <v>272</v>
      </c>
      <c r="M13" s="302">
        <f>VLOOKUP($F13,'[3]5.급수원단위'!$B$31:$G$35,3,FALSE)</f>
        <v>304</v>
      </c>
      <c r="N13" s="302">
        <f>VLOOKUP($F13,'[3]5.급수원단위'!$B$31:$G$35,4,FALSE)</f>
        <v>308</v>
      </c>
      <c r="O13" s="302">
        <f>VLOOKUP($F13,'[3]5.급수원단위'!$B$31:$G$35,5,FALSE)</f>
        <v>310</v>
      </c>
      <c r="P13" s="302">
        <f>VLOOKUP($F13,'[3]5.급수원단위'!$B$31:$G$35,6,FALSE)</f>
        <v>310</v>
      </c>
      <c r="Q13" s="302">
        <f>ROUND(IF(G13=0,0,VLOOKUP(C13,'2013실사용량 정리'!$D$6:$F$381,3,FALSE)),0)</f>
        <v>0</v>
      </c>
      <c r="R13" s="302">
        <f t="shared" si="1"/>
        <v>50</v>
      </c>
      <c r="S13" s="302">
        <f t="shared" si="1"/>
        <v>54</v>
      </c>
      <c r="T13" s="302">
        <f t="shared" si="1"/>
        <v>59</v>
      </c>
      <c r="U13" s="302">
        <f t="shared" si="1"/>
        <v>60</v>
      </c>
      <c r="W13" s="343" t="str">
        <f>IF(ISERROR(U13/Q13),"",U13/Q13)</f>
        <v/>
      </c>
    </row>
    <row r="14" spans="1:26" ht="20.100000000000001" customHeight="1">
      <c r="A14" s="340"/>
      <c r="B14" s="340"/>
      <c r="C14" s="406" t="s">
        <v>1678</v>
      </c>
      <c r="D14" s="330" t="s">
        <v>1299</v>
      </c>
      <c r="E14" s="527">
        <v>1</v>
      </c>
      <c r="F14" s="527" t="s">
        <v>1317</v>
      </c>
      <c r="G14" s="302">
        <f>IF($D14="A",ROUND(VLOOKUP($C14,'[2]2.행정구역별 급수인구'!$C$7:$AD$997,17,FALSE)*$E14,0),IF($D14="B",(ROUND(VLOOKUP($C14,'[2]2.행정구역별 급수인구'!$C$7:$AD$997,17,FALSE)-VLOOKUP($C14,'[2]2.행정구역별 급수인구'!$C$7:$AD$997,17,FALSE)*(1-$E14),0)),VLOOKUP($C14,'[2]2.행정구역별 급수인구'!$C$7:$AD$997,17,FALSE)))</f>
        <v>137</v>
      </c>
      <c r="H14" s="302">
        <f>IF($D14="A",ROUND(VLOOKUP($C14,'[2]2.행정구역별 급수인구'!$C$7:$AD$997,25,FALSE)*$E14,0),IF($D14="B",(ROUND(VLOOKUP($C14,'[2]2.행정구역별 급수인구'!$C$7:$AD$997,25,FALSE)-VLOOKUP($C14,'[2]2.행정구역별 급수인구'!$C$7:$AD$997,25,FALSE)*(1-$E14),0)),VLOOKUP($C14,'[2]2.행정구역별 급수인구'!$C$7:$AD$997,25,FALSE)))</f>
        <v>144</v>
      </c>
      <c r="I14" s="302">
        <f>IF($D14="A",ROUND(VLOOKUP($C14,'[2]2.행정구역별 급수인구'!$C$7:$AD$997,26,FALSE)*$E14,0),IF($D14="B",(ROUND(VLOOKUP($C14,'[2]2.행정구역별 급수인구'!$C$7:$AD$997,26,FALSE)-VLOOKUP($C14,'[2]2.행정구역별 급수인구'!$C$7:$AD$997,26,FALSE)*(1-$E14),0)),VLOOKUP($C14,'[2]2.행정구역별 급수인구'!$C$7:$AD$997,26,FALSE)))</f>
        <v>152</v>
      </c>
      <c r="J14" s="302">
        <f>IF($D14="A",ROUND(VLOOKUP($C14,'[2]2.행정구역별 급수인구'!$C$7:$AD$997,27,FALSE)*$E14,0),IF($D14="B",(ROUND(VLOOKUP($C14,'[2]2.행정구역별 급수인구'!$C$7:$AD$997,27,FALSE)-VLOOKUP($C14,'[2]2.행정구역별 급수인구'!$C$7:$AD$997,27,FALSE)*(1-$E14),0)),VLOOKUP($C14,'[2]2.행정구역별 급수인구'!$C$7:$AD$997,27,FALSE)))</f>
        <v>165</v>
      </c>
      <c r="K14" s="302">
        <f>IF($D14="A",ROUND(VLOOKUP($C14,'[2]2.행정구역별 급수인구'!$C$7:$AD$997,28,FALSE)*$E14,0),IF($D14="B",(ROUND(VLOOKUP($C14,'[2]2.행정구역별 급수인구'!$C$7:$AD$997,28,FALSE)-VLOOKUP($C14,'[2]2.행정구역별 급수인구'!$C$7:$AD$997,28,FALSE)*(1-$E14),0)),VLOOKUP($C14,'[2]2.행정구역별 급수인구'!$C$7:$AD$997,28,FALSE)))</f>
        <v>168</v>
      </c>
      <c r="L14" s="302">
        <f>VLOOKUP($F14,'[3]5.급수원단위'!$B$31:$G$35,2,FALSE)</f>
        <v>272</v>
      </c>
      <c r="M14" s="302">
        <f>VLOOKUP($F14,'[3]5.급수원단위'!$B$31:$G$35,3,FALSE)</f>
        <v>304</v>
      </c>
      <c r="N14" s="302">
        <f>VLOOKUP($F14,'[3]5.급수원단위'!$B$31:$G$35,4,FALSE)</f>
        <v>308</v>
      </c>
      <c r="O14" s="302">
        <f>VLOOKUP($F14,'[3]5.급수원단위'!$B$31:$G$35,5,FALSE)</f>
        <v>310</v>
      </c>
      <c r="P14" s="302">
        <f>VLOOKUP($F14,'[3]5.급수원단위'!$B$31:$G$35,6,FALSE)</f>
        <v>310</v>
      </c>
      <c r="Q14" s="302">
        <f>ROUND(IF(G14=0,0,VLOOKUP(C14,'2013실사용량 정리'!$D$6:$F$381,3,FALSE)),0)</f>
        <v>3</v>
      </c>
      <c r="R14" s="302">
        <f t="shared" si="1"/>
        <v>44</v>
      </c>
      <c r="S14" s="302">
        <f t="shared" si="1"/>
        <v>47</v>
      </c>
      <c r="T14" s="302">
        <f t="shared" si="1"/>
        <v>51</v>
      </c>
      <c r="U14" s="302">
        <f t="shared" si="1"/>
        <v>52</v>
      </c>
      <c r="W14" s="343">
        <f t="shared" ref="W14:W56" si="2">IF(ISERROR(U14/Q14),"",U14/Q14)</f>
        <v>17.333333333333332</v>
      </c>
    </row>
    <row r="15" spans="1:26" ht="20.100000000000001" customHeight="1">
      <c r="A15" s="340"/>
      <c r="B15" s="340"/>
      <c r="C15" s="406" t="s">
        <v>1679</v>
      </c>
      <c r="D15" s="330" t="s">
        <v>1299</v>
      </c>
      <c r="E15" s="527">
        <v>1</v>
      </c>
      <c r="F15" s="527" t="s">
        <v>1317</v>
      </c>
      <c r="G15" s="302">
        <f>IF($D15="A",ROUND(VLOOKUP($C15,'[2]2.행정구역별 급수인구'!$C$7:$AD$997,17,FALSE)*$E15,0),IF($D15="B",(ROUND(VLOOKUP($C15,'[2]2.행정구역별 급수인구'!$C$7:$AD$997,17,FALSE)-VLOOKUP($C15,'[2]2.행정구역별 급수인구'!$C$7:$AD$997,17,FALSE)*(1-$E15),0)),VLOOKUP($C15,'[2]2.행정구역별 급수인구'!$C$7:$AD$997,17,FALSE)))</f>
        <v>163</v>
      </c>
      <c r="H15" s="302">
        <f>IF($D15="A",ROUND(VLOOKUP($C15,'[2]2.행정구역별 급수인구'!$C$7:$AD$997,25,FALSE)*$E15,0),IF($D15="B",(ROUND(VLOOKUP($C15,'[2]2.행정구역별 급수인구'!$C$7:$AD$997,25,FALSE)-VLOOKUP($C15,'[2]2.행정구역별 급수인구'!$C$7:$AD$997,25,FALSE)*(1-$E15),0)),VLOOKUP($C15,'[2]2.행정구역별 급수인구'!$C$7:$AD$997,25,FALSE)))</f>
        <v>171</v>
      </c>
      <c r="I15" s="302">
        <f>IF($D15="A",ROUND(VLOOKUP($C15,'[2]2.행정구역별 급수인구'!$C$7:$AD$997,26,FALSE)*$E15,0),IF($D15="B",(ROUND(VLOOKUP($C15,'[2]2.행정구역별 급수인구'!$C$7:$AD$997,26,FALSE)-VLOOKUP($C15,'[2]2.행정구역별 급수인구'!$C$7:$AD$997,26,FALSE)*(1-$E15),0)),VLOOKUP($C15,'[2]2.행정구역별 급수인구'!$C$7:$AD$997,26,FALSE)))</f>
        <v>180</v>
      </c>
      <c r="J15" s="302">
        <f>IF($D15="A",ROUND(VLOOKUP($C15,'[2]2.행정구역별 급수인구'!$C$7:$AD$997,27,FALSE)*$E15,0),IF($D15="B",(ROUND(VLOOKUP($C15,'[2]2.행정구역별 급수인구'!$C$7:$AD$997,27,FALSE)-VLOOKUP($C15,'[2]2.행정구역별 급수인구'!$C$7:$AD$997,27,FALSE)*(1-$E15),0)),VLOOKUP($C15,'[2]2.행정구역별 급수인구'!$C$7:$AD$997,27,FALSE)))</f>
        <v>195</v>
      </c>
      <c r="K15" s="302">
        <f>IF($D15="A",ROUND(VLOOKUP($C15,'[2]2.행정구역별 급수인구'!$C$7:$AD$997,28,FALSE)*$E15,0),IF($D15="B",(ROUND(VLOOKUP($C15,'[2]2.행정구역별 급수인구'!$C$7:$AD$997,28,FALSE)-VLOOKUP($C15,'[2]2.행정구역별 급수인구'!$C$7:$AD$997,28,FALSE)*(1-$E15),0)),VLOOKUP($C15,'[2]2.행정구역별 급수인구'!$C$7:$AD$997,28,FALSE)))</f>
        <v>199</v>
      </c>
      <c r="L15" s="302">
        <f>VLOOKUP($F15,'[3]5.급수원단위'!$B$31:$G$35,2,FALSE)</f>
        <v>272</v>
      </c>
      <c r="M15" s="302">
        <f>VLOOKUP($F15,'[3]5.급수원단위'!$B$31:$G$35,3,FALSE)</f>
        <v>304</v>
      </c>
      <c r="N15" s="302">
        <f>VLOOKUP($F15,'[3]5.급수원단위'!$B$31:$G$35,4,FALSE)</f>
        <v>308</v>
      </c>
      <c r="O15" s="302">
        <f>VLOOKUP($F15,'[3]5.급수원단위'!$B$31:$G$35,5,FALSE)</f>
        <v>310</v>
      </c>
      <c r="P15" s="302">
        <f>VLOOKUP($F15,'[3]5.급수원단위'!$B$31:$G$35,6,FALSE)</f>
        <v>310</v>
      </c>
      <c r="Q15" s="302">
        <f>ROUND(IF(G15=0,0,VLOOKUP(C15,'2013실사용량 정리'!$D$6:$F$381,3,FALSE)),0)</f>
        <v>31</v>
      </c>
      <c r="R15" s="302">
        <f t="shared" si="1"/>
        <v>52</v>
      </c>
      <c r="S15" s="302">
        <f t="shared" si="1"/>
        <v>55</v>
      </c>
      <c r="T15" s="302">
        <f t="shared" si="1"/>
        <v>60</v>
      </c>
      <c r="U15" s="302">
        <f t="shared" si="1"/>
        <v>62</v>
      </c>
      <c r="W15" s="343">
        <f t="shared" si="2"/>
        <v>2</v>
      </c>
    </row>
    <row r="16" spans="1:26" ht="20.100000000000001" customHeight="1">
      <c r="A16" s="340"/>
      <c r="B16" s="340"/>
      <c r="C16" s="406" t="s">
        <v>1680</v>
      </c>
      <c r="D16" s="330" t="s">
        <v>1299</v>
      </c>
      <c r="E16" s="527">
        <v>1</v>
      </c>
      <c r="F16" s="527" t="s">
        <v>1317</v>
      </c>
      <c r="G16" s="302">
        <f>IF($D16="A",ROUND(VLOOKUP($C16,'[2]2.행정구역별 급수인구'!$C$7:$AD$997,17,FALSE)*$E16,0),IF($D16="B",(ROUND(VLOOKUP($C16,'[2]2.행정구역별 급수인구'!$C$7:$AD$997,17,FALSE)-VLOOKUP($C16,'[2]2.행정구역별 급수인구'!$C$7:$AD$997,17,FALSE)*(1-$E16),0)),VLOOKUP($C16,'[2]2.행정구역별 급수인구'!$C$7:$AD$997,17,FALSE)))</f>
        <v>123</v>
      </c>
      <c r="H16" s="302">
        <f>IF($D16="A",ROUND(VLOOKUP($C16,'[2]2.행정구역별 급수인구'!$C$7:$AD$997,25,FALSE)*$E16,0),IF($D16="B",(ROUND(VLOOKUP($C16,'[2]2.행정구역별 급수인구'!$C$7:$AD$997,25,FALSE)-VLOOKUP($C16,'[2]2.행정구역별 급수인구'!$C$7:$AD$997,25,FALSE)*(1-$E16),0)),VLOOKUP($C16,'[2]2.행정구역별 급수인구'!$C$7:$AD$997,25,FALSE)))</f>
        <v>130</v>
      </c>
      <c r="I16" s="302">
        <f>IF($D16="A",ROUND(VLOOKUP($C16,'[2]2.행정구역별 급수인구'!$C$7:$AD$997,26,FALSE)*$E16,0),IF($D16="B",(ROUND(VLOOKUP($C16,'[2]2.행정구역별 급수인구'!$C$7:$AD$997,26,FALSE)-VLOOKUP($C16,'[2]2.행정구역별 급수인구'!$C$7:$AD$997,26,FALSE)*(1-$E16),0)),VLOOKUP($C16,'[2]2.행정구역별 급수인구'!$C$7:$AD$997,26,FALSE)))</f>
        <v>136</v>
      </c>
      <c r="J16" s="302">
        <f>IF($D16="A",ROUND(VLOOKUP($C16,'[2]2.행정구역별 급수인구'!$C$7:$AD$997,27,FALSE)*$E16,0),IF($D16="B",(ROUND(VLOOKUP($C16,'[2]2.행정구역별 급수인구'!$C$7:$AD$997,27,FALSE)-VLOOKUP($C16,'[2]2.행정구역별 급수인구'!$C$7:$AD$997,27,FALSE)*(1-$E16),0)),VLOOKUP($C16,'[2]2.행정구역별 급수인구'!$C$7:$AD$997,27,FALSE)))</f>
        <v>148</v>
      </c>
      <c r="K16" s="302">
        <f>IF($D16="A",ROUND(VLOOKUP($C16,'[2]2.행정구역별 급수인구'!$C$7:$AD$997,28,FALSE)*$E16,0),IF($D16="B",(ROUND(VLOOKUP($C16,'[2]2.행정구역별 급수인구'!$C$7:$AD$997,28,FALSE)-VLOOKUP($C16,'[2]2.행정구역별 급수인구'!$C$7:$AD$997,28,FALSE)*(1-$E16),0)),VLOOKUP($C16,'[2]2.행정구역별 급수인구'!$C$7:$AD$997,28,FALSE)))</f>
        <v>150</v>
      </c>
      <c r="L16" s="302">
        <f>VLOOKUP($F16,'[3]5.급수원단위'!$B$31:$G$35,2,FALSE)</f>
        <v>272</v>
      </c>
      <c r="M16" s="302">
        <f>VLOOKUP($F16,'[3]5.급수원단위'!$B$31:$G$35,3,FALSE)</f>
        <v>304</v>
      </c>
      <c r="N16" s="302">
        <f>VLOOKUP($F16,'[3]5.급수원단위'!$B$31:$G$35,4,FALSE)</f>
        <v>308</v>
      </c>
      <c r="O16" s="302">
        <f>VLOOKUP($F16,'[3]5.급수원단위'!$B$31:$G$35,5,FALSE)</f>
        <v>310</v>
      </c>
      <c r="P16" s="302">
        <f>VLOOKUP($F16,'[3]5.급수원단위'!$B$31:$G$35,6,FALSE)</f>
        <v>310</v>
      </c>
      <c r="Q16" s="302">
        <f>ROUND(IF(G16=0,0,VLOOKUP(C16,'2013실사용량 정리'!$D$6:$F$381,3,FALSE)),0)</f>
        <v>23</v>
      </c>
      <c r="R16" s="302">
        <f t="shared" si="1"/>
        <v>40</v>
      </c>
      <c r="S16" s="302">
        <f t="shared" si="1"/>
        <v>42</v>
      </c>
      <c r="T16" s="302">
        <f t="shared" si="1"/>
        <v>46</v>
      </c>
      <c r="U16" s="302">
        <f t="shared" si="1"/>
        <v>47</v>
      </c>
      <c r="W16" s="343">
        <f t="shared" si="2"/>
        <v>2.0434782608695654</v>
      </c>
    </row>
    <row r="17" spans="1:23" ht="20.100000000000001" customHeight="1">
      <c r="A17" s="340"/>
      <c r="B17" s="340"/>
      <c r="C17" s="406" t="s">
        <v>1681</v>
      </c>
      <c r="D17" s="330" t="s">
        <v>1299</v>
      </c>
      <c r="E17" s="527">
        <v>1</v>
      </c>
      <c r="F17" s="527" t="s">
        <v>1317</v>
      </c>
      <c r="G17" s="302">
        <f>IF($D17="A",ROUND(VLOOKUP($C17,'[2]2.행정구역별 급수인구'!$C$7:$AD$997,17,FALSE)*$E17,0),IF($D17="B",(ROUND(VLOOKUP($C17,'[2]2.행정구역별 급수인구'!$C$7:$AD$997,17,FALSE)-VLOOKUP($C17,'[2]2.행정구역별 급수인구'!$C$7:$AD$997,17,FALSE)*(1-$E17),0)),VLOOKUP($C17,'[2]2.행정구역별 급수인구'!$C$7:$AD$997,17,FALSE)))</f>
        <v>117</v>
      </c>
      <c r="H17" s="302">
        <f>IF($D17="A",ROUND(VLOOKUP($C17,'[2]2.행정구역별 급수인구'!$C$7:$AD$997,25,FALSE)*$E17,0),IF($D17="B",(ROUND(VLOOKUP($C17,'[2]2.행정구역별 급수인구'!$C$7:$AD$997,25,FALSE)-VLOOKUP($C17,'[2]2.행정구역별 급수인구'!$C$7:$AD$997,25,FALSE)*(1-$E17),0)),VLOOKUP($C17,'[2]2.행정구역별 급수인구'!$C$7:$AD$997,25,FALSE)))</f>
        <v>124</v>
      </c>
      <c r="I17" s="302">
        <f>IF($D17="A",ROUND(VLOOKUP($C17,'[2]2.행정구역별 급수인구'!$C$7:$AD$997,26,FALSE)*$E17,0),IF($D17="B",(ROUND(VLOOKUP($C17,'[2]2.행정구역별 급수인구'!$C$7:$AD$997,26,FALSE)-VLOOKUP($C17,'[2]2.행정구역별 급수인구'!$C$7:$AD$997,26,FALSE)*(1-$E17),0)),VLOOKUP($C17,'[2]2.행정구역별 급수인구'!$C$7:$AD$997,26,FALSE)))</f>
        <v>130</v>
      </c>
      <c r="J17" s="302">
        <f>IF($D17="A",ROUND(VLOOKUP($C17,'[2]2.행정구역별 급수인구'!$C$7:$AD$997,27,FALSE)*$E17,0),IF($D17="B",(ROUND(VLOOKUP($C17,'[2]2.행정구역별 급수인구'!$C$7:$AD$997,27,FALSE)-VLOOKUP($C17,'[2]2.행정구역별 급수인구'!$C$7:$AD$997,27,FALSE)*(1-$E17),0)),VLOOKUP($C17,'[2]2.행정구역별 급수인구'!$C$7:$AD$997,27,FALSE)))</f>
        <v>140</v>
      </c>
      <c r="K17" s="302">
        <f>IF($D17="A",ROUND(VLOOKUP($C17,'[2]2.행정구역별 급수인구'!$C$7:$AD$997,28,FALSE)*$E17,0),IF($D17="B",(ROUND(VLOOKUP($C17,'[2]2.행정구역별 급수인구'!$C$7:$AD$997,28,FALSE)-VLOOKUP($C17,'[2]2.행정구역별 급수인구'!$C$7:$AD$997,28,FALSE)*(1-$E17),0)),VLOOKUP($C17,'[2]2.행정구역별 급수인구'!$C$7:$AD$997,28,FALSE)))</f>
        <v>143</v>
      </c>
      <c r="L17" s="302">
        <f>VLOOKUP($F17,'[3]5.급수원단위'!$B$31:$G$35,2,FALSE)</f>
        <v>272</v>
      </c>
      <c r="M17" s="302">
        <f>VLOOKUP($F17,'[3]5.급수원단위'!$B$31:$G$35,3,FALSE)</f>
        <v>304</v>
      </c>
      <c r="N17" s="302">
        <f>VLOOKUP($F17,'[3]5.급수원단위'!$B$31:$G$35,4,FALSE)</f>
        <v>308</v>
      </c>
      <c r="O17" s="302">
        <f>VLOOKUP($F17,'[3]5.급수원단위'!$B$31:$G$35,5,FALSE)</f>
        <v>310</v>
      </c>
      <c r="P17" s="302">
        <f>VLOOKUP($F17,'[3]5.급수원단위'!$B$31:$G$35,6,FALSE)</f>
        <v>310</v>
      </c>
      <c r="Q17" s="302">
        <f>ROUND(IF(G17=0,0,VLOOKUP(C17,'2013실사용량 정리'!$D$6:$F$381,3,FALSE)),0)</f>
        <v>16</v>
      </c>
      <c r="R17" s="302">
        <f t="shared" si="1"/>
        <v>38</v>
      </c>
      <c r="S17" s="302">
        <f t="shared" si="1"/>
        <v>40</v>
      </c>
      <c r="T17" s="302">
        <f t="shared" si="1"/>
        <v>43</v>
      </c>
      <c r="U17" s="302">
        <f t="shared" si="1"/>
        <v>44</v>
      </c>
      <c r="W17" s="343">
        <f t="shared" si="2"/>
        <v>2.75</v>
      </c>
    </row>
    <row r="18" spans="1:23" ht="20.100000000000001" customHeight="1">
      <c r="A18" s="340"/>
      <c r="B18" s="340"/>
      <c r="C18" s="406" t="s">
        <v>1682</v>
      </c>
      <c r="D18" s="330" t="s">
        <v>1299</v>
      </c>
      <c r="E18" s="527">
        <v>1</v>
      </c>
      <c r="F18" s="527" t="s">
        <v>1317</v>
      </c>
      <c r="G18" s="302">
        <f>IF($D18="A",ROUND(VLOOKUP($C18,'[2]2.행정구역별 급수인구'!$C$7:$AD$997,17,FALSE)*$E18,0),IF($D18="B",(ROUND(VLOOKUP($C18,'[2]2.행정구역별 급수인구'!$C$7:$AD$997,17,FALSE)-VLOOKUP($C18,'[2]2.행정구역별 급수인구'!$C$7:$AD$997,17,FALSE)*(1-$E18),0)),VLOOKUP($C18,'[2]2.행정구역별 급수인구'!$C$7:$AD$997,17,FALSE)))</f>
        <v>186</v>
      </c>
      <c r="H18" s="302">
        <f>IF($D18="A",ROUND(VLOOKUP($C18,'[2]2.행정구역별 급수인구'!$C$7:$AD$997,25,FALSE)*$E18,0),IF($D18="B",(ROUND(VLOOKUP($C18,'[2]2.행정구역별 급수인구'!$C$7:$AD$997,25,FALSE)-VLOOKUP($C18,'[2]2.행정구역별 급수인구'!$C$7:$AD$997,25,FALSE)*(1-$E18),0)),VLOOKUP($C18,'[2]2.행정구역별 급수인구'!$C$7:$AD$997,25,FALSE)))</f>
        <v>196</v>
      </c>
      <c r="I18" s="302">
        <f>IF($D18="A",ROUND(VLOOKUP($C18,'[2]2.행정구역별 급수인구'!$C$7:$AD$997,26,FALSE)*$E18,0),IF($D18="B",(ROUND(VLOOKUP($C18,'[2]2.행정구역별 급수인구'!$C$7:$AD$997,26,FALSE)-VLOOKUP($C18,'[2]2.행정구역별 급수인구'!$C$7:$AD$997,26,FALSE)*(1-$E18),0)),VLOOKUP($C18,'[2]2.행정구역별 급수인구'!$C$7:$AD$997,26,FALSE)))</f>
        <v>206</v>
      </c>
      <c r="J18" s="302">
        <f>IF($D18="A",ROUND(VLOOKUP($C18,'[2]2.행정구역별 급수인구'!$C$7:$AD$997,27,FALSE)*$E18,0),IF($D18="B",(ROUND(VLOOKUP($C18,'[2]2.행정구역별 급수인구'!$C$7:$AD$997,27,FALSE)-VLOOKUP($C18,'[2]2.행정구역별 급수인구'!$C$7:$AD$997,27,FALSE)*(1-$E18),0)),VLOOKUP($C18,'[2]2.행정구역별 급수인구'!$C$7:$AD$997,27,FALSE)))</f>
        <v>223</v>
      </c>
      <c r="K18" s="302">
        <f>IF($D18="A",ROUND(VLOOKUP($C18,'[2]2.행정구역별 급수인구'!$C$7:$AD$997,28,FALSE)*$E18,0),IF($D18="B",(ROUND(VLOOKUP($C18,'[2]2.행정구역별 급수인구'!$C$7:$AD$997,28,FALSE)-VLOOKUP($C18,'[2]2.행정구역별 급수인구'!$C$7:$AD$997,28,FALSE)*(1-$E18),0)),VLOOKUP($C18,'[2]2.행정구역별 급수인구'!$C$7:$AD$997,28,FALSE)))</f>
        <v>227</v>
      </c>
      <c r="L18" s="302">
        <f>VLOOKUP($F18,'[3]5.급수원단위'!$B$31:$G$35,2,FALSE)</f>
        <v>272</v>
      </c>
      <c r="M18" s="302">
        <f>VLOOKUP($F18,'[3]5.급수원단위'!$B$31:$G$35,3,FALSE)</f>
        <v>304</v>
      </c>
      <c r="N18" s="302">
        <f>VLOOKUP($F18,'[3]5.급수원단위'!$B$31:$G$35,4,FALSE)</f>
        <v>308</v>
      </c>
      <c r="O18" s="302">
        <f>VLOOKUP($F18,'[3]5.급수원단위'!$B$31:$G$35,5,FALSE)</f>
        <v>310</v>
      </c>
      <c r="P18" s="302">
        <f>VLOOKUP($F18,'[3]5.급수원단위'!$B$31:$G$35,6,FALSE)</f>
        <v>310</v>
      </c>
      <c r="Q18" s="302">
        <f>ROUND(IF(G18=0,0,VLOOKUP(C18,'2013실사용량 정리'!$D$6:$F$381,3,FALSE)),0)</f>
        <v>63</v>
      </c>
      <c r="R18" s="302">
        <f t="shared" si="1"/>
        <v>60</v>
      </c>
      <c r="S18" s="302">
        <f t="shared" si="1"/>
        <v>63</v>
      </c>
      <c r="T18" s="302">
        <f t="shared" si="1"/>
        <v>69</v>
      </c>
      <c r="U18" s="302">
        <f t="shared" si="1"/>
        <v>70</v>
      </c>
      <c r="W18" s="343">
        <f t="shared" si="2"/>
        <v>1.1111111111111112</v>
      </c>
    </row>
    <row r="19" spans="1:23" ht="20.100000000000001" customHeight="1">
      <c r="A19" s="340"/>
      <c r="B19" s="340"/>
      <c r="C19" s="406" t="s">
        <v>1683</v>
      </c>
      <c r="D19" s="330" t="s">
        <v>1299</v>
      </c>
      <c r="E19" s="527">
        <v>1</v>
      </c>
      <c r="F19" s="527" t="s">
        <v>1317</v>
      </c>
      <c r="G19" s="302">
        <f>IF($D19="A",ROUND(VLOOKUP($C19,'[2]2.행정구역별 급수인구'!$C$7:$AD$997,17,FALSE)*$E19,0),IF($D19="B",(ROUND(VLOOKUP($C19,'[2]2.행정구역별 급수인구'!$C$7:$AD$997,17,FALSE)-VLOOKUP($C19,'[2]2.행정구역별 급수인구'!$C$7:$AD$997,17,FALSE)*(1-$E19),0)),VLOOKUP($C19,'[2]2.행정구역별 급수인구'!$C$7:$AD$997,17,FALSE)))</f>
        <v>80</v>
      </c>
      <c r="H19" s="302">
        <f>IF($D19="A",ROUND(VLOOKUP($C19,'[2]2.행정구역별 급수인구'!$C$7:$AD$997,25,FALSE)*$E19,0),IF($D19="B",(ROUND(VLOOKUP($C19,'[2]2.행정구역별 급수인구'!$C$7:$AD$997,25,FALSE)-VLOOKUP($C19,'[2]2.행정구역별 급수인구'!$C$7:$AD$997,25,FALSE)*(1-$E19),0)),VLOOKUP($C19,'[2]2.행정구역별 급수인구'!$C$7:$AD$997,25,FALSE)))</f>
        <v>84</v>
      </c>
      <c r="I19" s="302">
        <f>IF($D19="A",ROUND(VLOOKUP($C19,'[2]2.행정구역별 급수인구'!$C$7:$AD$997,26,FALSE)*$E19,0),IF($D19="B",(ROUND(VLOOKUP($C19,'[2]2.행정구역별 급수인구'!$C$7:$AD$997,26,FALSE)-VLOOKUP($C19,'[2]2.행정구역별 급수인구'!$C$7:$AD$997,26,FALSE)*(1-$E19),0)),VLOOKUP($C19,'[2]2.행정구역별 급수인구'!$C$7:$AD$997,26,FALSE)))</f>
        <v>90</v>
      </c>
      <c r="J19" s="302">
        <f>IF($D19="A",ROUND(VLOOKUP($C19,'[2]2.행정구역별 급수인구'!$C$7:$AD$997,27,FALSE)*$E19,0),IF($D19="B",(ROUND(VLOOKUP($C19,'[2]2.행정구역별 급수인구'!$C$7:$AD$997,27,FALSE)-VLOOKUP($C19,'[2]2.행정구역별 급수인구'!$C$7:$AD$997,27,FALSE)*(1-$E19),0)),VLOOKUP($C19,'[2]2.행정구역별 급수인구'!$C$7:$AD$997,27,FALSE)))</f>
        <v>96</v>
      </c>
      <c r="K19" s="302">
        <f>IF($D19="A",ROUND(VLOOKUP($C19,'[2]2.행정구역별 급수인구'!$C$7:$AD$997,28,FALSE)*$E19,0),IF($D19="B",(ROUND(VLOOKUP($C19,'[2]2.행정구역별 급수인구'!$C$7:$AD$997,28,FALSE)-VLOOKUP($C19,'[2]2.행정구역별 급수인구'!$C$7:$AD$997,28,FALSE)*(1-$E19),0)),VLOOKUP($C19,'[2]2.행정구역별 급수인구'!$C$7:$AD$997,28,FALSE)))</f>
        <v>98</v>
      </c>
      <c r="L19" s="302">
        <f>VLOOKUP($F19,'[3]5.급수원단위'!$B$31:$G$35,2,FALSE)</f>
        <v>272</v>
      </c>
      <c r="M19" s="302">
        <f>VLOOKUP($F19,'[3]5.급수원단위'!$B$31:$G$35,3,FALSE)</f>
        <v>304</v>
      </c>
      <c r="N19" s="302">
        <f>VLOOKUP($F19,'[3]5.급수원단위'!$B$31:$G$35,4,FALSE)</f>
        <v>308</v>
      </c>
      <c r="O19" s="302">
        <f>VLOOKUP($F19,'[3]5.급수원단위'!$B$31:$G$35,5,FALSE)</f>
        <v>310</v>
      </c>
      <c r="P19" s="302">
        <f>VLOOKUP($F19,'[3]5.급수원단위'!$B$31:$G$35,6,FALSE)</f>
        <v>310</v>
      </c>
      <c r="Q19" s="302">
        <f>ROUND(IF(G19=0,0,VLOOKUP(C19,'2013실사용량 정리'!$D$6:$F$381,3,FALSE)),0)</f>
        <v>27</v>
      </c>
      <c r="R19" s="302">
        <f t="shared" si="1"/>
        <v>26</v>
      </c>
      <c r="S19" s="302">
        <f t="shared" si="1"/>
        <v>28</v>
      </c>
      <c r="T19" s="302">
        <f t="shared" si="1"/>
        <v>30</v>
      </c>
      <c r="U19" s="302">
        <f t="shared" si="1"/>
        <v>30</v>
      </c>
      <c r="W19" s="343">
        <f t="shared" si="2"/>
        <v>1.1111111111111112</v>
      </c>
    </row>
    <row r="20" spans="1:23" ht="20.100000000000001" customHeight="1">
      <c r="A20" s="340"/>
      <c r="B20" s="340"/>
      <c r="C20" s="406" t="s">
        <v>1684</v>
      </c>
      <c r="D20" s="330" t="s">
        <v>1299</v>
      </c>
      <c r="E20" s="527">
        <v>0</v>
      </c>
      <c r="F20" s="527" t="s">
        <v>1317</v>
      </c>
      <c r="G20" s="302">
        <f>IF($D20="A",ROUND(VLOOKUP($C20,'[2]2.행정구역별 급수인구'!$C$7:$AD$997,17,FALSE)*$E20,0),IF($D20="B",(ROUND(VLOOKUP($C20,'[2]2.행정구역별 급수인구'!$C$7:$AD$997,17,FALSE)-VLOOKUP($C20,'[2]2.행정구역별 급수인구'!$C$7:$AD$997,17,FALSE)*(1-$E20),0)),VLOOKUP($C20,'[2]2.행정구역별 급수인구'!$C$7:$AD$997,17,FALSE)))</f>
        <v>0</v>
      </c>
      <c r="H20" s="302">
        <f>IF($D20="A",ROUND(VLOOKUP($C20,'[2]2.행정구역별 급수인구'!$C$7:$AD$997,25,FALSE)*$E20,0),IF($D20="B",(ROUND(VLOOKUP($C20,'[2]2.행정구역별 급수인구'!$C$7:$AD$997,25,FALSE)-VLOOKUP($C20,'[2]2.행정구역별 급수인구'!$C$7:$AD$997,25,FALSE)*(1-$E20),0)),VLOOKUP($C20,'[2]2.행정구역별 급수인구'!$C$7:$AD$997,25,FALSE)))</f>
        <v>0</v>
      </c>
      <c r="I20" s="302">
        <f>IF($D20="A",ROUND(VLOOKUP($C20,'[2]2.행정구역별 급수인구'!$C$7:$AD$997,26,FALSE)*$E20,0),IF($D20="B",(ROUND(VLOOKUP($C20,'[2]2.행정구역별 급수인구'!$C$7:$AD$997,26,FALSE)-VLOOKUP($C20,'[2]2.행정구역별 급수인구'!$C$7:$AD$997,26,FALSE)*(1-$E20),0)),VLOOKUP($C20,'[2]2.행정구역별 급수인구'!$C$7:$AD$997,26,FALSE)))</f>
        <v>0</v>
      </c>
      <c r="J20" s="302">
        <f>IF($D20="A",ROUND(VLOOKUP($C20,'[2]2.행정구역별 급수인구'!$C$7:$AD$997,27,FALSE)*$E20,0),IF($D20="B",(ROUND(VLOOKUP($C20,'[2]2.행정구역별 급수인구'!$C$7:$AD$997,27,FALSE)-VLOOKUP($C20,'[2]2.행정구역별 급수인구'!$C$7:$AD$997,27,FALSE)*(1-$E20),0)),VLOOKUP($C20,'[2]2.행정구역별 급수인구'!$C$7:$AD$997,27,FALSE)))</f>
        <v>0</v>
      </c>
      <c r="K20" s="302">
        <f>IF($D20="A",ROUND(VLOOKUP($C20,'[2]2.행정구역별 급수인구'!$C$7:$AD$997,28,FALSE)*$E20,0),IF($D20="B",(ROUND(VLOOKUP($C20,'[2]2.행정구역별 급수인구'!$C$7:$AD$997,28,FALSE)-VLOOKUP($C20,'[2]2.행정구역별 급수인구'!$C$7:$AD$997,28,FALSE)*(1-$E20),0)),VLOOKUP($C20,'[2]2.행정구역별 급수인구'!$C$7:$AD$997,28,FALSE)))</f>
        <v>0</v>
      </c>
      <c r="L20" s="302">
        <f>VLOOKUP($F20,'[3]5.급수원단위'!$B$31:$G$35,2,FALSE)</f>
        <v>272</v>
      </c>
      <c r="M20" s="302">
        <f>VLOOKUP($F20,'[3]5.급수원단위'!$B$31:$G$35,3,FALSE)</f>
        <v>304</v>
      </c>
      <c r="N20" s="302">
        <f>VLOOKUP($F20,'[3]5.급수원단위'!$B$31:$G$35,4,FALSE)</f>
        <v>308</v>
      </c>
      <c r="O20" s="302">
        <f>VLOOKUP($F20,'[3]5.급수원단위'!$B$31:$G$35,5,FALSE)</f>
        <v>310</v>
      </c>
      <c r="P20" s="302">
        <f>VLOOKUP($F20,'[3]5.급수원단위'!$B$31:$G$35,6,FALSE)</f>
        <v>310</v>
      </c>
      <c r="Q20" s="302">
        <f>ROUND(IF(G20=0,0,VLOOKUP(C20,'2013실사용량 정리'!$D$6:$F$381,3,FALSE)),0)</f>
        <v>0</v>
      </c>
      <c r="R20" s="302">
        <f t="shared" si="1"/>
        <v>0</v>
      </c>
      <c r="S20" s="302">
        <f t="shared" si="1"/>
        <v>0</v>
      </c>
      <c r="T20" s="302">
        <f t="shared" si="1"/>
        <v>0</v>
      </c>
      <c r="U20" s="302">
        <f t="shared" si="1"/>
        <v>0</v>
      </c>
      <c r="V20" s="327" t="s">
        <v>1847</v>
      </c>
      <c r="W20" s="343" t="str">
        <f t="shared" si="2"/>
        <v/>
      </c>
    </row>
    <row r="21" spans="1:23" ht="20.100000000000001" customHeight="1">
      <c r="A21" s="340"/>
      <c r="B21" s="340"/>
      <c r="C21" s="406" t="s">
        <v>1685</v>
      </c>
      <c r="D21" s="330" t="s">
        <v>1299</v>
      </c>
      <c r="E21" s="527">
        <v>1</v>
      </c>
      <c r="F21" s="527" t="s">
        <v>1317</v>
      </c>
      <c r="G21" s="302">
        <f>IF($D21="A",ROUND(VLOOKUP($C21,'[2]2.행정구역별 급수인구'!$C$7:$AD$997,17,FALSE)*$E21,0),IF($D21="B",(ROUND(VLOOKUP($C21,'[2]2.행정구역별 급수인구'!$C$7:$AD$997,17,FALSE)-VLOOKUP($C21,'[2]2.행정구역별 급수인구'!$C$7:$AD$997,17,FALSE)*(1-$E21),0)),VLOOKUP($C21,'[2]2.행정구역별 급수인구'!$C$7:$AD$997,17,FALSE)))</f>
        <v>48</v>
      </c>
      <c r="H21" s="302">
        <f>IF($D21="A",ROUND(VLOOKUP($C21,'[2]2.행정구역별 급수인구'!$C$7:$AD$997,25,FALSE)*$E21,0),IF($D21="B",(ROUND(VLOOKUP($C21,'[2]2.행정구역별 급수인구'!$C$7:$AD$997,25,FALSE)-VLOOKUP($C21,'[2]2.행정구역별 급수인구'!$C$7:$AD$997,25,FALSE)*(1-$E21),0)),VLOOKUP($C21,'[2]2.행정구역별 급수인구'!$C$7:$AD$997,25,FALSE)))</f>
        <v>73</v>
      </c>
      <c r="I21" s="302">
        <f>IF($D21="A",ROUND(VLOOKUP($C21,'[2]2.행정구역별 급수인구'!$C$7:$AD$997,26,FALSE)*$E21,0),IF($D21="B",(ROUND(VLOOKUP($C21,'[2]2.행정구역별 급수인구'!$C$7:$AD$997,26,FALSE)-VLOOKUP($C21,'[2]2.행정구역별 급수인구'!$C$7:$AD$997,26,FALSE)*(1-$E21),0)),VLOOKUP($C21,'[2]2.행정구역별 급수인구'!$C$7:$AD$997,26,FALSE)))</f>
        <v>78</v>
      </c>
      <c r="J21" s="302">
        <f>IF($D21="A",ROUND(VLOOKUP($C21,'[2]2.행정구역별 급수인구'!$C$7:$AD$997,27,FALSE)*$E21,0),IF($D21="B",(ROUND(VLOOKUP($C21,'[2]2.행정구역별 급수인구'!$C$7:$AD$997,27,FALSE)-VLOOKUP($C21,'[2]2.행정구역별 급수인구'!$C$7:$AD$997,27,FALSE)*(1-$E21),0)),VLOOKUP($C21,'[2]2.행정구역별 급수인구'!$C$7:$AD$997,27,FALSE)))</f>
        <v>84</v>
      </c>
      <c r="K21" s="302">
        <f>IF($D21="A",ROUND(VLOOKUP($C21,'[2]2.행정구역별 급수인구'!$C$7:$AD$997,28,FALSE)*$E21,0),IF($D21="B",(ROUND(VLOOKUP($C21,'[2]2.행정구역별 급수인구'!$C$7:$AD$997,28,FALSE)-VLOOKUP($C21,'[2]2.행정구역별 급수인구'!$C$7:$AD$997,28,FALSE)*(1-$E21),0)),VLOOKUP($C21,'[2]2.행정구역별 급수인구'!$C$7:$AD$997,28,FALSE)))</f>
        <v>85</v>
      </c>
      <c r="L21" s="302">
        <f>VLOOKUP($F21,'[3]5.급수원단위'!$B$31:$G$35,2,FALSE)</f>
        <v>272</v>
      </c>
      <c r="M21" s="302">
        <f>VLOOKUP($F21,'[3]5.급수원단위'!$B$31:$G$35,3,FALSE)</f>
        <v>304</v>
      </c>
      <c r="N21" s="302">
        <f>VLOOKUP($F21,'[3]5.급수원단위'!$B$31:$G$35,4,FALSE)</f>
        <v>308</v>
      </c>
      <c r="O21" s="302">
        <f>VLOOKUP($F21,'[3]5.급수원단위'!$B$31:$G$35,5,FALSE)</f>
        <v>310</v>
      </c>
      <c r="P21" s="302">
        <f>VLOOKUP($F21,'[3]5.급수원단위'!$B$31:$G$35,6,FALSE)</f>
        <v>310</v>
      </c>
      <c r="Q21" s="302">
        <f>ROUND(IF(G21=0,0,VLOOKUP(C21,'2013실사용량 정리'!$D$6:$F$381,3,FALSE)),0)</f>
        <v>16</v>
      </c>
      <c r="R21" s="302">
        <f t="shared" si="1"/>
        <v>22</v>
      </c>
      <c r="S21" s="302">
        <f t="shared" si="1"/>
        <v>24</v>
      </c>
      <c r="T21" s="302">
        <f t="shared" si="1"/>
        <v>26</v>
      </c>
      <c r="U21" s="302">
        <f t="shared" si="1"/>
        <v>26</v>
      </c>
      <c r="W21" s="343">
        <f t="shared" si="2"/>
        <v>1.625</v>
      </c>
    </row>
    <row r="22" spans="1:23" ht="20.100000000000001" customHeight="1">
      <c r="A22" s="340"/>
      <c r="B22" s="340"/>
      <c r="C22" s="406" t="s">
        <v>1686</v>
      </c>
      <c r="D22" s="330" t="s">
        <v>1299</v>
      </c>
      <c r="E22" s="527">
        <v>0</v>
      </c>
      <c r="F22" s="527" t="s">
        <v>1317</v>
      </c>
      <c r="G22" s="302">
        <f>IF($D22="A",ROUND(VLOOKUP($C22,'[2]2.행정구역별 급수인구'!$C$7:$AD$997,17,FALSE)*$E22,0),IF($D22="B",(ROUND(VLOOKUP($C22,'[2]2.행정구역별 급수인구'!$C$7:$AD$997,17,FALSE)-VLOOKUP($C22,'[2]2.행정구역별 급수인구'!$C$7:$AD$997,17,FALSE)*(1-$E22),0)),VLOOKUP($C22,'[2]2.행정구역별 급수인구'!$C$7:$AD$997,17,FALSE)))</f>
        <v>0</v>
      </c>
      <c r="H22" s="302">
        <f>IF($D22="A",ROUND(VLOOKUP($C22,'[2]2.행정구역별 급수인구'!$C$7:$AD$997,25,FALSE)*$E22,0),IF($D22="B",(ROUND(VLOOKUP($C22,'[2]2.행정구역별 급수인구'!$C$7:$AD$997,25,FALSE)-VLOOKUP($C22,'[2]2.행정구역별 급수인구'!$C$7:$AD$997,25,FALSE)*(1-$E22),0)),VLOOKUP($C22,'[2]2.행정구역별 급수인구'!$C$7:$AD$997,25,FALSE)))</f>
        <v>0</v>
      </c>
      <c r="I22" s="302">
        <f>IF($D22="A",ROUND(VLOOKUP($C22,'[2]2.행정구역별 급수인구'!$C$7:$AD$997,26,FALSE)*$E22,0),IF($D22="B",(ROUND(VLOOKUP($C22,'[2]2.행정구역별 급수인구'!$C$7:$AD$997,26,FALSE)-VLOOKUP($C22,'[2]2.행정구역별 급수인구'!$C$7:$AD$997,26,FALSE)*(1-$E22),0)),VLOOKUP($C22,'[2]2.행정구역별 급수인구'!$C$7:$AD$997,26,FALSE)))</f>
        <v>0</v>
      </c>
      <c r="J22" s="302">
        <f>IF($D22="A",ROUND(VLOOKUP($C22,'[2]2.행정구역별 급수인구'!$C$7:$AD$997,27,FALSE)*$E22,0),IF($D22="B",(ROUND(VLOOKUP($C22,'[2]2.행정구역별 급수인구'!$C$7:$AD$997,27,FALSE)-VLOOKUP($C22,'[2]2.행정구역별 급수인구'!$C$7:$AD$997,27,FALSE)*(1-$E22),0)),VLOOKUP($C22,'[2]2.행정구역별 급수인구'!$C$7:$AD$997,27,FALSE)))</f>
        <v>0</v>
      </c>
      <c r="K22" s="302">
        <f>IF($D22="A",ROUND(VLOOKUP($C22,'[2]2.행정구역별 급수인구'!$C$7:$AD$997,28,FALSE)*$E22,0),IF($D22="B",(ROUND(VLOOKUP($C22,'[2]2.행정구역별 급수인구'!$C$7:$AD$997,28,FALSE)-VLOOKUP($C22,'[2]2.행정구역별 급수인구'!$C$7:$AD$997,28,FALSE)*(1-$E22),0)),VLOOKUP($C22,'[2]2.행정구역별 급수인구'!$C$7:$AD$997,28,FALSE)))</f>
        <v>0</v>
      </c>
      <c r="L22" s="302">
        <f>VLOOKUP($F22,'[3]5.급수원단위'!$B$31:$G$35,2,FALSE)</f>
        <v>272</v>
      </c>
      <c r="M22" s="302">
        <f>VLOOKUP($F22,'[3]5.급수원단위'!$B$31:$G$35,3,FALSE)</f>
        <v>304</v>
      </c>
      <c r="N22" s="302">
        <f>VLOOKUP($F22,'[3]5.급수원단위'!$B$31:$G$35,4,FALSE)</f>
        <v>308</v>
      </c>
      <c r="O22" s="302">
        <f>VLOOKUP($F22,'[3]5.급수원단위'!$B$31:$G$35,5,FALSE)</f>
        <v>310</v>
      </c>
      <c r="P22" s="302">
        <f>VLOOKUP($F22,'[3]5.급수원단위'!$B$31:$G$35,6,FALSE)</f>
        <v>310</v>
      </c>
      <c r="Q22" s="302">
        <f>ROUND(IF(G22=0,0,VLOOKUP(C22,'2013실사용량 정리'!$D$6:$F$381,3,FALSE)),0)</f>
        <v>0</v>
      </c>
      <c r="R22" s="302">
        <f t="shared" si="1"/>
        <v>0</v>
      </c>
      <c r="S22" s="302">
        <f t="shared" si="1"/>
        <v>0</v>
      </c>
      <c r="T22" s="302">
        <f t="shared" si="1"/>
        <v>0</v>
      </c>
      <c r="U22" s="302">
        <f t="shared" si="1"/>
        <v>0</v>
      </c>
      <c r="V22" s="327" t="s">
        <v>1848</v>
      </c>
      <c r="W22" s="343" t="str">
        <f t="shared" si="2"/>
        <v/>
      </c>
    </row>
    <row r="23" spans="1:23" ht="20.100000000000001" customHeight="1">
      <c r="A23" s="340"/>
      <c r="B23" s="340"/>
      <c r="C23" s="406" t="s">
        <v>1687</v>
      </c>
      <c r="D23" s="330" t="s">
        <v>1299</v>
      </c>
      <c r="E23" s="527">
        <v>1</v>
      </c>
      <c r="F23" s="527" t="s">
        <v>1317</v>
      </c>
      <c r="G23" s="302">
        <f>IF($D23="A",ROUND(VLOOKUP($C23,'[2]2.행정구역별 급수인구'!$C$7:$AD$997,17,FALSE)*$E23,0),IF($D23="B",(ROUND(VLOOKUP($C23,'[2]2.행정구역별 급수인구'!$C$7:$AD$997,17,FALSE)-VLOOKUP($C23,'[2]2.행정구역별 급수인구'!$C$7:$AD$997,17,FALSE)*(1-$E23),0)),VLOOKUP($C23,'[2]2.행정구역별 급수인구'!$C$7:$AD$997,17,FALSE)))</f>
        <v>0</v>
      </c>
      <c r="H23" s="302">
        <f>IF($D23="A",ROUND(VLOOKUP($C23,'[2]2.행정구역별 급수인구'!$C$7:$AD$997,25,FALSE)*$E23,0),IF($D23="B",(ROUND(VLOOKUP($C23,'[2]2.행정구역별 급수인구'!$C$7:$AD$997,25,FALSE)-VLOOKUP($C23,'[2]2.행정구역별 급수인구'!$C$7:$AD$997,25,FALSE)*(1-$E23),0)),VLOOKUP($C23,'[2]2.행정구역별 급수인구'!$C$7:$AD$997,25,FALSE)))</f>
        <v>0</v>
      </c>
      <c r="I23" s="302">
        <f>IF($D23="A",ROUND(VLOOKUP($C23,'[2]2.행정구역별 급수인구'!$C$7:$AD$997,26,FALSE)*$E23,0),IF($D23="B",(ROUND(VLOOKUP($C23,'[2]2.행정구역별 급수인구'!$C$7:$AD$997,26,FALSE)-VLOOKUP($C23,'[2]2.행정구역별 급수인구'!$C$7:$AD$997,26,FALSE)*(1-$E23),0)),VLOOKUP($C23,'[2]2.행정구역별 급수인구'!$C$7:$AD$997,26,FALSE)))</f>
        <v>134</v>
      </c>
      <c r="J23" s="302">
        <f>IF($D23="A",ROUND(VLOOKUP($C23,'[2]2.행정구역별 급수인구'!$C$7:$AD$997,27,FALSE)*$E23,0),IF($D23="B",(ROUND(VLOOKUP($C23,'[2]2.행정구역별 급수인구'!$C$7:$AD$997,27,FALSE)-VLOOKUP($C23,'[2]2.행정구역별 급수인구'!$C$7:$AD$997,27,FALSE)*(1-$E23),0)),VLOOKUP($C23,'[2]2.행정구역별 급수인구'!$C$7:$AD$997,27,FALSE)))</f>
        <v>146</v>
      </c>
      <c r="K23" s="302">
        <f>IF($D23="A",ROUND(VLOOKUP($C23,'[2]2.행정구역별 급수인구'!$C$7:$AD$997,28,FALSE)*$E23,0),IF($D23="B",(ROUND(VLOOKUP($C23,'[2]2.행정구역별 급수인구'!$C$7:$AD$997,28,FALSE)-VLOOKUP($C23,'[2]2.행정구역별 급수인구'!$C$7:$AD$997,28,FALSE)*(1-$E23),0)),VLOOKUP($C23,'[2]2.행정구역별 급수인구'!$C$7:$AD$997,28,FALSE)))</f>
        <v>149</v>
      </c>
      <c r="L23" s="302">
        <f>VLOOKUP($F23,'[3]5.급수원단위'!$B$31:$G$35,2,FALSE)</f>
        <v>272</v>
      </c>
      <c r="M23" s="302">
        <f>VLOOKUP($F23,'[3]5.급수원단위'!$B$31:$G$35,3,FALSE)</f>
        <v>304</v>
      </c>
      <c r="N23" s="302">
        <f>VLOOKUP($F23,'[3]5.급수원단위'!$B$31:$G$35,4,FALSE)</f>
        <v>308</v>
      </c>
      <c r="O23" s="302">
        <f>VLOOKUP($F23,'[3]5.급수원단위'!$B$31:$G$35,5,FALSE)</f>
        <v>310</v>
      </c>
      <c r="P23" s="302">
        <f>VLOOKUP($F23,'[3]5.급수원단위'!$B$31:$G$35,6,FALSE)</f>
        <v>310</v>
      </c>
      <c r="Q23" s="302">
        <f>ROUND(IF(G23=0,0,VLOOKUP(C23,'2013실사용량 정리'!$D$6:$F$381,3,FALSE)),0)</f>
        <v>0</v>
      </c>
      <c r="R23" s="302">
        <f t="shared" ref="R23:U29" si="3">ROUND(H23*M23/1000,0)</f>
        <v>0</v>
      </c>
      <c r="S23" s="302">
        <f t="shared" si="3"/>
        <v>41</v>
      </c>
      <c r="T23" s="302">
        <f t="shared" si="3"/>
        <v>45</v>
      </c>
      <c r="U23" s="302">
        <f t="shared" si="3"/>
        <v>46</v>
      </c>
      <c r="W23" s="343" t="str">
        <f t="shared" si="2"/>
        <v/>
      </c>
    </row>
    <row r="24" spans="1:23" ht="20.100000000000001" customHeight="1">
      <c r="A24" s="340"/>
      <c r="B24" s="340"/>
      <c r="C24" s="406" t="s">
        <v>1731</v>
      </c>
      <c r="D24" s="330" t="s">
        <v>1299</v>
      </c>
      <c r="E24" s="527">
        <v>1</v>
      </c>
      <c r="F24" s="527" t="s">
        <v>1317</v>
      </c>
      <c r="G24" s="302">
        <f>IF($D24="A",ROUND(VLOOKUP($C24,'[2]2.행정구역별 급수인구'!$C$7:$AD$997,17,FALSE)*$E24,0),IF($D24="B",(ROUND(VLOOKUP($C24,'[2]2.행정구역별 급수인구'!$C$7:$AD$997,17,FALSE)-VLOOKUP($C24,'[2]2.행정구역별 급수인구'!$C$7:$AD$997,17,FALSE)*(1-$E24),0)),VLOOKUP($C24,'[2]2.행정구역별 급수인구'!$C$7:$AD$997,17,FALSE)))</f>
        <v>0</v>
      </c>
      <c r="H24" s="302">
        <f>IF($D24="A",ROUND(VLOOKUP($C24,'[2]2.행정구역별 급수인구'!$C$7:$AD$997,25,FALSE)*$E24,0),IF($D24="B",(ROUND(VLOOKUP($C24,'[2]2.행정구역별 급수인구'!$C$7:$AD$997,25,FALSE)-VLOOKUP($C24,'[2]2.행정구역별 급수인구'!$C$7:$AD$997,25,FALSE)*(1-$E24),0)),VLOOKUP($C24,'[2]2.행정구역별 급수인구'!$C$7:$AD$997,25,FALSE)))</f>
        <v>0</v>
      </c>
      <c r="I24" s="302">
        <f>IF($D24="A",ROUND(VLOOKUP($C24,'[2]2.행정구역별 급수인구'!$C$7:$AD$997,26,FALSE)*$E24,0),IF($D24="B",(ROUND(VLOOKUP($C24,'[2]2.행정구역별 급수인구'!$C$7:$AD$997,26,FALSE)-VLOOKUP($C24,'[2]2.행정구역별 급수인구'!$C$7:$AD$997,26,FALSE)*(1-$E24),0)),VLOOKUP($C24,'[2]2.행정구역별 급수인구'!$C$7:$AD$997,26,FALSE)))</f>
        <v>79</v>
      </c>
      <c r="J24" s="302">
        <f>IF($D24="A",ROUND(VLOOKUP($C24,'[2]2.행정구역별 급수인구'!$C$7:$AD$997,27,FALSE)*$E24,0),IF($D24="B",(ROUND(VLOOKUP($C24,'[2]2.행정구역별 급수인구'!$C$7:$AD$997,27,FALSE)-VLOOKUP($C24,'[2]2.행정구역별 급수인구'!$C$7:$AD$997,27,FALSE)*(1-$E24),0)),VLOOKUP($C24,'[2]2.행정구역별 급수인구'!$C$7:$AD$997,27,FALSE)))</f>
        <v>86</v>
      </c>
      <c r="K24" s="302">
        <f>IF($D24="A",ROUND(VLOOKUP($C24,'[2]2.행정구역별 급수인구'!$C$7:$AD$997,28,FALSE)*$E24,0),IF($D24="B",(ROUND(VLOOKUP($C24,'[2]2.행정구역별 급수인구'!$C$7:$AD$997,28,FALSE)-VLOOKUP($C24,'[2]2.행정구역별 급수인구'!$C$7:$AD$997,28,FALSE)*(1-$E24),0)),VLOOKUP($C24,'[2]2.행정구역별 급수인구'!$C$7:$AD$997,28,FALSE)))</f>
        <v>87</v>
      </c>
      <c r="L24" s="302">
        <f>VLOOKUP($F24,'[3]5.급수원단위'!$B$31:$G$35,2,FALSE)</f>
        <v>272</v>
      </c>
      <c r="M24" s="302">
        <f>VLOOKUP($F24,'[3]5.급수원단위'!$B$31:$G$35,3,FALSE)</f>
        <v>304</v>
      </c>
      <c r="N24" s="302">
        <f>VLOOKUP($F24,'[3]5.급수원단위'!$B$31:$G$35,4,FALSE)</f>
        <v>308</v>
      </c>
      <c r="O24" s="302">
        <f>VLOOKUP($F24,'[3]5.급수원단위'!$B$31:$G$35,5,FALSE)</f>
        <v>310</v>
      </c>
      <c r="P24" s="302">
        <f>VLOOKUP($F24,'[3]5.급수원단위'!$B$31:$G$35,6,FALSE)</f>
        <v>310</v>
      </c>
      <c r="Q24" s="302">
        <f>ROUND(IF(G24=0,0,VLOOKUP(C24,'2013실사용량 정리'!$D$6:$F$381,3,FALSE)),0)</f>
        <v>0</v>
      </c>
      <c r="R24" s="302">
        <f t="shared" ref="R24" si="4">ROUND(H24*M24/1000,0)</f>
        <v>0</v>
      </c>
      <c r="S24" s="302">
        <f t="shared" ref="S24" si="5">ROUND(I24*N24/1000,0)</f>
        <v>24</v>
      </c>
      <c r="T24" s="302">
        <f t="shared" ref="T24" si="6">ROUND(J24*O24/1000,0)</f>
        <v>27</v>
      </c>
      <c r="U24" s="302">
        <f t="shared" ref="U24" si="7">ROUND(K24*P24/1000,0)</f>
        <v>27</v>
      </c>
      <c r="W24" s="343"/>
    </row>
    <row r="25" spans="1:23" ht="20.100000000000001" customHeight="1">
      <c r="A25" s="340"/>
      <c r="B25" s="340"/>
      <c r="C25" s="406" t="s">
        <v>1688</v>
      </c>
      <c r="D25" s="330" t="s">
        <v>1299</v>
      </c>
      <c r="E25" s="527">
        <v>1</v>
      </c>
      <c r="F25" s="527" t="s">
        <v>1317</v>
      </c>
      <c r="G25" s="302">
        <f>IF($D25="A",ROUND(VLOOKUP($C25,'[2]2.행정구역별 급수인구'!$C$7:$AD$997,17,FALSE)*$E25,0),IF($D25="B",(ROUND(VLOOKUP($C25,'[2]2.행정구역별 급수인구'!$C$7:$AD$997,17,FALSE)-VLOOKUP($C25,'[2]2.행정구역별 급수인구'!$C$7:$AD$997,17,FALSE)*(1-$E25),0)),VLOOKUP($C25,'[2]2.행정구역별 급수인구'!$C$7:$AD$997,17,FALSE)))</f>
        <v>0</v>
      </c>
      <c r="H25" s="302">
        <f>IF($D25="A",ROUND(VLOOKUP($C25,'[2]2.행정구역별 급수인구'!$C$7:$AD$997,25,FALSE)*$E25,0),IF($D25="B",(ROUND(VLOOKUP($C25,'[2]2.행정구역별 급수인구'!$C$7:$AD$997,25,FALSE)-VLOOKUP($C25,'[2]2.행정구역별 급수인구'!$C$7:$AD$997,25,FALSE)*(1-$E25),0)),VLOOKUP($C25,'[2]2.행정구역별 급수인구'!$C$7:$AD$997,25,FALSE)))</f>
        <v>0</v>
      </c>
      <c r="I25" s="302">
        <f>IF($D25="A",ROUND(VLOOKUP($C25,'[2]2.행정구역별 급수인구'!$C$7:$AD$997,26,FALSE)*$E25,0),IF($D25="B",(ROUND(VLOOKUP($C25,'[2]2.행정구역별 급수인구'!$C$7:$AD$997,26,FALSE)-VLOOKUP($C25,'[2]2.행정구역별 급수인구'!$C$7:$AD$997,26,FALSE)*(1-$E25),0)),VLOOKUP($C25,'[2]2.행정구역별 급수인구'!$C$7:$AD$997,26,FALSE)))</f>
        <v>129</v>
      </c>
      <c r="J25" s="302">
        <f>IF($D25="A",ROUND(VLOOKUP($C25,'[2]2.행정구역별 급수인구'!$C$7:$AD$997,27,FALSE)*$E25,0),IF($D25="B",(ROUND(VLOOKUP($C25,'[2]2.행정구역별 급수인구'!$C$7:$AD$997,27,FALSE)-VLOOKUP($C25,'[2]2.행정구역별 급수인구'!$C$7:$AD$997,27,FALSE)*(1-$E25),0)),VLOOKUP($C25,'[2]2.행정구역별 급수인구'!$C$7:$AD$997,27,FALSE)))</f>
        <v>140</v>
      </c>
      <c r="K25" s="302">
        <f>IF($D25="A",ROUND(VLOOKUP($C25,'[2]2.행정구역별 급수인구'!$C$7:$AD$997,28,FALSE)*$E25,0),IF($D25="B",(ROUND(VLOOKUP($C25,'[2]2.행정구역별 급수인구'!$C$7:$AD$997,28,FALSE)-VLOOKUP($C25,'[2]2.행정구역별 급수인구'!$C$7:$AD$997,28,FALSE)*(1-$E25),0)),VLOOKUP($C25,'[2]2.행정구역별 급수인구'!$C$7:$AD$997,28,FALSE)))</f>
        <v>143</v>
      </c>
      <c r="L25" s="302">
        <f>VLOOKUP($F25,'[3]5.급수원단위'!$B$31:$G$35,2,FALSE)</f>
        <v>272</v>
      </c>
      <c r="M25" s="302">
        <f>VLOOKUP($F25,'[3]5.급수원단위'!$B$31:$G$35,3,FALSE)</f>
        <v>304</v>
      </c>
      <c r="N25" s="302">
        <f>VLOOKUP($F25,'[3]5.급수원단위'!$B$31:$G$35,4,FALSE)</f>
        <v>308</v>
      </c>
      <c r="O25" s="302">
        <f>VLOOKUP($F25,'[3]5.급수원단위'!$B$31:$G$35,5,FALSE)</f>
        <v>310</v>
      </c>
      <c r="P25" s="302">
        <f>VLOOKUP($F25,'[3]5.급수원단위'!$B$31:$G$35,6,FALSE)</f>
        <v>310</v>
      </c>
      <c r="Q25" s="302">
        <f>ROUND(IF(G25=0,0,VLOOKUP(C25,'2013실사용량 정리'!$D$6:$F$381,3,FALSE)),0)</f>
        <v>0</v>
      </c>
      <c r="R25" s="302">
        <f t="shared" si="3"/>
        <v>0</v>
      </c>
      <c r="S25" s="302">
        <f t="shared" si="3"/>
        <v>40</v>
      </c>
      <c r="T25" s="302">
        <f t="shared" si="3"/>
        <v>43</v>
      </c>
      <c r="U25" s="302">
        <f t="shared" si="3"/>
        <v>44</v>
      </c>
      <c r="W25" s="343" t="str">
        <f t="shared" si="2"/>
        <v/>
      </c>
    </row>
    <row r="26" spans="1:23" ht="20.100000000000001" customHeight="1">
      <c r="A26" s="340"/>
      <c r="B26" s="340"/>
      <c r="C26" s="406" t="s">
        <v>1689</v>
      </c>
      <c r="D26" s="330" t="s">
        <v>1299</v>
      </c>
      <c r="E26" s="527">
        <v>1</v>
      </c>
      <c r="F26" s="527" t="s">
        <v>1317</v>
      </c>
      <c r="G26" s="302">
        <f>IF($D26="A",ROUND(VLOOKUP($C26,'[2]2.행정구역별 급수인구'!$C$7:$AD$997,17,FALSE)*$E26,0),IF($D26="B",(ROUND(VLOOKUP($C26,'[2]2.행정구역별 급수인구'!$C$7:$AD$997,17,FALSE)-VLOOKUP($C26,'[2]2.행정구역별 급수인구'!$C$7:$AD$997,17,FALSE)*(1-$E26),0)),VLOOKUP($C26,'[2]2.행정구역별 급수인구'!$C$7:$AD$997,17,FALSE)))</f>
        <v>0</v>
      </c>
      <c r="H26" s="302">
        <f>IF($D26="A",ROUND(VLOOKUP($C26,'[2]2.행정구역별 급수인구'!$C$7:$AD$997,25,FALSE)*$E26,0),IF($D26="B",(ROUND(VLOOKUP($C26,'[2]2.행정구역별 급수인구'!$C$7:$AD$997,25,FALSE)-VLOOKUP($C26,'[2]2.행정구역별 급수인구'!$C$7:$AD$997,25,FALSE)*(1-$E26),0)),VLOOKUP($C26,'[2]2.행정구역별 급수인구'!$C$7:$AD$997,25,FALSE)))</f>
        <v>0</v>
      </c>
      <c r="I26" s="302">
        <f>IF($D26="A",ROUND(VLOOKUP($C26,'[2]2.행정구역별 급수인구'!$C$7:$AD$997,26,FALSE)*$E26,0),IF($D26="B",(ROUND(VLOOKUP($C26,'[2]2.행정구역별 급수인구'!$C$7:$AD$997,26,FALSE)-VLOOKUP($C26,'[2]2.행정구역별 급수인구'!$C$7:$AD$997,26,FALSE)*(1-$E26),0)),VLOOKUP($C26,'[2]2.행정구역별 급수인구'!$C$7:$AD$997,26,FALSE)))</f>
        <v>124</v>
      </c>
      <c r="J26" s="302">
        <f>IF($D26="A",ROUND(VLOOKUP($C26,'[2]2.행정구역별 급수인구'!$C$7:$AD$997,27,FALSE)*$E26,0),IF($D26="B",(ROUND(VLOOKUP($C26,'[2]2.행정구역별 급수인구'!$C$7:$AD$997,27,FALSE)-VLOOKUP($C26,'[2]2.행정구역별 급수인구'!$C$7:$AD$997,27,FALSE)*(1-$E26),0)),VLOOKUP($C26,'[2]2.행정구역별 급수인구'!$C$7:$AD$997,27,FALSE)))</f>
        <v>134</v>
      </c>
      <c r="K26" s="302">
        <f>IF($D26="A",ROUND(VLOOKUP($C26,'[2]2.행정구역별 급수인구'!$C$7:$AD$997,28,FALSE)*$E26,0),IF($D26="B",(ROUND(VLOOKUP($C26,'[2]2.행정구역별 급수인구'!$C$7:$AD$997,28,FALSE)-VLOOKUP($C26,'[2]2.행정구역별 급수인구'!$C$7:$AD$997,28,FALSE)*(1-$E26),0)),VLOOKUP($C26,'[2]2.행정구역별 급수인구'!$C$7:$AD$997,28,FALSE)))</f>
        <v>137</v>
      </c>
      <c r="L26" s="302">
        <f>VLOOKUP($F26,'[3]5.급수원단위'!$B$31:$G$35,2,FALSE)</f>
        <v>272</v>
      </c>
      <c r="M26" s="302">
        <f>VLOOKUP($F26,'[3]5.급수원단위'!$B$31:$G$35,3,FALSE)</f>
        <v>304</v>
      </c>
      <c r="N26" s="302">
        <f>VLOOKUP($F26,'[3]5.급수원단위'!$B$31:$G$35,4,FALSE)</f>
        <v>308</v>
      </c>
      <c r="O26" s="302">
        <f>VLOOKUP($F26,'[3]5.급수원단위'!$B$31:$G$35,5,FALSE)</f>
        <v>310</v>
      </c>
      <c r="P26" s="302">
        <f>VLOOKUP($F26,'[3]5.급수원단위'!$B$31:$G$35,6,FALSE)</f>
        <v>310</v>
      </c>
      <c r="Q26" s="302">
        <f>ROUND(IF(G26=0,0,VLOOKUP(C26,'2013실사용량 정리'!$D$6:$F$381,3,FALSE)),0)</f>
        <v>0</v>
      </c>
      <c r="R26" s="302">
        <f t="shared" si="3"/>
        <v>0</v>
      </c>
      <c r="S26" s="302">
        <f t="shared" si="3"/>
        <v>38</v>
      </c>
      <c r="T26" s="302">
        <f t="shared" si="3"/>
        <v>42</v>
      </c>
      <c r="U26" s="302">
        <f t="shared" si="3"/>
        <v>42</v>
      </c>
      <c r="W26" s="343" t="str">
        <f t="shared" si="2"/>
        <v/>
      </c>
    </row>
    <row r="27" spans="1:23" ht="20.100000000000001" customHeight="1">
      <c r="A27" s="340"/>
      <c r="B27" s="340"/>
      <c r="C27" s="406" t="s">
        <v>1690</v>
      </c>
      <c r="D27" s="330" t="s">
        <v>1299</v>
      </c>
      <c r="E27" s="527">
        <v>1</v>
      </c>
      <c r="F27" s="527" t="s">
        <v>1317</v>
      </c>
      <c r="G27" s="302">
        <f>IF($D27="A",ROUND(VLOOKUP($C27,'[2]2.행정구역별 급수인구'!$C$7:$AD$997,17,FALSE)*$E27,0),IF($D27="B",(ROUND(VLOOKUP($C27,'[2]2.행정구역별 급수인구'!$C$7:$AD$997,17,FALSE)-VLOOKUP($C27,'[2]2.행정구역별 급수인구'!$C$7:$AD$997,17,FALSE)*(1-$E27),0)),VLOOKUP($C27,'[2]2.행정구역별 급수인구'!$C$7:$AD$997,17,FALSE)))</f>
        <v>0</v>
      </c>
      <c r="H27" s="302">
        <f>IF($D27="A",ROUND(VLOOKUP($C27,'[2]2.행정구역별 급수인구'!$C$7:$AD$997,25,FALSE)*$E27,0),IF($D27="B",(ROUND(VLOOKUP($C27,'[2]2.행정구역별 급수인구'!$C$7:$AD$997,25,FALSE)-VLOOKUP($C27,'[2]2.행정구역별 급수인구'!$C$7:$AD$997,25,FALSE)*(1-$E27),0)),VLOOKUP($C27,'[2]2.행정구역별 급수인구'!$C$7:$AD$997,25,FALSE)))</f>
        <v>0</v>
      </c>
      <c r="I27" s="302">
        <f>IF($D27="A",ROUND(VLOOKUP($C27,'[2]2.행정구역별 급수인구'!$C$7:$AD$997,26,FALSE)*$E27,0),IF($D27="B",(ROUND(VLOOKUP($C27,'[2]2.행정구역별 급수인구'!$C$7:$AD$997,26,FALSE)-VLOOKUP($C27,'[2]2.행정구역별 급수인구'!$C$7:$AD$997,26,FALSE)*(1-$E27),0)),VLOOKUP($C27,'[2]2.행정구역별 급수인구'!$C$7:$AD$997,26,FALSE)))</f>
        <v>68</v>
      </c>
      <c r="J27" s="302">
        <f>IF($D27="A",ROUND(VLOOKUP($C27,'[2]2.행정구역별 급수인구'!$C$7:$AD$997,27,FALSE)*$E27,0),IF($D27="B",(ROUND(VLOOKUP($C27,'[2]2.행정구역별 급수인구'!$C$7:$AD$997,27,FALSE)-VLOOKUP($C27,'[2]2.행정구역별 급수인구'!$C$7:$AD$997,27,FALSE)*(1-$E27),0)),VLOOKUP($C27,'[2]2.행정구역별 급수인구'!$C$7:$AD$997,27,FALSE)))</f>
        <v>73</v>
      </c>
      <c r="K27" s="302">
        <f>IF($D27="A",ROUND(VLOOKUP($C27,'[2]2.행정구역별 급수인구'!$C$7:$AD$997,28,FALSE)*$E27,0),IF($D27="B",(ROUND(VLOOKUP($C27,'[2]2.행정구역별 급수인구'!$C$7:$AD$997,28,FALSE)-VLOOKUP($C27,'[2]2.행정구역별 급수인구'!$C$7:$AD$997,28,FALSE)*(1-$E27),0)),VLOOKUP($C27,'[2]2.행정구역별 급수인구'!$C$7:$AD$997,28,FALSE)))</f>
        <v>74</v>
      </c>
      <c r="L27" s="302">
        <f>VLOOKUP($F27,'[3]5.급수원단위'!$B$31:$G$35,2,FALSE)</f>
        <v>272</v>
      </c>
      <c r="M27" s="302">
        <f>VLOOKUP($F27,'[3]5.급수원단위'!$B$31:$G$35,3,FALSE)</f>
        <v>304</v>
      </c>
      <c r="N27" s="302">
        <f>VLOOKUP($F27,'[3]5.급수원단위'!$B$31:$G$35,4,FALSE)</f>
        <v>308</v>
      </c>
      <c r="O27" s="302">
        <f>VLOOKUP($F27,'[3]5.급수원단위'!$B$31:$G$35,5,FALSE)</f>
        <v>310</v>
      </c>
      <c r="P27" s="302">
        <f>VLOOKUP($F27,'[3]5.급수원단위'!$B$31:$G$35,6,FALSE)</f>
        <v>310</v>
      </c>
      <c r="Q27" s="302">
        <f>ROUND(IF(G27=0,0,VLOOKUP(C27,'2013실사용량 정리'!$D$6:$F$381,3,FALSE)),0)</f>
        <v>0</v>
      </c>
      <c r="R27" s="302">
        <f t="shared" si="3"/>
        <v>0</v>
      </c>
      <c r="S27" s="302">
        <f t="shared" si="3"/>
        <v>21</v>
      </c>
      <c r="T27" s="302">
        <f t="shared" si="3"/>
        <v>23</v>
      </c>
      <c r="U27" s="302">
        <f t="shared" si="3"/>
        <v>23</v>
      </c>
      <c r="W27" s="343" t="str">
        <f t="shared" si="2"/>
        <v/>
      </c>
    </row>
    <row r="28" spans="1:23" ht="20.100000000000001" customHeight="1">
      <c r="A28" s="340"/>
      <c r="B28" s="340"/>
      <c r="C28" s="406" t="s">
        <v>1691</v>
      </c>
      <c r="D28" s="330" t="s">
        <v>1299</v>
      </c>
      <c r="E28" s="527">
        <v>1</v>
      </c>
      <c r="F28" s="527" t="s">
        <v>1317</v>
      </c>
      <c r="G28" s="302">
        <f>IF($D28="A",ROUND(VLOOKUP($C28,'[2]2.행정구역별 급수인구'!$C$7:$AD$997,17,FALSE)*$E28,0),IF($D28="B",(ROUND(VLOOKUP($C28,'[2]2.행정구역별 급수인구'!$C$7:$AD$997,17,FALSE)-VLOOKUP($C28,'[2]2.행정구역별 급수인구'!$C$7:$AD$997,17,FALSE)*(1-$E28),0)),VLOOKUP($C28,'[2]2.행정구역별 급수인구'!$C$7:$AD$997,17,FALSE)))</f>
        <v>0</v>
      </c>
      <c r="H28" s="302">
        <f>IF($D28="A",ROUND(VLOOKUP($C28,'[2]2.행정구역별 급수인구'!$C$7:$AD$997,25,FALSE)*$E28,0),IF($D28="B",(ROUND(VLOOKUP($C28,'[2]2.행정구역별 급수인구'!$C$7:$AD$997,25,FALSE)-VLOOKUP($C28,'[2]2.행정구역별 급수인구'!$C$7:$AD$997,25,FALSE)*(1-$E28),0)),VLOOKUP($C28,'[2]2.행정구역별 급수인구'!$C$7:$AD$997,25,FALSE)))</f>
        <v>0</v>
      </c>
      <c r="I28" s="302">
        <f>IF($D28="A",ROUND(VLOOKUP($C28,'[2]2.행정구역별 급수인구'!$C$7:$AD$997,26,FALSE)*$E28,0),IF($D28="B",(ROUND(VLOOKUP($C28,'[2]2.행정구역별 급수인구'!$C$7:$AD$997,26,FALSE)-VLOOKUP($C28,'[2]2.행정구역별 급수인구'!$C$7:$AD$997,26,FALSE)*(1-$E28),0)),VLOOKUP($C28,'[2]2.행정구역별 급수인구'!$C$7:$AD$997,26,FALSE)))</f>
        <v>99</v>
      </c>
      <c r="J28" s="302">
        <f>IF($D28="A",ROUND(VLOOKUP($C28,'[2]2.행정구역별 급수인구'!$C$7:$AD$997,27,FALSE)*$E28,0),IF($D28="B",(ROUND(VLOOKUP($C28,'[2]2.행정구역별 급수인구'!$C$7:$AD$997,27,FALSE)-VLOOKUP($C28,'[2]2.행정구역별 급수인구'!$C$7:$AD$997,27,FALSE)*(1-$E28),0)),VLOOKUP($C28,'[2]2.행정구역별 급수인구'!$C$7:$AD$997,27,FALSE)))</f>
        <v>108</v>
      </c>
      <c r="K28" s="302">
        <f>IF($D28="A",ROUND(VLOOKUP($C28,'[2]2.행정구역별 급수인구'!$C$7:$AD$997,28,FALSE)*$E28,0),IF($D28="B",(ROUND(VLOOKUP($C28,'[2]2.행정구역별 급수인구'!$C$7:$AD$997,28,FALSE)-VLOOKUP($C28,'[2]2.행정구역별 급수인구'!$C$7:$AD$997,28,FALSE)*(1-$E28),0)),VLOOKUP($C28,'[2]2.행정구역별 급수인구'!$C$7:$AD$997,28,FALSE)))</f>
        <v>110</v>
      </c>
      <c r="L28" s="302">
        <f>VLOOKUP($F28,'[3]5.급수원단위'!$B$31:$G$35,2,FALSE)</f>
        <v>272</v>
      </c>
      <c r="M28" s="302">
        <f>VLOOKUP($F28,'[3]5.급수원단위'!$B$31:$G$35,3,FALSE)</f>
        <v>304</v>
      </c>
      <c r="N28" s="302">
        <f>VLOOKUP($F28,'[3]5.급수원단위'!$B$31:$G$35,4,FALSE)</f>
        <v>308</v>
      </c>
      <c r="O28" s="302">
        <f>VLOOKUP($F28,'[3]5.급수원단위'!$B$31:$G$35,5,FALSE)</f>
        <v>310</v>
      </c>
      <c r="P28" s="302">
        <f>VLOOKUP($F28,'[3]5.급수원단위'!$B$31:$G$35,6,FALSE)</f>
        <v>310</v>
      </c>
      <c r="Q28" s="302">
        <f>ROUND(IF(G28=0,0,VLOOKUP(C28,'2013실사용량 정리'!$D$6:$F$381,3,FALSE)),0)</f>
        <v>0</v>
      </c>
      <c r="R28" s="302">
        <f t="shared" si="3"/>
        <v>0</v>
      </c>
      <c r="S28" s="302">
        <f t="shared" si="3"/>
        <v>30</v>
      </c>
      <c r="T28" s="302">
        <f t="shared" si="3"/>
        <v>33</v>
      </c>
      <c r="U28" s="302">
        <f t="shared" si="3"/>
        <v>34</v>
      </c>
      <c r="W28" s="343" t="str">
        <f t="shared" si="2"/>
        <v/>
      </c>
    </row>
    <row r="29" spans="1:23" ht="20.100000000000001" customHeight="1">
      <c r="A29" s="340"/>
      <c r="B29" s="340"/>
      <c r="C29" s="406" t="s">
        <v>1692</v>
      </c>
      <c r="D29" s="330" t="s">
        <v>1299</v>
      </c>
      <c r="E29" s="527">
        <v>1</v>
      </c>
      <c r="F29" s="527" t="s">
        <v>1317</v>
      </c>
      <c r="G29" s="302">
        <f>IF($D29="A",ROUND(VLOOKUP($C29,'[2]2.행정구역별 급수인구'!$C$7:$AD$997,17,FALSE)*$E29,0),IF($D29="B",(ROUND(VLOOKUP($C29,'[2]2.행정구역별 급수인구'!$C$7:$AD$997,17,FALSE)-VLOOKUP($C29,'[2]2.행정구역별 급수인구'!$C$7:$AD$997,17,FALSE)*(1-$E29),0)),VLOOKUP($C29,'[2]2.행정구역별 급수인구'!$C$7:$AD$997,17,FALSE)))</f>
        <v>0</v>
      </c>
      <c r="H29" s="302">
        <f>IF($D29="A",ROUND(VLOOKUP($C29,'[2]2.행정구역별 급수인구'!$C$7:$AD$997,25,FALSE)*$E29,0),IF($D29="B",(ROUND(VLOOKUP($C29,'[2]2.행정구역별 급수인구'!$C$7:$AD$997,25,FALSE)-VLOOKUP($C29,'[2]2.행정구역별 급수인구'!$C$7:$AD$997,25,FALSE)*(1-$E29),0)),VLOOKUP($C29,'[2]2.행정구역별 급수인구'!$C$7:$AD$997,25,FALSE)))</f>
        <v>0</v>
      </c>
      <c r="I29" s="302">
        <f>IF($D29="A",ROUND(VLOOKUP($C29,'[2]2.행정구역별 급수인구'!$C$7:$AD$997,26,FALSE)*$E29,0),IF($D29="B",(ROUND(VLOOKUP($C29,'[2]2.행정구역별 급수인구'!$C$7:$AD$997,26,FALSE)-VLOOKUP($C29,'[2]2.행정구역별 급수인구'!$C$7:$AD$997,26,FALSE)*(1-$E29),0)),VLOOKUP($C29,'[2]2.행정구역별 급수인구'!$C$7:$AD$997,26,FALSE)))</f>
        <v>123</v>
      </c>
      <c r="J29" s="302">
        <f>IF($D29="A",ROUND(VLOOKUP($C29,'[2]2.행정구역별 급수인구'!$C$7:$AD$997,27,FALSE)*$E29,0),IF($D29="B",(ROUND(VLOOKUP($C29,'[2]2.행정구역별 급수인구'!$C$7:$AD$997,27,FALSE)-VLOOKUP($C29,'[2]2.행정구역별 급수인구'!$C$7:$AD$997,27,FALSE)*(1-$E29),0)),VLOOKUP($C29,'[2]2.행정구역별 급수인구'!$C$7:$AD$997,27,FALSE)))</f>
        <v>133</v>
      </c>
      <c r="K29" s="302">
        <f>IF($D29="A",ROUND(VLOOKUP($C29,'[2]2.행정구역별 급수인구'!$C$7:$AD$997,28,FALSE)*$E29,0),IF($D29="B",(ROUND(VLOOKUP($C29,'[2]2.행정구역별 급수인구'!$C$7:$AD$997,28,FALSE)-VLOOKUP($C29,'[2]2.행정구역별 급수인구'!$C$7:$AD$997,28,FALSE)*(1-$E29),0)),VLOOKUP($C29,'[2]2.행정구역별 급수인구'!$C$7:$AD$997,28,FALSE)))</f>
        <v>136</v>
      </c>
      <c r="L29" s="302">
        <f>VLOOKUP($F29,'[3]5.급수원단위'!$B$31:$G$35,2,FALSE)</f>
        <v>272</v>
      </c>
      <c r="M29" s="302">
        <f>VLOOKUP($F29,'[3]5.급수원단위'!$B$31:$G$35,3,FALSE)</f>
        <v>304</v>
      </c>
      <c r="N29" s="302">
        <f>VLOOKUP($F29,'[3]5.급수원단위'!$B$31:$G$35,4,FALSE)</f>
        <v>308</v>
      </c>
      <c r="O29" s="302">
        <f>VLOOKUP($F29,'[3]5.급수원단위'!$B$31:$G$35,5,FALSE)</f>
        <v>310</v>
      </c>
      <c r="P29" s="302">
        <f>VLOOKUP($F29,'[3]5.급수원단위'!$B$31:$G$35,6,FALSE)</f>
        <v>310</v>
      </c>
      <c r="Q29" s="302">
        <f>ROUND(IF(G29=0,0,VLOOKUP(C29,'2013실사용량 정리'!$D$6:$F$381,3,FALSE)),0)</f>
        <v>0</v>
      </c>
      <c r="R29" s="302">
        <f t="shared" si="3"/>
        <v>0</v>
      </c>
      <c r="S29" s="302">
        <f t="shared" si="3"/>
        <v>38</v>
      </c>
      <c r="T29" s="302">
        <f t="shared" si="3"/>
        <v>41</v>
      </c>
      <c r="U29" s="302">
        <f t="shared" si="3"/>
        <v>42</v>
      </c>
      <c r="W29" s="343" t="str">
        <f t="shared" si="2"/>
        <v/>
      </c>
    </row>
    <row r="30" spans="1:23" ht="20.100000000000001" customHeight="1">
      <c r="A30" s="340"/>
      <c r="B30" s="694" t="s">
        <v>1228</v>
      </c>
      <c r="C30" s="694"/>
      <c r="D30" s="694"/>
      <c r="E30" s="331"/>
      <c r="F30" s="331"/>
      <c r="G30" s="336">
        <f>SUM(G31:G56)</f>
        <v>0</v>
      </c>
      <c r="H30" s="336">
        <f t="shared" ref="H30:U30" si="8">SUM(H31:H56)</f>
        <v>0</v>
      </c>
      <c r="I30" s="336">
        <f t="shared" si="8"/>
        <v>494</v>
      </c>
      <c r="J30" s="336">
        <f t="shared" si="8"/>
        <v>534</v>
      </c>
      <c r="K30" s="336">
        <f t="shared" si="8"/>
        <v>543</v>
      </c>
      <c r="L30" s="336"/>
      <c r="M30" s="336"/>
      <c r="N30" s="336"/>
      <c r="O30" s="336"/>
      <c r="P30" s="336"/>
      <c r="Q30" s="336">
        <f t="shared" si="8"/>
        <v>0</v>
      </c>
      <c r="R30" s="336">
        <f t="shared" si="8"/>
        <v>0</v>
      </c>
      <c r="S30" s="336">
        <f t="shared" si="8"/>
        <v>152</v>
      </c>
      <c r="T30" s="336">
        <f t="shared" si="8"/>
        <v>165</v>
      </c>
      <c r="U30" s="336">
        <f t="shared" si="8"/>
        <v>169</v>
      </c>
      <c r="V30" s="343">
        <f>VLOOKUP(B30,'2013년도 용수량 비율'!$A$5:$F$20,6,FALSE)</f>
        <v>1</v>
      </c>
      <c r="W30" s="343" t="str">
        <f t="shared" si="2"/>
        <v/>
      </c>
    </row>
    <row r="31" spans="1:23" ht="20.100000000000001" customHeight="1">
      <c r="A31" s="340"/>
      <c r="B31" s="409"/>
      <c r="C31" s="406" t="s">
        <v>1733</v>
      </c>
      <c r="D31" s="330" t="s">
        <v>1299</v>
      </c>
      <c r="E31" s="527">
        <v>0</v>
      </c>
      <c r="F31" s="527" t="s">
        <v>1317</v>
      </c>
      <c r="G31" s="302">
        <f>IF($D31="A",ROUND(VLOOKUP($C31,'[2]2.행정구역별 급수인구'!$C$7:$AD$997,17,FALSE)*$E31,0),IF($D31="B",(ROUND(VLOOKUP($C31,'[2]2.행정구역별 급수인구'!$C$7:$AD$997,17,FALSE)-VLOOKUP($C31,'[2]2.행정구역별 급수인구'!$C$7:$AD$997,17,FALSE)*(1-$E31),0)),VLOOKUP($C31,'[2]2.행정구역별 급수인구'!$C$7:$AD$997,17,FALSE)))</f>
        <v>0</v>
      </c>
      <c r="H31" s="302">
        <f>IF($D31="A",ROUND(VLOOKUP($C31,'[2]2.행정구역별 급수인구'!$C$7:$AD$997,25,FALSE)*$E31,0),IF($D31="B",(ROUND(VLOOKUP($C31,'[2]2.행정구역별 급수인구'!$C$7:$AD$997,25,FALSE)-VLOOKUP($C31,'[2]2.행정구역별 급수인구'!$C$7:$AD$997,25,FALSE)*(1-$E31),0)),VLOOKUP($C31,'[2]2.행정구역별 급수인구'!$C$7:$AD$997,25,FALSE)))</f>
        <v>0</v>
      </c>
      <c r="I31" s="302">
        <f>IF($D31="A",ROUND(VLOOKUP($C31,'[2]2.행정구역별 급수인구'!$C$7:$AD$997,26,FALSE)*$E31,0),IF($D31="B",(ROUND(VLOOKUP($C31,'[2]2.행정구역별 급수인구'!$C$7:$AD$997,26,FALSE)-VLOOKUP($C31,'[2]2.행정구역별 급수인구'!$C$7:$AD$997,26,FALSE)*(1-$E31),0)),VLOOKUP($C31,'[2]2.행정구역별 급수인구'!$C$7:$AD$997,26,FALSE)))</f>
        <v>0</v>
      </c>
      <c r="J31" s="302">
        <f>IF($D31="A",ROUND(VLOOKUP($C31,'[2]2.행정구역별 급수인구'!$C$7:$AD$997,27,FALSE)*$E31,0),IF($D31="B",(ROUND(VLOOKUP($C31,'[2]2.행정구역별 급수인구'!$C$7:$AD$997,27,FALSE)-VLOOKUP($C31,'[2]2.행정구역별 급수인구'!$C$7:$AD$997,27,FALSE)*(1-$E31),0)),VLOOKUP($C31,'[2]2.행정구역별 급수인구'!$C$7:$AD$997,27,FALSE)))</f>
        <v>0</v>
      </c>
      <c r="K31" s="302">
        <f>IF($D31="A",ROUND(VLOOKUP($C31,'[2]2.행정구역별 급수인구'!$C$7:$AD$997,28,FALSE)*$E31,0),IF($D31="B",(ROUND(VLOOKUP($C31,'[2]2.행정구역별 급수인구'!$C$7:$AD$997,28,FALSE)-VLOOKUP($C31,'[2]2.행정구역별 급수인구'!$C$7:$AD$997,28,FALSE)*(1-$E31),0)),VLOOKUP($C31,'[2]2.행정구역별 급수인구'!$C$7:$AD$997,28,FALSE)))</f>
        <v>0</v>
      </c>
      <c r="L31" s="302">
        <f>VLOOKUP($F31,'[3]5.급수원단위'!$B$31:$G$35,2,FALSE)</f>
        <v>272</v>
      </c>
      <c r="M31" s="302">
        <f>VLOOKUP($F31,'[3]5.급수원단위'!$B$31:$G$35,3,FALSE)</f>
        <v>304</v>
      </c>
      <c r="N31" s="302">
        <f>VLOOKUP($F31,'[3]5.급수원단위'!$B$31:$G$35,4,FALSE)</f>
        <v>308</v>
      </c>
      <c r="O31" s="302">
        <f>VLOOKUP($F31,'[3]5.급수원단위'!$B$31:$G$35,5,FALSE)</f>
        <v>310</v>
      </c>
      <c r="P31" s="302">
        <f>VLOOKUP($F31,'[3]5.급수원단위'!$B$31:$G$35,6,FALSE)</f>
        <v>310</v>
      </c>
      <c r="Q31" s="302">
        <f>ROUND(IF(G31=0,0,VLOOKUP(C31,'2013실사용량 정리'!$D$6:$F$381,3,FALSE)),0)</f>
        <v>0</v>
      </c>
      <c r="R31" s="302">
        <f t="shared" ref="R31:U46" si="9">ROUND(H31*M31/1000,0)</f>
        <v>0</v>
      </c>
      <c r="S31" s="302">
        <f t="shared" si="9"/>
        <v>0</v>
      </c>
      <c r="T31" s="302">
        <f t="shared" si="9"/>
        <v>0</v>
      </c>
      <c r="U31" s="302">
        <f t="shared" si="9"/>
        <v>0</v>
      </c>
      <c r="V31" s="327" t="s">
        <v>1746</v>
      </c>
      <c r="W31" s="343" t="str">
        <f t="shared" si="2"/>
        <v/>
      </c>
    </row>
    <row r="32" spans="1:23" ht="20.100000000000001" customHeight="1">
      <c r="A32" s="340"/>
      <c r="B32" s="410"/>
      <c r="C32" s="406" t="s">
        <v>1734</v>
      </c>
      <c r="D32" s="330" t="s">
        <v>1299</v>
      </c>
      <c r="E32" s="527">
        <v>0</v>
      </c>
      <c r="F32" s="527" t="s">
        <v>1317</v>
      </c>
      <c r="G32" s="302">
        <f>IF($D32="A",ROUND(VLOOKUP($C32,'[2]2.행정구역별 급수인구'!$C$7:$AD$997,17,FALSE)*$E32,0),IF($D32="B",(ROUND(VLOOKUP($C32,'[2]2.행정구역별 급수인구'!$C$7:$AD$997,17,FALSE)-VLOOKUP($C32,'[2]2.행정구역별 급수인구'!$C$7:$AD$997,17,FALSE)*(1-$E32),0)),VLOOKUP($C32,'[2]2.행정구역별 급수인구'!$C$7:$AD$997,17,FALSE)))</f>
        <v>0</v>
      </c>
      <c r="H32" s="302">
        <f>IF($D32="A",ROUND(VLOOKUP($C32,'[2]2.행정구역별 급수인구'!$C$7:$AD$997,25,FALSE)*$E32,0),IF($D32="B",(ROUND(VLOOKUP($C32,'[2]2.행정구역별 급수인구'!$C$7:$AD$997,25,FALSE)-VLOOKUP($C32,'[2]2.행정구역별 급수인구'!$C$7:$AD$997,25,FALSE)*(1-$E32),0)),VLOOKUP($C32,'[2]2.행정구역별 급수인구'!$C$7:$AD$997,25,FALSE)))</f>
        <v>0</v>
      </c>
      <c r="I32" s="302">
        <f>IF($D32="A",ROUND(VLOOKUP($C32,'[2]2.행정구역별 급수인구'!$C$7:$AD$997,26,FALSE)*$E32,0),IF($D32="B",(ROUND(VLOOKUP($C32,'[2]2.행정구역별 급수인구'!$C$7:$AD$997,26,FALSE)-VLOOKUP($C32,'[2]2.행정구역별 급수인구'!$C$7:$AD$997,26,FALSE)*(1-$E32),0)),VLOOKUP($C32,'[2]2.행정구역별 급수인구'!$C$7:$AD$997,26,FALSE)))</f>
        <v>0</v>
      </c>
      <c r="J32" s="302">
        <f>IF($D32="A",ROUND(VLOOKUP($C32,'[2]2.행정구역별 급수인구'!$C$7:$AD$997,27,FALSE)*$E32,0),IF($D32="B",(ROUND(VLOOKUP($C32,'[2]2.행정구역별 급수인구'!$C$7:$AD$997,27,FALSE)-VLOOKUP($C32,'[2]2.행정구역별 급수인구'!$C$7:$AD$997,27,FALSE)*(1-$E32),0)),VLOOKUP($C32,'[2]2.행정구역별 급수인구'!$C$7:$AD$997,27,FALSE)))</f>
        <v>0</v>
      </c>
      <c r="K32" s="302">
        <f>IF($D32="A",ROUND(VLOOKUP($C32,'[2]2.행정구역별 급수인구'!$C$7:$AD$997,28,FALSE)*$E32,0),IF($D32="B",(ROUND(VLOOKUP($C32,'[2]2.행정구역별 급수인구'!$C$7:$AD$997,28,FALSE)-VLOOKUP($C32,'[2]2.행정구역별 급수인구'!$C$7:$AD$997,28,FALSE)*(1-$E32),0)),VLOOKUP($C32,'[2]2.행정구역별 급수인구'!$C$7:$AD$997,28,FALSE)))</f>
        <v>0</v>
      </c>
      <c r="L32" s="302">
        <f>VLOOKUP($F32,'[3]5.급수원단위'!$B$31:$G$35,2,FALSE)</f>
        <v>272</v>
      </c>
      <c r="M32" s="302">
        <f>VLOOKUP($F32,'[3]5.급수원단위'!$B$31:$G$35,3,FALSE)</f>
        <v>304</v>
      </c>
      <c r="N32" s="302">
        <f>VLOOKUP($F32,'[3]5.급수원단위'!$B$31:$G$35,4,FALSE)</f>
        <v>308</v>
      </c>
      <c r="O32" s="302">
        <f>VLOOKUP($F32,'[3]5.급수원단위'!$B$31:$G$35,5,FALSE)</f>
        <v>310</v>
      </c>
      <c r="P32" s="302">
        <f>VLOOKUP($F32,'[3]5.급수원단위'!$B$31:$G$35,6,FALSE)</f>
        <v>310</v>
      </c>
      <c r="Q32" s="302">
        <f>ROUND(IF(G32=0,0,VLOOKUP(C32,'2013실사용량 정리'!$D$6:$F$381,3,FALSE)),0)</f>
        <v>0</v>
      </c>
      <c r="R32" s="302">
        <f t="shared" si="9"/>
        <v>0</v>
      </c>
      <c r="S32" s="302">
        <f t="shared" si="9"/>
        <v>0</v>
      </c>
      <c r="T32" s="302">
        <f t="shared" si="9"/>
        <v>0</v>
      </c>
      <c r="U32" s="302">
        <f t="shared" si="9"/>
        <v>0</v>
      </c>
      <c r="V32" s="327" t="s">
        <v>1746</v>
      </c>
      <c r="W32" s="343" t="str">
        <f t="shared" si="2"/>
        <v/>
      </c>
    </row>
    <row r="33" spans="1:23" ht="20.100000000000001" customHeight="1">
      <c r="A33" s="340"/>
      <c r="B33" s="410"/>
      <c r="C33" s="406" t="s">
        <v>1735</v>
      </c>
      <c r="D33" s="330" t="s">
        <v>1299</v>
      </c>
      <c r="E33" s="527">
        <v>0</v>
      </c>
      <c r="F33" s="527" t="s">
        <v>1317</v>
      </c>
      <c r="G33" s="302">
        <f>IF($D33="A",ROUND(VLOOKUP($C33,'[2]2.행정구역별 급수인구'!$C$7:$AD$997,17,FALSE)*$E33,0),IF($D33="B",(ROUND(VLOOKUP($C33,'[2]2.행정구역별 급수인구'!$C$7:$AD$997,17,FALSE)-VLOOKUP($C33,'[2]2.행정구역별 급수인구'!$C$7:$AD$997,17,FALSE)*(1-$E33),0)),VLOOKUP($C33,'[2]2.행정구역별 급수인구'!$C$7:$AD$997,17,FALSE)))</f>
        <v>0</v>
      </c>
      <c r="H33" s="302">
        <f>IF($D33="A",ROUND(VLOOKUP($C33,'[2]2.행정구역별 급수인구'!$C$7:$AD$997,25,FALSE)*$E33,0),IF($D33="B",(ROUND(VLOOKUP($C33,'[2]2.행정구역별 급수인구'!$C$7:$AD$997,25,FALSE)-VLOOKUP($C33,'[2]2.행정구역별 급수인구'!$C$7:$AD$997,25,FALSE)*(1-$E33),0)),VLOOKUP($C33,'[2]2.행정구역별 급수인구'!$C$7:$AD$997,25,FALSE)))</f>
        <v>0</v>
      </c>
      <c r="I33" s="302">
        <f>IF($D33="A",ROUND(VLOOKUP($C33,'[2]2.행정구역별 급수인구'!$C$7:$AD$997,26,FALSE)*$E33,0),IF($D33="B",(ROUND(VLOOKUP($C33,'[2]2.행정구역별 급수인구'!$C$7:$AD$997,26,FALSE)-VLOOKUP($C33,'[2]2.행정구역별 급수인구'!$C$7:$AD$997,26,FALSE)*(1-$E33),0)),VLOOKUP($C33,'[2]2.행정구역별 급수인구'!$C$7:$AD$997,26,FALSE)))</f>
        <v>0</v>
      </c>
      <c r="J33" s="302">
        <f>IF($D33="A",ROUND(VLOOKUP($C33,'[2]2.행정구역별 급수인구'!$C$7:$AD$997,27,FALSE)*$E33,0),IF($D33="B",(ROUND(VLOOKUP($C33,'[2]2.행정구역별 급수인구'!$C$7:$AD$997,27,FALSE)-VLOOKUP($C33,'[2]2.행정구역별 급수인구'!$C$7:$AD$997,27,FALSE)*(1-$E33),0)),VLOOKUP($C33,'[2]2.행정구역별 급수인구'!$C$7:$AD$997,27,FALSE)))</f>
        <v>0</v>
      </c>
      <c r="K33" s="302">
        <f>IF($D33="A",ROUND(VLOOKUP($C33,'[2]2.행정구역별 급수인구'!$C$7:$AD$997,28,FALSE)*$E33,0),IF($D33="B",(ROUND(VLOOKUP($C33,'[2]2.행정구역별 급수인구'!$C$7:$AD$997,28,FALSE)-VLOOKUP($C33,'[2]2.행정구역별 급수인구'!$C$7:$AD$997,28,FALSE)*(1-$E33),0)),VLOOKUP($C33,'[2]2.행정구역별 급수인구'!$C$7:$AD$997,28,FALSE)))</f>
        <v>0</v>
      </c>
      <c r="L33" s="302">
        <f>VLOOKUP($F33,'[3]5.급수원단위'!$B$31:$G$35,2,FALSE)</f>
        <v>272</v>
      </c>
      <c r="M33" s="302">
        <f>VLOOKUP($F33,'[3]5.급수원단위'!$B$31:$G$35,3,FALSE)</f>
        <v>304</v>
      </c>
      <c r="N33" s="302">
        <f>VLOOKUP($F33,'[3]5.급수원단위'!$B$31:$G$35,4,FALSE)</f>
        <v>308</v>
      </c>
      <c r="O33" s="302">
        <f>VLOOKUP($F33,'[3]5.급수원단위'!$B$31:$G$35,5,FALSE)</f>
        <v>310</v>
      </c>
      <c r="P33" s="302">
        <f>VLOOKUP($F33,'[3]5.급수원단위'!$B$31:$G$35,6,FALSE)</f>
        <v>310</v>
      </c>
      <c r="Q33" s="302">
        <f>ROUND(IF(G33=0,0,VLOOKUP(C33,'2013실사용량 정리'!$D$6:$F$381,3,FALSE)),0)</f>
        <v>0</v>
      </c>
      <c r="R33" s="302">
        <f t="shared" si="9"/>
        <v>0</v>
      </c>
      <c r="S33" s="302">
        <f t="shared" si="9"/>
        <v>0</v>
      </c>
      <c r="T33" s="302">
        <f t="shared" si="9"/>
        <v>0</v>
      </c>
      <c r="U33" s="302">
        <f t="shared" si="9"/>
        <v>0</v>
      </c>
      <c r="V33" s="327" t="s">
        <v>1746</v>
      </c>
      <c r="W33" s="343" t="str">
        <f t="shared" si="2"/>
        <v/>
      </c>
    </row>
    <row r="34" spans="1:23" ht="20.100000000000001" customHeight="1">
      <c r="A34" s="340"/>
      <c r="B34" s="410"/>
      <c r="C34" s="406" t="s">
        <v>1736</v>
      </c>
      <c r="D34" s="330" t="s">
        <v>1299</v>
      </c>
      <c r="E34" s="527">
        <v>0</v>
      </c>
      <c r="F34" s="527" t="s">
        <v>1317</v>
      </c>
      <c r="G34" s="302">
        <f>IF($D34="A",ROUND(VLOOKUP($C34,'[2]2.행정구역별 급수인구'!$C$7:$AD$997,17,FALSE)*$E34,0),IF($D34="B",(ROUND(VLOOKUP($C34,'[2]2.행정구역별 급수인구'!$C$7:$AD$997,17,FALSE)-VLOOKUP($C34,'[2]2.행정구역별 급수인구'!$C$7:$AD$997,17,FALSE)*(1-$E34),0)),VLOOKUP($C34,'[2]2.행정구역별 급수인구'!$C$7:$AD$997,17,FALSE)))</f>
        <v>0</v>
      </c>
      <c r="H34" s="302">
        <f>IF($D34="A",ROUND(VLOOKUP($C34,'[2]2.행정구역별 급수인구'!$C$7:$AD$997,25,FALSE)*$E34,0),IF($D34="B",(ROUND(VLOOKUP($C34,'[2]2.행정구역별 급수인구'!$C$7:$AD$997,25,FALSE)-VLOOKUP($C34,'[2]2.행정구역별 급수인구'!$C$7:$AD$997,25,FALSE)*(1-$E34),0)),VLOOKUP($C34,'[2]2.행정구역별 급수인구'!$C$7:$AD$997,25,FALSE)))</f>
        <v>0</v>
      </c>
      <c r="I34" s="302">
        <f>IF($D34="A",ROUND(VLOOKUP($C34,'[2]2.행정구역별 급수인구'!$C$7:$AD$997,26,FALSE)*$E34,0),IF($D34="B",(ROUND(VLOOKUP($C34,'[2]2.행정구역별 급수인구'!$C$7:$AD$997,26,FALSE)-VLOOKUP($C34,'[2]2.행정구역별 급수인구'!$C$7:$AD$997,26,FALSE)*(1-$E34),0)),VLOOKUP($C34,'[2]2.행정구역별 급수인구'!$C$7:$AD$997,26,FALSE)))</f>
        <v>0</v>
      </c>
      <c r="J34" s="302">
        <f>IF($D34="A",ROUND(VLOOKUP($C34,'[2]2.행정구역별 급수인구'!$C$7:$AD$997,27,FALSE)*$E34,0),IF($D34="B",(ROUND(VLOOKUP($C34,'[2]2.행정구역별 급수인구'!$C$7:$AD$997,27,FALSE)-VLOOKUP($C34,'[2]2.행정구역별 급수인구'!$C$7:$AD$997,27,FALSE)*(1-$E34),0)),VLOOKUP($C34,'[2]2.행정구역별 급수인구'!$C$7:$AD$997,27,FALSE)))</f>
        <v>0</v>
      </c>
      <c r="K34" s="302">
        <f>IF($D34="A",ROUND(VLOOKUP($C34,'[2]2.행정구역별 급수인구'!$C$7:$AD$997,28,FALSE)*$E34,0),IF($D34="B",(ROUND(VLOOKUP($C34,'[2]2.행정구역별 급수인구'!$C$7:$AD$997,28,FALSE)-VLOOKUP($C34,'[2]2.행정구역별 급수인구'!$C$7:$AD$997,28,FALSE)*(1-$E34),0)),VLOOKUP($C34,'[2]2.행정구역별 급수인구'!$C$7:$AD$997,28,FALSE)))</f>
        <v>0</v>
      </c>
      <c r="L34" s="302">
        <f>VLOOKUP($F34,'[3]5.급수원단위'!$B$31:$G$35,2,FALSE)</f>
        <v>272</v>
      </c>
      <c r="M34" s="302">
        <f>VLOOKUP($F34,'[3]5.급수원단위'!$B$31:$G$35,3,FALSE)</f>
        <v>304</v>
      </c>
      <c r="N34" s="302">
        <f>VLOOKUP($F34,'[3]5.급수원단위'!$B$31:$G$35,4,FALSE)</f>
        <v>308</v>
      </c>
      <c r="O34" s="302">
        <f>VLOOKUP($F34,'[3]5.급수원단위'!$B$31:$G$35,5,FALSE)</f>
        <v>310</v>
      </c>
      <c r="P34" s="302">
        <f>VLOOKUP($F34,'[3]5.급수원단위'!$B$31:$G$35,6,FALSE)</f>
        <v>310</v>
      </c>
      <c r="Q34" s="302">
        <f>ROUND(IF(G34=0,0,VLOOKUP(C34,'2013실사용량 정리'!$D$6:$F$381,3,FALSE)),0)</f>
        <v>0</v>
      </c>
      <c r="R34" s="302">
        <f t="shared" si="9"/>
        <v>0</v>
      </c>
      <c r="S34" s="302">
        <f t="shared" si="9"/>
        <v>0</v>
      </c>
      <c r="T34" s="302">
        <f t="shared" si="9"/>
        <v>0</v>
      </c>
      <c r="U34" s="302">
        <f t="shared" si="9"/>
        <v>0</v>
      </c>
      <c r="V34" s="327" t="s">
        <v>1746</v>
      </c>
      <c r="W34" s="343" t="str">
        <f t="shared" si="2"/>
        <v/>
      </c>
    </row>
    <row r="35" spans="1:23" ht="20.100000000000001" customHeight="1">
      <c r="A35" s="340"/>
      <c r="B35" s="410"/>
      <c r="C35" s="376" t="s">
        <v>1774</v>
      </c>
      <c r="D35" s="377" t="s">
        <v>1299</v>
      </c>
      <c r="E35" s="378">
        <v>1</v>
      </c>
      <c r="F35" s="378" t="s">
        <v>756</v>
      </c>
      <c r="G35" s="379">
        <f>IF($D35="A",ROUND(VLOOKUP($C35,'[2]2.행정구역별 급수인구'!$C$7:$AD$997,17,FALSE)*$E35,0),IF($D35="B",(ROUND(VLOOKUP($C35,'[2]2.행정구역별 급수인구'!$C$7:$AD$997,17,FALSE)-VLOOKUP($C35,'[2]2.행정구역별 급수인구'!$C$7:$AD$997,17,FALSE)*(1-$E35),0)),VLOOKUP($C35,'[2]2.행정구역별 급수인구'!$C$7:$AD$997,17,FALSE)))</f>
        <v>0</v>
      </c>
      <c r="H35" s="379">
        <f>IF($D35="A",ROUND(VLOOKUP($C35,'[2]2.행정구역별 급수인구'!$C$7:$AD$997,25,FALSE)*$E35,0),IF($D35="B",(ROUND(VLOOKUP($C35,'[2]2.행정구역별 급수인구'!$C$7:$AD$997,25,FALSE)-VLOOKUP($C35,'[2]2.행정구역별 급수인구'!$C$7:$AD$997,25,FALSE)*(1-$E35),0)),VLOOKUP($C35,'[2]2.행정구역별 급수인구'!$C$7:$AD$997,25,FALSE)))</f>
        <v>0</v>
      </c>
      <c r="I35" s="379">
        <f>IF($D35="A",ROUND(VLOOKUP($C35,'[2]2.행정구역별 급수인구'!$C$7:$AD$997,26,FALSE)*$E35,0),IF($D35="B",(ROUND(VLOOKUP($C35,'[2]2.행정구역별 급수인구'!$C$7:$AD$997,26,FALSE)-VLOOKUP($C35,'[2]2.행정구역별 급수인구'!$C$7:$AD$997,26,FALSE)*(1-$E35),0)),VLOOKUP($C35,'[2]2.행정구역별 급수인구'!$C$7:$AD$997,26,FALSE)))</f>
        <v>93</v>
      </c>
      <c r="J35" s="379">
        <f>IF($D35="A",ROUND(VLOOKUP($C35,'[2]2.행정구역별 급수인구'!$C$7:$AD$997,27,FALSE)*$E35,0),IF($D35="B",(ROUND(VLOOKUP($C35,'[2]2.행정구역별 급수인구'!$C$7:$AD$997,27,FALSE)-VLOOKUP($C35,'[2]2.행정구역별 급수인구'!$C$7:$AD$997,27,FALSE)*(1-$E35),0)),VLOOKUP($C35,'[2]2.행정구역별 급수인구'!$C$7:$AD$997,27,FALSE)))</f>
        <v>100</v>
      </c>
      <c r="K35" s="379">
        <f>IF($D35="A",ROUND(VLOOKUP($C35,'[2]2.행정구역별 급수인구'!$C$7:$AD$997,28,FALSE)*$E35,0),IF($D35="B",(ROUND(VLOOKUP($C35,'[2]2.행정구역별 급수인구'!$C$7:$AD$997,28,FALSE)-VLOOKUP($C35,'[2]2.행정구역별 급수인구'!$C$7:$AD$997,28,FALSE)*(1-$E35),0)),VLOOKUP($C35,'[2]2.행정구역별 급수인구'!$C$7:$AD$997,28,FALSE)))</f>
        <v>102</v>
      </c>
      <c r="L35" s="379">
        <f>VLOOKUP($F35,'[3]5.급수원단위'!$B$31:$G$35,2,FALSE)</f>
        <v>272</v>
      </c>
      <c r="M35" s="379">
        <f>VLOOKUP($F35,'[3]5.급수원단위'!$B$31:$G$35,3,FALSE)</f>
        <v>304</v>
      </c>
      <c r="N35" s="379">
        <f>VLOOKUP($F35,'[3]5.급수원단위'!$B$31:$G$35,4,FALSE)</f>
        <v>308</v>
      </c>
      <c r="O35" s="379">
        <f>VLOOKUP($F35,'[3]5.급수원단위'!$B$31:$G$35,5,FALSE)</f>
        <v>310</v>
      </c>
      <c r="P35" s="379">
        <f>VLOOKUP($F35,'[3]5.급수원단위'!$B$31:$G$35,6,FALSE)</f>
        <v>310</v>
      </c>
      <c r="Q35" s="379">
        <f>ROUND(IF(G35=0,0,VLOOKUP(C35,'2013실사용량 정리'!$D$6:$F$381,3,FALSE)),0)</f>
        <v>0</v>
      </c>
      <c r="R35" s="379">
        <f t="shared" si="9"/>
        <v>0</v>
      </c>
      <c r="S35" s="379">
        <f t="shared" si="9"/>
        <v>29</v>
      </c>
      <c r="T35" s="379">
        <f t="shared" si="9"/>
        <v>31</v>
      </c>
      <c r="U35" s="379">
        <f t="shared" si="9"/>
        <v>32</v>
      </c>
      <c r="W35" s="343" t="str">
        <f t="shared" si="2"/>
        <v/>
      </c>
    </row>
    <row r="36" spans="1:23" ht="20.100000000000001" customHeight="1">
      <c r="A36" s="340"/>
      <c r="B36" s="410"/>
      <c r="C36" s="376" t="s">
        <v>1775</v>
      </c>
      <c r="D36" s="377" t="s">
        <v>1299</v>
      </c>
      <c r="E36" s="378">
        <v>1</v>
      </c>
      <c r="F36" s="378" t="s">
        <v>756</v>
      </c>
      <c r="G36" s="379">
        <f>IF($D36="A",ROUND(VLOOKUP($C36,'[2]2.행정구역별 급수인구'!$C$7:$AD$997,17,FALSE)*$E36,0),IF($D36="B",(ROUND(VLOOKUP($C36,'[2]2.행정구역별 급수인구'!$C$7:$AD$997,17,FALSE)-VLOOKUP($C36,'[2]2.행정구역별 급수인구'!$C$7:$AD$997,17,FALSE)*(1-$E36),0)),VLOOKUP($C36,'[2]2.행정구역별 급수인구'!$C$7:$AD$997,17,FALSE)))</f>
        <v>0</v>
      </c>
      <c r="H36" s="379">
        <f>IF($D36="A",ROUND(VLOOKUP($C36,'[2]2.행정구역별 급수인구'!$C$7:$AD$997,25,FALSE)*$E36,0),IF($D36="B",(ROUND(VLOOKUP($C36,'[2]2.행정구역별 급수인구'!$C$7:$AD$997,25,FALSE)-VLOOKUP($C36,'[2]2.행정구역별 급수인구'!$C$7:$AD$997,25,FALSE)*(1-$E36),0)),VLOOKUP($C36,'[2]2.행정구역별 급수인구'!$C$7:$AD$997,25,FALSE)))</f>
        <v>0</v>
      </c>
      <c r="I36" s="379">
        <f>IF($D36="A",ROUND(VLOOKUP($C36,'[2]2.행정구역별 급수인구'!$C$7:$AD$997,26,FALSE)*$E36,0),IF($D36="B",(ROUND(VLOOKUP($C36,'[2]2.행정구역별 급수인구'!$C$7:$AD$997,26,FALSE)-VLOOKUP($C36,'[2]2.행정구역별 급수인구'!$C$7:$AD$997,26,FALSE)*(1-$E36),0)),VLOOKUP($C36,'[2]2.행정구역별 급수인구'!$C$7:$AD$997,26,FALSE)))</f>
        <v>120</v>
      </c>
      <c r="J36" s="379">
        <f>IF($D36="A",ROUND(VLOOKUP($C36,'[2]2.행정구역별 급수인구'!$C$7:$AD$997,27,FALSE)*$E36,0),IF($D36="B",(ROUND(VLOOKUP($C36,'[2]2.행정구역별 급수인구'!$C$7:$AD$997,27,FALSE)-VLOOKUP($C36,'[2]2.행정구역별 급수인구'!$C$7:$AD$997,27,FALSE)*(1-$E36),0)),VLOOKUP($C36,'[2]2.행정구역별 급수인구'!$C$7:$AD$997,27,FALSE)))</f>
        <v>130</v>
      </c>
      <c r="K36" s="379">
        <f>IF($D36="A",ROUND(VLOOKUP($C36,'[2]2.행정구역별 급수인구'!$C$7:$AD$997,28,FALSE)*$E36,0),IF($D36="B",(ROUND(VLOOKUP($C36,'[2]2.행정구역별 급수인구'!$C$7:$AD$997,28,FALSE)-VLOOKUP($C36,'[2]2.행정구역별 급수인구'!$C$7:$AD$997,28,FALSE)*(1-$E36),0)),VLOOKUP($C36,'[2]2.행정구역별 급수인구'!$C$7:$AD$997,28,FALSE)))</f>
        <v>132</v>
      </c>
      <c r="L36" s="379">
        <f>VLOOKUP($F36,'[3]5.급수원단위'!$B$31:$G$35,2,FALSE)</f>
        <v>272</v>
      </c>
      <c r="M36" s="379">
        <f>VLOOKUP($F36,'[3]5.급수원단위'!$B$31:$G$35,3,FALSE)</f>
        <v>304</v>
      </c>
      <c r="N36" s="379">
        <f>VLOOKUP($F36,'[3]5.급수원단위'!$B$31:$G$35,4,FALSE)</f>
        <v>308</v>
      </c>
      <c r="O36" s="379">
        <f>VLOOKUP($F36,'[3]5.급수원단위'!$B$31:$G$35,5,FALSE)</f>
        <v>310</v>
      </c>
      <c r="P36" s="379">
        <f>VLOOKUP($F36,'[3]5.급수원단위'!$B$31:$G$35,6,FALSE)</f>
        <v>310</v>
      </c>
      <c r="Q36" s="379">
        <f>ROUND(IF(G36=0,0,VLOOKUP(C36,'2013실사용량 정리'!$D$6:$F$381,3,FALSE)),0)</f>
        <v>0</v>
      </c>
      <c r="R36" s="379">
        <f t="shared" si="9"/>
        <v>0</v>
      </c>
      <c r="S36" s="379">
        <f t="shared" si="9"/>
        <v>37</v>
      </c>
      <c r="T36" s="379">
        <f t="shared" si="9"/>
        <v>40</v>
      </c>
      <c r="U36" s="379">
        <f t="shared" si="9"/>
        <v>41</v>
      </c>
      <c r="W36" s="343" t="str">
        <f t="shared" si="2"/>
        <v/>
      </c>
    </row>
    <row r="37" spans="1:23" ht="20.100000000000001" customHeight="1">
      <c r="A37" s="340"/>
      <c r="B37" s="410"/>
      <c r="C37" s="376" t="s">
        <v>1737</v>
      </c>
      <c r="D37" s="377" t="s">
        <v>1299</v>
      </c>
      <c r="E37" s="378">
        <v>1</v>
      </c>
      <c r="F37" s="378" t="s">
        <v>1317</v>
      </c>
      <c r="G37" s="379">
        <f>IF($D37="A",ROUND(VLOOKUP($C37,'[2]2.행정구역별 급수인구'!$C$7:$AD$997,17,FALSE)*$E37,0),IF($D37="B",(ROUND(VLOOKUP($C37,'[2]2.행정구역별 급수인구'!$C$7:$AD$997,17,FALSE)-VLOOKUP($C37,'[2]2.행정구역별 급수인구'!$C$7:$AD$997,17,FALSE)*(1-$E37),0)),VLOOKUP($C37,'[2]2.행정구역별 급수인구'!$C$7:$AD$997,17,FALSE)))</f>
        <v>0</v>
      </c>
      <c r="H37" s="379">
        <f>IF($D37="A",ROUND(VLOOKUP($C37,'[2]2.행정구역별 급수인구'!$C$7:$AD$997,25,FALSE)*$E37,0),IF($D37="B",(ROUND(VLOOKUP($C37,'[2]2.행정구역별 급수인구'!$C$7:$AD$997,25,FALSE)-VLOOKUP($C37,'[2]2.행정구역별 급수인구'!$C$7:$AD$997,25,FALSE)*(1-$E37),0)),VLOOKUP($C37,'[2]2.행정구역별 급수인구'!$C$7:$AD$997,25,FALSE)))</f>
        <v>0</v>
      </c>
      <c r="I37" s="379">
        <f>IF($D37="A",ROUND(VLOOKUP($C37,'[2]2.행정구역별 급수인구'!$C$7:$AD$997,26,FALSE)*$E37,0),IF($D37="B",(ROUND(VLOOKUP($C37,'[2]2.행정구역별 급수인구'!$C$7:$AD$997,26,FALSE)-VLOOKUP($C37,'[2]2.행정구역별 급수인구'!$C$7:$AD$997,26,FALSE)*(1-$E37),0)),VLOOKUP($C37,'[2]2.행정구역별 급수인구'!$C$7:$AD$997,26,FALSE)))</f>
        <v>105</v>
      </c>
      <c r="J37" s="379">
        <f>IF($D37="A",ROUND(VLOOKUP($C37,'[2]2.행정구역별 급수인구'!$C$7:$AD$997,27,FALSE)*$E37,0),IF($D37="B",(ROUND(VLOOKUP($C37,'[2]2.행정구역별 급수인구'!$C$7:$AD$997,27,FALSE)-VLOOKUP($C37,'[2]2.행정구역별 급수인구'!$C$7:$AD$997,27,FALSE)*(1-$E37),0)),VLOOKUP($C37,'[2]2.행정구역별 급수인구'!$C$7:$AD$997,27,FALSE)))</f>
        <v>113</v>
      </c>
      <c r="K37" s="379">
        <f>IF($D37="A",ROUND(VLOOKUP($C37,'[2]2.행정구역별 급수인구'!$C$7:$AD$997,28,FALSE)*$E37,0),IF($D37="B",(ROUND(VLOOKUP($C37,'[2]2.행정구역별 급수인구'!$C$7:$AD$997,28,FALSE)-VLOOKUP($C37,'[2]2.행정구역별 급수인구'!$C$7:$AD$997,28,FALSE)*(1-$E37),0)),VLOOKUP($C37,'[2]2.행정구역별 급수인구'!$C$7:$AD$997,28,FALSE)))</f>
        <v>115</v>
      </c>
      <c r="L37" s="379">
        <f>VLOOKUP($F37,'[3]5.급수원단위'!$B$31:$G$35,2,FALSE)</f>
        <v>272</v>
      </c>
      <c r="M37" s="379">
        <f>VLOOKUP($F37,'[3]5.급수원단위'!$B$31:$G$35,3,FALSE)</f>
        <v>304</v>
      </c>
      <c r="N37" s="379">
        <f>VLOOKUP($F37,'[3]5.급수원단위'!$B$31:$G$35,4,FALSE)</f>
        <v>308</v>
      </c>
      <c r="O37" s="379">
        <f>VLOOKUP($F37,'[3]5.급수원단위'!$B$31:$G$35,5,FALSE)</f>
        <v>310</v>
      </c>
      <c r="P37" s="379">
        <f>VLOOKUP($F37,'[3]5.급수원단위'!$B$31:$G$35,6,FALSE)</f>
        <v>310</v>
      </c>
      <c r="Q37" s="379">
        <f>ROUND(IF(G37=0,0,VLOOKUP(C37,'2013실사용량 정리'!$D$6:$F$381,3,FALSE)),0)</f>
        <v>0</v>
      </c>
      <c r="R37" s="379">
        <f t="shared" si="9"/>
        <v>0</v>
      </c>
      <c r="S37" s="379">
        <f t="shared" si="9"/>
        <v>32</v>
      </c>
      <c r="T37" s="379">
        <f t="shared" si="9"/>
        <v>35</v>
      </c>
      <c r="U37" s="379">
        <f t="shared" si="9"/>
        <v>36</v>
      </c>
      <c r="W37" s="343" t="str">
        <f t="shared" si="2"/>
        <v/>
      </c>
    </row>
    <row r="38" spans="1:23" ht="20.100000000000001" customHeight="1">
      <c r="A38" s="340"/>
      <c r="B38" s="410"/>
      <c r="C38" s="376" t="s">
        <v>1738</v>
      </c>
      <c r="D38" s="377" t="s">
        <v>1299</v>
      </c>
      <c r="E38" s="378">
        <v>1</v>
      </c>
      <c r="F38" s="378" t="s">
        <v>1317</v>
      </c>
      <c r="G38" s="379">
        <f>IF($D38="A",ROUND(VLOOKUP($C38,'[2]2.행정구역별 급수인구'!$C$7:$AD$997,17,FALSE)*$E38,0),IF($D38="B",(ROUND(VLOOKUP($C38,'[2]2.행정구역별 급수인구'!$C$7:$AD$997,17,FALSE)-VLOOKUP($C38,'[2]2.행정구역별 급수인구'!$C$7:$AD$997,17,FALSE)*(1-$E38),0)),VLOOKUP($C38,'[2]2.행정구역별 급수인구'!$C$7:$AD$997,17,FALSE)))</f>
        <v>0</v>
      </c>
      <c r="H38" s="379">
        <f>IF($D38="A",ROUND(VLOOKUP($C38,'[2]2.행정구역별 급수인구'!$C$7:$AD$997,25,FALSE)*$E38,0),IF($D38="B",(ROUND(VLOOKUP($C38,'[2]2.행정구역별 급수인구'!$C$7:$AD$997,25,FALSE)-VLOOKUP($C38,'[2]2.행정구역별 급수인구'!$C$7:$AD$997,25,FALSE)*(1-$E38),0)),VLOOKUP($C38,'[2]2.행정구역별 급수인구'!$C$7:$AD$997,25,FALSE)))</f>
        <v>0</v>
      </c>
      <c r="I38" s="379">
        <f>IF($D38="A",ROUND(VLOOKUP($C38,'[2]2.행정구역별 급수인구'!$C$7:$AD$997,26,FALSE)*$E38,0),IF($D38="B",(ROUND(VLOOKUP($C38,'[2]2.행정구역별 급수인구'!$C$7:$AD$997,26,FALSE)-VLOOKUP($C38,'[2]2.행정구역별 급수인구'!$C$7:$AD$997,26,FALSE)*(1-$E38),0)),VLOOKUP($C38,'[2]2.행정구역별 급수인구'!$C$7:$AD$997,26,FALSE)))</f>
        <v>117</v>
      </c>
      <c r="J38" s="379">
        <f>IF($D38="A",ROUND(VLOOKUP($C38,'[2]2.행정구역별 급수인구'!$C$7:$AD$997,27,FALSE)*$E38,0),IF($D38="B",(ROUND(VLOOKUP($C38,'[2]2.행정구역별 급수인구'!$C$7:$AD$997,27,FALSE)-VLOOKUP($C38,'[2]2.행정구역별 급수인구'!$C$7:$AD$997,27,FALSE)*(1-$E38),0)),VLOOKUP($C38,'[2]2.행정구역별 급수인구'!$C$7:$AD$997,27,FALSE)))</f>
        <v>127</v>
      </c>
      <c r="K38" s="379">
        <f>IF($D38="A",ROUND(VLOOKUP($C38,'[2]2.행정구역별 급수인구'!$C$7:$AD$997,28,FALSE)*$E38,0),IF($D38="B",(ROUND(VLOOKUP($C38,'[2]2.행정구역별 급수인구'!$C$7:$AD$997,28,FALSE)-VLOOKUP($C38,'[2]2.행정구역별 급수인구'!$C$7:$AD$997,28,FALSE)*(1-$E38),0)),VLOOKUP($C38,'[2]2.행정구역별 급수인구'!$C$7:$AD$997,28,FALSE)))</f>
        <v>129</v>
      </c>
      <c r="L38" s="379">
        <f>VLOOKUP($F38,'[3]5.급수원단위'!$B$31:$G$35,2,FALSE)</f>
        <v>272</v>
      </c>
      <c r="M38" s="379">
        <f>VLOOKUP($F38,'[3]5.급수원단위'!$B$31:$G$35,3,FALSE)</f>
        <v>304</v>
      </c>
      <c r="N38" s="379">
        <f>VLOOKUP($F38,'[3]5.급수원단위'!$B$31:$G$35,4,FALSE)</f>
        <v>308</v>
      </c>
      <c r="O38" s="379">
        <f>VLOOKUP($F38,'[3]5.급수원단위'!$B$31:$G$35,5,FALSE)</f>
        <v>310</v>
      </c>
      <c r="P38" s="379">
        <f>VLOOKUP($F38,'[3]5.급수원단위'!$B$31:$G$35,6,FALSE)</f>
        <v>310</v>
      </c>
      <c r="Q38" s="379">
        <f>ROUND(IF(G38=0,0,VLOOKUP(C38,'2013실사용량 정리'!$D$6:$F$381,3,FALSE)),0)</f>
        <v>0</v>
      </c>
      <c r="R38" s="379">
        <f t="shared" si="9"/>
        <v>0</v>
      </c>
      <c r="S38" s="379">
        <f t="shared" si="9"/>
        <v>36</v>
      </c>
      <c r="T38" s="379">
        <f t="shared" si="9"/>
        <v>39</v>
      </c>
      <c r="U38" s="379">
        <f t="shared" si="9"/>
        <v>40</v>
      </c>
      <c r="W38" s="343" t="str">
        <f t="shared" si="2"/>
        <v/>
      </c>
    </row>
    <row r="39" spans="1:23" ht="20.100000000000001" customHeight="1">
      <c r="A39" s="386"/>
      <c r="B39" s="411"/>
      <c r="C39" s="380" t="s">
        <v>1739</v>
      </c>
      <c r="D39" s="381" t="s">
        <v>1299</v>
      </c>
      <c r="E39" s="382">
        <v>0</v>
      </c>
      <c r="F39" s="382" t="s">
        <v>1317</v>
      </c>
      <c r="G39" s="383">
        <f>IF($D39="A",ROUND(VLOOKUP($C39,'[2]2.행정구역별 급수인구'!$C$7:$AD$997,17,FALSE)*$E39,0),IF($D39="B",(ROUND(VLOOKUP($C39,'[2]2.행정구역별 급수인구'!$C$7:$AD$997,17,FALSE)-VLOOKUP($C39,'[2]2.행정구역별 급수인구'!$C$7:$AD$997,17,FALSE)*(1-$E39),0)),VLOOKUP($C39,'[2]2.행정구역별 급수인구'!$C$7:$AD$997,17,FALSE)))</f>
        <v>0</v>
      </c>
      <c r="H39" s="383">
        <f>IF($D39="A",ROUND(VLOOKUP($C39,'[2]2.행정구역별 급수인구'!$C$7:$AD$997,25,FALSE)*$E39,0),IF($D39="B",(ROUND(VLOOKUP($C39,'[2]2.행정구역별 급수인구'!$C$7:$AD$997,25,FALSE)-VLOOKUP($C39,'[2]2.행정구역별 급수인구'!$C$7:$AD$997,25,FALSE)*(1-$E39),0)),VLOOKUP($C39,'[2]2.행정구역별 급수인구'!$C$7:$AD$997,25,FALSE)))</f>
        <v>0</v>
      </c>
      <c r="I39" s="383">
        <f>IF($D39="A",ROUND(VLOOKUP($C39,'[2]2.행정구역별 급수인구'!$C$7:$AD$997,26,FALSE)*$E39,0),IF($D39="B",(ROUND(VLOOKUP($C39,'[2]2.행정구역별 급수인구'!$C$7:$AD$997,26,FALSE)-VLOOKUP($C39,'[2]2.행정구역별 급수인구'!$C$7:$AD$997,26,FALSE)*(1-$E39),0)),VLOOKUP($C39,'[2]2.행정구역별 급수인구'!$C$7:$AD$997,26,FALSE)))</f>
        <v>0</v>
      </c>
      <c r="J39" s="383">
        <f>IF($D39="A",ROUND(VLOOKUP($C39,'[2]2.행정구역별 급수인구'!$C$7:$AD$997,27,FALSE)*$E39,0),IF($D39="B",(ROUND(VLOOKUP($C39,'[2]2.행정구역별 급수인구'!$C$7:$AD$997,27,FALSE)-VLOOKUP($C39,'[2]2.행정구역별 급수인구'!$C$7:$AD$997,27,FALSE)*(1-$E39),0)),VLOOKUP($C39,'[2]2.행정구역별 급수인구'!$C$7:$AD$997,27,FALSE)))</f>
        <v>0</v>
      </c>
      <c r="K39" s="383">
        <f>IF($D39="A",ROUND(VLOOKUP($C39,'[2]2.행정구역별 급수인구'!$C$7:$AD$997,28,FALSE)*$E39,0),IF($D39="B",(ROUND(VLOOKUP($C39,'[2]2.행정구역별 급수인구'!$C$7:$AD$997,28,FALSE)-VLOOKUP($C39,'[2]2.행정구역별 급수인구'!$C$7:$AD$997,28,FALSE)*(1-$E39),0)),VLOOKUP($C39,'[2]2.행정구역별 급수인구'!$C$7:$AD$997,28,FALSE)))</f>
        <v>0</v>
      </c>
      <c r="L39" s="383">
        <f>VLOOKUP($F39,'[3]5.급수원단위'!$B$31:$G$35,2,FALSE)</f>
        <v>272</v>
      </c>
      <c r="M39" s="383">
        <f>VLOOKUP($F39,'[3]5.급수원단위'!$B$31:$G$35,3,FALSE)</f>
        <v>304</v>
      </c>
      <c r="N39" s="383">
        <f>VLOOKUP($F39,'[3]5.급수원단위'!$B$31:$G$35,4,FALSE)</f>
        <v>308</v>
      </c>
      <c r="O39" s="383">
        <f>VLOOKUP($F39,'[3]5.급수원단위'!$B$31:$G$35,5,FALSE)</f>
        <v>310</v>
      </c>
      <c r="P39" s="383">
        <f>VLOOKUP($F39,'[3]5.급수원단위'!$B$31:$G$35,6,FALSE)</f>
        <v>310</v>
      </c>
      <c r="Q39" s="302">
        <f>ROUND(IF(G39=0,0,VLOOKUP(C39,'2013실사용량 정리'!$D$6:$F$381,3,FALSE)),0)</f>
        <v>0</v>
      </c>
      <c r="R39" s="383">
        <f t="shared" si="9"/>
        <v>0</v>
      </c>
      <c r="S39" s="383">
        <f t="shared" si="9"/>
        <v>0</v>
      </c>
      <c r="T39" s="383">
        <f t="shared" si="9"/>
        <v>0</v>
      </c>
      <c r="U39" s="383">
        <f t="shared" si="9"/>
        <v>0</v>
      </c>
      <c r="V39" s="327" t="s">
        <v>1746</v>
      </c>
      <c r="W39" s="343" t="str">
        <f t="shared" si="2"/>
        <v/>
      </c>
    </row>
    <row r="40" spans="1:23" ht="20.100000000000001" customHeight="1">
      <c r="A40" s="339"/>
      <c r="B40" s="409"/>
      <c r="C40" s="376" t="s">
        <v>1740</v>
      </c>
      <c r="D40" s="377" t="s">
        <v>1299</v>
      </c>
      <c r="E40" s="378">
        <v>1</v>
      </c>
      <c r="F40" s="378" t="s">
        <v>1317</v>
      </c>
      <c r="G40" s="379">
        <f>IF($D40="A",ROUND(VLOOKUP($C40,'[2]2.행정구역별 급수인구'!$C$7:$AD$997,17,FALSE)*$E40,0),IF($D40="B",(ROUND(VLOOKUP($C40,'[2]2.행정구역별 급수인구'!$C$7:$AD$997,17,FALSE)-VLOOKUP($C40,'[2]2.행정구역별 급수인구'!$C$7:$AD$997,17,FALSE)*(1-$E40),0)),VLOOKUP($C40,'[2]2.행정구역별 급수인구'!$C$7:$AD$997,17,FALSE)))</f>
        <v>0</v>
      </c>
      <c r="H40" s="379">
        <f>IF($D40="A",ROUND(VLOOKUP($C40,'[2]2.행정구역별 급수인구'!$C$7:$AD$997,25,FALSE)*$E40,0),IF($D40="B",(ROUND(VLOOKUP($C40,'[2]2.행정구역별 급수인구'!$C$7:$AD$997,25,FALSE)-VLOOKUP($C40,'[2]2.행정구역별 급수인구'!$C$7:$AD$997,25,FALSE)*(1-$E40),0)),VLOOKUP($C40,'[2]2.행정구역별 급수인구'!$C$7:$AD$997,25,FALSE)))</f>
        <v>0</v>
      </c>
      <c r="I40" s="379">
        <f>IF($D40="A",ROUND(VLOOKUP($C40,'[2]2.행정구역별 급수인구'!$C$7:$AD$997,26,FALSE)*$E40,0),IF($D40="B",(ROUND(VLOOKUP($C40,'[2]2.행정구역별 급수인구'!$C$7:$AD$997,26,FALSE)-VLOOKUP($C40,'[2]2.행정구역별 급수인구'!$C$7:$AD$997,26,FALSE)*(1-$E40),0)),VLOOKUP($C40,'[2]2.행정구역별 급수인구'!$C$7:$AD$997,26,FALSE)))</f>
        <v>59</v>
      </c>
      <c r="J40" s="379">
        <f>IF($D40="A",ROUND(VLOOKUP($C40,'[2]2.행정구역별 급수인구'!$C$7:$AD$997,27,FALSE)*$E40,0),IF($D40="B",(ROUND(VLOOKUP($C40,'[2]2.행정구역별 급수인구'!$C$7:$AD$997,27,FALSE)-VLOOKUP($C40,'[2]2.행정구역별 급수인구'!$C$7:$AD$997,27,FALSE)*(1-$E40),0)),VLOOKUP($C40,'[2]2.행정구역별 급수인구'!$C$7:$AD$997,27,FALSE)))</f>
        <v>64</v>
      </c>
      <c r="K40" s="379">
        <f>IF($D40="A",ROUND(VLOOKUP($C40,'[2]2.행정구역별 급수인구'!$C$7:$AD$997,28,FALSE)*$E40,0),IF($D40="B",(ROUND(VLOOKUP($C40,'[2]2.행정구역별 급수인구'!$C$7:$AD$997,28,FALSE)-VLOOKUP($C40,'[2]2.행정구역별 급수인구'!$C$7:$AD$997,28,FALSE)*(1-$E40),0)),VLOOKUP($C40,'[2]2.행정구역별 급수인구'!$C$7:$AD$997,28,FALSE)))</f>
        <v>65</v>
      </c>
      <c r="L40" s="379">
        <f>VLOOKUP($F40,'[3]5.급수원단위'!$B$31:$G$35,2,FALSE)</f>
        <v>272</v>
      </c>
      <c r="M40" s="379">
        <f>VLOOKUP($F40,'[3]5.급수원단위'!$B$31:$G$35,3,FALSE)</f>
        <v>304</v>
      </c>
      <c r="N40" s="379">
        <f>VLOOKUP($F40,'[3]5.급수원단위'!$B$31:$G$35,4,FALSE)</f>
        <v>308</v>
      </c>
      <c r="O40" s="379">
        <f>VLOOKUP($F40,'[3]5.급수원단위'!$B$31:$G$35,5,FALSE)</f>
        <v>310</v>
      </c>
      <c r="P40" s="379">
        <f>VLOOKUP($F40,'[3]5.급수원단위'!$B$31:$G$35,6,FALSE)</f>
        <v>310</v>
      </c>
      <c r="Q40" s="379">
        <f>ROUND(IF(G40=0,0,VLOOKUP(C40,'2013실사용량 정리'!$D$6:$F$381,3,FALSE)),0)</f>
        <v>0</v>
      </c>
      <c r="R40" s="379">
        <f t="shared" si="9"/>
        <v>0</v>
      </c>
      <c r="S40" s="379">
        <f t="shared" si="9"/>
        <v>18</v>
      </c>
      <c r="T40" s="379">
        <f t="shared" si="9"/>
        <v>20</v>
      </c>
      <c r="U40" s="379">
        <f t="shared" si="9"/>
        <v>20</v>
      </c>
      <c r="W40" s="343" t="str">
        <f t="shared" si="2"/>
        <v/>
      </c>
    </row>
    <row r="41" spans="1:23" ht="20.100000000000001" customHeight="1">
      <c r="A41" s="340"/>
      <c r="B41" s="410"/>
      <c r="C41" s="406" t="s">
        <v>1741</v>
      </c>
      <c r="D41" s="330" t="s">
        <v>1299</v>
      </c>
      <c r="E41" s="527">
        <v>0</v>
      </c>
      <c r="F41" s="527" t="s">
        <v>1317</v>
      </c>
      <c r="G41" s="302">
        <f>IF($D41="A",ROUND(VLOOKUP($C41,'[2]2.행정구역별 급수인구'!$C$7:$AD$997,17,FALSE)*$E41,0),IF($D41="B",(ROUND(VLOOKUP($C41,'[2]2.행정구역별 급수인구'!$C$7:$AD$997,17,FALSE)-VLOOKUP($C41,'[2]2.행정구역별 급수인구'!$C$7:$AD$997,17,FALSE)*(1-$E41),0)),VLOOKUP($C41,'[2]2.행정구역별 급수인구'!$C$7:$AD$997,17,FALSE)))</f>
        <v>0</v>
      </c>
      <c r="H41" s="302">
        <f>IF($D41="A",ROUND(VLOOKUP($C41,'[2]2.행정구역별 급수인구'!$C$7:$AD$997,25,FALSE)*$E41,0),IF($D41="B",(ROUND(VLOOKUP($C41,'[2]2.행정구역별 급수인구'!$C$7:$AD$997,25,FALSE)-VLOOKUP($C41,'[2]2.행정구역별 급수인구'!$C$7:$AD$997,25,FALSE)*(1-$E41),0)),VLOOKUP($C41,'[2]2.행정구역별 급수인구'!$C$7:$AD$997,25,FALSE)))</f>
        <v>0</v>
      </c>
      <c r="I41" s="302">
        <f>IF($D41="A",ROUND(VLOOKUP($C41,'[2]2.행정구역별 급수인구'!$C$7:$AD$997,26,FALSE)*$E41,0),IF($D41="B",(ROUND(VLOOKUP($C41,'[2]2.행정구역별 급수인구'!$C$7:$AD$997,26,FALSE)-VLOOKUP($C41,'[2]2.행정구역별 급수인구'!$C$7:$AD$997,26,FALSE)*(1-$E41),0)),VLOOKUP($C41,'[2]2.행정구역별 급수인구'!$C$7:$AD$997,26,FALSE)))</f>
        <v>0</v>
      </c>
      <c r="J41" s="302">
        <f>IF($D41="A",ROUND(VLOOKUP($C41,'[2]2.행정구역별 급수인구'!$C$7:$AD$997,27,FALSE)*$E41,0),IF($D41="B",(ROUND(VLOOKUP($C41,'[2]2.행정구역별 급수인구'!$C$7:$AD$997,27,FALSE)-VLOOKUP($C41,'[2]2.행정구역별 급수인구'!$C$7:$AD$997,27,FALSE)*(1-$E41),0)),VLOOKUP($C41,'[2]2.행정구역별 급수인구'!$C$7:$AD$997,27,FALSE)))</f>
        <v>0</v>
      </c>
      <c r="K41" s="302">
        <f>IF($D41="A",ROUND(VLOOKUP($C41,'[2]2.행정구역별 급수인구'!$C$7:$AD$997,28,FALSE)*$E41,0),IF($D41="B",(ROUND(VLOOKUP($C41,'[2]2.행정구역별 급수인구'!$C$7:$AD$997,28,FALSE)-VLOOKUP($C41,'[2]2.행정구역별 급수인구'!$C$7:$AD$997,28,FALSE)*(1-$E41),0)),VLOOKUP($C41,'[2]2.행정구역별 급수인구'!$C$7:$AD$997,28,FALSE)))</f>
        <v>0</v>
      </c>
      <c r="L41" s="302">
        <f>VLOOKUP($F41,'[3]5.급수원단위'!$B$31:$G$35,2,FALSE)</f>
        <v>272</v>
      </c>
      <c r="M41" s="302">
        <f>VLOOKUP($F41,'[3]5.급수원단위'!$B$31:$G$35,3,FALSE)</f>
        <v>304</v>
      </c>
      <c r="N41" s="302">
        <f>VLOOKUP($F41,'[3]5.급수원단위'!$B$31:$G$35,4,FALSE)</f>
        <v>308</v>
      </c>
      <c r="O41" s="302">
        <f>VLOOKUP($F41,'[3]5.급수원단위'!$B$31:$G$35,5,FALSE)</f>
        <v>310</v>
      </c>
      <c r="P41" s="302">
        <f>VLOOKUP($F41,'[3]5.급수원단위'!$B$31:$G$35,6,FALSE)</f>
        <v>310</v>
      </c>
      <c r="Q41" s="302">
        <f>ROUND(IF(G41=0,0,VLOOKUP(C41,'2013실사용량 정리'!$D$6:$F$381,3,FALSE)),0)</f>
        <v>0</v>
      </c>
      <c r="R41" s="302">
        <f t="shared" si="9"/>
        <v>0</v>
      </c>
      <c r="S41" s="302">
        <f t="shared" si="9"/>
        <v>0</v>
      </c>
      <c r="T41" s="302">
        <f t="shared" si="9"/>
        <v>0</v>
      </c>
      <c r="U41" s="302">
        <f t="shared" si="9"/>
        <v>0</v>
      </c>
      <c r="V41" s="327" t="s">
        <v>1746</v>
      </c>
      <c r="W41" s="343" t="str">
        <f t="shared" si="2"/>
        <v/>
      </c>
    </row>
    <row r="42" spans="1:23" ht="20.100000000000001" customHeight="1">
      <c r="A42" s="340"/>
      <c r="B42" s="410"/>
      <c r="C42" s="406" t="s">
        <v>1742</v>
      </c>
      <c r="D42" s="330" t="s">
        <v>1299</v>
      </c>
      <c r="E42" s="527">
        <v>0</v>
      </c>
      <c r="F42" s="527" t="s">
        <v>1317</v>
      </c>
      <c r="G42" s="302">
        <f>IF($D42="A",ROUND(VLOOKUP($C42,'[2]2.행정구역별 급수인구'!$C$7:$AD$997,17,FALSE)*$E42,0),IF($D42="B",(ROUND(VLOOKUP($C42,'[2]2.행정구역별 급수인구'!$C$7:$AD$997,17,FALSE)-VLOOKUP($C42,'[2]2.행정구역별 급수인구'!$C$7:$AD$997,17,FALSE)*(1-$E42),0)),VLOOKUP($C42,'[2]2.행정구역별 급수인구'!$C$7:$AD$997,17,FALSE)))</f>
        <v>0</v>
      </c>
      <c r="H42" s="302">
        <f>IF($D42="A",ROUND(VLOOKUP($C42,'[2]2.행정구역별 급수인구'!$C$7:$AD$997,25,FALSE)*$E42,0),IF($D42="B",(ROUND(VLOOKUP($C42,'[2]2.행정구역별 급수인구'!$C$7:$AD$997,25,FALSE)-VLOOKUP($C42,'[2]2.행정구역별 급수인구'!$C$7:$AD$997,25,FALSE)*(1-$E42),0)),VLOOKUP($C42,'[2]2.행정구역별 급수인구'!$C$7:$AD$997,25,FALSE)))</f>
        <v>0</v>
      </c>
      <c r="I42" s="302">
        <f>IF($D42="A",ROUND(VLOOKUP($C42,'[2]2.행정구역별 급수인구'!$C$7:$AD$997,26,FALSE)*$E42,0),IF($D42="B",(ROUND(VLOOKUP($C42,'[2]2.행정구역별 급수인구'!$C$7:$AD$997,26,FALSE)-VLOOKUP($C42,'[2]2.행정구역별 급수인구'!$C$7:$AD$997,26,FALSE)*(1-$E42),0)),VLOOKUP($C42,'[2]2.행정구역별 급수인구'!$C$7:$AD$997,26,FALSE)))</f>
        <v>0</v>
      </c>
      <c r="J42" s="302">
        <f>IF($D42="A",ROUND(VLOOKUP($C42,'[2]2.행정구역별 급수인구'!$C$7:$AD$997,27,FALSE)*$E42,0),IF($D42="B",(ROUND(VLOOKUP($C42,'[2]2.행정구역별 급수인구'!$C$7:$AD$997,27,FALSE)-VLOOKUP($C42,'[2]2.행정구역별 급수인구'!$C$7:$AD$997,27,FALSE)*(1-$E42),0)),VLOOKUP($C42,'[2]2.행정구역별 급수인구'!$C$7:$AD$997,27,FALSE)))</f>
        <v>0</v>
      </c>
      <c r="K42" s="302">
        <f>IF($D42="A",ROUND(VLOOKUP($C42,'[2]2.행정구역별 급수인구'!$C$7:$AD$997,28,FALSE)*$E42,0),IF($D42="B",(ROUND(VLOOKUP($C42,'[2]2.행정구역별 급수인구'!$C$7:$AD$997,28,FALSE)-VLOOKUP($C42,'[2]2.행정구역별 급수인구'!$C$7:$AD$997,28,FALSE)*(1-$E42),0)),VLOOKUP($C42,'[2]2.행정구역별 급수인구'!$C$7:$AD$997,28,FALSE)))</f>
        <v>0</v>
      </c>
      <c r="L42" s="302">
        <f>VLOOKUP($F42,'[3]5.급수원단위'!$B$31:$G$35,2,FALSE)</f>
        <v>272</v>
      </c>
      <c r="M42" s="302">
        <f>VLOOKUP($F42,'[3]5.급수원단위'!$B$31:$G$35,3,FALSE)</f>
        <v>304</v>
      </c>
      <c r="N42" s="302">
        <f>VLOOKUP($F42,'[3]5.급수원단위'!$B$31:$G$35,4,FALSE)</f>
        <v>308</v>
      </c>
      <c r="O42" s="302">
        <f>VLOOKUP($F42,'[3]5.급수원단위'!$B$31:$G$35,5,FALSE)</f>
        <v>310</v>
      </c>
      <c r="P42" s="302">
        <f>VLOOKUP($F42,'[3]5.급수원단위'!$B$31:$G$35,6,FALSE)</f>
        <v>310</v>
      </c>
      <c r="Q42" s="302">
        <f>ROUND(IF(G42=0,0,VLOOKUP(C42,'2013실사용량 정리'!$D$6:$F$381,3,FALSE)),0)</f>
        <v>0</v>
      </c>
      <c r="R42" s="302">
        <f t="shared" si="9"/>
        <v>0</v>
      </c>
      <c r="S42" s="302">
        <f t="shared" si="9"/>
        <v>0</v>
      </c>
      <c r="T42" s="302">
        <f t="shared" si="9"/>
        <v>0</v>
      </c>
      <c r="U42" s="302">
        <f t="shared" si="9"/>
        <v>0</v>
      </c>
      <c r="V42" s="327" t="s">
        <v>1746</v>
      </c>
      <c r="W42" s="343" t="str">
        <f t="shared" si="2"/>
        <v/>
      </c>
    </row>
    <row r="43" spans="1:23" ht="20.100000000000001" customHeight="1">
      <c r="A43" s="340"/>
      <c r="B43" s="410"/>
      <c r="C43" s="406" t="s">
        <v>1743</v>
      </c>
      <c r="D43" s="330" t="s">
        <v>1299</v>
      </c>
      <c r="E43" s="527">
        <v>0</v>
      </c>
      <c r="F43" s="527" t="s">
        <v>1317</v>
      </c>
      <c r="G43" s="302">
        <f>IF($D43="A",ROUND(VLOOKUP($C43,'[2]2.행정구역별 급수인구'!$C$7:$AD$997,17,FALSE)*$E43,0),IF($D43="B",(ROUND(VLOOKUP($C43,'[2]2.행정구역별 급수인구'!$C$7:$AD$997,17,FALSE)-VLOOKUP($C43,'[2]2.행정구역별 급수인구'!$C$7:$AD$997,17,FALSE)*(1-$E43),0)),VLOOKUP($C43,'[2]2.행정구역별 급수인구'!$C$7:$AD$997,17,FALSE)))</f>
        <v>0</v>
      </c>
      <c r="H43" s="302">
        <f>IF($D43="A",ROUND(VLOOKUP($C43,'[2]2.행정구역별 급수인구'!$C$7:$AD$997,25,FALSE)*$E43,0),IF($D43="B",(ROUND(VLOOKUP($C43,'[2]2.행정구역별 급수인구'!$C$7:$AD$997,25,FALSE)-VLOOKUP($C43,'[2]2.행정구역별 급수인구'!$C$7:$AD$997,25,FALSE)*(1-$E43),0)),VLOOKUP($C43,'[2]2.행정구역별 급수인구'!$C$7:$AD$997,25,FALSE)))</f>
        <v>0</v>
      </c>
      <c r="I43" s="302">
        <f>IF($D43="A",ROUND(VLOOKUP($C43,'[2]2.행정구역별 급수인구'!$C$7:$AD$997,26,FALSE)*$E43,0),IF($D43="B",(ROUND(VLOOKUP($C43,'[2]2.행정구역별 급수인구'!$C$7:$AD$997,26,FALSE)-VLOOKUP($C43,'[2]2.행정구역별 급수인구'!$C$7:$AD$997,26,FALSE)*(1-$E43),0)),VLOOKUP($C43,'[2]2.행정구역별 급수인구'!$C$7:$AD$997,26,FALSE)))</f>
        <v>0</v>
      </c>
      <c r="J43" s="302">
        <f>IF($D43="A",ROUND(VLOOKUP($C43,'[2]2.행정구역별 급수인구'!$C$7:$AD$997,27,FALSE)*$E43,0),IF($D43="B",(ROUND(VLOOKUP($C43,'[2]2.행정구역별 급수인구'!$C$7:$AD$997,27,FALSE)-VLOOKUP($C43,'[2]2.행정구역별 급수인구'!$C$7:$AD$997,27,FALSE)*(1-$E43),0)),VLOOKUP($C43,'[2]2.행정구역별 급수인구'!$C$7:$AD$997,27,FALSE)))</f>
        <v>0</v>
      </c>
      <c r="K43" s="302">
        <f>IF($D43="A",ROUND(VLOOKUP($C43,'[2]2.행정구역별 급수인구'!$C$7:$AD$997,28,FALSE)*$E43,0),IF($D43="B",(ROUND(VLOOKUP($C43,'[2]2.행정구역별 급수인구'!$C$7:$AD$997,28,FALSE)-VLOOKUP($C43,'[2]2.행정구역별 급수인구'!$C$7:$AD$997,28,FALSE)*(1-$E43),0)),VLOOKUP($C43,'[2]2.행정구역별 급수인구'!$C$7:$AD$997,28,FALSE)))</f>
        <v>0</v>
      </c>
      <c r="L43" s="302">
        <f>VLOOKUP($F43,'[3]5.급수원단위'!$B$31:$G$35,2,FALSE)</f>
        <v>272</v>
      </c>
      <c r="M43" s="302">
        <f>VLOOKUP($F43,'[3]5.급수원단위'!$B$31:$G$35,3,FALSE)</f>
        <v>304</v>
      </c>
      <c r="N43" s="302">
        <f>VLOOKUP($F43,'[3]5.급수원단위'!$B$31:$G$35,4,FALSE)</f>
        <v>308</v>
      </c>
      <c r="O43" s="302">
        <f>VLOOKUP($F43,'[3]5.급수원단위'!$B$31:$G$35,5,FALSE)</f>
        <v>310</v>
      </c>
      <c r="P43" s="302">
        <f>VLOOKUP($F43,'[3]5.급수원단위'!$B$31:$G$35,6,FALSE)</f>
        <v>310</v>
      </c>
      <c r="Q43" s="302">
        <f>ROUND(IF(G43=0,0,VLOOKUP(C43,'2013실사용량 정리'!$D$6:$F$381,3,FALSE)),0)</f>
        <v>0</v>
      </c>
      <c r="R43" s="302">
        <f t="shared" si="9"/>
        <v>0</v>
      </c>
      <c r="S43" s="302">
        <f t="shared" si="9"/>
        <v>0</v>
      </c>
      <c r="T43" s="302">
        <f t="shared" si="9"/>
        <v>0</v>
      </c>
      <c r="U43" s="302">
        <f t="shared" si="9"/>
        <v>0</v>
      </c>
      <c r="V43" s="327" t="s">
        <v>1746</v>
      </c>
      <c r="W43" s="343" t="str">
        <f t="shared" si="2"/>
        <v/>
      </c>
    </row>
    <row r="44" spans="1:23" ht="20.100000000000001" customHeight="1">
      <c r="A44" s="340"/>
      <c r="B44" s="410"/>
      <c r="C44" s="406" t="s">
        <v>1744</v>
      </c>
      <c r="D44" s="330" t="s">
        <v>1299</v>
      </c>
      <c r="E44" s="527">
        <v>0</v>
      </c>
      <c r="F44" s="527" t="s">
        <v>1317</v>
      </c>
      <c r="G44" s="302">
        <f>IF($D44="A",ROUND(VLOOKUP($C44,'[2]2.행정구역별 급수인구'!$C$7:$AD$997,17,FALSE)*$E44,0),IF($D44="B",(ROUND(VLOOKUP($C44,'[2]2.행정구역별 급수인구'!$C$7:$AD$997,17,FALSE)-VLOOKUP($C44,'[2]2.행정구역별 급수인구'!$C$7:$AD$997,17,FALSE)*(1-$E44),0)),VLOOKUP($C44,'[2]2.행정구역별 급수인구'!$C$7:$AD$997,17,FALSE)))</f>
        <v>0</v>
      </c>
      <c r="H44" s="302">
        <f>IF($D44="A",ROUND(VLOOKUP($C44,'[2]2.행정구역별 급수인구'!$C$7:$AD$997,25,FALSE)*$E44,0),IF($D44="B",(ROUND(VLOOKUP($C44,'[2]2.행정구역별 급수인구'!$C$7:$AD$997,25,FALSE)-VLOOKUP($C44,'[2]2.행정구역별 급수인구'!$C$7:$AD$997,25,FALSE)*(1-$E44),0)),VLOOKUP($C44,'[2]2.행정구역별 급수인구'!$C$7:$AD$997,25,FALSE)))</f>
        <v>0</v>
      </c>
      <c r="I44" s="302">
        <f>IF($D44="A",ROUND(VLOOKUP($C44,'[2]2.행정구역별 급수인구'!$C$7:$AD$997,26,FALSE)*$E44,0),IF($D44="B",(ROUND(VLOOKUP($C44,'[2]2.행정구역별 급수인구'!$C$7:$AD$997,26,FALSE)-VLOOKUP($C44,'[2]2.행정구역별 급수인구'!$C$7:$AD$997,26,FALSE)*(1-$E44),0)),VLOOKUP($C44,'[2]2.행정구역별 급수인구'!$C$7:$AD$997,26,FALSE)))</f>
        <v>0</v>
      </c>
      <c r="J44" s="302">
        <f>IF($D44="A",ROUND(VLOOKUP($C44,'[2]2.행정구역별 급수인구'!$C$7:$AD$997,27,FALSE)*$E44,0),IF($D44="B",(ROUND(VLOOKUP($C44,'[2]2.행정구역별 급수인구'!$C$7:$AD$997,27,FALSE)-VLOOKUP($C44,'[2]2.행정구역별 급수인구'!$C$7:$AD$997,27,FALSE)*(1-$E44),0)),VLOOKUP($C44,'[2]2.행정구역별 급수인구'!$C$7:$AD$997,27,FALSE)))</f>
        <v>0</v>
      </c>
      <c r="K44" s="302">
        <f>IF($D44="A",ROUND(VLOOKUP($C44,'[2]2.행정구역별 급수인구'!$C$7:$AD$997,28,FALSE)*$E44,0),IF($D44="B",(ROUND(VLOOKUP($C44,'[2]2.행정구역별 급수인구'!$C$7:$AD$997,28,FALSE)-VLOOKUP($C44,'[2]2.행정구역별 급수인구'!$C$7:$AD$997,28,FALSE)*(1-$E44),0)),VLOOKUP($C44,'[2]2.행정구역별 급수인구'!$C$7:$AD$997,28,FALSE)))</f>
        <v>0</v>
      </c>
      <c r="L44" s="302">
        <f>VLOOKUP($F44,'[3]5.급수원단위'!$B$31:$G$35,2,FALSE)</f>
        <v>272</v>
      </c>
      <c r="M44" s="302">
        <f>VLOOKUP($F44,'[3]5.급수원단위'!$B$31:$G$35,3,FALSE)</f>
        <v>304</v>
      </c>
      <c r="N44" s="302">
        <f>VLOOKUP($F44,'[3]5.급수원단위'!$B$31:$G$35,4,FALSE)</f>
        <v>308</v>
      </c>
      <c r="O44" s="302">
        <f>VLOOKUP($F44,'[3]5.급수원단위'!$B$31:$G$35,5,FALSE)</f>
        <v>310</v>
      </c>
      <c r="P44" s="302">
        <f>VLOOKUP($F44,'[3]5.급수원단위'!$B$31:$G$35,6,FALSE)</f>
        <v>310</v>
      </c>
      <c r="Q44" s="302">
        <f>ROUND(IF(G44=0,0,VLOOKUP(C44,'2013실사용량 정리'!$D$6:$F$381,3,FALSE)),0)</f>
        <v>0</v>
      </c>
      <c r="R44" s="302">
        <f t="shared" si="9"/>
        <v>0</v>
      </c>
      <c r="S44" s="302">
        <f t="shared" si="9"/>
        <v>0</v>
      </c>
      <c r="T44" s="302">
        <f t="shared" si="9"/>
        <v>0</v>
      </c>
      <c r="U44" s="302">
        <f t="shared" si="9"/>
        <v>0</v>
      </c>
      <c r="V44" s="327" t="s">
        <v>1746</v>
      </c>
      <c r="W44" s="343" t="str">
        <f t="shared" si="2"/>
        <v/>
      </c>
    </row>
    <row r="45" spans="1:23" ht="20.100000000000001" customHeight="1">
      <c r="A45" s="340"/>
      <c r="B45" s="410"/>
      <c r="C45" s="406" t="s">
        <v>1745</v>
      </c>
      <c r="D45" s="330" t="s">
        <v>1299</v>
      </c>
      <c r="E45" s="527">
        <v>0</v>
      </c>
      <c r="F45" s="527" t="s">
        <v>1317</v>
      </c>
      <c r="G45" s="302">
        <f>IF($D45="A",ROUND(VLOOKUP($C45,'[2]2.행정구역별 급수인구'!$C$7:$AD$997,17,FALSE)*$E45,0),IF($D45="B",(ROUND(VLOOKUP($C45,'[2]2.행정구역별 급수인구'!$C$7:$AD$997,17,FALSE)-VLOOKUP($C45,'[2]2.행정구역별 급수인구'!$C$7:$AD$997,17,FALSE)*(1-$E45),0)),VLOOKUP($C45,'[2]2.행정구역별 급수인구'!$C$7:$AD$997,17,FALSE)))</f>
        <v>0</v>
      </c>
      <c r="H45" s="302">
        <f>IF($D45="A",ROUND(VLOOKUP($C45,'[2]2.행정구역별 급수인구'!$C$7:$AD$997,25,FALSE)*$E45,0),IF($D45="B",(ROUND(VLOOKUP($C45,'[2]2.행정구역별 급수인구'!$C$7:$AD$997,25,FALSE)-VLOOKUP($C45,'[2]2.행정구역별 급수인구'!$C$7:$AD$997,25,FALSE)*(1-$E45),0)),VLOOKUP($C45,'[2]2.행정구역별 급수인구'!$C$7:$AD$997,25,FALSE)))</f>
        <v>0</v>
      </c>
      <c r="I45" s="302">
        <f>IF($D45="A",ROUND(VLOOKUP($C45,'[2]2.행정구역별 급수인구'!$C$7:$AD$997,26,FALSE)*$E45,0),IF($D45="B",(ROUND(VLOOKUP($C45,'[2]2.행정구역별 급수인구'!$C$7:$AD$997,26,FALSE)-VLOOKUP($C45,'[2]2.행정구역별 급수인구'!$C$7:$AD$997,26,FALSE)*(1-$E45),0)),VLOOKUP($C45,'[2]2.행정구역별 급수인구'!$C$7:$AD$997,26,FALSE)))</f>
        <v>0</v>
      </c>
      <c r="J45" s="302">
        <f>IF($D45="A",ROUND(VLOOKUP($C45,'[2]2.행정구역별 급수인구'!$C$7:$AD$997,27,FALSE)*$E45,0),IF($D45="B",(ROUND(VLOOKUP($C45,'[2]2.행정구역별 급수인구'!$C$7:$AD$997,27,FALSE)-VLOOKUP($C45,'[2]2.행정구역별 급수인구'!$C$7:$AD$997,27,FALSE)*(1-$E45),0)),VLOOKUP($C45,'[2]2.행정구역별 급수인구'!$C$7:$AD$997,27,FALSE)))</f>
        <v>0</v>
      </c>
      <c r="K45" s="302">
        <f>IF($D45="A",ROUND(VLOOKUP($C45,'[2]2.행정구역별 급수인구'!$C$7:$AD$997,28,FALSE)*$E45,0),IF($D45="B",(ROUND(VLOOKUP($C45,'[2]2.행정구역별 급수인구'!$C$7:$AD$997,28,FALSE)-VLOOKUP($C45,'[2]2.행정구역별 급수인구'!$C$7:$AD$997,28,FALSE)*(1-$E45),0)),VLOOKUP($C45,'[2]2.행정구역별 급수인구'!$C$7:$AD$997,28,FALSE)))</f>
        <v>0</v>
      </c>
      <c r="L45" s="302">
        <f>VLOOKUP($F45,'[3]5.급수원단위'!$B$31:$G$35,2,FALSE)</f>
        <v>272</v>
      </c>
      <c r="M45" s="302">
        <f>VLOOKUP($F45,'[3]5.급수원단위'!$B$31:$G$35,3,FALSE)</f>
        <v>304</v>
      </c>
      <c r="N45" s="302">
        <f>VLOOKUP($F45,'[3]5.급수원단위'!$B$31:$G$35,4,FALSE)</f>
        <v>308</v>
      </c>
      <c r="O45" s="302">
        <f>VLOOKUP($F45,'[3]5.급수원단위'!$B$31:$G$35,5,FALSE)</f>
        <v>310</v>
      </c>
      <c r="P45" s="302">
        <f>VLOOKUP($F45,'[3]5.급수원단위'!$B$31:$G$35,6,FALSE)</f>
        <v>310</v>
      </c>
      <c r="Q45" s="302">
        <f>ROUND(IF(G45=0,0,VLOOKUP(C45,'2013실사용량 정리'!$D$6:$F$381,3,FALSE)),0)</f>
        <v>0</v>
      </c>
      <c r="R45" s="302">
        <f t="shared" si="9"/>
        <v>0</v>
      </c>
      <c r="S45" s="302">
        <f t="shared" si="9"/>
        <v>0</v>
      </c>
      <c r="T45" s="302">
        <f t="shared" si="9"/>
        <v>0</v>
      </c>
      <c r="U45" s="302">
        <f t="shared" si="9"/>
        <v>0</v>
      </c>
      <c r="V45" s="327" t="s">
        <v>1746</v>
      </c>
      <c r="W45" s="343" t="str">
        <f t="shared" si="2"/>
        <v/>
      </c>
    </row>
    <row r="46" spans="1:23" ht="20.100000000000001" customHeight="1">
      <c r="A46" s="340"/>
      <c r="B46" s="410"/>
      <c r="C46" s="406" t="s">
        <v>1749</v>
      </c>
      <c r="D46" s="330" t="s">
        <v>1299</v>
      </c>
      <c r="E46" s="527">
        <v>0</v>
      </c>
      <c r="F46" s="527" t="s">
        <v>756</v>
      </c>
      <c r="G46" s="302">
        <f>IF($D46="A",ROUND(VLOOKUP($C46,'[2]2.행정구역별 급수인구'!$C$7:$AD$997,17,FALSE)*$E46,0),IF($D46="B",(ROUND(VLOOKUP($C46,'[2]2.행정구역별 급수인구'!$C$7:$AD$997,17,FALSE)-VLOOKUP($C46,'[2]2.행정구역별 급수인구'!$C$7:$AD$997,17,FALSE)*(1-$E46),0)),VLOOKUP($C46,'[2]2.행정구역별 급수인구'!$C$7:$AD$997,17,FALSE)))</f>
        <v>0</v>
      </c>
      <c r="H46" s="302">
        <f>IF($D46="A",ROUND(VLOOKUP($C46,'[2]2.행정구역별 급수인구'!$C$7:$AD$997,25,FALSE)*$E46,0),IF($D46="B",(ROUND(VLOOKUP($C46,'[2]2.행정구역별 급수인구'!$C$7:$AD$997,25,FALSE)-VLOOKUP($C46,'[2]2.행정구역별 급수인구'!$C$7:$AD$997,25,FALSE)*(1-$E46),0)),VLOOKUP($C46,'[2]2.행정구역별 급수인구'!$C$7:$AD$997,25,FALSE)))</f>
        <v>0</v>
      </c>
      <c r="I46" s="302">
        <f>IF($D46="A",ROUND(VLOOKUP($C46,'[2]2.행정구역별 급수인구'!$C$7:$AD$997,26,FALSE)*$E46,0),IF($D46="B",(ROUND(VLOOKUP($C46,'[2]2.행정구역별 급수인구'!$C$7:$AD$997,26,FALSE)-VLOOKUP($C46,'[2]2.행정구역별 급수인구'!$C$7:$AD$997,26,FALSE)*(1-$E46),0)),VLOOKUP($C46,'[2]2.행정구역별 급수인구'!$C$7:$AD$997,26,FALSE)))</f>
        <v>0</v>
      </c>
      <c r="J46" s="302">
        <f>IF($D46="A",ROUND(VLOOKUP($C46,'[2]2.행정구역별 급수인구'!$C$7:$AD$997,27,FALSE)*$E46,0),IF($D46="B",(ROUND(VLOOKUP($C46,'[2]2.행정구역별 급수인구'!$C$7:$AD$997,27,FALSE)-VLOOKUP($C46,'[2]2.행정구역별 급수인구'!$C$7:$AD$997,27,FALSE)*(1-$E46),0)),VLOOKUP($C46,'[2]2.행정구역별 급수인구'!$C$7:$AD$997,27,FALSE)))</f>
        <v>0</v>
      </c>
      <c r="K46" s="302">
        <f>IF($D46="A",ROUND(VLOOKUP($C46,'[2]2.행정구역별 급수인구'!$C$7:$AD$997,28,FALSE)*$E46,0),IF($D46="B",(ROUND(VLOOKUP($C46,'[2]2.행정구역별 급수인구'!$C$7:$AD$997,28,FALSE)-VLOOKUP($C46,'[2]2.행정구역별 급수인구'!$C$7:$AD$997,28,FALSE)*(1-$E46),0)),VLOOKUP($C46,'[2]2.행정구역별 급수인구'!$C$7:$AD$997,28,FALSE)))</f>
        <v>0</v>
      </c>
      <c r="L46" s="302">
        <f>VLOOKUP($F46,'[3]5.급수원단위'!$B$31:$G$35,2,FALSE)</f>
        <v>272</v>
      </c>
      <c r="M46" s="302">
        <f>VLOOKUP($F46,'[3]5.급수원단위'!$B$31:$G$35,3,FALSE)</f>
        <v>304</v>
      </c>
      <c r="N46" s="302">
        <f>VLOOKUP($F46,'[3]5.급수원단위'!$B$31:$G$35,4,FALSE)</f>
        <v>308</v>
      </c>
      <c r="O46" s="302">
        <f>VLOOKUP($F46,'[3]5.급수원단위'!$B$31:$G$35,5,FALSE)</f>
        <v>310</v>
      </c>
      <c r="P46" s="302">
        <f>VLOOKUP($F46,'[3]5.급수원단위'!$B$31:$G$35,6,FALSE)</f>
        <v>310</v>
      </c>
      <c r="Q46" s="302">
        <f>ROUND(IF(G46=0,0,VLOOKUP(C46,'2013실사용량 정리'!$D$6:$F$381,3,FALSE)),0)</f>
        <v>0</v>
      </c>
      <c r="R46" s="302">
        <f t="shared" si="9"/>
        <v>0</v>
      </c>
      <c r="S46" s="302">
        <f t="shared" si="9"/>
        <v>0</v>
      </c>
      <c r="T46" s="302">
        <f t="shared" si="9"/>
        <v>0</v>
      </c>
      <c r="U46" s="302">
        <f t="shared" si="9"/>
        <v>0</v>
      </c>
      <c r="V46" s="327" t="s">
        <v>1746</v>
      </c>
      <c r="W46" s="343" t="str">
        <f t="shared" si="2"/>
        <v/>
      </c>
    </row>
    <row r="47" spans="1:23" ht="20.100000000000001" customHeight="1">
      <c r="A47" s="340"/>
      <c r="B47" s="410"/>
      <c r="C47" s="406" t="s">
        <v>1750</v>
      </c>
      <c r="D47" s="330" t="s">
        <v>1299</v>
      </c>
      <c r="E47" s="527">
        <v>0</v>
      </c>
      <c r="F47" s="527" t="s">
        <v>756</v>
      </c>
      <c r="G47" s="302">
        <f>IF($D47="A",ROUND(VLOOKUP($C47,'[2]2.행정구역별 급수인구'!$C$7:$AD$997,17,FALSE)*$E47,0),IF($D47="B",(ROUND(VLOOKUP($C47,'[2]2.행정구역별 급수인구'!$C$7:$AD$997,17,FALSE)-VLOOKUP($C47,'[2]2.행정구역별 급수인구'!$C$7:$AD$997,17,FALSE)*(1-$E47),0)),VLOOKUP($C47,'[2]2.행정구역별 급수인구'!$C$7:$AD$997,17,FALSE)))</f>
        <v>0</v>
      </c>
      <c r="H47" s="302">
        <f>IF($D47="A",ROUND(VLOOKUP($C47,'[2]2.행정구역별 급수인구'!$C$7:$AD$997,25,FALSE)*$E47,0),IF($D47="B",(ROUND(VLOOKUP($C47,'[2]2.행정구역별 급수인구'!$C$7:$AD$997,25,FALSE)-VLOOKUP($C47,'[2]2.행정구역별 급수인구'!$C$7:$AD$997,25,FALSE)*(1-$E47),0)),VLOOKUP($C47,'[2]2.행정구역별 급수인구'!$C$7:$AD$997,25,FALSE)))</f>
        <v>0</v>
      </c>
      <c r="I47" s="302">
        <f>IF($D47="A",ROUND(VLOOKUP($C47,'[2]2.행정구역별 급수인구'!$C$7:$AD$997,26,FALSE)*$E47,0),IF($D47="B",(ROUND(VLOOKUP($C47,'[2]2.행정구역별 급수인구'!$C$7:$AD$997,26,FALSE)-VLOOKUP($C47,'[2]2.행정구역별 급수인구'!$C$7:$AD$997,26,FALSE)*(1-$E47),0)),VLOOKUP($C47,'[2]2.행정구역별 급수인구'!$C$7:$AD$997,26,FALSE)))</f>
        <v>0</v>
      </c>
      <c r="J47" s="302">
        <f>IF($D47="A",ROUND(VLOOKUP($C47,'[2]2.행정구역별 급수인구'!$C$7:$AD$997,27,FALSE)*$E47,0),IF($D47="B",(ROUND(VLOOKUP($C47,'[2]2.행정구역별 급수인구'!$C$7:$AD$997,27,FALSE)-VLOOKUP($C47,'[2]2.행정구역별 급수인구'!$C$7:$AD$997,27,FALSE)*(1-$E47),0)),VLOOKUP($C47,'[2]2.행정구역별 급수인구'!$C$7:$AD$997,27,FALSE)))</f>
        <v>0</v>
      </c>
      <c r="K47" s="302">
        <f>IF($D47="A",ROUND(VLOOKUP($C47,'[2]2.행정구역별 급수인구'!$C$7:$AD$997,28,FALSE)*$E47,0),IF($D47="B",(ROUND(VLOOKUP($C47,'[2]2.행정구역별 급수인구'!$C$7:$AD$997,28,FALSE)-VLOOKUP($C47,'[2]2.행정구역별 급수인구'!$C$7:$AD$997,28,FALSE)*(1-$E47),0)),VLOOKUP($C47,'[2]2.행정구역별 급수인구'!$C$7:$AD$997,28,FALSE)))</f>
        <v>0</v>
      </c>
      <c r="L47" s="302">
        <f>VLOOKUP($F47,'[3]5.급수원단위'!$B$31:$G$35,2,FALSE)</f>
        <v>272</v>
      </c>
      <c r="M47" s="302">
        <f>VLOOKUP($F47,'[3]5.급수원단위'!$B$31:$G$35,3,FALSE)</f>
        <v>304</v>
      </c>
      <c r="N47" s="302">
        <f>VLOOKUP($F47,'[3]5.급수원단위'!$B$31:$G$35,4,FALSE)</f>
        <v>308</v>
      </c>
      <c r="O47" s="302">
        <f>VLOOKUP($F47,'[3]5.급수원단위'!$B$31:$G$35,5,FALSE)</f>
        <v>310</v>
      </c>
      <c r="P47" s="302">
        <f>VLOOKUP($F47,'[3]5.급수원단위'!$B$31:$G$35,6,FALSE)</f>
        <v>310</v>
      </c>
      <c r="Q47" s="302">
        <f>ROUND(IF(G47=0,0,VLOOKUP(C47,'2013실사용량 정리'!$D$6:$F$381,3,FALSE)),0)</f>
        <v>0</v>
      </c>
      <c r="R47" s="302">
        <f t="shared" ref="R47:U56" si="10">ROUND(H47*M47/1000,0)</f>
        <v>0</v>
      </c>
      <c r="S47" s="302">
        <f t="shared" si="10"/>
        <v>0</v>
      </c>
      <c r="T47" s="302">
        <f t="shared" si="10"/>
        <v>0</v>
      </c>
      <c r="U47" s="302">
        <f t="shared" si="10"/>
        <v>0</v>
      </c>
      <c r="V47" s="327" t="s">
        <v>1746</v>
      </c>
      <c r="W47" s="343" t="str">
        <f t="shared" si="2"/>
        <v/>
      </c>
    </row>
    <row r="48" spans="1:23" ht="20.100000000000001" customHeight="1">
      <c r="A48" s="340"/>
      <c r="B48" s="410"/>
      <c r="C48" s="406" t="s">
        <v>1751</v>
      </c>
      <c r="D48" s="330" t="s">
        <v>1299</v>
      </c>
      <c r="E48" s="527">
        <v>0</v>
      </c>
      <c r="F48" s="527" t="s">
        <v>756</v>
      </c>
      <c r="G48" s="302">
        <f>IF($D48="A",ROUND(VLOOKUP($C48,'[2]2.행정구역별 급수인구'!$C$7:$AD$997,17,FALSE)*$E48,0),IF($D48="B",(ROUND(VLOOKUP($C48,'[2]2.행정구역별 급수인구'!$C$7:$AD$997,17,FALSE)-VLOOKUP($C48,'[2]2.행정구역별 급수인구'!$C$7:$AD$997,17,FALSE)*(1-$E48),0)),VLOOKUP($C48,'[2]2.행정구역별 급수인구'!$C$7:$AD$997,17,FALSE)))</f>
        <v>0</v>
      </c>
      <c r="H48" s="302">
        <f>IF($D48="A",ROUND(VLOOKUP($C48,'[2]2.행정구역별 급수인구'!$C$7:$AD$997,25,FALSE)*$E48,0),IF($D48="B",(ROUND(VLOOKUP($C48,'[2]2.행정구역별 급수인구'!$C$7:$AD$997,25,FALSE)-VLOOKUP($C48,'[2]2.행정구역별 급수인구'!$C$7:$AD$997,25,FALSE)*(1-$E48),0)),VLOOKUP($C48,'[2]2.행정구역별 급수인구'!$C$7:$AD$997,25,FALSE)))</f>
        <v>0</v>
      </c>
      <c r="I48" s="302">
        <f>IF($D48="A",ROUND(VLOOKUP($C48,'[2]2.행정구역별 급수인구'!$C$7:$AD$997,26,FALSE)*$E48,0),IF($D48="B",(ROUND(VLOOKUP($C48,'[2]2.행정구역별 급수인구'!$C$7:$AD$997,26,FALSE)-VLOOKUP($C48,'[2]2.행정구역별 급수인구'!$C$7:$AD$997,26,FALSE)*(1-$E48),0)),VLOOKUP($C48,'[2]2.행정구역별 급수인구'!$C$7:$AD$997,26,FALSE)))</f>
        <v>0</v>
      </c>
      <c r="J48" s="302">
        <f>IF($D48="A",ROUND(VLOOKUP($C48,'[2]2.행정구역별 급수인구'!$C$7:$AD$997,27,FALSE)*$E48,0),IF($D48="B",(ROUND(VLOOKUP($C48,'[2]2.행정구역별 급수인구'!$C$7:$AD$997,27,FALSE)-VLOOKUP($C48,'[2]2.행정구역별 급수인구'!$C$7:$AD$997,27,FALSE)*(1-$E48),0)),VLOOKUP($C48,'[2]2.행정구역별 급수인구'!$C$7:$AD$997,27,FALSE)))</f>
        <v>0</v>
      </c>
      <c r="K48" s="302">
        <f>IF($D48="A",ROUND(VLOOKUP($C48,'[2]2.행정구역별 급수인구'!$C$7:$AD$997,28,FALSE)*$E48,0),IF($D48="B",(ROUND(VLOOKUP($C48,'[2]2.행정구역별 급수인구'!$C$7:$AD$997,28,FALSE)-VLOOKUP($C48,'[2]2.행정구역별 급수인구'!$C$7:$AD$997,28,FALSE)*(1-$E48),0)),VLOOKUP($C48,'[2]2.행정구역별 급수인구'!$C$7:$AD$997,28,FALSE)))</f>
        <v>0</v>
      </c>
      <c r="L48" s="302">
        <f>VLOOKUP($F48,'[3]5.급수원단위'!$B$31:$G$35,2,FALSE)</f>
        <v>272</v>
      </c>
      <c r="M48" s="302">
        <f>VLOOKUP($F48,'[3]5.급수원단위'!$B$31:$G$35,3,FALSE)</f>
        <v>304</v>
      </c>
      <c r="N48" s="302">
        <f>VLOOKUP($F48,'[3]5.급수원단위'!$B$31:$G$35,4,FALSE)</f>
        <v>308</v>
      </c>
      <c r="O48" s="302">
        <f>VLOOKUP($F48,'[3]5.급수원단위'!$B$31:$G$35,5,FALSE)</f>
        <v>310</v>
      </c>
      <c r="P48" s="302">
        <f>VLOOKUP($F48,'[3]5.급수원단위'!$B$31:$G$35,6,FALSE)</f>
        <v>310</v>
      </c>
      <c r="Q48" s="302">
        <f>ROUND(IF(G48=0,0,VLOOKUP(C48,'2013실사용량 정리'!$D$6:$F$381,3,FALSE)),0)</f>
        <v>0</v>
      </c>
      <c r="R48" s="302">
        <f t="shared" si="10"/>
        <v>0</v>
      </c>
      <c r="S48" s="302">
        <f t="shared" si="10"/>
        <v>0</v>
      </c>
      <c r="T48" s="302">
        <f t="shared" si="10"/>
        <v>0</v>
      </c>
      <c r="U48" s="302">
        <f t="shared" si="10"/>
        <v>0</v>
      </c>
      <c r="V48" s="327" t="s">
        <v>1746</v>
      </c>
      <c r="W48" s="343" t="str">
        <f t="shared" si="2"/>
        <v/>
      </c>
    </row>
    <row r="49" spans="1:23" ht="20.100000000000001" customHeight="1">
      <c r="A49" s="340"/>
      <c r="B49" s="410"/>
      <c r="C49" s="406" t="s">
        <v>1752</v>
      </c>
      <c r="D49" s="330" t="s">
        <v>1299</v>
      </c>
      <c r="E49" s="527">
        <v>0</v>
      </c>
      <c r="F49" s="527" t="s">
        <v>756</v>
      </c>
      <c r="G49" s="302">
        <f>IF($D49="A",ROUND(VLOOKUP($C49,'[2]2.행정구역별 급수인구'!$C$7:$AD$997,17,FALSE)*$E49,0),IF($D49="B",(ROUND(VLOOKUP($C49,'[2]2.행정구역별 급수인구'!$C$7:$AD$997,17,FALSE)-VLOOKUP($C49,'[2]2.행정구역별 급수인구'!$C$7:$AD$997,17,FALSE)*(1-$E49),0)),VLOOKUP($C49,'[2]2.행정구역별 급수인구'!$C$7:$AD$997,17,FALSE)))</f>
        <v>0</v>
      </c>
      <c r="H49" s="302">
        <f>IF($D49="A",ROUND(VLOOKUP($C49,'[2]2.행정구역별 급수인구'!$C$7:$AD$997,25,FALSE)*$E49,0),IF($D49="B",(ROUND(VLOOKUP($C49,'[2]2.행정구역별 급수인구'!$C$7:$AD$997,25,FALSE)-VLOOKUP($C49,'[2]2.행정구역별 급수인구'!$C$7:$AD$997,25,FALSE)*(1-$E49),0)),VLOOKUP($C49,'[2]2.행정구역별 급수인구'!$C$7:$AD$997,25,FALSE)))</f>
        <v>0</v>
      </c>
      <c r="I49" s="302">
        <f>IF($D49="A",ROUND(VLOOKUP($C49,'[2]2.행정구역별 급수인구'!$C$7:$AD$997,26,FALSE)*$E49,0),IF($D49="B",(ROUND(VLOOKUP($C49,'[2]2.행정구역별 급수인구'!$C$7:$AD$997,26,FALSE)-VLOOKUP($C49,'[2]2.행정구역별 급수인구'!$C$7:$AD$997,26,FALSE)*(1-$E49),0)),VLOOKUP($C49,'[2]2.행정구역별 급수인구'!$C$7:$AD$997,26,FALSE)))</f>
        <v>0</v>
      </c>
      <c r="J49" s="302">
        <f>IF($D49="A",ROUND(VLOOKUP($C49,'[2]2.행정구역별 급수인구'!$C$7:$AD$997,27,FALSE)*$E49,0),IF($D49="B",(ROUND(VLOOKUP($C49,'[2]2.행정구역별 급수인구'!$C$7:$AD$997,27,FALSE)-VLOOKUP($C49,'[2]2.행정구역별 급수인구'!$C$7:$AD$997,27,FALSE)*(1-$E49),0)),VLOOKUP($C49,'[2]2.행정구역별 급수인구'!$C$7:$AD$997,27,FALSE)))</f>
        <v>0</v>
      </c>
      <c r="K49" s="302">
        <f>IF($D49="A",ROUND(VLOOKUP($C49,'[2]2.행정구역별 급수인구'!$C$7:$AD$997,28,FALSE)*$E49,0),IF($D49="B",(ROUND(VLOOKUP($C49,'[2]2.행정구역별 급수인구'!$C$7:$AD$997,28,FALSE)-VLOOKUP($C49,'[2]2.행정구역별 급수인구'!$C$7:$AD$997,28,FALSE)*(1-$E49),0)),VLOOKUP($C49,'[2]2.행정구역별 급수인구'!$C$7:$AD$997,28,FALSE)))</f>
        <v>0</v>
      </c>
      <c r="L49" s="302">
        <f>VLOOKUP($F49,'[3]5.급수원단위'!$B$31:$G$35,2,FALSE)</f>
        <v>272</v>
      </c>
      <c r="M49" s="302">
        <f>VLOOKUP($F49,'[3]5.급수원단위'!$B$31:$G$35,3,FALSE)</f>
        <v>304</v>
      </c>
      <c r="N49" s="302">
        <f>VLOOKUP($F49,'[3]5.급수원단위'!$B$31:$G$35,4,FALSE)</f>
        <v>308</v>
      </c>
      <c r="O49" s="302">
        <f>VLOOKUP($F49,'[3]5.급수원단위'!$B$31:$G$35,5,FALSE)</f>
        <v>310</v>
      </c>
      <c r="P49" s="302">
        <f>VLOOKUP($F49,'[3]5.급수원단위'!$B$31:$G$35,6,FALSE)</f>
        <v>310</v>
      </c>
      <c r="Q49" s="302">
        <f>ROUND(IF(G49=0,0,VLOOKUP(C49,'2013실사용량 정리'!$D$6:$F$381,3,FALSE)),0)</f>
        <v>0</v>
      </c>
      <c r="R49" s="302">
        <f t="shared" si="10"/>
        <v>0</v>
      </c>
      <c r="S49" s="302">
        <f t="shared" si="10"/>
        <v>0</v>
      </c>
      <c r="T49" s="302">
        <f t="shared" si="10"/>
        <v>0</v>
      </c>
      <c r="U49" s="302">
        <f t="shared" si="10"/>
        <v>0</v>
      </c>
      <c r="V49" s="327" t="s">
        <v>1746</v>
      </c>
      <c r="W49" s="343" t="str">
        <f t="shared" si="2"/>
        <v/>
      </c>
    </row>
    <row r="50" spans="1:23" ht="20.100000000000001" customHeight="1">
      <c r="A50" s="340"/>
      <c r="B50" s="410"/>
      <c r="C50" s="406" t="s">
        <v>1753</v>
      </c>
      <c r="D50" s="330" t="s">
        <v>1299</v>
      </c>
      <c r="E50" s="527">
        <v>0</v>
      </c>
      <c r="F50" s="527" t="s">
        <v>756</v>
      </c>
      <c r="G50" s="302">
        <f>IF($D50="A",ROUND(VLOOKUP($C50,'[2]2.행정구역별 급수인구'!$C$7:$AD$997,17,FALSE)*$E50,0),IF($D50="B",(ROUND(VLOOKUP($C50,'[2]2.행정구역별 급수인구'!$C$7:$AD$997,17,FALSE)-VLOOKUP($C50,'[2]2.행정구역별 급수인구'!$C$7:$AD$997,17,FALSE)*(1-$E50),0)),VLOOKUP($C50,'[2]2.행정구역별 급수인구'!$C$7:$AD$997,17,FALSE)))</f>
        <v>0</v>
      </c>
      <c r="H50" s="302">
        <f>IF($D50="A",ROUND(VLOOKUP($C50,'[2]2.행정구역별 급수인구'!$C$7:$AD$997,25,FALSE)*$E50,0),IF($D50="B",(ROUND(VLOOKUP($C50,'[2]2.행정구역별 급수인구'!$C$7:$AD$997,25,FALSE)-VLOOKUP($C50,'[2]2.행정구역별 급수인구'!$C$7:$AD$997,25,FALSE)*(1-$E50),0)),VLOOKUP($C50,'[2]2.행정구역별 급수인구'!$C$7:$AD$997,25,FALSE)))</f>
        <v>0</v>
      </c>
      <c r="I50" s="302">
        <f>IF($D50="A",ROUND(VLOOKUP($C50,'[2]2.행정구역별 급수인구'!$C$7:$AD$997,26,FALSE)*$E50,0),IF($D50="B",(ROUND(VLOOKUP($C50,'[2]2.행정구역별 급수인구'!$C$7:$AD$997,26,FALSE)-VLOOKUP($C50,'[2]2.행정구역별 급수인구'!$C$7:$AD$997,26,FALSE)*(1-$E50),0)),VLOOKUP($C50,'[2]2.행정구역별 급수인구'!$C$7:$AD$997,26,FALSE)))</f>
        <v>0</v>
      </c>
      <c r="J50" s="302">
        <f>IF($D50="A",ROUND(VLOOKUP($C50,'[2]2.행정구역별 급수인구'!$C$7:$AD$997,27,FALSE)*$E50,0),IF($D50="B",(ROUND(VLOOKUP($C50,'[2]2.행정구역별 급수인구'!$C$7:$AD$997,27,FALSE)-VLOOKUP($C50,'[2]2.행정구역별 급수인구'!$C$7:$AD$997,27,FALSE)*(1-$E50),0)),VLOOKUP($C50,'[2]2.행정구역별 급수인구'!$C$7:$AD$997,27,FALSE)))</f>
        <v>0</v>
      </c>
      <c r="K50" s="302">
        <f>IF($D50="A",ROUND(VLOOKUP($C50,'[2]2.행정구역별 급수인구'!$C$7:$AD$997,28,FALSE)*$E50,0),IF($D50="B",(ROUND(VLOOKUP($C50,'[2]2.행정구역별 급수인구'!$C$7:$AD$997,28,FALSE)-VLOOKUP($C50,'[2]2.행정구역별 급수인구'!$C$7:$AD$997,28,FALSE)*(1-$E50),0)),VLOOKUP($C50,'[2]2.행정구역별 급수인구'!$C$7:$AD$997,28,FALSE)))</f>
        <v>0</v>
      </c>
      <c r="L50" s="302">
        <f>VLOOKUP($F50,'[3]5.급수원단위'!$B$31:$G$35,2,FALSE)</f>
        <v>272</v>
      </c>
      <c r="M50" s="302">
        <f>VLOOKUP($F50,'[3]5.급수원단위'!$B$31:$G$35,3,FALSE)</f>
        <v>304</v>
      </c>
      <c r="N50" s="302">
        <f>VLOOKUP($F50,'[3]5.급수원단위'!$B$31:$G$35,4,FALSE)</f>
        <v>308</v>
      </c>
      <c r="O50" s="302">
        <f>VLOOKUP($F50,'[3]5.급수원단위'!$B$31:$G$35,5,FALSE)</f>
        <v>310</v>
      </c>
      <c r="P50" s="302">
        <f>VLOOKUP($F50,'[3]5.급수원단위'!$B$31:$G$35,6,FALSE)</f>
        <v>310</v>
      </c>
      <c r="Q50" s="302">
        <f>ROUND(IF(G50=0,0,VLOOKUP(C50,'2013실사용량 정리'!$D$6:$F$381,3,FALSE)),0)</f>
        <v>0</v>
      </c>
      <c r="R50" s="302">
        <f t="shared" si="10"/>
        <v>0</v>
      </c>
      <c r="S50" s="302">
        <f t="shared" si="10"/>
        <v>0</v>
      </c>
      <c r="T50" s="302">
        <f t="shared" si="10"/>
        <v>0</v>
      </c>
      <c r="U50" s="302">
        <f t="shared" si="10"/>
        <v>0</v>
      </c>
      <c r="V50" s="327" t="s">
        <v>1746</v>
      </c>
      <c r="W50" s="343" t="str">
        <f t="shared" si="2"/>
        <v/>
      </c>
    </row>
    <row r="51" spans="1:23" ht="20.100000000000001" customHeight="1">
      <c r="A51" s="340"/>
      <c r="B51" s="410"/>
      <c r="C51" s="406" t="s">
        <v>1754</v>
      </c>
      <c r="D51" s="330" t="s">
        <v>1299</v>
      </c>
      <c r="E51" s="527">
        <v>0</v>
      </c>
      <c r="F51" s="527" t="s">
        <v>756</v>
      </c>
      <c r="G51" s="302">
        <f>IF($D51="A",ROUND(VLOOKUP($C51,'[2]2.행정구역별 급수인구'!$C$7:$AD$997,17,FALSE)*$E51,0),IF($D51="B",(ROUND(VLOOKUP($C51,'[2]2.행정구역별 급수인구'!$C$7:$AD$997,17,FALSE)-VLOOKUP($C51,'[2]2.행정구역별 급수인구'!$C$7:$AD$997,17,FALSE)*(1-$E51),0)),VLOOKUP($C51,'[2]2.행정구역별 급수인구'!$C$7:$AD$997,17,FALSE)))</f>
        <v>0</v>
      </c>
      <c r="H51" s="302">
        <f>IF($D51="A",ROUND(VLOOKUP($C51,'[2]2.행정구역별 급수인구'!$C$7:$AD$997,25,FALSE)*$E51,0),IF($D51="B",(ROUND(VLOOKUP($C51,'[2]2.행정구역별 급수인구'!$C$7:$AD$997,25,FALSE)-VLOOKUP($C51,'[2]2.행정구역별 급수인구'!$C$7:$AD$997,25,FALSE)*(1-$E51),0)),VLOOKUP($C51,'[2]2.행정구역별 급수인구'!$C$7:$AD$997,25,FALSE)))</f>
        <v>0</v>
      </c>
      <c r="I51" s="302">
        <f>IF($D51="A",ROUND(VLOOKUP($C51,'[2]2.행정구역별 급수인구'!$C$7:$AD$997,26,FALSE)*$E51,0),IF($D51="B",(ROUND(VLOOKUP($C51,'[2]2.행정구역별 급수인구'!$C$7:$AD$997,26,FALSE)-VLOOKUP($C51,'[2]2.행정구역별 급수인구'!$C$7:$AD$997,26,FALSE)*(1-$E51),0)),VLOOKUP($C51,'[2]2.행정구역별 급수인구'!$C$7:$AD$997,26,FALSE)))</f>
        <v>0</v>
      </c>
      <c r="J51" s="302">
        <f>IF($D51="A",ROUND(VLOOKUP($C51,'[2]2.행정구역별 급수인구'!$C$7:$AD$997,27,FALSE)*$E51,0),IF($D51="B",(ROUND(VLOOKUP($C51,'[2]2.행정구역별 급수인구'!$C$7:$AD$997,27,FALSE)-VLOOKUP($C51,'[2]2.행정구역별 급수인구'!$C$7:$AD$997,27,FALSE)*(1-$E51),0)),VLOOKUP($C51,'[2]2.행정구역별 급수인구'!$C$7:$AD$997,27,FALSE)))</f>
        <v>0</v>
      </c>
      <c r="K51" s="302">
        <f>IF($D51="A",ROUND(VLOOKUP($C51,'[2]2.행정구역별 급수인구'!$C$7:$AD$997,28,FALSE)*$E51,0),IF($D51="B",(ROUND(VLOOKUP($C51,'[2]2.행정구역별 급수인구'!$C$7:$AD$997,28,FALSE)-VLOOKUP($C51,'[2]2.행정구역별 급수인구'!$C$7:$AD$997,28,FALSE)*(1-$E51),0)),VLOOKUP($C51,'[2]2.행정구역별 급수인구'!$C$7:$AD$997,28,FALSE)))</f>
        <v>0</v>
      </c>
      <c r="L51" s="302">
        <f>VLOOKUP($F51,'[3]5.급수원단위'!$B$31:$G$35,2,FALSE)</f>
        <v>272</v>
      </c>
      <c r="M51" s="302">
        <f>VLOOKUP($F51,'[3]5.급수원단위'!$B$31:$G$35,3,FALSE)</f>
        <v>304</v>
      </c>
      <c r="N51" s="302">
        <f>VLOOKUP($F51,'[3]5.급수원단위'!$B$31:$G$35,4,FALSE)</f>
        <v>308</v>
      </c>
      <c r="O51" s="302">
        <f>VLOOKUP($F51,'[3]5.급수원단위'!$B$31:$G$35,5,FALSE)</f>
        <v>310</v>
      </c>
      <c r="P51" s="302">
        <f>VLOOKUP($F51,'[3]5.급수원단위'!$B$31:$G$35,6,FALSE)</f>
        <v>310</v>
      </c>
      <c r="Q51" s="302">
        <f>ROUND(IF(G51=0,0,VLOOKUP(C51,'2013실사용량 정리'!$D$6:$F$381,3,FALSE)),0)</f>
        <v>0</v>
      </c>
      <c r="R51" s="302">
        <f t="shared" si="10"/>
        <v>0</v>
      </c>
      <c r="S51" s="302">
        <f t="shared" si="10"/>
        <v>0</v>
      </c>
      <c r="T51" s="302">
        <f t="shared" si="10"/>
        <v>0</v>
      </c>
      <c r="U51" s="302">
        <f t="shared" si="10"/>
        <v>0</v>
      </c>
      <c r="V51" s="327" t="s">
        <v>1746</v>
      </c>
      <c r="W51" s="343" t="str">
        <f t="shared" si="2"/>
        <v/>
      </c>
    </row>
    <row r="52" spans="1:23" ht="20.100000000000001" customHeight="1">
      <c r="A52" s="340"/>
      <c r="B52" s="410"/>
      <c r="C52" s="406" t="s">
        <v>1755</v>
      </c>
      <c r="D52" s="330" t="s">
        <v>1299</v>
      </c>
      <c r="E52" s="527">
        <v>0</v>
      </c>
      <c r="F52" s="527" t="s">
        <v>756</v>
      </c>
      <c r="G52" s="302">
        <f>IF($D52="A",ROUND(VLOOKUP($C52,'[2]2.행정구역별 급수인구'!$C$7:$AD$997,17,FALSE)*$E52,0),IF($D52="B",(ROUND(VLOOKUP($C52,'[2]2.행정구역별 급수인구'!$C$7:$AD$997,17,FALSE)-VLOOKUP($C52,'[2]2.행정구역별 급수인구'!$C$7:$AD$997,17,FALSE)*(1-$E52),0)),VLOOKUP($C52,'[2]2.행정구역별 급수인구'!$C$7:$AD$997,17,FALSE)))</f>
        <v>0</v>
      </c>
      <c r="H52" s="302">
        <f>IF($D52="A",ROUND(VLOOKUP($C52,'[2]2.행정구역별 급수인구'!$C$7:$AD$997,25,FALSE)*$E52,0),IF($D52="B",(ROUND(VLOOKUP($C52,'[2]2.행정구역별 급수인구'!$C$7:$AD$997,25,FALSE)-VLOOKUP($C52,'[2]2.행정구역별 급수인구'!$C$7:$AD$997,25,FALSE)*(1-$E52),0)),VLOOKUP($C52,'[2]2.행정구역별 급수인구'!$C$7:$AD$997,25,FALSE)))</f>
        <v>0</v>
      </c>
      <c r="I52" s="302">
        <f>IF($D52="A",ROUND(VLOOKUP($C52,'[2]2.행정구역별 급수인구'!$C$7:$AD$997,26,FALSE)*$E52,0),IF($D52="B",(ROUND(VLOOKUP($C52,'[2]2.행정구역별 급수인구'!$C$7:$AD$997,26,FALSE)-VLOOKUP($C52,'[2]2.행정구역별 급수인구'!$C$7:$AD$997,26,FALSE)*(1-$E52),0)),VLOOKUP($C52,'[2]2.행정구역별 급수인구'!$C$7:$AD$997,26,FALSE)))</f>
        <v>0</v>
      </c>
      <c r="J52" s="302">
        <f>IF($D52="A",ROUND(VLOOKUP($C52,'[2]2.행정구역별 급수인구'!$C$7:$AD$997,27,FALSE)*$E52,0),IF($D52="B",(ROUND(VLOOKUP($C52,'[2]2.행정구역별 급수인구'!$C$7:$AD$997,27,FALSE)-VLOOKUP($C52,'[2]2.행정구역별 급수인구'!$C$7:$AD$997,27,FALSE)*(1-$E52),0)),VLOOKUP($C52,'[2]2.행정구역별 급수인구'!$C$7:$AD$997,27,FALSE)))</f>
        <v>0</v>
      </c>
      <c r="K52" s="302">
        <f>IF($D52="A",ROUND(VLOOKUP($C52,'[2]2.행정구역별 급수인구'!$C$7:$AD$997,28,FALSE)*$E52,0),IF($D52="B",(ROUND(VLOOKUP($C52,'[2]2.행정구역별 급수인구'!$C$7:$AD$997,28,FALSE)-VLOOKUP($C52,'[2]2.행정구역별 급수인구'!$C$7:$AD$997,28,FALSE)*(1-$E52),0)),VLOOKUP($C52,'[2]2.행정구역별 급수인구'!$C$7:$AD$997,28,FALSE)))</f>
        <v>0</v>
      </c>
      <c r="L52" s="302">
        <f>VLOOKUP($F52,'[3]5.급수원단위'!$B$31:$G$35,2,FALSE)</f>
        <v>272</v>
      </c>
      <c r="M52" s="302">
        <f>VLOOKUP($F52,'[3]5.급수원단위'!$B$31:$G$35,3,FALSE)</f>
        <v>304</v>
      </c>
      <c r="N52" s="302">
        <f>VLOOKUP($F52,'[3]5.급수원단위'!$B$31:$G$35,4,FALSE)</f>
        <v>308</v>
      </c>
      <c r="O52" s="302">
        <f>VLOOKUP($F52,'[3]5.급수원단위'!$B$31:$G$35,5,FALSE)</f>
        <v>310</v>
      </c>
      <c r="P52" s="302">
        <f>VLOOKUP($F52,'[3]5.급수원단위'!$B$31:$G$35,6,FALSE)</f>
        <v>310</v>
      </c>
      <c r="Q52" s="302">
        <f>ROUND(IF(G52=0,0,VLOOKUP(C52,'2013실사용량 정리'!$D$6:$F$381,3,FALSE)),0)</f>
        <v>0</v>
      </c>
      <c r="R52" s="302">
        <f t="shared" si="10"/>
        <v>0</v>
      </c>
      <c r="S52" s="302">
        <f t="shared" si="10"/>
        <v>0</v>
      </c>
      <c r="T52" s="302">
        <f t="shared" si="10"/>
        <v>0</v>
      </c>
      <c r="U52" s="302">
        <f t="shared" si="10"/>
        <v>0</v>
      </c>
      <c r="V52" s="327" t="s">
        <v>1746</v>
      </c>
      <c r="W52" s="343" t="str">
        <f t="shared" si="2"/>
        <v/>
      </c>
    </row>
    <row r="53" spans="1:23" ht="20.100000000000001" customHeight="1">
      <c r="A53" s="340"/>
      <c r="B53" s="410"/>
      <c r="C53" s="406" t="s">
        <v>1756</v>
      </c>
      <c r="D53" s="330" t="s">
        <v>1299</v>
      </c>
      <c r="E53" s="527">
        <v>0</v>
      </c>
      <c r="F53" s="527" t="s">
        <v>756</v>
      </c>
      <c r="G53" s="302">
        <f>IF($D53="A",ROUND(VLOOKUP($C53,'[2]2.행정구역별 급수인구'!$C$7:$AD$997,17,FALSE)*$E53,0),IF($D53="B",(ROUND(VLOOKUP($C53,'[2]2.행정구역별 급수인구'!$C$7:$AD$997,17,FALSE)-VLOOKUP($C53,'[2]2.행정구역별 급수인구'!$C$7:$AD$997,17,FALSE)*(1-$E53),0)),VLOOKUP($C53,'[2]2.행정구역별 급수인구'!$C$7:$AD$997,17,FALSE)))</f>
        <v>0</v>
      </c>
      <c r="H53" s="302">
        <f>IF($D53="A",ROUND(VLOOKUP($C53,'[2]2.행정구역별 급수인구'!$C$7:$AD$997,25,FALSE)*$E53,0),IF($D53="B",(ROUND(VLOOKUP($C53,'[2]2.행정구역별 급수인구'!$C$7:$AD$997,25,FALSE)-VLOOKUP($C53,'[2]2.행정구역별 급수인구'!$C$7:$AD$997,25,FALSE)*(1-$E53),0)),VLOOKUP($C53,'[2]2.행정구역별 급수인구'!$C$7:$AD$997,25,FALSE)))</f>
        <v>0</v>
      </c>
      <c r="I53" s="302">
        <f>IF($D53="A",ROUND(VLOOKUP($C53,'[2]2.행정구역별 급수인구'!$C$7:$AD$997,26,FALSE)*$E53,0),IF($D53="B",(ROUND(VLOOKUP($C53,'[2]2.행정구역별 급수인구'!$C$7:$AD$997,26,FALSE)-VLOOKUP($C53,'[2]2.행정구역별 급수인구'!$C$7:$AD$997,26,FALSE)*(1-$E53),0)),VLOOKUP($C53,'[2]2.행정구역별 급수인구'!$C$7:$AD$997,26,FALSE)))</f>
        <v>0</v>
      </c>
      <c r="J53" s="302">
        <f>IF($D53="A",ROUND(VLOOKUP($C53,'[2]2.행정구역별 급수인구'!$C$7:$AD$997,27,FALSE)*$E53,0),IF($D53="B",(ROUND(VLOOKUP($C53,'[2]2.행정구역별 급수인구'!$C$7:$AD$997,27,FALSE)-VLOOKUP($C53,'[2]2.행정구역별 급수인구'!$C$7:$AD$997,27,FALSE)*(1-$E53),0)),VLOOKUP($C53,'[2]2.행정구역별 급수인구'!$C$7:$AD$997,27,FALSE)))</f>
        <v>0</v>
      </c>
      <c r="K53" s="302">
        <f>IF($D53="A",ROUND(VLOOKUP($C53,'[2]2.행정구역별 급수인구'!$C$7:$AD$997,28,FALSE)*$E53,0),IF($D53="B",(ROUND(VLOOKUP($C53,'[2]2.행정구역별 급수인구'!$C$7:$AD$997,28,FALSE)-VLOOKUP($C53,'[2]2.행정구역별 급수인구'!$C$7:$AD$997,28,FALSE)*(1-$E53),0)),VLOOKUP($C53,'[2]2.행정구역별 급수인구'!$C$7:$AD$997,28,FALSE)))</f>
        <v>0</v>
      </c>
      <c r="L53" s="302">
        <f>VLOOKUP($F53,'[3]5.급수원단위'!$B$31:$G$35,2,FALSE)</f>
        <v>272</v>
      </c>
      <c r="M53" s="302">
        <f>VLOOKUP($F53,'[3]5.급수원단위'!$B$31:$G$35,3,FALSE)</f>
        <v>304</v>
      </c>
      <c r="N53" s="302">
        <f>VLOOKUP($F53,'[3]5.급수원단위'!$B$31:$G$35,4,FALSE)</f>
        <v>308</v>
      </c>
      <c r="O53" s="302">
        <f>VLOOKUP($F53,'[3]5.급수원단위'!$B$31:$G$35,5,FALSE)</f>
        <v>310</v>
      </c>
      <c r="P53" s="302">
        <f>VLOOKUP($F53,'[3]5.급수원단위'!$B$31:$G$35,6,FALSE)</f>
        <v>310</v>
      </c>
      <c r="Q53" s="302">
        <f>ROUND(IF(G53=0,0,VLOOKUP(C53,'2013실사용량 정리'!$D$6:$F$381,3,FALSE)),0)</f>
        <v>0</v>
      </c>
      <c r="R53" s="302">
        <f t="shared" si="10"/>
        <v>0</v>
      </c>
      <c r="S53" s="302">
        <f t="shared" si="10"/>
        <v>0</v>
      </c>
      <c r="T53" s="302">
        <f t="shared" si="10"/>
        <v>0</v>
      </c>
      <c r="U53" s="302">
        <f t="shared" si="10"/>
        <v>0</v>
      </c>
      <c r="V53" s="327" t="s">
        <v>1746</v>
      </c>
      <c r="W53" s="343" t="str">
        <f t="shared" si="2"/>
        <v/>
      </c>
    </row>
    <row r="54" spans="1:23" ht="20.100000000000001" customHeight="1">
      <c r="A54" s="340"/>
      <c r="B54" s="410"/>
      <c r="C54" s="406" t="s">
        <v>1757</v>
      </c>
      <c r="D54" s="330" t="s">
        <v>1299</v>
      </c>
      <c r="E54" s="527">
        <v>0</v>
      </c>
      <c r="F54" s="527" t="s">
        <v>756</v>
      </c>
      <c r="G54" s="302">
        <f>IF($D54="A",ROUND(VLOOKUP($C54,'[2]2.행정구역별 급수인구'!$C$7:$AD$997,17,FALSE)*$E54,0),IF($D54="B",(ROUND(VLOOKUP($C54,'[2]2.행정구역별 급수인구'!$C$7:$AD$997,17,FALSE)-VLOOKUP($C54,'[2]2.행정구역별 급수인구'!$C$7:$AD$997,17,FALSE)*(1-$E54),0)),VLOOKUP($C54,'[2]2.행정구역별 급수인구'!$C$7:$AD$997,17,FALSE)))</f>
        <v>0</v>
      </c>
      <c r="H54" s="302">
        <f>IF($D54="A",ROUND(VLOOKUP($C54,'[2]2.행정구역별 급수인구'!$C$7:$AD$997,25,FALSE)*$E54,0),IF($D54="B",(ROUND(VLOOKUP($C54,'[2]2.행정구역별 급수인구'!$C$7:$AD$997,25,FALSE)-VLOOKUP($C54,'[2]2.행정구역별 급수인구'!$C$7:$AD$997,25,FALSE)*(1-$E54),0)),VLOOKUP($C54,'[2]2.행정구역별 급수인구'!$C$7:$AD$997,25,FALSE)))</f>
        <v>0</v>
      </c>
      <c r="I54" s="302">
        <f>IF($D54="A",ROUND(VLOOKUP($C54,'[2]2.행정구역별 급수인구'!$C$7:$AD$997,26,FALSE)*$E54,0),IF($D54="B",(ROUND(VLOOKUP($C54,'[2]2.행정구역별 급수인구'!$C$7:$AD$997,26,FALSE)-VLOOKUP($C54,'[2]2.행정구역별 급수인구'!$C$7:$AD$997,26,FALSE)*(1-$E54),0)),VLOOKUP($C54,'[2]2.행정구역별 급수인구'!$C$7:$AD$997,26,FALSE)))</f>
        <v>0</v>
      </c>
      <c r="J54" s="302">
        <f>IF($D54="A",ROUND(VLOOKUP($C54,'[2]2.행정구역별 급수인구'!$C$7:$AD$997,27,FALSE)*$E54,0),IF($D54="B",(ROUND(VLOOKUP($C54,'[2]2.행정구역별 급수인구'!$C$7:$AD$997,27,FALSE)-VLOOKUP($C54,'[2]2.행정구역별 급수인구'!$C$7:$AD$997,27,FALSE)*(1-$E54),0)),VLOOKUP($C54,'[2]2.행정구역별 급수인구'!$C$7:$AD$997,27,FALSE)))</f>
        <v>0</v>
      </c>
      <c r="K54" s="302">
        <f>IF($D54="A",ROUND(VLOOKUP($C54,'[2]2.행정구역별 급수인구'!$C$7:$AD$997,28,FALSE)*$E54,0),IF($D54="B",(ROUND(VLOOKUP($C54,'[2]2.행정구역별 급수인구'!$C$7:$AD$997,28,FALSE)-VLOOKUP($C54,'[2]2.행정구역별 급수인구'!$C$7:$AD$997,28,FALSE)*(1-$E54),0)),VLOOKUP($C54,'[2]2.행정구역별 급수인구'!$C$7:$AD$997,28,FALSE)))</f>
        <v>0</v>
      </c>
      <c r="L54" s="302">
        <f>VLOOKUP($F54,'[3]5.급수원단위'!$B$31:$G$35,2,FALSE)</f>
        <v>272</v>
      </c>
      <c r="M54" s="302">
        <f>VLOOKUP($F54,'[3]5.급수원단위'!$B$31:$G$35,3,FALSE)</f>
        <v>304</v>
      </c>
      <c r="N54" s="302">
        <f>VLOOKUP($F54,'[3]5.급수원단위'!$B$31:$G$35,4,FALSE)</f>
        <v>308</v>
      </c>
      <c r="O54" s="302">
        <f>VLOOKUP($F54,'[3]5.급수원단위'!$B$31:$G$35,5,FALSE)</f>
        <v>310</v>
      </c>
      <c r="P54" s="302">
        <f>VLOOKUP($F54,'[3]5.급수원단위'!$B$31:$G$35,6,FALSE)</f>
        <v>310</v>
      </c>
      <c r="Q54" s="302">
        <f>ROUND(IF(G54=0,0,VLOOKUP(C54,'2013실사용량 정리'!$D$6:$F$381,3,FALSE)),0)</f>
        <v>0</v>
      </c>
      <c r="R54" s="302">
        <f t="shared" si="10"/>
        <v>0</v>
      </c>
      <c r="S54" s="302">
        <f t="shared" si="10"/>
        <v>0</v>
      </c>
      <c r="T54" s="302">
        <f t="shared" si="10"/>
        <v>0</v>
      </c>
      <c r="U54" s="302">
        <f t="shared" si="10"/>
        <v>0</v>
      </c>
      <c r="V54" s="327" t="s">
        <v>1746</v>
      </c>
      <c r="W54" s="343" t="str">
        <f t="shared" si="2"/>
        <v/>
      </c>
    </row>
    <row r="55" spans="1:23" ht="20.100000000000001" customHeight="1">
      <c r="A55" s="340"/>
      <c r="B55" s="410"/>
      <c r="C55" s="406" t="s">
        <v>1758</v>
      </c>
      <c r="D55" s="330" t="s">
        <v>1299</v>
      </c>
      <c r="E55" s="527">
        <v>0</v>
      </c>
      <c r="F55" s="527" t="s">
        <v>756</v>
      </c>
      <c r="G55" s="302">
        <f>IF($D55="A",ROUND(VLOOKUP($C55,'[2]2.행정구역별 급수인구'!$C$7:$AD$997,17,FALSE)*$E55,0),IF($D55="B",(ROUND(VLOOKUP($C55,'[2]2.행정구역별 급수인구'!$C$7:$AD$997,17,FALSE)-VLOOKUP($C55,'[2]2.행정구역별 급수인구'!$C$7:$AD$997,17,FALSE)*(1-$E55),0)),VLOOKUP($C55,'[2]2.행정구역별 급수인구'!$C$7:$AD$997,17,FALSE)))</f>
        <v>0</v>
      </c>
      <c r="H55" s="302">
        <f>IF($D55="A",ROUND(VLOOKUP($C55,'[2]2.행정구역별 급수인구'!$C$7:$AD$997,25,FALSE)*$E55,0),IF($D55="B",(ROUND(VLOOKUP($C55,'[2]2.행정구역별 급수인구'!$C$7:$AD$997,25,FALSE)-VLOOKUP($C55,'[2]2.행정구역별 급수인구'!$C$7:$AD$997,25,FALSE)*(1-$E55),0)),VLOOKUP($C55,'[2]2.행정구역별 급수인구'!$C$7:$AD$997,25,FALSE)))</f>
        <v>0</v>
      </c>
      <c r="I55" s="302">
        <f>IF($D55="A",ROUND(VLOOKUP($C55,'[2]2.행정구역별 급수인구'!$C$7:$AD$997,26,FALSE)*$E55,0),IF($D55="B",(ROUND(VLOOKUP($C55,'[2]2.행정구역별 급수인구'!$C$7:$AD$997,26,FALSE)-VLOOKUP($C55,'[2]2.행정구역별 급수인구'!$C$7:$AD$997,26,FALSE)*(1-$E55),0)),VLOOKUP($C55,'[2]2.행정구역별 급수인구'!$C$7:$AD$997,26,FALSE)))</f>
        <v>0</v>
      </c>
      <c r="J55" s="302">
        <f>IF($D55="A",ROUND(VLOOKUP($C55,'[2]2.행정구역별 급수인구'!$C$7:$AD$997,27,FALSE)*$E55,0),IF($D55="B",(ROUND(VLOOKUP($C55,'[2]2.행정구역별 급수인구'!$C$7:$AD$997,27,FALSE)-VLOOKUP($C55,'[2]2.행정구역별 급수인구'!$C$7:$AD$997,27,FALSE)*(1-$E55),0)),VLOOKUP($C55,'[2]2.행정구역별 급수인구'!$C$7:$AD$997,27,FALSE)))</f>
        <v>0</v>
      </c>
      <c r="K55" s="302">
        <f>IF($D55="A",ROUND(VLOOKUP($C55,'[2]2.행정구역별 급수인구'!$C$7:$AD$997,28,FALSE)*$E55,0),IF($D55="B",(ROUND(VLOOKUP($C55,'[2]2.행정구역별 급수인구'!$C$7:$AD$997,28,FALSE)-VLOOKUP($C55,'[2]2.행정구역별 급수인구'!$C$7:$AD$997,28,FALSE)*(1-$E55),0)),VLOOKUP($C55,'[2]2.행정구역별 급수인구'!$C$7:$AD$997,28,FALSE)))</f>
        <v>0</v>
      </c>
      <c r="L55" s="302">
        <f>VLOOKUP($F55,'[3]5.급수원단위'!$B$31:$G$35,2,FALSE)</f>
        <v>272</v>
      </c>
      <c r="M55" s="302">
        <f>VLOOKUP($F55,'[3]5.급수원단위'!$B$31:$G$35,3,FALSE)</f>
        <v>304</v>
      </c>
      <c r="N55" s="302">
        <f>VLOOKUP($F55,'[3]5.급수원단위'!$B$31:$G$35,4,FALSE)</f>
        <v>308</v>
      </c>
      <c r="O55" s="302">
        <f>VLOOKUP($F55,'[3]5.급수원단위'!$B$31:$G$35,5,FALSE)</f>
        <v>310</v>
      </c>
      <c r="P55" s="302">
        <f>VLOOKUP($F55,'[3]5.급수원단위'!$B$31:$G$35,6,FALSE)</f>
        <v>310</v>
      </c>
      <c r="Q55" s="302">
        <f>ROUND(IF(G55=0,0,VLOOKUP(C55,'2013실사용량 정리'!$D$6:$F$381,3,FALSE)),0)</f>
        <v>0</v>
      </c>
      <c r="R55" s="302">
        <f t="shared" si="10"/>
        <v>0</v>
      </c>
      <c r="S55" s="302">
        <f t="shared" si="10"/>
        <v>0</v>
      </c>
      <c r="T55" s="302">
        <f t="shared" si="10"/>
        <v>0</v>
      </c>
      <c r="U55" s="302">
        <f t="shared" si="10"/>
        <v>0</v>
      </c>
      <c r="V55" s="327" t="s">
        <v>1746</v>
      </c>
      <c r="W55" s="343" t="str">
        <f t="shared" si="2"/>
        <v/>
      </c>
    </row>
    <row r="56" spans="1:23" ht="20.100000000000001" customHeight="1">
      <c r="A56" s="386"/>
      <c r="B56" s="411"/>
      <c r="C56" s="406" t="s">
        <v>1759</v>
      </c>
      <c r="D56" s="330" t="s">
        <v>1299</v>
      </c>
      <c r="E56" s="527">
        <v>0</v>
      </c>
      <c r="F56" s="527" t="s">
        <v>756</v>
      </c>
      <c r="G56" s="302">
        <f>IF($D56="A",ROUND(VLOOKUP($C56,'[2]2.행정구역별 급수인구'!$C$7:$AD$997,17,FALSE)*$E56,0),IF($D56="B",(ROUND(VLOOKUP($C56,'[2]2.행정구역별 급수인구'!$C$7:$AD$997,17,FALSE)-VLOOKUP($C56,'[2]2.행정구역별 급수인구'!$C$7:$AD$997,17,FALSE)*(1-$E56),0)),VLOOKUP($C56,'[2]2.행정구역별 급수인구'!$C$7:$AD$997,17,FALSE)))</f>
        <v>0</v>
      </c>
      <c r="H56" s="302">
        <f>IF($D56="A",ROUND(VLOOKUP($C56,'[2]2.행정구역별 급수인구'!$C$7:$AD$997,25,FALSE)*$E56,0),IF($D56="B",(ROUND(VLOOKUP($C56,'[2]2.행정구역별 급수인구'!$C$7:$AD$997,25,FALSE)-VLOOKUP($C56,'[2]2.행정구역별 급수인구'!$C$7:$AD$997,25,FALSE)*(1-$E56),0)),VLOOKUP($C56,'[2]2.행정구역별 급수인구'!$C$7:$AD$997,25,FALSE)))</f>
        <v>0</v>
      </c>
      <c r="I56" s="302">
        <f>IF($D56="A",ROUND(VLOOKUP($C56,'[2]2.행정구역별 급수인구'!$C$7:$AD$997,26,FALSE)*$E56,0),IF($D56="B",(ROUND(VLOOKUP($C56,'[2]2.행정구역별 급수인구'!$C$7:$AD$997,26,FALSE)-VLOOKUP($C56,'[2]2.행정구역별 급수인구'!$C$7:$AD$997,26,FALSE)*(1-$E56),0)),VLOOKUP($C56,'[2]2.행정구역별 급수인구'!$C$7:$AD$997,26,FALSE)))</f>
        <v>0</v>
      </c>
      <c r="J56" s="302">
        <f>IF($D56="A",ROUND(VLOOKUP($C56,'[2]2.행정구역별 급수인구'!$C$7:$AD$997,27,FALSE)*$E56,0),IF($D56="B",(ROUND(VLOOKUP($C56,'[2]2.행정구역별 급수인구'!$C$7:$AD$997,27,FALSE)-VLOOKUP($C56,'[2]2.행정구역별 급수인구'!$C$7:$AD$997,27,FALSE)*(1-$E56),0)),VLOOKUP($C56,'[2]2.행정구역별 급수인구'!$C$7:$AD$997,27,FALSE)))</f>
        <v>0</v>
      </c>
      <c r="K56" s="302">
        <f>IF($D56="A",ROUND(VLOOKUP($C56,'[2]2.행정구역별 급수인구'!$C$7:$AD$997,28,FALSE)*$E56,0),IF($D56="B",(ROUND(VLOOKUP($C56,'[2]2.행정구역별 급수인구'!$C$7:$AD$997,28,FALSE)-VLOOKUP($C56,'[2]2.행정구역별 급수인구'!$C$7:$AD$997,28,FALSE)*(1-$E56),0)),VLOOKUP($C56,'[2]2.행정구역별 급수인구'!$C$7:$AD$997,28,FALSE)))</f>
        <v>0</v>
      </c>
      <c r="L56" s="302">
        <f>VLOOKUP($F56,'[3]5.급수원단위'!$B$31:$G$35,2,FALSE)</f>
        <v>272</v>
      </c>
      <c r="M56" s="302">
        <f>VLOOKUP($F56,'[3]5.급수원단위'!$B$31:$G$35,3,FALSE)</f>
        <v>304</v>
      </c>
      <c r="N56" s="302">
        <f>VLOOKUP($F56,'[3]5.급수원단위'!$B$31:$G$35,4,FALSE)</f>
        <v>308</v>
      </c>
      <c r="O56" s="302">
        <f>VLOOKUP($F56,'[3]5.급수원단위'!$B$31:$G$35,5,FALSE)</f>
        <v>310</v>
      </c>
      <c r="P56" s="302">
        <f>VLOOKUP($F56,'[3]5.급수원단위'!$B$31:$G$35,6,FALSE)</f>
        <v>310</v>
      </c>
      <c r="Q56" s="302">
        <f>ROUND(IF(G56=0,0,VLOOKUP(C56,'2013실사용량 정리'!$D$6:$F$381,3,FALSE)),0)</f>
        <v>0</v>
      </c>
      <c r="R56" s="302">
        <f t="shared" si="10"/>
        <v>0</v>
      </c>
      <c r="S56" s="302">
        <f t="shared" si="10"/>
        <v>0</v>
      </c>
      <c r="T56" s="302">
        <f t="shared" si="10"/>
        <v>0</v>
      </c>
      <c r="U56" s="302">
        <f t="shared" si="10"/>
        <v>0</v>
      </c>
      <c r="V56" s="327" t="s">
        <v>1746</v>
      </c>
      <c r="W56" s="343" t="str">
        <f t="shared" si="2"/>
        <v/>
      </c>
    </row>
    <row r="57" spans="1:23" ht="20.100000000000001" customHeight="1">
      <c r="A57" s="398"/>
      <c r="B57" s="398"/>
      <c r="C57" s="398"/>
      <c r="D57" s="398"/>
      <c r="E57" s="398"/>
      <c r="F57" s="398"/>
      <c r="G57" s="398"/>
      <c r="H57" s="398"/>
      <c r="I57" s="398"/>
      <c r="J57" s="398"/>
      <c r="K57" s="398"/>
      <c r="L57" s="398"/>
      <c r="M57" s="398"/>
      <c r="N57" s="398"/>
      <c r="O57" s="398"/>
      <c r="P57" s="398"/>
      <c r="Q57" s="398"/>
      <c r="R57" s="398"/>
      <c r="S57" s="398"/>
      <c r="T57" s="398"/>
      <c r="U57" s="398"/>
    </row>
  </sheetData>
  <autoFilter ref="A4:AS56">
    <filterColumn colId="0" showButton="0"/>
    <filterColumn colId="1" showButton="0"/>
    <filterColumn colId="2" showButton="0"/>
    <filterColumn colId="4"/>
  </autoFilter>
  <mergeCells count="10">
    <mergeCell ref="B30:D30"/>
    <mergeCell ref="A5:D5"/>
    <mergeCell ref="A3:D4"/>
    <mergeCell ref="E3:E4"/>
    <mergeCell ref="F3:F4"/>
    <mergeCell ref="W2:Y2"/>
    <mergeCell ref="G3:K3"/>
    <mergeCell ref="L3:P3"/>
    <mergeCell ref="Q3:U3"/>
    <mergeCell ref="B6:D6"/>
  </mergeCells>
  <phoneticPr fontId="3" type="noConversion"/>
  <printOptions horizontalCentered="1"/>
  <pageMargins left="0.62992125984251968" right="0.62992125984251968" top="0.62992125984251968" bottom="0.62992125984251968" header="0.31496062992125984" footer="0.31496062992125984"/>
  <pageSetup paperSize="9" scale="95" orientation="portrait" r:id="rId1"/>
  <ignoredErrors>
    <ignoredError sqref="F30:U30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59</vt:i4>
      </vt:variant>
      <vt:variant>
        <vt:lpstr>이름이 지정된 범위</vt:lpstr>
      </vt:variant>
      <vt:variant>
        <vt:i4>48</vt:i4>
      </vt:variant>
    </vt:vector>
  </HeadingPairs>
  <TitlesOfParts>
    <vt:vector size="107" baseType="lpstr">
      <vt:lpstr>1. 총괄수요량</vt:lpstr>
      <vt:lpstr>1.행정구역별 수요량</vt:lpstr>
      <vt:lpstr>1.급수구역별 수요량</vt:lpstr>
      <vt:lpstr>1.배수지별 수요량</vt:lpstr>
      <vt:lpstr>1.배수지용수배분</vt:lpstr>
      <vt:lpstr>2.생활용수(보고서)</vt:lpstr>
      <vt:lpstr>2.생활용수(행정구역)</vt:lpstr>
      <vt:lpstr>2.생활용수(급수구역)</vt:lpstr>
      <vt:lpstr>2.생활용수(광석)</vt:lpstr>
      <vt:lpstr>2.생활용수(성동)</vt:lpstr>
      <vt:lpstr>2.생활용수(봉화)</vt:lpstr>
      <vt:lpstr>2.생활용수(논산)</vt:lpstr>
      <vt:lpstr>2.생활용수(연무)</vt:lpstr>
      <vt:lpstr>2.생활용수(마산)</vt:lpstr>
      <vt:lpstr>2.생활용수(부적)</vt:lpstr>
      <vt:lpstr>2.생활용수(연산)</vt:lpstr>
      <vt:lpstr>2.생활용수(채운)</vt:lpstr>
      <vt:lpstr>2.생활용수(강경)</vt:lpstr>
      <vt:lpstr>2.생활용수(노성)</vt:lpstr>
      <vt:lpstr>3.공업용수</vt:lpstr>
      <vt:lpstr>3.계획산단용수량</vt:lpstr>
      <vt:lpstr>3.기존공장용수량</vt:lpstr>
      <vt:lpstr>3.전용공업용수(침전수)</vt:lpstr>
      <vt:lpstr>4.관광원단위</vt:lpstr>
      <vt:lpstr>4.관광용수</vt:lpstr>
      <vt:lpstr>5.기타용수(훈련소)</vt:lpstr>
      <vt:lpstr>5.기타용수(금강대,육군항공학교)</vt:lpstr>
      <vt:lpstr>참조-&gt;</vt:lpstr>
      <vt:lpstr>확장용량</vt:lpstr>
      <vt:lpstr>1.총괄</vt:lpstr>
      <vt:lpstr>2.계통별</vt:lpstr>
      <vt:lpstr>생활용수량</vt:lpstr>
      <vt:lpstr>공업용수</vt:lpstr>
      <vt:lpstr>관광용수</vt:lpstr>
      <vt:lpstr>군대용수(국방부)</vt:lpstr>
      <vt:lpstr>급수분배</vt:lpstr>
      <vt:lpstr>Sheet3</vt:lpstr>
      <vt:lpstr>보고용</vt:lpstr>
      <vt:lpstr>Sheet2</vt:lpstr>
      <vt:lpstr>급수분배 (2)</vt:lpstr>
      <vt:lpstr>행정구역별 장래인구</vt:lpstr>
      <vt:lpstr>Sheet1</vt:lpstr>
      <vt:lpstr>비교표</vt:lpstr>
      <vt:lpstr>개발계획유입인구</vt:lpstr>
      <vt:lpstr>관광용수-1</vt:lpstr>
      <vt:lpstr>군대용수(실사용량)</vt:lpstr>
      <vt:lpstr>군대용수(실사용량) (2)</vt:lpstr>
      <vt:lpstr>읍ㆍ면구분</vt:lpstr>
      <vt:lpstr>용도별 소비량</vt:lpstr>
      <vt:lpstr>전체 소비량(군부대제외)</vt:lpstr>
      <vt:lpstr>인구규모별 표준원단위</vt:lpstr>
      <vt:lpstr>군인구추정</vt:lpstr>
      <vt:lpstr>Sheet4</vt:lpstr>
      <vt:lpstr>2013 행정구역 생활용수량</vt:lpstr>
      <vt:lpstr>2013년도 용수량 비율</vt:lpstr>
      <vt:lpstr>2013실사용량 정리</vt:lpstr>
      <vt:lpstr>Sheet5</vt:lpstr>
      <vt:lpstr>Sheet6</vt:lpstr>
      <vt:lpstr>배수지</vt:lpstr>
      <vt:lpstr>'1. 총괄수요량'!Print_Area</vt:lpstr>
      <vt:lpstr>'1.급수구역별 수요량'!Print_Area</vt:lpstr>
      <vt:lpstr>'1.배수지별 수요량'!Print_Area</vt:lpstr>
      <vt:lpstr>'1.배수지용수배분'!Print_Area</vt:lpstr>
      <vt:lpstr>'1.총괄'!Print_Area</vt:lpstr>
      <vt:lpstr>'1.행정구역별 수요량'!Print_Area</vt:lpstr>
      <vt:lpstr>'2.계통별'!Print_Area</vt:lpstr>
      <vt:lpstr>'2.생활용수(강경)'!Print_Area</vt:lpstr>
      <vt:lpstr>'2.생활용수(광석)'!Print_Area</vt:lpstr>
      <vt:lpstr>'2.생활용수(급수구역)'!Print_Area</vt:lpstr>
      <vt:lpstr>'2.생활용수(노성)'!Print_Area</vt:lpstr>
      <vt:lpstr>'2.생활용수(논산)'!Print_Area</vt:lpstr>
      <vt:lpstr>'2.생활용수(마산)'!Print_Area</vt:lpstr>
      <vt:lpstr>'2.생활용수(봉화)'!Print_Area</vt:lpstr>
      <vt:lpstr>'2.생활용수(부적)'!Print_Area</vt:lpstr>
      <vt:lpstr>'2.생활용수(성동)'!Print_Area</vt:lpstr>
      <vt:lpstr>'2.생활용수(연무)'!Print_Area</vt:lpstr>
      <vt:lpstr>'2.생활용수(연산)'!Print_Area</vt:lpstr>
      <vt:lpstr>'2.생활용수(채운)'!Print_Area</vt:lpstr>
      <vt:lpstr>'2.생활용수(행정구역)'!Print_Area</vt:lpstr>
      <vt:lpstr>'3.계획산단용수량'!Print_Area</vt:lpstr>
      <vt:lpstr>'3.공업용수'!Print_Area</vt:lpstr>
      <vt:lpstr>'3.기존공장용수량'!Print_Area</vt:lpstr>
      <vt:lpstr>'4.관광용수'!Print_Area</vt:lpstr>
      <vt:lpstr>'5.기타용수(훈련소)'!Print_Area</vt:lpstr>
      <vt:lpstr>관광용수!Print_Area</vt:lpstr>
      <vt:lpstr>'군대용수(국방부)'!Print_Area</vt:lpstr>
      <vt:lpstr>급수분배!Print_Area</vt:lpstr>
      <vt:lpstr>생활용수량!Print_Area</vt:lpstr>
      <vt:lpstr>'1.급수구역별 수요량'!Print_Titles</vt:lpstr>
      <vt:lpstr>'1.배수지별 수요량'!Print_Titles</vt:lpstr>
      <vt:lpstr>'1.행정구역별 수요량'!Print_Titles</vt:lpstr>
      <vt:lpstr>'2.계통별'!Print_Titles</vt:lpstr>
      <vt:lpstr>'2.생활용수(강경)'!Print_Titles</vt:lpstr>
      <vt:lpstr>'2.생활용수(광석)'!Print_Titles</vt:lpstr>
      <vt:lpstr>'2.생활용수(급수구역)'!Print_Titles</vt:lpstr>
      <vt:lpstr>'2.생활용수(노성)'!Print_Titles</vt:lpstr>
      <vt:lpstr>'2.생활용수(논산)'!Print_Titles</vt:lpstr>
      <vt:lpstr>'2.생활용수(마산)'!Print_Titles</vt:lpstr>
      <vt:lpstr>'2.생활용수(부적)'!Print_Titles</vt:lpstr>
      <vt:lpstr>'2.생활용수(성동)'!Print_Titles</vt:lpstr>
      <vt:lpstr>'2.생활용수(연무)'!Print_Titles</vt:lpstr>
      <vt:lpstr>'2.생활용수(연산)'!Print_Titles</vt:lpstr>
      <vt:lpstr>'2.생활용수(채운)'!Print_Titles</vt:lpstr>
      <vt:lpstr>'2.생활용수(행정구역)'!Print_Titles</vt:lpstr>
      <vt:lpstr>'3.계획산단용수량'!Print_Titles</vt:lpstr>
      <vt:lpstr>관광용수!Print_Titles</vt:lpstr>
      <vt:lpstr>급수분배!Print_Titles</vt:lpstr>
    </vt:vector>
  </TitlesOfParts>
  <Company>범한엔지니어링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빌 게이츠</dc:creator>
  <cp:lastModifiedBy>admin</cp:lastModifiedBy>
  <cp:lastPrinted>2016-04-30T08:36:14Z</cp:lastPrinted>
  <dcterms:created xsi:type="dcterms:W3CDTF">2012-04-10T01:43:25Z</dcterms:created>
  <dcterms:modified xsi:type="dcterms:W3CDTF">2016-04-30T08:45:38Z</dcterms:modified>
</cp:coreProperties>
</file>